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updateLinks="never" codeName="ЭтаКнига" defaultThemeVersion="166925"/>
  <mc:AlternateContent xmlns:mc="http://schemas.openxmlformats.org/markup-compatibility/2006">
    <mc:Choice Requires="x15">
      <x15ac:absPath xmlns:x15ac="http://schemas.microsoft.com/office/spreadsheetml/2010/11/ac" url="C:\WebSite\Параметры классов\Параметры классов\Макеев\"/>
    </mc:Choice>
  </mc:AlternateContent>
  <xr:revisionPtr revIDLastSave="0" documentId="8_{504343C6-EF42-4C3E-B7FE-BC670F228B91}" xr6:coauthVersionLast="47" xr6:coauthVersionMax="47" xr10:uidLastSave="{00000000-0000-0000-0000-000000000000}"/>
  <bookViews>
    <workbookView xWindow="-13875" yWindow="-16320" windowWidth="29040" windowHeight="15720" tabRatio="820" firstSheet="2" activeTab="11" xr2:uid="{00000000-000D-0000-FFFF-FFFF00000000}"/>
  </bookViews>
  <sheets>
    <sheet name="Информация" sheetId="40" state="hidden" r:id="rId1"/>
    <sheet name="Файл оценки" sheetId="36" state="hidden" r:id="rId2"/>
    <sheet name="ТрЗ_ОП" sheetId="1" r:id="rId3"/>
    <sheet name="Итоговый расчет АСУТП" sheetId="12" state="hidden" r:id="rId4"/>
    <sheet name="Классы защит" sheetId="113" state="hidden" r:id="rId5"/>
    <sheet name="Уровень зрелости" sheetId="79" state="hidden" r:id="rId6"/>
    <sheet name="ГИС" sheetId="76" state="hidden" r:id="rId7"/>
    <sheet name="ИСПДн" sheetId="77" state="hidden" r:id="rId8"/>
    <sheet name="КИИ" sheetId="78" state="hidden" r:id="rId9"/>
    <sheet name="Тип разраб-ой док-ции" sheetId="60" state="hidden" r:id="rId10"/>
    <sheet name="Документы АСУТП" sheetId="13" state="hidden" r:id="rId11"/>
    <sheet name="АВЗ АСУТП" sheetId="14" r:id="rId12"/>
    <sheet name="Спецификация" sheetId="39" state="hidden" r:id="rId13"/>
    <sheet name="Трудозатраты ПК" sheetId="37" state="hidden" r:id="rId14"/>
    <sheet name="Глоссарий документации" sheetId="63" state="hidden" r:id="rId15"/>
    <sheet name="Работы_Спецы" sheetId="43" state="hidden" r:id="rId16"/>
    <sheet name="PAM АСУТП" sheetId="17" state="hidden" r:id="rId17"/>
    <sheet name="МСЭ АСУТП" sheetId="16" state="hidden" r:id="rId18"/>
    <sheet name="РК АСУТП" sheetId="20" state="hidden" r:id="rId19"/>
    <sheet name="IDS АСУТП" sheetId="21" state="hidden" r:id="rId20"/>
    <sheet name="АПМДЗ АСУТП" sheetId="80" state="hidden" r:id="rId21"/>
    <sheet name="НСД АСУТП" sheetId="38" state="hidden" r:id="rId22"/>
    <sheet name="Служебный АСУТП" sheetId="22" r:id="rId23"/>
    <sheet name="ТрЗ_ОВ" sheetId="81" state="hidden" r:id="rId24"/>
    <sheet name="ТрЗ_ОКиА" sheetId="131" state="hidden" r:id="rId25"/>
    <sheet name="Категорирование" sheetId="122" state="hidden" r:id="rId26"/>
    <sheet name="Обследование и аудит ГИС" sheetId="133" state="hidden" r:id="rId27"/>
    <sheet name="Командировки_ОП" sheetId="134" state="hidden" r:id="rId28"/>
    <sheet name="Служебный ОК" sheetId="114" state="hidden" r:id="rId29"/>
    <sheet name="ОРД КИИ" sheetId="115" state="hidden" r:id="rId30"/>
    <sheet name="ОРД ПДн" sheetId="116" state="hidden" r:id="rId31"/>
    <sheet name="ОРД ГИС" sheetId="117" state="hidden" r:id="rId32"/>
    <sheet name="ОРД КТ" sheetId="118" state="hidden" r:id="rId33"/>
    <sheet name="Обследование и аудит КИИ" sheetId="119" state="hidden" r:id="rId34"/>
    <sheet name="Обследование и аудит ИСПДн" sheetId="120" state="hidden" r:id="rId35"/>
    <sheet name="Обследование и аудит КТ" sheetId="121" state="hidden" r:id="rId36"/>
    <sheet name="Классификация" sheetId="123" state="hidden" r:id="rId37"/>
    <sheet name="МУиН КИИ (АСУТП)" sheetId="124" state="hidden" r:id="rId38"/>
    <sheet name="МУиН ИСПДн" sheetId="125" state="hidden" r:id="rId39"/>
    <sheet name="МУиН ГИС" sheetId="126" state="hidden" r:id="rId40"/>
    <sheet name="МУиН ЦОД" sheetId="127" state="hidden" r:id="rId41"/>
    <sheet name="МУиН КТ" sheetId="128" state="hidden" r:id="rId42"/>
    <sheet name="Анализ уязвимостей" sheetId="129" state="hidden" r:id="rId43"/>
    <sheet name="Аттестация" sheetId="130" state="hidden" r:id="rId44"/>
    <sheet name="Служебный ОВ" sheetId="82" state="hidden" r:id="rId45"/>
    <sheet name="BM ОВ" sheetId="109" state="hidden" r:id="rId46"/>
    <sheet name="ВМ АСО ОВ" sheetId="84" state="hidden" r:id="rId47"/>
    <sheet name="СКЗИ ОВ" sheetId="103" state="hidden" r:id="rId48"/>
    <sheet name="АЗ ОВ" sheetId="104" state="hidden" r:id="rId49"/>
    <sheet name="СРК ОВ" sheetId="110" state="hidden" r:id="rId50"/>
    <sheet name="NTA ОВ " sheetId="111" state="hidden" r:id="rId51"/>
    <sheet name="SEG ОВ" sheetId="83" state="hidden" r:id="rId52"/>
    <sheet name="ВМ СПО ОВ" sheetId="85" state="hidden" r:id="rId53"/>
    <sheet name="ДИОД ОВ" sheetId="86" state="hidden" r:id="rId54"/>
    <sheet name="IDS ОВ " sheetId="87" state="hidden" r:id="rId55"/>
    <sheet name="XDR_EDR ОВ" sheetId="88" state="hidden" r:id="rId56"/>
    <sheet name="ГосСОПКА ОВ" sheetId="97" state="hidden" r:id="rId57"/>
    <sheet name="SOAR ОВ" sheetId="89" state="hidden" r:id="rId58"/>
    <sheet name="TLS ОВ" sheetId="90" state="hidden" r:id="rId59"/>
    <sheet name="NAC ОВ" sheetId="91" state="hidden" r:id="rId60"/>
    <sheet name="VDI ОВ" sheetId="92" state="hidden" r:id="rId61"/>
    <sheet name="APT ОВ" sheetId="93" state="hidden" r:id="rId62"/>
    <sheet name="MFA ОВ" sheetId="94" state="hidden" r:id="rId63"/>
    <sheet name="РАМ ОВ" sheetId="95" state="hidden" r:id="rId64"/>
    <sheet name="Sandbox ОВ" sheetId="96" state="hidden" r:id="rId65"/>
    <sheet name="SIEM OВ" sheetId="98" state="hidden" r:id="rId66"/>
    <sheet name="WAF ОВ" sheetId="99" state="hidden" r:id="rId67"/>
    <sheet name="Контроль конфигураций ОВ" sheetId="100" state="hidden" r:id="rId68"/>
    <sheet name="DCAP ОВ" sheetId="101" state="hidden" r:id="rId69"/>
    <sheet name="АВЗ ОВ" sheetId="102" state="hidden" r:id="rId70"/>
    <sheet name="НСД ОВ" sheetId="105" state="hidden" r:id="rId71"/>
    <sheet name="СЗВ ОВ" sheetId="106" state="hidden" r:id="rId72"/>
    <sheet name="ВМ ЗСВ ОВ" sheetId="107" state="hidden" r:id="rId73"/>
    <sheet name="СХД ОВ" sheetId="108" state="hidden" r:id="rId74"/>
    <sheet name="МСЭ ОВ" sheetId="112" state="hidden" r:id="rId75"/>
    <sheet name="АЗ АСУТП" sheetId="19" state="hidden" r:id="rId76"/>
    <sheet name="SIEM АСУТП" sheetId="15" r:id="rId77"/>
    <sheet name="MFA АСУТП" sheetId="29" state="hidden" r:id="rId78"/>
    <sheet name="ДИОД АСУТП" sheetId="30" state="hidden" r:id="rId79"/>
    <sheet name="СЗВ АСУТП" sheetId="45" state="hidden" r:id="rId80"/>
    <sheet name="ВМ ЗСВ" sheetId="68" state="hidden" r:id="rId81"/>
    <sheet name="СКЗИ АСУТП" sheetId="18" state="hidden" r:id="rId82"/>
    <sheet name="VDI АСУТП" sheetId="46" state="hidden" r:id="rId83"/>
    <sheet name="СУБД АСУТП" sheetId="47" r:id="rId84"/>
    <sheet name="ВМ СПО" sheetId="69" r:id="rId85"/>
    <sheet name="ВМ АСО" sheetId="70" state="hidden" r:id="rId86"/>
    <sheet name="ГОССОПКА АСУТП" sheetId="48" state="hidden" r:id="rId87"/>
    <sheet name="TLS АСУТП" sheetId="49" state="hidden" r:id="rId88"/>
    <sheet name="DCAP АСУТП" sheetId="50" state="hidden" r:id="rId89"/>
    <sheet name="NTA АСУТП" sheetId="52" state="hidden" r:id="rId90"/>
    <sheet name="SEG АСУТП" sheetId="53" state="hidden" r:id="rId91"/>
    <sheet name="WAF АСУТП" sheetId="67" state="hidden" r:id="rId92"/>
    <sheet name="APT АСУТП" sheetId="54" state="hidden" r:id="rId93"/>
    <sheet name="NAC АСУТП" sheetId="55" state="hidden" r:id="rId94"/>
    <sheet name="SANDBOX АСУТП" sheetId="56" state="hidden" r:id="rId95"/>
    <sheet name="EDR АСУТП" sheetId="57" r:id="rId96"/>
    <sheet name="DO АСУТП" sheetId="51" r:id="rId97"/>
    <sheet name="SOAR АСУТП" sheetId="59" r:id="rId98"/>
    <sheet name="АСУТП 1" sheetId="64" state="hidden" r:id="rId99"/>
  </sheets>
  <externalReferences>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_xlnm._FilterDatabase" localSheetId="96" hidden="1">'DO АСУТП'!$A$2:$G$105</definedName>
    <definedName name="_xlnm._FilterDatabase" localSheetId="95" hidden="1">'EDR АСУТП'!$A$2:$K$105</definedName>
    <definedName name="_xlnm._FilterDatabase" localSheetId="76" hidden="1">'SIEM АСУТП'!$A$2:$K$105</definedName>
    <definedName name="_xlnm._FilterDatabase" localSheetId="97" hidden="1">'SOAR АСУТП'!$A$2:$O$105</definedName>
    <definedName name="_xlnm._FilterDatabase" localSheetId="11" hidden="1">'АВЗ АСУТП'!$A$2:$AI$105</definedName>
    <definedName name="_xlnm._FilterDatabase" localSheetId="84" hidden="1">'ВМ СПО'!$A$2:$S$105</definedName>
    <definedName name="_xlnm._FilterDatabase" localSheetId="83" hidden="1">'СУБД АСУТП'!$A$2:$K$105</definedName>
    <definedName name="_xlnm._FilterDatabase" localSheetId="13" hidden="1">'Трудозатраты ПК'!$A$1:$AY$47</definedName>
    <definedName name="_xlnm._FilterDatabase" localSheetId="1" hidden="1">'Файл оценки'!#REF!</definedName>
    <definedName name="all_subsystems" localSheetId="0">'[1]Служебный ОП'!$A$3:$A$22</definedName>
    <definedName name="all_subsystems" localSheetId="12">'[1]Служебный ОП'!$A$3:$A$22</definedName>
    <definedName name="all_subsystems">'[2]Служебный ОП'!$A$3:$A$22</definedName>
    <definedName name="ASUTP_APMDZ" localSheetId="4">'[3]Служебный АСУТП'!$N$2:$N$3</definedName>
    <definedName name="ASUTP_APMDZ">'Служебный АСУТП'!$N$2:$N$3</definedName>
    <definedName name="ASUTP_APT" localSheetId="6">'[4]Служебный АСУТП'!$Z$2:$Z$4</definedName>
    <definedName name="ASUTP_APT" localSheetId="4">'[3]Служебный АСУТП'!$AA$2:$AA$4</definedName>
    <definedName name="ASUTP_APT" localSheetId="5">'[4]Служебный АСУТП'!$Z$2:$Z$4</definedName>
    <definedName name="ASUTP_APT">'Служебный АСУТП'!$AA$2:$AA$4</definedName>
    <definedName name="ASUTP_AVZ" localSheetId="20">'[5]Служебный АСУТП'!$E$2</definedName>
    <definedName name="ASUTP_AVZ" localSheetId="80">'[6]Служебный АСУТП'!$E$2:$E$9</definedName>
    <definedName name="ASUTP_AVZ" localSheetId="6">'[4]Служебный АСУТП'!$E$2:$E$9</definedName>
    <definedName name="ASUTP_AVZ" localSheetId="14">'[7]Служебный АСУТП'!$E$2:$E$5</definedName>
    <definedName name="ASUTP_AVZ" localSheetId="4">'[3]Служебный АСУТП'!$E$2:$E$9</definedName>
    <definedName name="ASUTP_AVZ" localSheetId="21">'[5]Служебный АСУТП'!$E$2</definedName>
    <definedName name="ASUTP_AVZ" localSheetId="79">'[6]Служебный АСУТП'!$E$2:$E$9</definedName>
    <definedName name="ASUTP_AVZ" localSheetId="5">'[8]Служебный АСУТП'!$E$2:$E$5</definedName>
    <definedName name="ASUTP_AVZ">'Служебный АСУТП'!$E$2:$E$9</definedName>
    <definedName name="ASUTP_AZ" localSheetId="20">'[5]Служебный АСУТП'!$J$2:$J$3</definedName>
    <definedName name="ASUTP_AZ" localSheetId="80">'[6]Служебный АСУТП'!$J$2:$J$6</definedName>
    <definedName name="ASUTP_AZ" localSheetId="6">'[4]Служебный АСУТП'!$J$2:$J$6</definedName>
    <definedName name="ASUTP_AZ" localSheetId="14">'[7]Служебный АСУТП'!$J$2:$J$5</definedName>
    <definedName name="ASUTP_AZ" localSheetId="4">'[3]Служебный АСУТП'!$J$2:$J$6</definedName>
    <definedName name="ASUTP_AZ" localSheetId="21">'[5]Служебный АСУТП'!$J$2:$J$3</definedName>
    <definedName name="ASUTP_AZ" localSheetId="79">'[6]Служебный АСУТП'!$J$2:$J$6</definedName>
    <definedName name="ASUTP_AZ" localSheetId="5">'[8]Служебный АСУТП'!$J$2:$J$5</definedName>
    <definedName name="ASUTP_AZ">'Служебный АСУТП'!$J$2:$J$6</definedName>
    <definedName name="ASUTP_CONFIG" localSheetId="6">'[4]Служебный АСУТП'!$W$2</definedName>
    <definedName name="ASUTP_CONFIG" localSheetId="4">'[3]Служебный АСУТП'!$X$2</definedName>
    <definedName name="ASUTP_CONFIG" localSheetId="5">'[4]Служебный АСУТП'!$W$2</definedName>
    <definedName name="ASUTP_CONFIG">'Служебный АСУТП'!$X$2</definedName>
    <definedName name="ASUTP_DAM" localSheetId="20">'[5]Служебный АСУТП'!$O$2</definedName>
    <definedName name="ASUTP_DAM" localSheetId="80">'[6]Служебный АСУТП'!$O$2:$O$5</definedName>
    <definedName name="ASUTP_DAM" localSheetId="6">'[4]Служебный АСУТП'!$O$2:$O$5</definedName>
    <definedName name="ASUTP_DAM" localSheetId="14">'[7]Служебный АСУТП'!$O$2:$O$7</definedName>
    <definedName name="ASUTP_DAM" localSheetId="4">'[3]Служебный АСУТП'!$P$2:$P$5</definedName>
    <definedName name="ASUTP_DAM" localSheetId="21">'[5]Служебный АСУТП'!$O$2</definedName>
    <definedName name="ASUTP_DAM" localSheetId="79">'[6]Служебный АСУТП'!$O$2:$O$5</definedName>
    <definedName name="ASUTP_DAM" localSheetId="5">'[8]Служебный АСУТП'!$O$2:$O$7</definedName>
    <definedName name="ASUTP_DAM">'Служебный АСУТП'!$P$2:$P$5</definedName>
    <definedName name="ASUTP_DCAP" localSheetId="6">'[4]Служебный АСУТП'!$V$2:$V$4</definedName>
    <definedName name="ASUTP_DCAP" localSheetId="4">'[3]Служебный АСУТП'!$W$2:$W$4</definedName>
    <definedName name="ASUTP_DCAP" localSheetId="5">'[4]Служебный АСУТП'!$V$2:$V$4</definedName>
    <definedName name="ASUTP_DCAP">'Служебный АСУТП'!$W$2:$W$4</definedName>
    <definedName name="ASUTP_EDR" localSheetId="6">'[4]Служебный АСУТП'!$AC$2:$AC$3</definedName>
    <definedName name="ASUTP_EDR" localSheetId="4">'[3]Служебный АСУТП'!$AD$2:$AD$3</definedName>
    <definedName name="ASUTP_EDR" localSheetId="5">'[4]Служебный АСУТП'!$AC$2:$AC$3</definedName>
    <definedName name="ASUTP_EDR">'Служебный АСУТП'!$AD$2:$AD$3</definedName>
    <definedName name="ASUTP_GOSSOPKA" localSheetId="6">'[4]Служебный АСУТП'!$T$2:$T$3</definedName>
    <definedName name="ASUTP_GOSSOPKA" localSheetId="4">'[3]Служебный АСУТП'!$U$2:$U$3</definedName>
    <definedName name="ASUTP_GOSSOPKA" localSheetId="5">'[4]Служебный АСУТП'!$T$2:$T$3</definedName>
    <definedName name="ASUTP_GOSSOPKA">'Служебный АСУТП'!$U$2:$U$3</definedName>
    <definedName name="ASUTP_IDS" localSheetId="20">'[5]Служебный АСУТП'!$L$2:$L$4</definedName>
    <definedName name="ASUTP_IDS" localSheetId="80">'[6]Служебный АСУТП'!$L$2:$L$4</definedName>
    <definedName name="ASUTP_IDS" localSheetId="6">'[4]Служебный АСУТП'!$L$2:$L$4</definedName>
    <definedName name="ASUTP_IDS" localSheetId="14">'[7]Служебный АСУТП'!$L$2:$L$4</definedName>
    <definedName name="ASUTP_IDS" localSheetId="4">'[3]Служебный АСУТП'!$L$2:$L$4</definedName>
    <definedName name="ASUTP_IDS" localSheetId="21">'[5]Служебный АСУТП'!$L$2:$L$4</definedName>
    <definedName name="ASUTP_IDS" localSheetId="79">'[6]Служебный АСУТП'!$L$2:$L$4</definedName>
    <definedName name="ASUTP_IDS" localSheetId="5">'[8]Служебный АСУТП'!$L$2:$L$4</definedName>
    <definedName name="ASUTP_IDS">'Служебный АСУТП'!$L$2:$L$4</definedName>
    <definedName name="ASUTP_MFA" localSheetId="6">'[4]Служебный АСУТП'!$N$2:$N$5</definedName>
    <definedName name="ASUTP_MFA" localSheetId="4">'[3]Служебный АСУТП'!$O$2:$O$5</definedName>
    <definedName name="ASUTP_MFA" localSheetId="5">'[4]Служебный АСУТП'!$N$2:$N$5</definedName>
    <definedName name="ASUTP_MFA">'Служебный АСУТП'!$O$2:$O$5</definedName>
    <definedName name="ASUTP_MSE" localSheetId="20">'[5]Служебный АСУТП'!$G$2</definedName>
    <definedName name="ASUTP_MSE" localSheetId="80">'[6]Служебный АСУТП'!$G$2:$G$5</definedName>
    <definedName name="ASUTP_MSE" localSheetId="6">'[4]Служебный АСУТП'!$G$2:$G$5</definedName>
    <definedName name="ASUTP_MSE" localSheetId="14">'[7]Служебный АСУТП'!$G$2:$G$5</definedName>
    <definedName name="ASUTP_MSE" localSheetId="4">'[3]Служебный АСУТП'!$G$2:$G$5</definedName>
    <definedName name="ASUTP_MSE" localSheetId="21">'[5]Служебный АСУТП'!$G$2</definedName>
    <definedName name="ASUTP_MSE" localSheetId="79">'[6]Служебный АСУТП'!$G$2:$G$5</definedName>
    <definedName name="ASUTP_MSE" localSheetId="5">'[8]Служебный АСУТП'!$G$2:$G$5</definedName>
    <definedName name="ASUTP_MSE">'Служебный АСУТП'!$G$2:$G$5</definedName>
    <definedName name="ASUTP_NAC" localSheetId="6">'[4]Служебный АСУТП'!$AA$2</definedName>
    <definedName name="ASUTP_NAC" localSheetId="4">'[3]Служебный АСУТП'!$AB$2</definedName>
    <definedName name="ASUTP_NAC" localSheetId="5">'[4]Служебный АСУТП'!$AA$2</definedName>
    <definedName name="ASUTP_NAC">'Служебный АСУТП'!$AB$2</definedName>
    <definedName name="ASUTP_NSD" localSheetId="20">'[5]Служебный АСУТП'!$M$2</definedName>
    <definedName name="ASUTP_NSD" localSheetId="80">'[6]Служебный АСУТП'!$M$2:$M$6</definedName>
    <definedName name="ASUTP_NSD" localSheetId="6">'[4]Служебный АСУТП'!$M$2:$M$6</definedName>
    <definedName name="ASUTP_NSD" localSheetId="14">'[7]Служебный АСУТП'!$M$2:$M$7</definedName>
    <definedName name="ASUTP_NSD" localSheetId="4">'[3]Служебный АСУТП'!$M$2:$M$4</definedName>
    <definedName name="ASUTP_NSD" localSheetId="21">'[5]Служебный АСУТП'!$M$2</definedName>
    <definedName name="ASUTP_NSD" localSheetId="79">'[6]Служебный АСУТП'!$M$2:$M$6</definedName>
    <definedName name="ASUTP_NSD" localSheetId="5">'[8]Служебный АСУТП'!$M$2:$M$7</definedName>
    <definedName name="ASUTP_NSD">'Служебный АСУТП'!$M$2:$M$4</definedName>
    <definedName name="ASUTP_NTA" localSheetId="6">'[4]Служебный АСУТП'!$X$2:$X$5</definedName>
    <definedName name="ASUTP_NTA" localSheetId="4">'[3]Служебный АСУТП'!$Y$2:$Y$5</definedName>
    <definedName name="ASUTP_NTA" localSheetId="5">'[4]Служебный АСУТП'!$X$2:$X$5</definedName>
    <definedName name="ASUTP_NTA">'Служебный АСУТП'!$Y$2:$Y$5</definedName>
    <definedName name="ASUTP_PAM" localSheetId="20">'[5]Служебный АСУТП'!$H$2</definedName>
    <definedName name="ASUTP_PAM" localSheetId="80">'[6]Служебный АСУТП'!$H$2:$H$4</definedName>
    <definedName name="ASUTP_PAM" localSheetId="6">'[4]Служебный АСУТП'!$H$2:$H$4</definedName>
    <definedName name="ASUTP_PAM" localSheetId="14">'[7]Служебный АСУТП'!$H$2</definedName>
    <definedName name="ASUTP_PAM" localSheetId="4">'[3]Служебный АСУТП'!$H$2:$H$4</definedName>
    <definedName name="ASUTP_PAM" localSheetId="21">'[5]Служебный АСУТП'!$H$2</definedName>
    <definedName name="ASUTP_PAM" localSheetId="79">'[6]Служебный АСУТП'!$H$2:$H$4</definedName>
    <definedName name="ASUTP_PAM" localSheetId="5">'[8]Служебный АСУТП'!$H$2</definedName>
    <definedName name="ASUTP_PAM">'Служебный АСУТП'!$H$2:$H$4</definedName>
    <definedName name="ASUTP_RK" localSheetId="20">'[5]Служебный АСУТП'!$K$2</definedName>
    <definedName name="ASUTP_RK" localSheetId="80">'[6]Служебный АСУТП'!$K$2:$K$3</definedName>
    <definedName name="ASUTP_RK" localSheetId="6">'[4]Служебный АСУТП'!$K$2:$K$3</definedName>
    <definedName name="ASUTP_RK" localSheetId="14">'[7]Служебный АСУТП'!$K$2:$K$6</definedName>
    <definedName name="ASUTP_RK" localSheetId="4">'[3]Служебный АСУТП'!$K$2:$K$3</definedName>
    <definedName name="ASUTP_RK" localSheetId="21">'[5]Служебный АСУТП'!$K$2</definedName>
    <definedName name="ASUTP_RK" localSheetId="79">'[6]Служебный АСУТП'!$K$2:$K$3</definedName>
    <definedName name="ASUTP_RK" localSheetId="5">'[8]Служебный АСУТП'!$K$2:$K$6</definedName>
    <definedName name="ASUTP_RK">'Служебный АСУТП'!$K$2:$K$3</definedName>
    <definedName name="ASUTP_SANDBOX" localSheetId="6">'[4]Служебный АСУТП'!$AB$2:$AB$3</definedName>
    <definedName name="ASUTP_SANDBOX" localSheetId="4">'[3]Служебный АСУТП'!$AC$2:$AC$3</definedName>
    <definedName name="ASUTP_SANDBOX" localSheetId="5">'[4]Служебный АСУТП'!$AB$2:$AB$3</definedName>
    <definedName name="ASUTP_SANDBOX">'Служебный АСУТП'!$AC$2:$AC$3</definedName>
    <definedName name="ASUTP_SEG" localSheetId="6">'[4]Служебный АСУТП'!$Y$2</definedName>
    <definedName name="ASUTP_SEG" localSheetId="4">'[3]Служебный АСУТП'!$Z$2</definedName>
    <definedName name="ASUTP_SEG" localSheetId="5">'[4]Служебный АСУТП'!$Y$2</definedName>
    <definedName name="ASUTP_SEG">'Служебный АСУТП'!$Z$2</definedName>
    <definedName name="ASUTP_SIEM" localSheetId="20">'[5]Служебный АСУТП'!$F$2:$F$3</definedName>
    <definedName name="ASUTP_SIEM" localSheetId="80">'[6]Служебный АСУТП'!$F$2:$F$3</definedName>
    <definedName name="ASUTP_SIEM" localSheetId="6">'[4]Служебный АСУТП'!$F$2:$F$3</definedName>
    <definedName name="ASUTP_SIEM" localSheetId="14">'[7]Служебный АСУТП'!$F$2:$F$6</definedName>
    <definedName name="ASUTP_SIEM" localSheetId="4">'[3]Служебный АСУТП'!$F$2:$F$3</definedName>
    <definedName name="ASUTP_SIEM" localSheetId="21">'[5]Служебный АСУТП'!$F$2:$F$3</definedName>
    <definedName name="ASUTP_SIEM" localSheetId="79">'[6]Служебный АСУТП'!$F$2:$F$3</definedName>
    <definedName name="ASUTP_SIEM" localSheetId="5">'[8]Служебный АСУТП'!$F$2:$F$6</definedName>
    <definedName name="ASUTP_SIEM">'Служебный АСУТП'!$F$2:$F$3</definedName>
    <definedName name="ASUTP_SKZI" localSheetId="20">'[5]Служебный АСУТП'!$I$2</definedName>
    <definedName name="ASUTP_SKZI" localSheetId="80">'[6]Служебный АСУТП'!$I$2:$I$6</definedName>
    <definedName name="ASUTP_SKZI" localSheetId="6">'[4]Служебный АСУТП'!$I$2:$I$6</definedName>
    <definedName name="ASUTP_SKZI" localSheetId="14">'[7]Служебный АСУТП'!$I$2:$I$4</definedName>
    <definedName name="ASUTP_SKZI" localSheetId="4">'[3]Служебный АСУТП'!$I$2:$I$6</definedName>
    <definedName name="ASUTP_SKZI" localSheetId="21">'[5]Служебный АСУТП'!$I$2</definedName>
    <definedName name="ASUTP_SKZI" localSheetId="79">'[6]Служебный АСУТП'!$I$2:$I$6</definedName>
    <definedName name="ASUTP_SKZI" localSheetId="5">'[8]Служебный АСУТП'!$I$2:$I$4</definedName>
    <definedName name="ASUTP_SKZI">'Служебный АСУТП'!$I$2:$I$6</definedName>
    <definedName name="ASUTP_SOAR" localSheetId="6">'[4]Служебный АСУТП'!$Q$2:$Q$5</definedName>
    <definedName name="ASUTP_SOAR" localSheetId="4">'[3]Служебный АСУТП'!$R$2:$R$5</definedName>
    <definedName name="ASUTP_SOAR" localSheetId="5">'[4]Служебный АСУТП'!$Q$2:$Q$5</definedName>
    <definedName name="ASUTP_SOAR">'Служебный АСУТП'!$R$2:$R$5</definedName>
    <definedName name="ASUTP_SUBD" localSheetId="6">'[4]Служебный АСУТП'!$S$2:$S$3</definedName>
    <definedName name="ASUTP_SUBD" localSheetId="4">'[3]Служебный АСУТП'!$T$2:$T$3</definedName>
    <definedName name="ASUTP_SUBD" localSheetId="5">'[4]Служебный АСУТП'!$S$2:$S$3</definedName>
    <definedName name="ASUTP_SUBD">'Служебный АСУТП'!$T$2:$T$3</definedName>
    <definedName name="ASUTP_SZV" localSheetId="20">'[5]Служебный АСУТП'!$P$2</definedName>
    <definedName name="ASUTP_SZV" localSheetId="80">'[6]Служебный АСУТП'!$P$2:$P$10</definedName>
    <definedName name="ASUTP_SZV" localSheetId="6">'[4]Служебный АСУТП'!$P$2:$P$4</definedName>
    <definedName name="ASUTP_SZV" localSheetId="14">'[7]Служебный АСУТП'!$P$2</definedName>
    <definedName name="ASUTP_SZV" localSheetId="4">'[3]Служебный АСУТП'!$Q$2:$Q$4</definedName>
    <definedName name="ASUTP_SZV" localSheetId="21">'[5]Служебный АСУТП'!$P$2</definedName>
    <definedName name="ASUTP_SZV" localSheetId="79">'[6]Служебный АСУТП'!$P$2:$P$10</definedName>
    <definedName name="ASUTP_SZV" localSheetId="5">'[8]Служебный АСУТП'!$P$2</definedName>
    <definedName name="ASUTP_SZV">'Служебный АСУТП'!$Q$2:$Q$4</definedName>
    <definedName name="ASUTP_TLS" localSheetId="6">'[4]Служебный АСУТП'!$U$2:$U$3</definedName>
    <definedName name="ASUTP_TLS" localSheetId="4">'[3]Служебный АСУТП'!$V$2:$V$3</definedName>
    <definedName name="ASUTP_TLS" localSheetId="5">'[4]Служебный АСУТП'!$U$2:$U$3</definedName>
    <definedName name="ASUTP_TLS">'Служебный АСУТП'!$V$2:$V$3</definedName>
    <definedName name="ASUTP_VDI" localSheetId="6">'[4]Служебный АСУТП'!$R$2:$R$6</definedName>
    <definedName name="ASUTP_VDI" localSheetId="4">'[3]Служебный АСУТП'!$S$2:$S$6</definedName>
    <definedName name="ASUTP_VDI" localSheetId="5">'[4]Служебный АСУТП'!$R$2:$R$6</definedName>
    <definedName name="ASUTP_VDI">'Служебный АСУТП'!$S$2:$S$6</definedName>
    <definedName name="ASUTP_WAF" localSheetId="20">'[5]Служебный АСУТП'!$N$2</definedName>
    <definedName name="ASUTP_WAF" localSheetId="80">'[6]Служебный АСУТП'!$N$2:$N$5</definedName>
    <definedName name="ASUTP_WAF" localSheetId="6">'[4]Служебный АСУТП'!$AD$2:$AD$4</definedName>
    <definedName name="ASUTP_WAF" localSheetId="14">'[7]Служебный АСУТП'!$N$2</definedName>
    <definedName name="ASUTP_WAF" localSheetId="4">'[3]Служебный АСУТП'!$AE$2:$AE$4</definedName>
    <definedName name="ASUTP_WAF" localSheetId="21">'[5]Служебный АСУТП'!$N$2</definedName>
    <definedName name="ASUTP_WAF" localSheetId="79">'[6]Служебный АСУТП'!$N$2:$N$5</definedName>
    <definedName name="ASUTP_WAF" localSheetId="5">'[8]Служебный АСУТП'!$N$2</definedName>
    <definedName name="ASUTP_WAF">'Служебный АСУТП'!$AE$2:$AE$4</definedName>
    <definedName name="DF">'Документы АСУТП'!$CV$18</definedName>
    <definedName name="DOCS_list_ASUTP" localSheetId="20">'[5]Служебный АСУТП'!$C$2:$C$9</definedName>
    <definedName name="DOCS_list_ASUTP" localSheetId="21">'[5]Служебный АСУТП'!$C$2:$C$9</definedName>
    <definedName name="DOCS_list_ASUTP">'Служебный АСУТП'!$C$2:$C$9</definedName>
    <definedName name="EMPTY" localSheetId="61">'[9]Служебный ОВ'!$C$3</definedName>
    <definedName name="EMPTY" localSheetId="45">'[9]Служебный ОВ'!$C$3</definedName>
    <definedName name="EMPTY" localSheetId="68">'[9]Служебный ОВ'!$C$3</definedName>
    <definedName name="EMPTY" localSheetId="54">'[9]Служебный ОВ'!$C$3</definedName>
    <definedName name="EMPTY" localSheetId="62">'[9]Служебный ОВ'!$C$3</definedName>
    <definedName name="EMPTY" localSheetId="59">'[9]Служебный ОВ'!$C$3</definedName>
    <definedName name="EMPTY" localSheetId="50">'[9]Служебный ОВ'!$C$3</definedName>
    <definedName name="EMPTY" localSheetId="64">'[9]Служебный ОВ'!$C$3</definedName>
    <definedName name="EMPTY" localSheetId="51">'[9]Служебный ОВ'!$C$3</definedName>
    <definedName name="EMPTY" localSheetId="65">'[9]Служебный ОВ'!$C$3</definedName>
    <definedName name="EMPTY" localSheetId="57">'[9]Служебный ОВ'!$C$3</definedName>
    <definedName name="EMPTY" localSheetId="58">'[9]Служебный ОВ'!$C$3</definedName>
    <definedName name="EMPTY" localSheetId="60">'[9]Служебный ОВ'!$C$3</definedName>
    <definedName name="EMPTY" localSheetId="66">'[9]Служебный ОВ'!$C$3</definedName>
    <definedName name="EMPTY" localSheetId="55">'[9]Служебный ОВ'!$C$3</definedName>
    <definedName name="EMPTY" localSheetId="69">'[9]Служебный ОВ'!$C$3</definedName>
    <definedName name="EMPTY" localSheetId="48">'[9]Служебный ОВ'!$C$3</definedName>
    <definedName name="EMPTY" localSheetId="46">'[9]Служебный ОВ'!$C$3</definedName>
    <definedName name="EMPTY" localSheetId="72">'[9]Служебный ОВ'!$C$3</definedName>
    <definedName name="EMPTY" localSheetId="52">'[9]Служебный ОВ'!$C$3</definedName>
    <definedName name="EMPTY" localSheetId="56">'[9]Служебный ОВ'!$C$3</definedName>
    <definedName name="EMPTY" localSheetId="53">'[9]Служебный ОВ'!$C$3</definedName>
    <definedName name="EMPTY" localSheetId="67">'[9]Служебный ОВ'!$C$3</definedName>
    <definedName name="EMPTY" localSheetId="74">'[9]Служебный ОВ'!$C$3</definedName>
    <definedName name="EMPTY" localSheetId="70">'[9]Служебный ОВ'!$C$3</definedName>
    <definedName name="EMPTY" localSheetId="63">'[9]Служебный ОВ'!$C$3</definedName>
    <definedName name="EMPTY" localSheetId="71">'[9]Служебный ОВ'!$C$3</definedName>
    <definedName name="EMPTY" localSheetId="47">'[9]Служебный ОВ'!$C$3</definedName>
    <definedName name="EMPTY" localSheetId="49">'[9]Служебный ОВ'!$C$3</definedName>
    <definedName name="EMPTY" localSheetId="73">'[9]Служебный ОВ'!$C$3</definedName>
    <definedName name="EMPTY">'Служебный ОВ'!$C$3</definedName>
    <definedName name="EMPTY_list" localSheetId="20">'[5]Служебный АСУТП'!$D$2</definedName>
    <definedName name="EMPTY_list" localSheetId="80">'[6]Служебный АСУТП'!$D$2</definedName>
    <definedName name="EMPTY_list" localSheetId="6">'[4]Служебный АСУТП'!$D$2</definedName>
    <definedName name="EMPTY_list" localSheetId="14">'[7]Служебный АСУТП'!$D$2</definedName>
    <definedName name="EMPTY_list" localSheetId="4">'[3]Служебный АСУТП'!$D$2</definedName>
    <definedName name="EMPTY_list" localSheetId="21">'[5]Служебный АСУТП'!$D$2</definedName>
    <definedName name="EMPTY_list" localSheetId="79">'[6]Служебный АСУТП'!$D$2</definedName>
    <definedName name="EMPTY_list" localSheetId="5">'[8]Служебный АСУТП'!$D$2</definedName>
    <definedName name="EMPTY_list">'Служебный АСУТП'!$D$2</definedName>
    <definedName name="Expert">[2]!Таблица4[Специалисты]</definedName>
    <definedName name="Kasperesky_Industrial_Cybersecurity_for_Nodes">'Служебный АСУТП'!$E$2:$E$5</definedName>
    <definedName name="OP_AVZ" localSheetId="91">#REF!</definedName>
    <definedName name="OP_AVZ" localSheetId="20">'[5]Служебный ОП'!$E$2</definedName>
    <definedName name="OP_AVZ" localSheetId="4">#REF!</definedName>
    <definedName name="OP_AVZ" localSheetId="21">'[5]Служебный ОП'!$E$2</definedName>
    <definedName name="OP_AVZ" localSheetId="5">#REF!</definedName>
    <definedName name="OP_AVZ">#REF!</definedName>
    <definedName name="OP_AZ" localSheetId="91">#REF!</definedName>
    <definedName name="OP_AZ" localSheetId="20">'[5]Служебный ОП'!$J$2</definedName>
    <definedName name="OP_AZ" localSheetId="4">#REF!</definedName>
    <definedName name="OP_AZ" localSheetId="21">'[5]Служебный ОП'!$J$2</definedName>
    <definedName name="OP_AZ" localSheetId="5">#REF!</definedName>
    <definedName name="OP_AZ">#REF!</definedName>
    <definedName name="OP_DAM" localSheetId="91">#REF!</definedName>
    <definedName name="OP_DAM" localSheetId="20">'[5]Служебный ОП'!$O$2</definedName>
    <definedName name="OP_DAM" localSheetId="4">#REF!</definedName>
    <definedName name="OP_DAM" localSheetId="21">'[5]Служебный ОП'!$O$2</definedName>
    <definedName name="OP_DAM" localSheetId="5">#REF!</definedName>
    <definedName name="OP_DAM">#REF!</definedName>
    <definedName name="OP_IDS" localSheetId="91">#REF!</definedName>
    <definedName name="OP_IDS" localSheetId="20">'[5]Служебный ОП'!$L$2</definedName>
    <definedName name="OP_IDS" localSheetId="4">#REF!</definedName>
    <definedName name="OP_IDS" localSheetId="21">'[5]Служебный ОП'!$L$2</definedName>
    <definedName name="OP_IDS" localSheetId="5">#REF!</definedName>
    <definedName name="OP_IDS">#REF!</definedName>
    <definedName name="OP_MSE" localSheetId="91">#REF!</definedName>
    <definedName name="OP_MSE" localSheetId="20">'[5]Служебный ОП'!$G$2</definedName>
    <definedName name="OP_MSE" localSheetId="4">#REF!</definedName>
    <definedName name="OP_MSE" localSheetId="21">'[5]Служебный ОП'!$G$2</definedName>
    <definedName name="OP_MSE" localSheetId="5">#REF!</definedName>
    <definedName name="OP_MSE">#REF!</definedName>
    <definedName name="OP_NSD" localSheetId="91">#REF!</definedName>
    <definedName name="OP_NSD" localSheetId="20">'[5]Служебный ОП'!$M$2</definedName>
    <definedName name="OP_NSD" localSheetId="4">#REF!</definedName>
    <definedName name="OP_NSD" localSheetId="21">'[5]Служебный ОП'!$M$2</definedName>
    <definedName name="OP_NSD" localSheetId="5">#REF!</definedName>
    <definedName name="OP_NSD">#REF!</definedName>
    <definedName name="OP_PAM" localSheetId="91">#REF!</definedName>
    <definedName name="OP_PAM" localSheetId="20">'[5]Служебный ОП'!$H$2</definedName>
    <definedName name="OP_PAM" localSheetId="4">#REF!</definedName>
    <definedName name="OP_PAM" localSheetId="21">'[5]Служебный ОП'!$H$2</definedName>
    <definedName name="OP_PAM" localSheetId="5">#REF!</definedName>
    <definedName name="OP_PAM">#REF!</definedName>
    <definedName name="OP_RK" localSheetId="91">#REF!</definedName>
    <definedName name="OP_RK" localSheetId="20">'[5]Служебный ОП'!$K$2</definedName>
    <definedName name="OP_RK" localSheetId="4">#REF!</definedName>
    <definedName name="OP_RK" localSheetId="21">'[5]Служебный ОП'!$K$2</definedName>
    <definedName name="OP_RK" localSheetId="5">#REF!</definedName>
    <definedName name="OP_RK">#REF!</definedName>
    <definedName name="OP_SIEM" localSheetId="91">#REF!</definedName>
    <definedName name="OP_SIEM" localSheetId="20">'[5]Служебный ОП'!$F$2</definedName>
    <definedName name="OP_SIEM" localSheetId="4">#REF!</definedName>
    <definedName name="OP_SIEM" localSheetId="21">'[5]Служебный ОП'!$F$2</definedName>
    <definedName name="OP_SIEM" localSheetId="5">#REF!</definedName>
    <definedName name="OP_SIEM">#REF!</definedName>
    <definedName name="OP_SKZI" localSheetId="91">#REF!</definedName>
    <definedName name="OP_SKZI" localSheetId="20">'[5]Служебный ОП'!$I$2</definedName>
    <definedName name="OP_SKZI" localSheetId="4">#REF!</definedName>
    <definedName name="OP_SKZI" localSheetId="21">'[5]Служебный ОП'!$I$2</definedName>
    <definedName name="OP_SKZI" localSheetId="5">#REF!</definedName>
    <definedName name="OP_SKZI">#REF!</definedName>
    <definedName name="OP_SZV" localSheetId="91">#REF!</definedName>
    <definedName name="OP_SZV" localSheetId="20">'[5]Служебный ОП'!$P$2</definedName>
    <definedName name="OP_SZV" localSheetId="4">#REF!</definedName>
    <definedName name="OP_SZV" localSheetId="21">'[5]Служебный ОП'!$P$2</definedName>
    <definedName name="OP_SZV" localSheetId="5">#REF!</definedName>
    <definedName name="OP_SZV">#REF!</definedName>
    <definedName name="OP_WAF" localSheetId="91">#REF!</definedName>
    <definedName name="OP_WAF" localSheetId="20">'[5]Служебный ОП'!$N$2</definedName>
    <definedName name="OP_WAF" localSheetId="4">#REF!</definedName>
    <definedName name="OP_WAF" localSheetId="21">'[5]Служебный ОП'!$N$2</definedName>
    <definedName name="OP_WAF" localSheetId="5">#REF!</definedName>
    <definedName name="OP_WAF">#REF!</definedName>
    <definedName name="OV_APT" localSheetId="61">'[9]Служебный ОВ'!$V$10:$V$12</definedName>
    <definedName name="OV_APT" localSheetId="45">'[9]Служебный ОВ'!$V$10:$V$12</definedName>
    <definedName name="OV_APT" localSheetId="68">'[9]Служебный ОВ'!$V$10:$V$12</definedName>
    <definedName name="OV_APT" localSheetId="54">'[9]Служебный ОВ'!$V$10:$V$12</definedName>
    <definedName name="OV_APT" localSheetId="62">'[9]Служебный ОВ'!$V$10:$V$12</definedName>
    <definedName name="OV_APT" localSheetId="59">'[9]Служебный ОВ'!$V$10:$V$12</definedName>
    <definedName name="OV_APT" localSheetId="50">'[9]Служебный ОВ'!$V$10:$V$12</definedName>
    <definedName name="OV_APT" localSheetId="64">'[9]Служебный ОВ'!$V$10:$V$12</definedName>
    <definedName name="OV_APT" localSheetId="51">'[9]Служебный ОВ'!$V$10:$V$12</definedName>
    <definedName name="OV_APT" localSheetId="65">'[9]Служебный ОВ'!$V$10:$V$12</definedName>
    <definedName name="OV_APT" localSheetId="57">'[9]Служебный ОВ'!$V$10:$V$12</definedName>
    <definedName name="OV_APT" localSheetId="58">'[9]Служебный ОВ'!$V$10:$V$12</definedName>
    <definedName name="OV_APT" localSheetId="60">'[9]Служебный ОВ'!$V$10:$V$12</definedName>
    <definedName name="OV_APT" localSheetId="66">'[9]Служебный ОВ'!$V$10:$V$12</definedName>
    <definedName name="OV_APT" localSheetId="55">'[9]Служебный ОВ'!$V$10:$V$12</definedName>
    <definedName name="OV_APT" localSheetId="69">'[9]Служебный ОВ'!$V$10:$V$12</definedName>
    <definedName name="OV_APT" localSheetId="48">'[9]Служебный ОВ'!$V$10:$V$12</definedName>
    <definedName name="OV_APT" localSheetId="46">'[9]Служебный ОВ'!$V$10:$V$12</definedName>
    <definedName name="OV_APT" localSheetId="72">'[9]Служебный ОВ'!$V$10:$V$12</definedName>
    <definedName name="OV_APT" localSheetId="52">'[9]Служебный ОВ'!$V$10:$V$12</definedName>
    <definedName name="OV_APT" localSheetId="56">'[9]Служебный ОВ'!$V$10:$V$12</definedName>
    <definedName name="OV_APT" localSheetId="53">'[9]Служебный ОВ'!$V$10:$V$12</definedName>
    <definedName name="OV_APT" localSheetId="67">'[9]Служебный ОВ'!$V$10:$V$12</definedName>
    <definedName name="OV_APT" localSheetId="74">'[9]Служебный ОВ'!$V$10:$V$12</definedName>
    <definedName name="OV_APT" localSheetId="70">'[9]Служебный ОВ'!$V$10:$V$12</definedName>
    <definedName name="OV_APT" localSheetId="63">'[9]Служебный ОВ'!$V$10:$V$12</definedName>
    <definedName name="OV_APT" localSheetId="71">'[9]Служебный ОВ'!$V$10:$V$12</definedName>
    <definedName name="OV_APT" localSheetId="47">'[9]Служебный ОВ'!$V$10:$V$12</definedName>
    <definedName name="OV_APT" localSheetId="49">'[9]Служебный ОВ'!$V$10:$V$12</definedName>
    <definedName name="OV_APT" localSheetId="73">'[9]Служебный ОВ'!$V$10:$V$12</definedName>
    <definedName name="OV_APT">'Служебный ОВ'!$V$10:$V$12</definedName>
    <definedName name="OV_AVZ" localSheetId="61">'[9]Служебный ОВ'!$B$10:$B$17</definedName>
    <definedName name="OV_AVZ" localSheetId="45">'[9]Служебный ОВ'!$B$10:$B$17</definedName>
    <definedName name="OV_AVZ" localSheetId="68">'[9]Служебный ОВ'!$B$10:$B$17</definedName>
    <definedName name="OV_AVZ" localSheetId="54">'[9]Служебный ОВ'!$B$10:$B$17</definedName>
    <definedName name="OV_AVZ" localSheetId="62">'[9]Служебный ОВ'!$B$10:$B$17</definedName>
    <definedName name="OV_AVZ" localSheetId="59">'[9]Служебный ОВ'!$B$10:$B$17</definedName>
    <definedName name="OV_AVZ" localSheetId="50">'[9]Служебный ОВ'!$B$10:$B$17</definedName>
    <definedName name="OV_AVZ" localSheetId="64">'[9]Служебный ОВ'!$B$10:$B$17</definedName>
    <definedName name="OV_AVZ" localSheetId="51">'[9]Служебный ОВ'!$B$10:$B$17</definedName>
    <definedName name="OV_AVZ" localSheetId="65">'[9]Служебный ОВ'!$B$10:$B$17</definedName>
    <definedName name="OV_AVZ" localSheetId="57">'[9]Служебный ОВ'!$B$10:$B$17</definedName>
    <definedName name="OV_AVZ" localSheetId="58">'[9]Служебный ОВ'!$B$10:$B$17</definedName>
    <definedName name="OV_AVZ" localSheetId="60">'[9]Служебный ОВ'!$B$10:$B$17</definedName>
    <definedName name="OV_AVZ" localSheetId="66">'[9]Служебный ОВ'!$B$10:$B$17</definedName>
    <definedName name="OV_AVZ" localSheetId="55">'[9]Служебный ОВ'!$B$10:$B$17</definedName>
    <definedName name="OV_AVZ" localSheetId="69">'[9]Служебный ОВ'!$B$10:$B$17</definedName>
    <definedName name="OV_AVZ" localSheetId="48">'[9]Служебный ОВ'!$B$10:$B$17</definedName>
    <definedName name="OV_AVZ" localSheetId="46">'[9]Служебный ОВ'!$B$10:$B$17</definedName>
    <definedName name="OV_AVZ" localSheetId="72">'[9]Служебный ОВ'!$B$10:$B$17</definedName>
    <definedName name="OV_AVZ" localSheetId="52">'[9]Служебный ОВ'!$B$10:$B$17</definedName>
    <definedName name="OV_AVZ" localSheetId="56">'[9]Служебный ОВ'!$B$10:$B$17</definedName>
    <definedName name="OV_AVZ" localSheetId="53">'[9]Служебный ОВ'!$B$10:$B$17</definedName>
    <definedName name="OV_AVZ" localSheetId="67">'[9]Служебный ОВ'!$B$10:$B$17</definedName>
    <definedName name="OV_AVZ" localSheetId="74">'[9]Служебный ОВ'!$B$10:$B$17</definedName>
    <definedName name="OV_AVZ" localSheetId="70">'[9]Служебный ОВ'!$B$10:$B$17</definedName>
    <definedName name="OV_AVZ" localSheetId="63">'[9]Служебный ОВ'!$B$10:$B$17</definedName>
    <definedName name="OV_AVZ" localSheetId="71">'[9]Служебный ОВ'!$B$10:$B$17</definedName>
    <definedName name="OV_AVZ" localSheetId="47">'[9]Служебный ОВ'!$B$10:$B$17</definedName>
    <definedName name="OV_AVZ" localSheetId="49">'[9]Служебный ОВ'!$B$10:$B$17</definedName>
    <definedName name="OV_AVZ" localSheetId="73">'[9]Служебный ОВ'!$B$10:$B$17</definedName>
    <definedName name="OV_AVZ">'Служебный ОВ'!$B$10:$B$17</definedName>
    <definedName name="OV_AZ" localSheetId="61">'[9]Служебный ОВ'!$D$10:$D$15</definedName>
    <definedName name="OV_AZ" localSheetId="45">'[9]Служебный ОВ'!$D$10:$D$15</definedName>
    <definedName name="OV_AZ" localSheetId="68">'[9]Служебный ОВ'!$D$10:$D$15</definedName>
    <definedName name="OV_AZ" localSheetId="54">'[9]Служебный ОВ'!$D$10:$D$15</definedName>
    <definedName name="OV_AZ" localSheetId="62">'[9]Служебный ОВ'!$D$10:$D$15</definedName>
    <definedName name="OV_AZ" localSheetId="59">'[9]Служебный ОВ'!$D$10:$D$15</definedName>
    <definedName name="OV_AZ" localSheetId="50">'[9]Служебный ОВ'!$D$10:$D$15</definedName>
    <definedName name="OV_AZ" localSheetId="64">'[9]Служебный ОВ'!$D$10:$D$15</definedName>
    <definedName name="OV_AZ" localSheetId="51">'[9]Служебный ОВ'!$D$10:$D$15</definedName>
    <definedName name="OV_AZ" localSheetId="65">'[9]Служебный ОВ'!$D$10:$D$15</definedName>
    <definedName name="OV_AZ" localSheetId="57">'[9]Служебный ОВ'!$D$10:$D$15</definedName>
    <definedName name="OV_AZ" localSheetId="58">'[9]Служебный ОВ'!$D$10:$D$15</definedName>
    <definedName name="OV_AZ" localSheetId="60">'[9]Служебный ОВ'!$D$10:$D$15</definedName>
    <definedName name="OV_AZ" localSheetId="66">'[9]Служебный ОВ'!$D$10:$D$15</definedName>
    <definedName name="OV_AZ" localSheetId="55">'[9]Служебный ОВ'!$D$10:$D$15</definedName>
    <definedName name="OV_AZ" localSheetId="69">'[9]Служебный ОВ'!$D$10:$D$15</definedName>
    <definedName name="OV_AZ" localSheetId="48">'[9]Служебный ОВ'!$D$10:$D$15</definedName>
    <definedName name="OV_AZ" localSheetId="46">'[9]Служебный ОВ'!$D$10:$D$15</definedName>
    <definedName name="OV_AZ" localSheetId="72">'[9]Служебный ОВ'!$D$10:$D$15</definedName>
    <definedName name="OV_AZ" localSheetId="52">'[9]Служебный ОВ'!$D$10:$D$15</definedName>
    <definedName name="OV_AZ" localSheetId="56">'[9]Служебный ОВ'!$D$10:$D$15</definedName>
    <definedName name="OV_AZ" localSheetId="53">'[9]Служебный ОВ'!$D$10:$D$15</definedName>
    <definedName name="OV_AZ" localSheetId="67">'[9]Служебный ОВ'!$D$10:$D$15</definedName>
    <definedName name="OV_AZ" localSheetId="74">'[9]Служебный ОВ'!$D$10:$D$15</definedName>
    <definedName name="OV_AZ" localSheetId="70">'[9]Служебный ОВ'!$D$10:$D$15</definedName>
    <definedName name="OV_AZ" localSheetId="63">'[9]Служебный ОВ'!$D$10:$D$15</definedName>
    <definedName name="OV_AZ" localSheetId="71">'[9]Служебный ОВ'!$D$10:$D$15</definedName>
    <definedName name="OV_AZ" localSheetId="47">'[9]Служебный ОВ'!$D$10:$D$15</definedName>
    <definedName name="OV_AZ" localSheetId="49">'[9]Служебный ОВ'!$D$10:$D$15</definedName>
    <definedName name="OV_AZ" localSheetId="73">'[9]Служебный ОВ'!$D$10:$D$15</definedName>
    <definedName name="OV_AZ">'Служебный ОВ'!$D$10:$D$15</definedName>
    <definedName name="OV_Config" localSheetId="61">'[9]Служебный ОВ'!$S$10</definedName>
    <definedName name="OV_Config" localSheetId="45">'[9]Служебный ОВ'!$S$10</definedName>
    <definedName name="OV_Config" localSheetId="68">'[9]Служебный ОВ'!$S$10</definedName>
    <definedName name="OV_Config" localSheetId="54">'[9]Служебный ОВ'!$S$10</definedName>
    <definedName name="OV_Config" localSheetId="62">'[9]Служебный ОВ'!$S$10</definedName>
    <definedName name="OV_Config" localSheetId="59">'[9]Служебный ОВ'!$S$10</definedName>
    <definedName name="OV_Config" localSheetId="50">'[9]Служебный ОВ'!$S$10</definedName>
    <definedName name="OV_Config" localSheetId="64">'[9]Служебный ОВ'!$S$10</definedName>
    <definedName name="OV_Config" localSheetId="51">'[9]Служебный ОВ'!$S$10</definedName>
    <definedName name="OV_Config" localSheetId="65">'[9]Служебный ОВ'!$S$10</definedName>
    <definedName name="OV_Config" localSheetId="57">'[9]Служебный ОВ'!$S$10</definedName>
    <definedName name="OV_Config" localSheetId="58">'[9]Служебный ОВ'!$S$10</definedName>
    <definedName name="OV_Config" localSheetId="60">'[9]Служебный ОВ'!$S$10</definedName>
    <definedName name="OV_Config" localSheetId="66">'[9]Служебный ОВ'!$S$10</definedName>
    <definedName name="OV_Config" localSheetId="55">'[9]Служебный ОВ'!$S$10</definedName>
    <definedName name="OV_Config" localSheetId="69">'[9]Служебный ОВ'!$S$10</definedName>
    <definedName name="OV_Config" localSheetId="48">'[9]Служебный ОВ'!$S$10</definedName>
    <definedName name="OV_Config" localSheetId="46">'[9]Служебный ОВ'!$S$10</definedName>
    <definedName name="OV_Config" localSheetId="72">'[9]Служебный ОВ'!$S$10</definedName>
    <definedName name="OV_Config" localSheetId="52">'[9]Служебный ОВ'!$S$10</definedName>
    <definedName name="OV_Config" localSheetId="56">'[9]Служебный ОВ'!$S$10</definedName>
    <definedName name="OV_Config" localSheetId="53">'[9]Служебный ОВ'!$S$10</definedName>
    <definedName name="OV_Config" localSheetId="67">'[9]Служебный ОВ'!$S$10</definedName>
    <definedName name="OV_Config" localSheetId="74">'[9]Служебный ОВ'!$S$10</definedName>
    <definedName name="OV_Config" localSheetId="70">'[9]Служебный ОВ'!$S$10</definedName>
    <definedName name="OV_Config" localSheetId="63">'[9]Служебный ОВ'!$S$10</definedName>
    <definedName name="OV_Config" localSheetId="71">'[9]Служебный ОВ'!$S$10</definedName>
    <definedName name="OV_Config" localSheetId="47">'[9]Служебный ОВ'!$S$10</definedName>
    <definedName name="OV_Config" localSheetId="49">'[9]Служебный ОВ'!$S$10</definedName>
    <definedName name="OV_Config" localSheetId="73">'[9]Служебный ОВ'!$S$10</definedName>
    <definedName name="OV_Config">'Служебный ОВ'!$S$10</definedName>
    <definedName name="OV_DCAP" localSheetId="61">'[9]Служебный ОВ'!$P$10:$P$12</definedName>
    <definedName name="OV_DCAP" localSheetId="45">'[9]Служебный ОВ'!$P$10:$P$12</definedName>
    <definedName name="OV_DCAP" localSheetId="68">'[9]Служебный ОВ'!$P$10:$P$12</definedName>
    <definedName name="OV_DCAP" localSheetId="54">'[9]Служебный ОВ'!$P$10:$P$12</definedName>
    <definedName name="OV_DCAP" localSheetId="62">'[9]Служебный ОВ'!$P$10:$P$12</definedName>
    <definedName name="OV_DCAP" localSheetId="59">'[9]Служебный ОВ'!$P$10:$P$12</definedName>
    <definedName name="OV_DCAP" localSheetId="50">'[9]Служебный ОВ'!$P$10:$P$12</definedName>
    <definedName name="OV_DCAP" localSheetId="64">'[9]Служебный ОВ'!$P$10:$P$12</definedName>
    <definedName name="OV_DCAP" localSheetId="51">'[9]Служебный ОВ'!$P$10:$P$12</definedName>
    <definedName name="OV_DCAP" localSheetId="65">'[9]Служебный ОВ'!$P$10:$P$12</definedName>
    <definedName name="OV_DCAP" localSheetId="57">'[9]Служебный ОВ'!$P$10:$P$12</definedName>
    <definedName name="OV_DCAP" localSheetId="58">'[9]Служебный ОВ'!$P$10:$P$12</definedName>
    <definedName name="OV_DCAP" localSheetId="60">'[9]Служебный ОВ'!$P$10:$P$12</definedName>
    <definedName name="OV_DCAP" localSheetId="66">'[9]Служебный ОВ'!$P$10:$P$12</definedName>
    <definedName name="OV_DCAP" localSheetId="55">'[9]Служебный ОВ'!$P$10:$P$12</definedName>
    <definedName name="OV_DCAP" localSheetId="69">'[9]Служебный ОВ'!$P$10:$P$12</definedName>
    <definedName name="OV_DCAP" localSheetId="48">'[9]Служебный ОВ'!$P$10:$P$12</definedName>
    <definedName name="OV_DCAP" localSheetId="46">'[9]Служебный ОВ'!$P$10:$P$12</definedName>
    <definedName name="OV_DCAP" localSheetId="72">'[9]Служебный ОВ'!$P$10:$P$12</definedName>
    <definedName name="OV_DCAP" localSheetId="52">'[9]Служебный ОВ'!$P$10:$P$12</definedName>
    <definedName name="OV_DCAP" localSheetId="56">'[9]Служебный ОВ'!$P$10:$P$12</definedName>
    <definedName name="OV_DCAP" localSheetId="53">'[9]Служебный ОВ'!$P$10:$P$12</definedName>
    <definedName name="OV_DCAP" localSheetId="67">'[9]Служебный ОВ'!$P$10:$P$12</definedName>
    <definedName name="OV_DCAP" localSheetId="74">'[9]Служебный ОВ'!$P$10:$P$12</definedName>
    <definedName name="OV_DCAP" localSheetId="70">'[9]Служебный ОВ'!$P$10:$P$12</definedName>
    <definedName name="OV_DCAP" localSheetId="63">'[9]Служебный ОВ'!$P$10:$P$12</definedName>
    <definedName name="OV_DCAP" localSheetId="71">'[9]Служебный ОВ'!$P$10:$P$12</definedName>
    <definedName name="OV_DCAP" localSheetId="47">'[9]Служебный ОВ'!$P$10:$P$12</definedName>
    <definedName name="OV_DCAP" localSheetId="49">'[9]Служебный ОВ'!$P$10:$P$12</definedName>
    <definedName name="OV_DCAP" localSheetId="73">'[9]Служебный ОВ'!$P$10:$P$12</definedName>
    <definedName name="OV_DCAP">'Служебный ОВ'!$P$10:$P$12</definedName>
    <definedName name="OV_DIODE" localSheetId="61">'[9]Служебный ОВ'!$I$10:$I$13</definedName>
    <definedName name="OV_DIODE" localSheetId="45">'[9]Служебный ОВ'!$I$10:$I$13</definedName>
    <definedName name="OV_DIODE" localSheetId="68">'[9]Служебный ОВ'!$I$10:$I$13</definedName>
    <definedName name="OV_DIODE" localSheetId="54">'[9]Служебный ОВ'!$I$10:$I$13</definedName>
    <definedName name="OV_DIODE" localSheetId="62">'[9]Служебный ОВ'!$I$10:$I$13</definedName>
    <definedName name="OV_DIODE" localSheetId="59">'[9]Служебный ОВ'!$I$10:$I$13</definedName>
    <definedName name="OV_DIODE" localSheetId="50">'[9]Служебный ОВ'!$I$10:$I$13</definedName>
    <definedName name="OV_DIODE" localSheetId="64">'[9]Служебный ОВ'!$I$10:$I$13</definedName>
    <definedName name="OV_DIODE" localSheetId="51">'[9]Служебный ОВ'!$I$10:$I$13</definedName>
    <definedName name="OV_DIODE" localSheetId="65">'[9]Служебный ОВ'!$I$10:$I$13</definedName>
    <definedName name="OV_DIODE" localSheetId="57">'[9]Служебный ОВ'!$I$10:$I$13</definedName>
    <definedName name="OV_DIODE" localSheetId="58">'[9]Служебный ОВ'!$I$10:$I$13</definedName>
    <definedName name="OV_DIODE" localSheetId="60">'[9]Служебный ОВ'!$I$10:$I$13</definedName>
    <definedName name="OV_DIODE" localSheetId="66">'[9]Служебный ОВ'!$I$10:$I$13</definedName>
    <definedName name="OV_DIODE" localSheetId="55">'[9]Служебный ОВ'!$I$10:$I$13</definedName>
    <definedName name="OV_DIODE" localSheetId="69">'[9]Служебный ОВ'!$I$10:$I$13</definedName>
    <definedName name="OV_DIODE" localSheetId="48">'[9]Служебный ОВ'!$I$10:$I$13</definedName>
    <definedName name="OV_DIODE" localSheetId="46">'[9]Служебный ОВ'!$I$10:$I$13</definedName>
    <definedName name="OV_DIODE" localSheetId="72">'[9]Служебный ОВ'!$I$10:$I$13</definedName>
    <definedName name="OV_DIODE" localSheetId="52">'[9]Служебный ОВ'!$I$10:$I$13</definedName>
    <definedName name="OV_DIODE" localSheetId="56">'[9]Служебный ОВ'!$I$10:$I$13</definedName>
    <definedName name="OV_DIODE" localSheetId="53">'[9]Служебный ОВ'!$I$10:$I$13</definedName>
    <definedName name="OV_DIODE" localSheetId="67">'[9]Служебный ОВ'!$I$10:$I$13</definedName>
    <definedName name="OV_DIODE" localSheetId="74">'[9]Служебный ОВ'!$I$10:$I$13</definedName>
    <definedName name="OV_DIODE" localSheetId="70">'[9]Служебный ОВ'!$I$10:$I$13</definedName>
    <definedName name="OV_DIODE" localSheetId="63">'[9]Служебный ОВ'!$I$10:$I$13</definedName>
    <definedName name="OV_DIODE" localSheetId="71">'[9]Служебный ОВ'!$I$10:$I$13</definedName>
    <definedName name="OV_DIODE" localSheetId="47">'[9]Служебный ОВ'!$I$10:$I$13</definedName>
    <definedName name="OV_DIODE" localSheetId="49">'[9]Служебный ОВ'!$I$10:$I$13</definedName>
    <definedName name="OV_DIODE" localSheetId="73">'[9]Служебный ОВ'!$I$10:$I$13</definedName>
    <definedName name="OV_DIODE">'Служебный ОВ'!$I$10:$I$13</definedName>
    <definedName name="OV_EDR" localSheetId="61">'[9]Служебный ОВ'!$Y$10:$Y$11</definedName>
    <definedName name="OV_EDR" localSheetId="45">'[9]Служебный ОВ'!$Y$10:$Y$11</definedName>
    <definedName name="OV_EDR" localSheetId="68">'[9]Служебный ОВ'!$Y$10:$Y$11</definedName>
    <definedName name="OV_EDR" localSheetId="54">'[9]Служебный ОВ'!$Y$10:$Y$11</definedName>
    <definedName name="OV_EDR" localSheetId="62">'[9]Служебный ОВ'!$Y$10:$Y$11</definedName>
    <definedName name="OV_EDR" localSheetId="59">'[9]Служебный ОВ'!$Y$10:$Y$11</definedName>
    <definedName name="OV_EDR" localSheetId="50">'[9]Служебный ОВ'!$Y$10:$Y$11</definedName>
    <definedName name="OV_EDR" localSheetId="64">'[9]Служебный ОВ'!$Y$10:$Y$11</definedName>
    <definedName name="OV_EDR" localSheetId="51">'[9]Служебный ОВ'!$Y$10:$Y$11</definedName>
    <definedName name="OV_EDR" localSheetId="65">'[9]Служебный ОВ'!$Y$10:$Y$11</definedName>
    <definedName name="OV_EDR" localSheetId="57">'[9]Служебный ОВ'!$Y$10:$Y$11</definedName>
    <definedName name="OV_EDR" localSheetId="58">'[9]Служебный ОВ'!$Y$10:$Y$11</definedName>
    <definedName name="OV_EDR" localSheetId="60">'[9]Служебный ОВ'!$Y$10:$Y$11</definedName>
    <definedName name="OV_EDR" localSheetId="66">'[9]Служебный ОВ'!$Y$10:$Y$11</definedName>
    <definedName name="OV_EDR" localSheetId="55">'[9]Служебный ОВ'!$Y$10:$Y$11</definedName>
    <definedName name="OV_EDR" localSheetId="69">'[9]Служебный ОВ'!$Y$10:$Y$11</definedName>
    <definedName name="OV_EDR" localSheetId="48">'[9]Служебный ОВ'!$Y$10:$Y$11</definedName>
    <definedName name="OV_EDR" localSheetId="46">'[9]Служебный ОВ'!$Y$10:$Y$11</definedName>
    <definedName name="OV_EDR" localSheetId="72">'[9]Служебный ОВ'!$Y$10:$Y$11</definedName>
    <definedName name="OV_EDR" localSheetId="52">'[9]Служебный ОВ'!$Y$10:$Y$11</definedName>
    <definedName name="OV_EDR" localSheetId="56">'[9]Служебный ОВ'!$Y$10:$Y$11</definedName>
    <definedName name="OV_EDR" localSheetId="53">'[9]Служебный ОВ'!$Y$10:$Y$11</definedName>
    <definedName name="OV_EDR" localSheetId="67">'[9]Служебный ОВ'!$Y$10:$Y$11</definedName>
    <definedName name="OV_EDR" localSheetId="74">'[9]Служебный ОВ'!$Y$10:$Y$11</definedName>
    <definedName name="OV_EDR" localSheetId="70">'[9]Служебный ОВ'!$Y$10:$Y$11</definedName>
    <definedName name="OV_EDR" localSheetId="63">'[9]Служебный ОВ'!$Y$10:$Y$11</definedName>
    <definedName name="OV_EDR" localSheetId="71">'[9]Служебный ОВ'!$Y$10:$Y$11</definedName>
    <definedName name="OV_EDR" localSheetId="47">'[9]Служебный ОВ'!$Y$10:$Y$11</definedName>
    <definedName name="OV_EDR" localSheetId="49">'[9]Служебный ОВ'!$Y$10:$Y$11</definedName>
    <definedName name="OV_EDR" localSheetId="73">'[9]Служебный ОВ'!$Y$10:$Y$11</definedName>
    <definedName name="OV_EDR">'Служебный ОВ'!$Y$10:$Y$11</definedName>
    <definedName name="OV_Firewall" localSheetId="61">'[9]Служебный ОВ'!$A$10:$A$13</definedName>
    <definedName name="OV_Firewall" localSheetId="45">'[9]Служебный ОВ'!$A$10:$A$13</definedName>
    <definedName name="OV_Firewall" localSheetId="68">'[9]Служебный ОВ'!$A$10:$A$13</definedName>
    <definedName name="OV_Firewall" localSheetId="54">'[9]Служебный ОВ'!$A$10:$A$13</definedName>
    <definedName name="OV_Firewall" localSheetId="62">'[9]Служебный ОВ'!$A$10:$A$13</definedName>
    <definedName name="OV_Firewall" localSheetId="59">'[9]Служебный ОВ'!$A$10:$A$13</definedName>
    <definedName name="OV_Firewall" localSheetId="50">'[9]Служебный ОВ'!$A$10:$A$13</definedName>
    <definedName name="OV_Firewall" localSheetId="64">'[9]Служебный ОВ'!$A$10:$A$13</definedName>
    <definedName name="OV_Firewall" localSheetId="51">'[9]Служебный ОВ'!$A$10:$A$13</definedName>
    <definedName name="OV_Firewall" localSheetId="65">'[9]Служебный ОВ'!$A$10:$A$13</definedName>
    <definedName name="OV_Firewall" localSheetId="57">'[9]Служебный ОВ'!$A$10:$A$13</definedName>
    <definedName name="OV_Firewall" localSheetId="58">'[9]Служебный ОВ'!$A$10:$A$13</definedName>
    <definedName name="OV_Firewall" localSheetId="60">'[9]Служебный ОВ'!$A$10:$A$13</definedName>
    <definedName name="OV_Firewall" localSheetId="66">'[9]Служебный ОВ'!$A$10:$A$13</definedName>
    <definedName name="OV_Firewall" localSheetId="55">'[9]Служебный ОВ'!$A$10:$A$13</definedName>
    <definedName name="OV_Firewall" localSheetId="69">'[9]Служебный ОВ'!$A$10:$A$13</definedName>
    <definedName name="OV_Firewall" localSheetId="48">'[9]Служебный ОВ'!$A$10:$A$13</definedName>
    <definedName name="OV_Firewall" localSheetId="46">'[9]Служебный ОВ'!$A$10:$A$13</definedName>
    <definedName name="OV_Firewall" localSheetId="72">'[9]Служебный ОВ'!$A$10:$A$13</definedName>
    <definedName name="OV_Firewall" localSheetId="52">'[9]Служебный ОВ'!$A$10:$A$13</definedName>
    <definedName name="OV_Firewall" localSheetId="56">'[9]Служебный ОВ'!$A$10:$A$13</definedName>
    <definedName name="OV_Firewall" localSheetId="53">'[9]Служебный ОВ'!$A$10:$A$13</definedName>
    <definedName name="OV_Firewall" localSheetId="67">'[9]Служебный ОВ'!$A$10:$A$13</definedName>
    <definedName name="OV_Firewall" localSheetId="74">'[9]Служебный ОВ'!$A$10:$A$13</definedName>
    <definedName name="OV_Firewall" localSheetId="70">'[9]Служебный ОВ'!$A$10:$A$13</definedName>
    <definedName name="OV_Firewall" localSheetId="63">'[9]Служебный ОВ'!$A$10:$A$13</definedName>
    <definedName name="OV_Firewall" localSheetId="71">'[9]Служебный ОВ'!$A$10:$A$13</definedName>
    <definedName name="OV_Firewall" localSheetId="47">'[9]Служебный ОВ'!$A$10:$A$13</definedName>
    <definedName name="OV_Firewall" localSheetId="49">'[9]Служебный ОВ'!$A$10:$A$13</definedName>
    <definedName name="OV_Firewall" localSheetId="73">'[9]Служебный ОВ'!$A$10:$A$13</definedName>
    <definedName name="OV_Firewall">'Служебный ОВ'!$A$10:$A$13</definedName>
    <definedName name="OV_IDS\IPS" localSheetId="61">'[9]Служебный ОВ'!$H$10:$H$12</definedName>
    <definedName name="OV_IDS\IPS" localSheetId="45">'[9]Служебный ОВ'!$H$10:$H$12</definedName>
    <definedName name="OV_IDS\IPS" localSheetId="68">'[9]Служебный ОВ'!$H$10:$H$12</definedName>
    <definedName name="OV_IDS\IPS" localSheetId="54">'[9]Служебный ОВ'!$H$10:$H$12</definedName>
    <definedName name="OV_IDS\IPS" localSheetId="62">'[9]Служебный ОВ'!$H$10:$H$12</definedName>
    <definedName name="OV_IDS\IPS" localSheetId="59">'[9]Служебный ОВ'!$H$10:$H$12</definedName>
    <definedName name="OV_IDS\IPS" localSheetId="50">'[9]Служебный ОВ'!$H$10:$H$12</definedName>
    <definedName name="OV_IDS\IPS" localSheetId="64">'[9]Служебный ОВ'!$H$10:$H$12</definedName>
    <definedName name="OV_IDS\IPS" localSheetId="51">'[9]Служебный ОВ'!$H$10:$H$12</definedName>
    <definedName name="OV_IDS\IPS" localSheetId="65">'[9]Служебный ОВ'!$H$10:$H$12</definedName>
    <definedName name="OV_IDS\IPS" localSheetId="57">'[9]Служебный ОВ'!$H$10:$H$12</definedName>
    <definedName name="OV_IDS\IPS" localSheetId="58">'[9]Служебный ОВ'!$H$10:$H$12</definedName>
    <definedName name="OV_IDS\IPS" localSheetId="60">'[9]Служебный ОВ'!$H$10:$H$12</definedName>
    <definedName name="OV_IDS\IPS" localSheetId="66">'[9]Служебный ОВ'!$H$10:$H$12</definedName>
    <definedName name="OV_IDS\IPS" localSheetId="55">'[9]Служебный ОВ'!$H$10:$H$12</definedName>
    <definedName name="OV_IDS\IPS" localSheetId="69">'[9]Служебный ОВ'!$H$10:$H$12</definedName>
    <definedName name="OV_IDS\IPS" localSheetId="48">'[9]Служебный ОВ'!$H$10:$H$12</definedName>
    <definedName name="OV_IDS\IPS" localSheetId="46">'[9]Служебный ОВ'!$H$10:$H$12</definedName>
    <definedName name="OV_IDS\IPS" localSheetId="72">'[9]Служебный ОВ'!$H$10:$H$12</definedName>
    <definedName name="OV_IDS\IPS" localSheetId="52">'[9]Служебный ОВ'!$H$10:$H$12</definedName>
    <definedName name="OV_IDS\IPS" localSheetId="56">'[9]Служебный ОВ'!$H$10:$H$12</definedName>
    <definedName name="OV_IDS\IPS" localSheetId="53">'[9]Служебный ОВ'!$H$10:$H$12</definedName>
    <definedName name="OV_IDS\IPS" localSheetId="67">'[9]Служебный ОВ'!$H$10:$H$12</definedName>
    <definedName name="OV_IDS\IPS" localSheetId="74">'[9]Служебный ОВ'!$H$10:$H$12</definedName>
    <definedName name="OV_IDS\IPS" localSheetId="70">'[9]Служебный ОВ'!$H$10:$H$12</definedName>
    <definedName name="OV_IDS\IPS" localSheetId="63">'[9]Служебный ОВ'!$H$10:$H$12</definedName>
    <definedName name="OV_IDS\IPS" localSheetId="71">'[9]Служебный ОВ'!$H$10:$H$12</definedName>
    <definedName name="OV_IDS\IPS" localSheetId="47">'[9]Служебный ОВ'!$H$10:$H$12</definedName>
    <definedName name="OV_IDS\IPS" localSheetId="49">'[9]Служебный ОВ'!$H$10:$H$12</definedName>
    <definedName name="OV_IDS\IPS" localSheetId="73">'[9]Служебный ОВ'!$H$10:$H$12</definedName>
    <definedName name="OV_IDS\IPS">'Служебный ОВ'!$H$10:$H$12</definedName>
    <definedName name="OV_MFA" localSheetId="61">'[9]Служебный ОВ'!$Q$10:$Q$13</definedName>
    <definedName name="OV_MFA" localSheetId="45">'[9]Служебный ОВ'!$Q$10:$Q$13</definedName>
    <definedName name="OV_MFA" localSheetId="68">'[9]Служебный ОВ'!$Q$10:$Q$13</definedName>
    <definedName name="OV_MFA" localSheetId="54">'[9]Служебный ОВ'!$Q$10:$Q$13</definedName>
    <definedName name="OV_MFA" localSheetId="62">'[9]Служебный ОВ'!$Q$10:$Q$13</definedName>
    <definedName name="OV_MFA" localSheetId="59">'[9]Служебный ОВ'!$Q$10:$Q$13</definedName>
    <definedName name="OV_MFA" localSheetId="50">'[9]Служебный ОВ'!$Q$10:$Q$13</definedName>
    <definedName name="OV_MFA" localSheetId="64">'[9]Служебный ОВ'!$Q$10:$Q$13</definedName>
    <definedName name="OV_MFA" localSheetId="51">'[9]Служебный ОВ'!$Q$10:$Q$13</definedName>
    <definedName name="OV_MFA" localSheetId="65">'[9]Служебный ОВ'!$Q$10:$Q$13</definedName>
    <definedName name="OV_MFA" localSheetId="57">'[9]Служебный ОВ'!$Q$10:$Q$13</definedName>
    <definedName name="OV_MFA" localSheetId="58">'[9]Служебный ОВ'!$Q$10:$Q$13</definedName>
    <definedName name="OV_MFA" localSheetId="60">'[9]Служебный ОВ'!$Q$10:$Q$13</definedName>
    <definedName name="OV_MFA" localSheetId="66">'[9]Служебный ОВ'!$Q$10:$Q$13</definedName>
    <definedName name="OV_MFA" localSheetId="55">'[9]Служебный ОВ'!$Q$10:$Q$13</definedName>
    <definedName name="OV_MFA" localSheetId="69">'[9]Служебный ОВ'!$Q$10:$Q$13</definedName>
    <definedName name="OV_MFA" localSheetId="48">'[9]Служебный ОВ'!$Q$10:$Q$13</definedName>
    <definedName name="OV_MFA" localSheetId="46">'[9]Служебный ОВ'!$Q$10:$Q$13</definedName>
    <definedName name="OV_MFA" localSheetId="72">'[9]Служебный ОВ'!$Q$10:$Q$13</definedName>
    <definedName name="OV_MFA" localSheetId="52">'[9]Служебный ОВ'!$Q$10:$Q$13</definedName>
    <definedName name="OV_MFA" localSheetId="56">'[9]Служебный ОВ'!$Q$10:$Q$13</definedName>
    <definedName name="OV_MFA" localSheetId="53">'[9]Служебный ОВ'!$Q$10:$Q$13</definedName>
    <definedName name="OV_MFA" localSheetId="67">'[9]Служебный ОВ'!$Q$10:$Q$13</definedName>
    <definedName name="OV_MFA" localSheetId="74">'[9]Служебный ОВ'!$Q$10:$Q$13</definedName>
    <definedName name="OV_MFA" localSheetId="70">'[9]Служебный ОВ'!$Q$10:$Q$13</definedName>
    <definedName name="OV_MFA" localSheetId="63">'[9]Служебный ОВ'!$Q$10:$Q$13</definedName>
    <definedName name="OV_MFA" localSheetId="71">'[9]Служебный ОВ'!$Q$10:$Q$13</definedName>
    <definedName name="OV_MFA" localSheetId="47">'[9]Служебный ОВ'!$Q$10:$Q$13</definedName>
    <definedName name="OV_MFA" localSheetId="49">'[9]Служебный ОВ'!$Q$10:$Q$13</definedName>
    <definedName name="OV_MFA" localSheetId="73">'[9]Служебный ОВ'!$Q$10:$Q$13</definedName>
    <definedName name="OV_MFA">'Служебный ОВ'!$Q$10:$Q$13</definedName>
    <definedName name="OV_NAC" localSheetId="61">'[9]Служебный ОВ'!$W$10</definedName>
    <definedName name="OV_NAC" localSheetId="45">'[9]Служебный ОВ'!$W$10</definedName>
    <definedName name="OV_NAC" localSheetId="68">'[9]Служебный ОВ'!$W$10</definedName>
    <definedName name="OV_NAC" localSheetId="54">'[9]Служебный ОВ'!$W$10</definedName>
    <definedName name="OV_NAC" localSheetId="62">'[9]Служебный ОВ'!$W$10</definedName>
    <definedName name="OV_NAC" localSheetId="59">'[9]Служебный ОВ'!$W$10</definedName>
    <definedName name="OV_NAC" localSheetId="50">'[9]Служебный ОВ'!$W$10</definedName>
    <definedName name="OV_NAC" localSheetId="64">'[9]Служебный ОВ'!$W$10</definedName>
    <definedName name="OV_NAC" localSheetId="51">'[9]Служебный ОВ'!$W$10</definedName>
    <definedName name="OV_NAC" localSheetId="65">'[9]Служебный ОВ'!$W$10</definedName>
    <definedName name="OV_NAC" localSheetId="57">'[9]Служебный ОВ'!$W$10</definedName>
    <definedName name="OV_NAC" localSheetId="58">'[9]Служебный ОВ'!$W$10</definedName>
    <definedName name="OV_NAC" localSheetId="60">'[9]Служебный ОВ'!$W$10</definedName>
    <definedName name="OV_NAC" localSheetId="66">'[9]Служебный ОВ'!$W$10</definedName>
    <definedName name="OV_NAC" localSheetId="55">'[9]Служебный ОВ'!$W$10</definedName>
    <definedName name="OV_NAC" localSheetId="69">'[9]Служебный ОВ'!$W$10</definedName>
    <definedName name="OV_NAC" localSheetId="48">'[9]Служебный ОВ'!$W$10</definedName>
    <definedName name="OV_NAC" localSheetId="46">'[9]Служебный ОВ'!$W$10</definedName>
    <definedName name="OV_NAC" localSheetId="72">'[9]Служебный ОВ'!$W$10</definedName>
    <definedName name="OV_NAC" localSheetId="52">'[9]Служебный ОВ'!$W$10</definedName>
    <definedName name="OV_NAC" localSheetId="56">'[9]Служебный ОВ'!$W$10</definedName>
    <definedName name="OV_NAC" localSheetId="53">'[9]Служебный ОВ'!$W$10</definedName>
    <definedName name="OV_NAC" localSheetId="67">'[9]Служебный ОВ'!$W$10</definedName>
    <definedName name="OV_NAC" localSheetId="74">'[9]Служебный ОВ'!$W$10</definedName>
    <definedName name="OV_NAC" localSheetId="70">'[9]Служебный ОВ'!$W$10</definedName>
    <definedName name="OV_NAC" localSheetId="63">'[9]Служебный ОВ'!$W$10</definedName>
    <definedName name="OV_NAC" localSheetId="71">'[9]Служебный ОВ'!$W$10</definedName>
    <definedName name="OV_NAC" localSheetId="47">'[9]Служебный ОВ'!$W$10</definedName>
    <definedName name="OV_NAC" localSheetId="49">'[9]Служебный ОВ'!$W$10</definedName>
    <definedName name="OV_NAC" localSheetId="73">'[9]Служебный ОВ'!$W$10</definedName>
    <definedName name="OV_NAC">'Служебный ОВ'!$W$10</definedName>
    <definedName name="OV_NSD" localSheetId="61">'[9]Служебный ОВ'!$F$10:$F$14</definedName>
    <definedName name="OV_NSD" localSheetId="45">'[9]Служебный ОВ'!$F$10:$F$14</definedName>
    <definedName name="OV_NSD" localSheetId="68">'[9]Служебный ОВ'!$F$10:$F$14</definedName>
    <definedName name="OV_NSD" localSheetId="54">'[9]Служебный ОВ'!$F$10:$F$14</definedName>
    <definedName name="OV_NSD" localSheetId="62">'[9]Служебный ОВ'!$F$10:$F$14</definedName>
    <definedName name="OV_NSD" localSheetId="59">'[9]Служебный ОВ'!$F$10:$F$14</definedName>
    <definedName name="OV_NSD" localSheetId="50">'[9]Служебный ОВ'!$F$10:$F$14</definedName>
    <definedName name="OV_NSD" localSheetId="64">'[9]Служебный ОВ'!$F$10:$F$14</definedName>
    <definedName name="OV_NSD" localSheetId="51">'[9]Служебный ОВ'!$F$10:$F$14</definedName>
    <definedName name="OV_NSD" localSheetId="65">'[9]Служебный ОВ'!$F$10:$F$14</definedName>
    <definedName name="OV_NSD" localSheetId="57">'[9]Служебный ОВ'!$F$10:$F$14</definedName>
    <definedName name="OV_NSD" localSheetId="58">'[9]Служебный ОВ'!$F$10:$F$14</definedName>
    <definedName name="OV_NSD" localSheetId="60">'[9]Служебный ОВ'!$F$10:$F$14</definedName>
    <definedName name="OV_NSD" localSheetId="66">'[9]Служебный ОВ'!$F$10:$F$14</definedName>
    <definedName name="OV_NSD" localSheetId="55">'[9]Служебный ОВ'!$F$10:$F$14</definedName>
    <definedName name="OV_NSD" localSheetId="69">'[9]Служебный ОВ'!$F$10:$F$14</definedName>
    <definedName name="OV_NSD" localSheetId="48">'[9]Служебный ОВ'!$F$10:$F$14</definedName>
    <definedName name="OV_NSD" localSheetId="46">'[9]Служебный ОВ'!$F$10:$F$14</definedName>
    <definedName name="OV_NSD" localSheetId="72">'[9]Служебный ОВ'!$F$10:$F$14</definedName>
    <definedName name="OV_NSD" localSheetId="52">'[9]Служебный ОВ'!$F$10:$F$14</definedName>
    <definedName name="OV_NSD" localSheetId="56">'[9]Служебный ОВ'!$F$10:$F$14</definedName>
    <definedName name="OV_NSD" localSheetId="53">'[9]Служебный ОВ'!$F$10:$F$14</definedName>
    <definedName name="OV_NSD" localSheetId="67">'[9]Служебный ОВ'!$F$10:$F$14</definedName>
    <definedName name="OV_NSD" localSheetId="74">'[9]Служебный ОВ'!$F$10:$F$14</definedName>
    <definedName name="OV_NSD" localSheetId="70">'[9]Служебный ОВ'!$F$10:$F$14</definedName>
    <definedName name="OV_NSD" localSheetId="63">'[9]Служебный ОВ'!$F$10:$F$14</definedName>
    <definedName name="OV_NSD" localSheetId="71">'[9]Служебный ОВ'!$F$10:$F$14</definedName>
    <definedName name="OV_NSD" localSheetId="47">'[9]Служебный ОВ'!$F$10:$F$14</definedName>
    <definedName name="OV_NSD" localSheetId="49">'[9]Служебный ОВ'!$F$10:$F$14</definedName>
    <definedName name="OV_NSD" localSheetId="73">'[9]Служебный ОВ'!$F$10:$F$14</definedName>
    <definedName name="OV_NSD">'Служебный ОВ'!$F$10:$F$14</definedName>
    <definedName name="OV_NTA" localSheetId="61">'[9]Служебный ОВ'!$R$10:$R$13</definedName>
    <definedName name="OV_NTA" localSheetId="45">'[9]Служебный ОВ'!$R$10:$R$13</definedName>
    <definedName name="OV_NTA" localSheetId="68">'[9]Служебный ОВ'!$R$10:$R$13</definedName>
    <definedName name="OV_NTA" localSheetId="54">'[9]Служебный ОВ'!$R$10:$R$13</definedName>
    <definedName name="OV_NTA" localSheetId="62">'[9]Служебный ОВ'!$R$10:$R$13</definedName>
    <definedName name="OV_NTA" localSheetId="59">'[9]Служебный ОВ'!$R$10:$R$13</definedName>
    <definedName name="OV_NTA" localSheetId="50">'[9]Служебный ОВ'!$R$10:$R$13</definedName>
    <definedName name="OV_NTA" localSheetId="64">'[9]Служебный ОВ'!$R$10:$R$13</definedName>
    <definedName name="OV_NTA" localSheetId="51">'[9]Служебный ОВ'!$R$10:$R$13</definedName>
    <definedName name="OV_NTA" localSheetId="65">'[9]Служебный ОВ'!$R$10:$R$13</definedName>
    <definedName name="OV_NTA" localSheetId="57">'[9]Служебный ОВ'!$R$10:$R$13</definedName>
    <definedName name="OV_NTA" localSheetId="58">'[9]Служебный ОВ'!$R$10:$R$13</definedName>
    <definedName name="OV_NTA" localSheetId="60">'[9]Служебный ОВ'!$R$10:$R$13</definedName>
    <definedName name="OV_NTA" localSheetId="66">'[9]Служебный ОВ'!$R$10:$R$13</definedName>
    <definedName name="OV_NTA" localSheetId="55">'[9]Служебный ОВ'!$R$10:$R$13</definedName>
    <definedName name="OV_NTA" localSheetId="69">'[9]Служебный ОВ'!$R$10:$R$13</definedName>
    <definedName name="OV_NTA" localSheetId="48">'[9]Служебный ОВ'!$R$10:$R$13</definedName>
    <definedName name="OV_NTA" localSheetId="46">'[9]Служебный ОВ'!$R$10:$R$13</definedName>
    <definedName name="OV_NTA" localSheetId="72">'[9]Служебный ОВ'!$R$10:$R$13</definedName>
    <definedName name="OV_NTA" localSheetId="52">'[9]Служебный ОВ'!$R$10:$R$13</definedName>
    <definedName name="OV_NTA" localSheetId="56">'[9]Служебный ОВ'!$R$10:$R$13</definedName>
    <definedName name="OV_NTA" localSheetId="53">'[9]Служебный ОВ'!$R$10:$R$13</definedName>
    <definedName name="OV_NTA" localSheetId="67">'[9]Служебный ОВ'!$R$10:$R$13</definedName>
    <definedName name="OV_NTA" localSheetId="74">'[9]Служебный ОВ'!$R$10:$R$13</definedName>
    <definedName name="OV_NTA" localSheetId="70">'[9]Служебный ОВ'!$R$10:$R$13</definedName>
    <definedName name="OV_NTA" localSheetId="63">'[9]Служебный ОВ'!$R$10:$R$13</definedName>
    <definedName name="OV_NTA" localSheetId="71">'[9]Служебный ОВ'!$R$10:$R$13</definedName>
    <definedName name="OV_NTA" localSheetId="47">'[9]Служебный ОВ'!$R$10:$R$13</definedName>
    <definedName name="OV_NTA" localSheetId="49">'[9]Служебный ОВ'!$R$10:$R$13</definedName>
    <definedName name="OV_NTA" localSheetId="73">'[9]Служебный ОВ'!$R$10:$R$13</definedName>
    <definedName name="OV_NTA">'Служебный ОВ'!$R$10:$R$13</definedName>
    <definedName name="OV_PUM" localSheetId="61">'[9]Служебный ОВ'!$M$10:$M$12</definedName>
    <definedName name="OV_PUM" localSheetId="45">'[9]Служебный ОВ'!$M$10:$M$12</definedName>
    <definedName name="OV_PUM" localSheetId="68">'[9]Служебный ОВ'!$M$10:$M$12</definedName>
    <definedName name="OV_PUM" localSheetId="54">'[9]Служебный ОВ'!$M$10:$M$12</definedName>
    <definedName name="OV_PUM" localSheetId="62">'[9]Служебный ОВ'!$M$10:$M$12</definedName>
    <definedName name="OV_PUM" localSheetId="59">'[9]Служебный ОВ'!$M$10:$M$12</definedName>
    <definedName name="OV_PUM" localSheetId="50">'[9]Служебный ОВ'!$M$10:$M$12</definedName>
    <definedName name="OV_PUM" localSheetId="64">'[9]Служебный ОВ'!$M$10:$M$12</definedName>
    <definedName name="OV_PUM" localSheetId="51">'[9]Служебный ОВ'!$M$10:$M$12</definedName>
    <definedName name="OV_PUM" localSheetId="65">'[9]Служебный ОВ'!$M$10:$M$12</definedName>
    <definedName name="OV_PUM" localSheetId="57">'[9]Служебный ОВ'!$M$10:$M$12</definedName>
    <definedName name="OV_PUM" localSheetId="58">'[9]Служебный ОВ'!$M$10:$M$12</definedName>
    <definedName name="OV_PUM" localSheetId="60">'[9]Служебный ОВ'!$M$10:$M$12</definedName>
    <definedName name="OV_PUM" localSheetId="66">'[9]Служебный ОВ'!$M$10:$M$12</definedName>
    <definedName name="OV_PUM" localSheetId="55">'[9]Служебный ОВ'!$M$10:$M$12</definedName>
    <definedName name="OV_PUM" localSheetId="69">'[9]Служебный ОВ'!$M$10:$M$12</definedName>
    <definedName name="OV_PUM" localSheetId="48">'[9]Служебный ОВ'!$M$10:$M$12</definedName>
    <definedName name="OV_PUM" localSheetId="46">'[9]Служебный ОВ'!$M$10:$M$12</definedName>
    <definedName name="OV_PUM" localSheetId="72">'[9]Служебный ОВ'!$M$10:$M$12</definedName>
    <definedName name="OV_PUM" localSheetId="52">'[9]Служебный ОВ'!$M$10:$M$12</definedName>
    <definedName name="OV_PUM" localSheetId="56">'[9]Служебный ОВ'!$M$10:$M$12</definedName>
    <definedName name="OV_PUM" localSheetId="53">'[9]Служебный ОВ'!$M$10:$M$12</definedName>
    <definedName name="OV_PUM" localSheetId="67">'[9]Служебный ОВ'!$M$10:$M$12</definedName>
    <definedName name="OV_PUM" localSheetId="74">'[9]Служебный ОВ'!$M$10:$M$12</definedName>
    <definedName name="OV_PUM" localSheetId="70">'[9]Служебный ОВ'!$M$10:$M$12</definedName>
    <definedName name="OV_PUM" localSheetId="63">'[9]Служебный ОВ'!$M$10:$M$12</definedName>
    <definedName name="OV_PUM" localSheetId="71">'[9]Служебный ОВ'!$M$10:$M$12</definedName>
    <definedName name="OV_PUM" localSheetId="47">'[9]Служебный ОВ'!$M$10:$M$12</definedName>
    <definedName name="OV_PUM" localSheetId="49">'[9]Служебный ОВ'!$M$10:$M$12</definedName>
    <definedName name="OV_PUM" localSheetId="73">'[9]Служебный ОВ'!$M$10:$M$12</definedName>
    <definedName name="OV_PUM">'Служебный ОВ'!$M$10:$M$12</definedName>
    <definedName name="OV_RK" localSheetId="61">'[9]Служебный ОВ'!$E$10:$E$11</definedName>
    <definedName name="OV_RK" localSheetId="45">'[9]Служебный ОВ'!$E$10:$E$11</definedName>
    <definedName name="OV_RK" localSheetId="68">'[9]Служебный ОВ'!$E$10:$E$11</definedName>
    <definedName name="OV_RK" localSheetId="54">'[9]Служебный ОВ'!$E$10:$E$11</definedName>
    <definedName name="OV_RK" localSheetId="62">'[9]Служебный ОВ'!$E$10:$E$11</definedName>
    <definedName name="OV_RK" localSheetId="59">'[9]Служебный ОВ'!$E$10:$E$11</definedName>
    <definedName name="OV_RK" localSheetId="50">'[9]Служебный ОВ'!$E$10:$E$11</definedName>
    <definedName name="OV_RK" localSheetId="64">'[9]Служебный ОВ'!$E$10:$E$11</definedName>
    <definedName name="OV_RK" localSheetId="51">'[9]Служебный ОВ'!$E$10:$E$11</definedName>
    <definedName name="OV_RK" localSheetId="65">'[9]Служебный ОВ'!$E$10:$E$11</definedName>
    <definedName name="OV_RK" localSheetId="57">'[9]Служебный ОВ'!$E$10:$E$11</definedName>
    <definedName name="OV_RK" localSheetId="58">'[9]Служебный ОВ'!$E$10:$E$11</definedName>
    <definedName name="OV_RK" localSheetId="60">'[9]Служебный ОВ'!$E$10:$E$11</definedName>
    <definedName name="OV_RK" localSheetId="66">'[9]Служебный ОВ'!$E$10:$E$11</definedName>
    <definedName name="OV_RK" localSheetId="55">'[9]Служебный ОВ'!$E$10:$E$11</definedName>
    <definedName name="OV_RK" localSheetId="69">'[9]Служебный ОВ'!$E$10:$E$11</definedName>
    <definedName name="OV_RK" localSheetId="48">'[9]Служебный ОВ'!$E$10:$E$11</definedName>
    <definedName name="OV_RK" localSheetId="46">'[9]Служебный ОВ'!$E$10:$E$11</definedName>
    <definedName name="OV_RK" localSheetId="72">'[9]Служебный ОВ'!$E$10:$E$11</definedName>
    <definedName name="OV_RK" localSheetId="52">'[9]Служебный ОВ'!$E$10:$E$11</definedName>
    <definedName name="OV_RK" localSheetId="56">'[9]Служебный ОВ'!$E$10:$E$11</definedName>
    <definedName name="OV_RK" localSheetId="53">'[9]Служебный ОВ'!$E$10:$E$11</definedName>
    <definedName name="OV_RK" localSheetId="67">'[9]Служебный ОВ'!$E$10:$E$11</definedName>
    <definedName name="OV_RK" localSheetId="74">'[9]Служебный ОВ'!$E$10:$E$11</definedName>
    <definedName name="OV_RK" localSheetId="70">'[9]Служебный ОВ'!$E$10:$E$11</definedName>
    <definedName name="OV_RK" localSheetId="63">'[9]Служебный ОВ'!$E$10:$E$11</definedName>
    <definedName name="OV_RK" localSheetId="71">'[9]Служебный ОВ'!$E$10:$E$11</definedName>
    <definedName name="OV_RK" localSheetId="47">'[9]Служебный ОВ'!$E$10:$E$11</definedName>
    <definedName name="OV_RK" localSheetId="49">'[9]Служебный ОВ'!$E$10:$E$11</definedName>
    <definedName name="OV_RK" localSheetId="73">'[9]Служебный ОВ'!$E$10:$E$11</definedName>
    <definedName name="OV_RK">'Служебный ОВ'!$E$10:$E$11</definedName>
    <definedName name="OV_Sandbox" localSheetId="61">'[9]Служебный ОВ'!$X$10:$X$11</definedName>
    <definedName name="OV_Sandbox" localSheetId="45">'[9]Служебный ОВ'!$X$10:$X$11</definedName>
    <definedName name="OV_Sandbox" localSheetId="68">'[9]Служебный ОВ'!$X$10:$X$11</definedName>
    <definedName name="OV_Sandbox" localSheetId="54">'[9]Служебный ОВ'!$X$10:$X$11</definedName>
    <definedName name="OV_Sandbox" localSheetId="62">'[9]Служебный ОВ'!$X$10:$X$11</definedName>
    <definedName name="OV_Sandbox" localSheetId="59">'[9]Служебный ОВ'!$X$10:$X$11</definedName>
    <definedName name="OV_Sandbox" localSheetId="50">'[9]Служебный ОВ'!$X$10:$X$11</definedName>
    <definedName name="OV_Sandbox" localSheetId="64">'[9]Служебный ОВ'!$X$10:$X$11</definedName>
    <definedName name="OV_Sandbox" localSheetId="51">'[9]Служебный ОВ'!$X$10:$X$11</definedName>
    <definedName name="OV_Sandbox" localSheetId="65">'[9]Служебный ОВ'!$X$10:$X$11</definedName>
    <definedName name="OV_Sandbox" localSheetId="57">'[9]Служебный ОВ'!$X$10:$X$11</definedName>
    <definedName name="OV_Sandbox" localSheetId="58">'[9]Служебный ОВ'!$X$10:$X$11</definedName>
    <definedName name="OV_Sandbox" localSheetId="60">'[9]Служебный ОВ'!$X$10:$X$11</definedName>
    <definedName name="OV_Sandbox" localSheetId="66">'[9]Служебный ОВ'!$X$10:$X$11</definedName>
    <definedName name="OV_Sandbox" localSheetId="55">'[9]Служебный ОВ'!$X$10:$X$11</definedName>
    <definedName name="OV_Sandbox" localSheetId="69">'[9]Служебный ОВ'!$X$10:$X$11</definedName>
    <definedName name="OV_Sandbox" localSheetId="48">'[9]Служебный ОВ'!$X$10:$X$11</definedName>
    <definedName name="OV_Sandbox" localSheetId="46">'[9]Служебный ОВ'!$X$10:$X$11</definedName>
    <definedName name="OV_Sandbox" localSheetId="72">'[9]Служебный ОВ'!$X$10:$X$11</definedName>
    <definedName name="OV_Sandbox" localSheetId="52">'[9]Служебный ОВ'!$X$10:$X$11</definedName>
    <definedName name="OV_Sandbox" localSheetId="56">'[9]Служебный ОВ'!$X$10:$X$11</definedName>
    <definedName name="OV_Sandbox" localSheetId="53">'[9]Служебный ОВ'!$X$10:$X$11</definedName>
    <definedName name="OV_Sandbox" localSheetId="67">'[9]Служебный ОВ'!$X$10:$X$11</definedName>
    <definedName name="OV_Sandbox" localSheetId="74">'[9]Служебный ОВ'!$X$10:$X$11</definedName>
    <definedName name="OV_Sandbox" localSheetId="70">'[9]Служебный ОВ'!$X$10:$X$11</definedName>
    <definedName name="OV_Sandbox" localSheetId="63">'[9]Служебный ОВ'!$X$10:$X$11</definedName>
    <definedName name="OV_Sandbox" localSheetId="71">'[9]Служебный ОВ'!$X$10:$X$11</definedName>
    <definedName name="OV_Sandbox" localSheetId="47">'[9]Служебный ОВ'!$X$10:$X$11</definedName>
    <definedName name="OV_Sandbox" localSheetId="49">'[9]Служебный ОВ'!$X$10:$X$11</definedName>
    <definedName name="OV_Sandbox" localSheetId="73">'[9]Служебный ОВ'!$X$10:$X$11</definedName>
    <definedName name="OV_Sandbox">'Служебный ОВ'!$X$10:$X$11</definedName>
    <definedName name="OV_SEG" localSheetId="61">'[9]Служебный ОВ'!$U$10</definedName>
    <definedName name="OV_SEG" localSheetId="45">'[9]Служебный ОВ'!$U$10</definedName>
    <definedName name="OV_SEG" localSheetId="68">'[9]Служебный ОВ'!$U$10</definedName>
    <definedName name="OV_SEG" localSheetId="54">'[9]Служебный ОВ'!$U$10</definedName>
    <definedName name="OV_SEG" localSheetId="62">'[9]Служебный ОВ'!$U$10</definedName>
    <definedName name="OV_SEG" localSheetId="59">'[9]Служебный ОВ'!$U$10</definedName>
    <definedName name="OV_SEG" localSheetId="50">'[9]Служебный ОВ'!$U$10</definedName>
    <definedName name="OV_SEG" localSheetId="64">'[9]Служебный ОВ'!$U$10</definedName>
    <definedName name="OV_SEG" localSheetId="51">'[9]Служебный ОВ'!$U$10</definedName>
    <definedName name="OV_SEG" localSheetId="65">'[9]Служебный ОВ'!$U$10</definedName>
    <definedName name="OV_SEG" localSheetId="57">'[9]Служебный ОВ'!$U$10</definedName>
    <definedName name="OV_SEG" localSheetId="58">'[9]Служебный ОВ'!$U$10</definedName>
    <definedName name="OV_SEG" localSheetId="60">'[9]Служебный ОВ'!$U$10</definedName>
    <definedName name="OV_SEG" localSheetId="66">'[9]Служебный ОВ'!$U$10</definedName>
    <definedName name="OV_SEG" localSheetId="55">'[9]Служебный ОВ'!$U$10</definedName>
    <definedName name="OV_SEG" localSheetId="69">'[9]Служебный ОВ'!$U$10</definedName>
    <definedName name="OV_SEG" localSheetId="48">'[9]Служебный ОВ'!$U$10</definedName>
    <definedName name="OV_SEG" localSheetId="46">'[9]Служебный ОВ'!$U$10</definedName>
    <definedName name="OV_SEG" localSheetId="72">'[9]Служебный ОВ'!$U$10</definedName>
    <definedName name="OV_SEG" localSheetId="52">'[9]Служебный ОВ'!$U$10</definedName>
    <definedName name="OV_SEG" localSheetId="56">'[9]Служебный ОВ'!$U$10</definedName>
    <definedName name="OV_SEG" localSheetId="53">'[9]Служебный ОВ'!$U$10</definedName>
    <definedName name="OV_SEG" localSheetId="67">'[9]Служебный ОВ'!$U$10</definedName>
    <definedName name="OV_SEG" localSheetId="74">'[9]Служебный ОВ'!$U$10</definedName>
    <definedName name="OV_SEG" localSheetId="70">'[9]Служебный ОВ'!$U$10</definedName>
    <definedName name="OV_SEG" localSheetId="63">'[9]Служебный ОВ'!$U$10</definedName>
    <definedName name="OV_SEG" localSheetId="71">'[9]Служебный ОВ'!$U$10</definedName>
    <definedName name="OV_SEG" localSheetId="47">'[9]Служебный ОВ'!$U$10</definedName>
    <definedName name="OV_SEG" localSheetId="49">'[9]Служебный ОВ'!$U$10</definedName>
    <definedName name="OV_SEG" localSheetId="73">'[9]Служебный ОВ'!$U$10</definedName>
    <definedName name="OV_SEG">'Служебный ОВ'!$U$10</definedName>
    <definedName name="OV_SHD" localSheetId="61">'[9]Служебный ОВ'!$Z$10:$Z$15</definedName>
    <definedName name="OV_SHD" localSheetId="45">'[9]Служебный ОВ'!$Z$10:$Z$15</definedName>
    <definedName name="OV_SHD" localSheetId="68">'[9]Служебный ОВ'!$Z$10:$Z$15</definedName>
    <definedName name="OV_SHD" localSheetId="54">'[9]Служебный ОВ'!$Z$10:$Z$15</definedName>
    <definedName name="OV_SHD" localSheetId="62">'[9]Служебный ОВ'!$Z$10:$Z$15</definedName>
    <definedName name="OV_SHD" localSheetId="59">'[9]Служебный ОВ'!$Z$10:$Z$15</definedName>
    <definedName name="OV_SHD" localSheetId="50">'[9]Служебный ОВ'!$Z$10:$Z$15</definedName>
    <definedName name="OV_SHD" localSheetId="64">'[9]Служебный ОВ'!$Z$10:$Z$15</definedName>
    <definedName name="OV_SHD" localSheetId="51">'[9]Служебный ОВ'!$Z$10:$Z$15</definedName>
    <definedName name="OV_SHD" localSheetId="65">'[9]Служебный ОВ'!$Z$10:$Z$15</definedName>
    <definedName name="OV_SHD" localSheetId="57">'[9]Служебный ОВ'!$Z$10:$Z$15</definedName>
    <definedName name="OV_SHD" localSheetId="58">'[9]Служебный ОВ'!$Z$10:$Z$15</definedName>
    <definedName name="OV_SHD" localSheetId="60">'[9]Служебный ОВ'!$Z$10:$Z$15</definedName>
    <definedName name="OV_SHD" localSheetId="66">'[9]Служебный ОВ'!$Z$10:$Z$15</definedName>
    <definedName name="OV_SHD" localSheetId="55">'[9]Служебный ОВ'!$Z$10:$Z$15</definedName>
    <definedName name="OV_SHD" localSheetId="69">'[9]Служебный ОВ'!$Z$10:$Z$15</definedName>
    <definedName name="OV_SHD" localSheetId="48">'[9]Служебный ОВ'!$Z$10:$Z$15</definedName>
    <definedName name="OV_SHD" localSheetId="46">'[9]Служебный ОВ'!$Z$10:$Z$15</definedName>
    <definedName name="OV_SHD" localSheetId="72">'[9]Служебный ОВ'!$Z$10:$Z$15</definedName>
    <definedName name="OV_SHD" localSheetId="52">'[9]Служебный ОВ'!$Z$10:$Z$15</definedName>
    <definedName name="OV_SHD" localSheetId="56">'[9]Служебный ОВ'!$Z$10:$Z$15</definedName>
    <definedName name="OV_SHD" localSheetId="53">'[9]Служебный ОВ'!$Z$10:$Z$15</definedName>
    <definedName name="OV_SHD" localSheetId="67">'[9]Служебный ОВ'!$Z$10:$Z$15</definedName>
    <definedName name="OV_SHD" localSheetId="74">'[9]Служебный ОВ'!$Z$10:$Z$15</definedName>
    <definedName name="OV_SHD" localSheetId="70">'[9]Служебный ОВ'!$Z$10:$Z$15</definedName>
    <definedName name="OV_SHD" localSheetId="63">'[9]Служебный ОВ'!$Z$10:$Z$15</definedName>
    <definedName name="OV_SHD" localSheetId="71">'[9]Служебный ОВ'!$Z$10:$Z$15</definedName>
    <definedName name="OV_SHD" localSheetId="47">'[9]Служебный ОВ'!$Z$10:$Z$15</definedName>
    <definedName name="OV_SHD" localSheetId="49">'[9]Служебный ОВ'!$Z$10:$Z$15</definedName>
    <definedName name="OV_SHD" localSheetId="73">'[9]Служебный ОВ'!$Z$10:$Z$15</definedName>
    <definedName name="OV_SHD">'Служебный ОВ'!$Z$10:$Z$15</definedName>
    <definedName name="OV_SIEM" localSheetId="61">'[9]Служебный ОВ'!$G$10:$G$11</definedName>
    <definedName name="OV_SIEM" localSheetId="45">'[9]Служебный ОВ'!$G$10:$G$11</definedName>
    <definedName name="OV_SIEM" localSheetId="68">'[9]Служебный ОВ'!$G$10:$G$11</definedName>
    <definedName name="OV_SIEM" localSheetId="54">'[9]Служебный ОВ'!$G$10:$G$11</definedName>
    <definedName name="OV_SIEM" localSheetId="62">'[9]Служебный ОВ'!$G$10:$G$11</definedName>
    <definedName name="OV_SIEM" localSheetId="59">'[9]Служебный ОВ'!$G$10:$G$11</definedName>
    <definedName name="OV_SIEM" localSheetId="50">'[9]Служебный ОВ'!$G$10:$G$11</definedName>
    <definedName name="OV_SIEM" localSheetId="64">'[9]Служебный ОВ'!$G$10:$G$11</definedName>
    <definedName name="OV_SIEM" localSheetId="51">'[9]Служебный ОВ'!$G$10:$G$11</definedName>
    <definedName name="OV_SIEM" localSheetId="65">'[9]Служебный ОВ'!$G$10:$G$11</definedName>
    <definedName name="OV_SIEM" localSheetId="57">'[9]Служебный ОВ'!$G$10:$G$11</definedName>
    <definedName name="OV_SIEM" localSheetId="58">'[9]Служебный ОВ'!$G$10:$G$11</definedName>
    <definedName name="OV_SIEM" localSheetId="60">'[9]Служебный ОВ'!$G$10:$G$11</definedName>
    <definedName name="OV_SIEM" localSheetId="66">'[9]Служебный ОВ'!$G$10:$G$11</definedName>
    <definedName name="OV_SIEM" localSheetId="55">'[9]Служебный ОВ'!$G$10:$G$11</definedName>
    <definedName name="OV_SIEM" localSheetId="69">'[9]Служебный ОВ'!$G$10:$G$11</definedName>
    <definedName name="OV_SIEM" localSheetId="48">'[9]Служебный ОВ'!$G$10:$G$11</definedName>
    <definedName name="OV_SIEM" localSheetId="46">'[9]Служебный ОВ'!$G$10:$G$11</definedName>
    <definedName name="OV_SIEM" localSheetId="72">'[9]Служебный ОВ'!$G$10:$G$11</definedName>
    <definedName name="OV_SIEM" localSheetId="52">'[9]Служебный ОВ'!$G$10:$G$11</definedName>
    <definedName name="OV_SIEM" localSheetId="56">'[9]Служебный ОВ'!$G$10:$G$11</definedName>
    <definedName name="OV_SIEM" localSheetId="53">'[9]Служебный ОВ'!$G$10:$G$11</definedName>
    <definedName name="OV_SIEM" localSheetId="67">'[9]Служебный ОВ'!$G$10:$G$11</definedName>
    <definedName name="OV_SIEM" localSheetId="74">'[9]Служебный ОВ'!$G$10:$G$11</definedName>
    <definedName name="OV_SIEM" localSheetId="70">'[9]Служебный ОВ'!$G$10:$G$11</definedName>
    <definedName name="OV_SIEM" localSheetId="63">'[9]Служебный ОВ'!$G$10:$G$11</definedName>
    <definedName name="OV_SIEM" localSheetId="71">'[9]Служебный ОВ'!$G$10:$G$11</definedName>
    <definedName name="OV_SIEM" localSheetId="47">'[9]Служебный ОВ'!$G$10:$G$11</definedName>
    <definedName name="OV_SIEM" localSheetId="49">'[9]Служебный ОВ'!$G$10:$G$11</definedName>
    <definedName name="OV_SIEM" localSheetId="73">'[9]Служебный ОВ'!$G$10:$G$11</definedName>
    <definedName name="OV_SIEM">'Служебный ОВ'!$G$10:$G$11</definedName>
    <definedName name="OV_SKZI" localSheetId="61">'[9]Служебный ОВ'!$C$10:$C$13</definedName>
    <definedName name="OV_SKZI" localSheetId="45">'[9]Служебный ОВ'!$C$10:$C$13</definedName>
    <definedName name="OV_SKZI" localSheetId="68">'[9]Служебный ОВ'!$C$10:$C$13</definedName>
    <definedName name="OV_SKZI" localSheetId="54">'[9]Служебный ОВ'!$C$10:$C$13</definedName>
    <definedName name="OV_SKZI" localSheetId="62">'[9]Служебный ОВ'!$C$10:$C$13</definedName>
    <definedName name="OV_SKZI" localSheetId="59">'[9]Служебный ОВ'!$C$10:$C$13</definedName>
    <definedName name="OV_SKZI" localSheetId="50">'[9]Служебный ОВ'!$C$10:$C$13</definedName>
    <definedName name="OV_SKZI" localSheetId="64">'[9]Служебный ОВ'!$C$10:$C$13</definedName>
    <definedName name="OV_SKZI" localSheetId="51">'[9]Служебный ОВ'!$C$10:$C$13</definedName>
    <definedName name="OV_SKZI" localSheetId="65">'[9]Служебный ОВ'!$C$10:$C$13</definedName>
    <definedName name="OV_SKZI" localSheetId="57">'[9]Служебный ОВ'!$C$10:$C$13</definedName>
    <definedName name="OV_SKZI" localSheetId="58">'[9]Служебный ОВ'!$C$10:$C$13</definedName>
    <definedName name="OV_SKZI" localSheetId="60">'[9]Служебный ОВ'!$C$10:$C$13</definedName>
    <definedName name="OV_SKZI" localSheetId="66">'[9]Служебный ОВ'!$C$10:$C$13</definedName>
    <definedName name="OV_SKZI" localSheetId="55">'[9]Служебный ОВ'!$C$10:$C$13</definedName>
    <definedName name="OV_SKZI" localSheetId="69">'[9]Служебный ОВ'!$C$10:$C$13</definedName>
    <definedName name="OV_SKZI" localSheetId="48">'[9]Служебный ОВ'!$C$10:$C$13</definedName>
    <definedName name="OV_SKZI" localSheetId="46">'[9]Служебный ОВ'!$C$10:$C$13</definedName>
    <definedName name="OV_SKZI" localSheetId="72">'[9]Служебный ОВ'!$C$10:$C$13</definedName>
    <definedName name="OV_SKZI" localSheetId="52">'[9]Служебный ОВ'!$C$10:$C$13</definedName>
    <definedName name="OV_SKZI" localSheetId="56">'[9]Служебный ОВ'!$C$10:$C$13</definedName>
    <definedName name="OV_SKZI" localSheetId="53">'[9]Служебный ОВ'!$C$10:$C$13</definedName>
    <definedName name="OV_SKZI" localSheetId="67">'[9]Служебный ОВ'!$C$10:$C$13</definedName>
    <definedName name="OV_SKZI" localSheetId="74">'[9]Служебный ОВ'!$C$10:$C$13</definedName>
    <definedName name="OV_SKZI" localSheetId="70">'[9]Служебный ОВ'!$C$10:$C$13</definedName>
    <definedName name="OV_SKZI" localSheetId="63">'[9]Служебный ОВ'!$C$10:$C$13</definedName>
    <definedName name="OV_SKZI" localSheetId="71">'[9]Служебный ОВ'!$C$10:$C$13</definedName>
    <definedName name="OV_SKZI" localSheetId="47">'[9]Служебный ОВ'!$C$10:$C$13</definedName>
    <definedName name="OV_SKZI" localSheetId="49">'[9]Служебный ОВ'!$C$10:$C$13</definedName>
    <definedName name="OV_SKZI" localSheetId="73">'[9]Служебный ОВ'!$C$10:$C$13</definedName>
    <definedName name="OV_SKZI">'Служебный ОВ'!$C$10:$C$13</definedName>
    <definedName name="OV_SOAR" localSheetId="61">'[9]Служебный ОВ'!$J$10:$J$13</definedName>
    <definedName name="OV_SOAR" localSheetId="45">'[9]Служебный ОВ'!$J$10:$J$13</definedName>
    <definedName name="OV_SOAR" localSheetId="68">'[9]Служебный ОВ'!$J$10:$J$13</definedName>
    <definedName name="OV_SOAR" localSheetId="54">'[9]Служебный ОВ'!$J$10:$J$13</definedName>
    <definedName name="OV_SOAR" localSheetId="62">'[9]Служебный ОВ'!$J$10:$J$13</definedName>
    <definedName name="OV_SOAR" localSheetId="59">'[9]Служебный ОВ'!$J$10:$J$13</definedName>
    <definedName name="OV_SOAR" localSheetId="50">'[9]Служебный ОВ'!$J$10:$J$13</definedName>
    <definedName name="OV_SOAR" localSheetId="64">'[9]Служебный ОВ'!$J$10:$J$13</definedName>
    <definedName name="OV_SOAR" localSheetId="51">'[9]Служебный ОВ'!$J$10:$J$13</definedName>
    <definedName name="OV_SOAR" localSheetId="65">'[9]Служебный ОВ'!$J$10:$J$13</definedName>
    <definedName name="OV_SOAR" localSheetId="57">'[9]Служебный ОВ'!$J$10:$J$13</definedName>
    <definedName name="OV_SOAR" localSheetId="58">'[9]Служебный ОВ'!$J$10:$J$13</definedName>
    <definedName name="OV_SOAR" localSheetId="60">'[9]Служебный ОВ'!$J$10:$J$13</definedName>
    <definedName name="OV_SOAR" localSheetId="66">'[9]Служебный ОВ'!$J$10:$J$13</definedName>
    <definedName name="OV_SOAR" localSheetId="55">'[9]Служебный ОВ'!$J$10:$J$13</definedName>
    <definedName name="OV_SOAR" localSheetId="69">'[9]Служебный ОВ'!$J$10:$J$13</definedName>
    <definedName name="OV_SOAR" localSheetId="48">'[9]Служебный ОВ'!$J$10:$J$13</definedName>
    <definedName name="OV_SOAR" localSheetId="46">'[9]Служебный ОВ'!$J$10:$J$13</definedName>
    <definedName name="OV_SOAR" localSheetId="72">'[9]Служебный ОВ'!$J$10:$J$13</definedName>
    <definedName name="OV_SOAR" localSheetId="52">'[9]Служебный ОВ'!$J$10:$J$13</definedName>
    <definedName name="OV_SOAR" localSheetId="56">'[9]Служебный ОВ'!$J$10:$J$13</definedName>
    <definedName name="OV_SOAR" localSheetId="53">'[9]Служебный ОВ'!$J$10:$J$13</definedName>
    <definedName name="OV_SOAR" localSheetId="67">'[9]Служебный ОВ'!$J$10:$J$13</definedName>
    <definedName name="OV_SOAR" localSheetId="74">'[9]Служебный ОВ'!$J$10:$J$13</definedName>
    <definedName name="OV_SOAR" localSheetId="70">'[9]Служебный ОВ'!$J$10:$J$13</definedName>
    <definedName name="OV_SOAR" localSheetId="63">'[9]Служебный ОВ'!$J$10:$J$13</definedName>
    <definedName name="OV_SOAR" localSheetId="71">'[9]Служебный ОВ'!$J$10:$J$13</definedName>
    <definedName name="OV_SOAR" localSheetId="47">'[9]Служебный ОВ'!$J$10:$J$13</definedName>
    <definedName name="OV_SOAR" localSheetId="49">'[9]Служебный ОВ'!$J$10:$J$13</definedName>
    <definedName name="OV_SOAR" localSheetId="73">'[9]Служебный ОВ'!$J$10:$J$13</definedName>
    <definedName name="OV_SOAR">'Служебный ОВ'!$J$10:$J$13</definedName>
    <definedName name="OV_SOPKA" localSheetId="61">'[9]Служебный ОВ'!$N$10:$N$11</definedName>
    <definedName name="OV_SOPKA" localSheetId="45">'[9]Служебный ОВ'!$N$10:$N$11</definedName>
    <definedName name="OV_SOPKA" localSheetId="68">'[9]Служебный ОВ'!$N$10:$N$11</definedName>
    <definedName name="OV_SOPKA" localSheetId="54">'[9]Служебный ОВ'!$N$10:$N$11</definedName>
    <definedName name="OV_SOPKA" localSheetId="62">'[9]Служебный ОВ'!$N$10:$N$11</definedName>
    <definedName name="OV_SOPKA" localSheetId="59">'[9]Служебный ОВ'!$N$10:$N$11</definedName>
    <definedName name="OV_SOPKA" localSheetId="50">'[9]Служебный ОВ'!$N$10:$N$11</definedName>
    <definedName name="OV_SOPKA" localSheetId="64">'[9]Служебный ОВ'!$N$10:$N$11</definedName>
    <definedName name="OV_SOPKA" localSheetId="51">'[9]Служебный ОВ'!$N$10:$N$11</definedName>
    <definedName name="OV_SOPKA" localSheetId="65">'[9]Служебный ОВ'!$N$10:$N$11</definedName>
    <definedName name="OV_SOPKA" localSheetId="57">'[9]Служебный ОВ'!$N$10:$N$11</definedName>
    <definedName name="OV_SOPKA" localSheetId="58">'[9]Служебный ОВ'!$N$10:$N$11</definedName>
    <definedName name="OV_SOPKA" localSheetId="60">'[9]Служебный ОВ'!$N$10:$N$11</definedName>
    <definedName name="OV_SOPKA" localSheetId="66">'[9]Служебный ОВ'!$N$10:$N$11</definedName>
    <definedName name="OV_SOPKA" localSheetId="55">'[9]Служебный ОВ'!$N$10:$N$11</definedName>
    <definedName name="OV_SOPKA" localSheetId="69">'[9]Служебный ОВ'!$N$10:$N$11</definedName>
    <definedName name="OV_SOPKA" localSheetId="48">'[9]Служебный ОВ'!$N$10:$N$11</definedName>
    <definedName name="OV_SOPKA" localSheetId="46">'[9]Служебный ОВ'!$N$10:$N$11</definedName>
    <definedName name="OV_SOPKA" localSheetId="72">'[9]Служебный ОВ'!$N$10:$N$11</definedName>
    <definedName name="OV_SOPKA" localSheetId="52">'[9]Служебный ОВ'!$N$10:$N$11</definedName>
    <definedName name="OV_SOPKA" localSheetId="56">'[9]Служебный ОВ'!$N$10:$N$11</definedName>
    <definedName name="OV_SOPKA" localSheetId="53">'[9]Служебный ОВ'!$N$10:$N$11</definedName>
    <definedName name="OV_SOPKA" localSheetId="67">'[9]Служебный ОВ'!$N$10:$N$11</definedName>
    <definedName name="OV_SOPKA" localSheetId="74">'[9]Служебный ОВ'!$N$10:$N$11</definedName>
    <definedName name="OV_SOPKA" localSheetId="70">'[9]Служебный ОВ'!$N$10:$N$11</definedName>
    <definedName name="OV_SOPKA" localSheetId="63">'[9]Служебный ОВ'!$N$10:$N$11</definedName>
    <definedName name="OV_SOPKA" localSheetId="71">'[9]Служебный ОВ'!$N$10:$N$11</definedName>
    <definedName name="OV_SOPKA" localSheetId="47">'[9]Служебный ОВ'!$N$10:$N$11</definedName>
    <definedName name="OV_SOPKA" localSheetId="49">'[9]Служебный ОВ'!$N$10:$N$11</definedName>
    <definedName name="OV_SOPKA" localSheetId="73">'[9]Служебный ОВ'!$N$10:$N$11</definedName>
    <definedName name="OV_SOPKA">'Служебный ОВ'!$N$10:$N$11</definedName>
    <definedName name="OV_SZV" localSheetId="61">'[9]Служебный ОВ'!$K$10:$K$12</definedName>
    <definedName name="OV_SZV" localSheetId="45">'[9]Служебный ОВ'!$K$10:$K$12</definedName>
    <definedName name="OV_SZV" localSheetId="68">'[9]Служебный ОВ'!$K$10:$K$12</definedName>
    <definedName name="OV_SZV" localSheetId="54">'[9]Служебный ОВ'!$K$10:$K$12</definedName>
    <definedName name="OV_SZV" localSheetId="62">'[9]Служебный ОВ'!$K$10:$K$12</definedName>
    <definedName name="OV_SZV" localSheetId="59">'[9]Служебный ОВ'!$K$10:$K$12</definedName>
    <definedName name="OV_SZV" localSheetId="50">'[9]Служебный ОВ'!$K$10:$K$12</definedName>
    <definedName name="OV_SZV" localSheetId="64">'[9]Служебный ОВ'!$K$10:$K$12</definedName>
    <definedName name="OV_SZV" localSheetId="51">'[9]Служебный ОВ'!$K$10:$K$12</definedName>
    <definedName name="OV_SZV" localSheetId="65">'[9]Служебный ОВ'!$K$10:$K$12</definedName>
    <definedName name="OV_SZV" localSheetId="57">'[9]Служебный ОВ'!$K$10:$K$12</definedName>
    <definedName name="OV_SZV" localSheetId="58">'[9]Служебный ОВ'!$K$10:$K$12</definedName>
    <definedName name="OV_SZV" localSheetId="60">'[9]Служебный ОВ'!$K$10:$K$12</definedName>
    <definedName name="OV_SZV" localSheetId="66">'[9]Служебный ОВ'!$K$10:$K$12</definedName>
    <definedName name="OV_SZV" localSheetId="55">'[9]Служебный ОВ'!$K$10:$K$12</definedName>
    <definedName name="OV_SZV" localSheetId="69">'[9]Служебный ОВ'!$K$10:$K$12</definedName>
    <definedName name="OV_SZV" localSheetId="48">'[9]Служебный ОВ'!$K$10:$K$12</definedName>
    <definedName name="OV_SZV" localSheetId="46">'[9]Служебный ОВ'!$K$10:$K$12</definedName>
    <definedName name="OV_SZV" localSheetId="72">'[9]Служебный ОВ'!$K$10:$K$12</definedName>
    <definedName name="OV_SZV" localSheetId="52">'[9]Служебный ОВ'!$K$10:$K$12</definedName>
    <definedName name="OV_SZV" localSheetId="56">'[9]Служебный ОВ'!$K$10:$K$12</definedName>
    <definedName name="OV_SZV" localSheetId="53">'[9]Служебный ОВ'!$K$10:$K$12</definedName>
    <definedName name="OV_SZV" localSheetId="67">'[9]Служебный ОВ'!$K$10:$K$12</definedName>
    <definedName name="OV_SZV" localSheetId="74">'[9]Служебный ОВ'!$K$10:$K$12</definedName>
    <definedName name="OV_SZV" localSheetId="70">'[9]Служебный ОВ'!$K$10:$K$12</definedName>
    <definedName name="OV_SZV" localSheetId="63">'[9]Служебный ОВ'!$K$10:$K$12</definedName>
    <definedName name="OV_SZV" localSheetId="71">'[9]Служебный ОВ'!$K$10:$K$12</definedName>
    <definedName name="OV_SZV" localSheetId="47">'[9]Служебный ОВ'!$K$10:$K$12</definedName>
    <definedName name="OV_SZV" localSheetId="49">'[9]Служебный ОВ'!$K$10:$K$12</definedName>
    <definedName name="OV_SZV" localSheetId="73">'[9]Служебный ОВ'!$K$10:$K$12</definedName>
    <definedName name="OV_SZV">'Служебный ОВ'!$K$10:$K$12</definedName>
    <definedName name="OV_TLSH" localSheetId="61">'[9]Служебный ОВ'!$O$10:$O$11</definedName>
    <definedName name="OV_TLSH" localSheetId="45">'[9]Служебный ОВ'!$O$10:$O$11</definedName>
    <definedName name="OV_TLSH" localSheetId="68">'[9]Служебный ОВ'!$O$10:$O$11</definedName>
    <definedName name="OV_TLSH" localSheetId="54">'[9]Служебный ОВ'!$O$10:$O$11</definedName>
    <definedName name="OV_TLSH" localSheetId="62">'[9]Служебный ОВ'!$O$10:$O$11</definedName>
    <definedName name="OV_TLSH" localSheetId="59">'[9]Служебный ОВ'!$O$10:$O$11</definedName>
    <definedName name="OV_TLSH" localSheetId="50">'[9]Служебный ОВ'!$O$10:$O$11</definedName>
    <definedName name="OV_TLSH" localSheetId="64">'[9]Служебный ОВ'!$O$10:$O$11</definedName>
    <definedName name="OV_TLSH" localSheetId="51">'[9]Служебный ОВ'!$O$10:$O$11</definedName>
    <definedName name="OV_TLSH" localSheetId="65">'[9]Служебный ОВ'!$O$10:$O$11</definedName>
    <definedName name="OV_TLSH" localSheetId="57">'[9]Служебный ОВ'!$O$10:$O$11</definedName>
    <definedName name="OV_TLSH" localSheetId="58">'[9]Служебный ОВ'!$O$10:$O$11</definedName>
    <definedName name="OV_TLSH" localSheetId="60">'[9]Служебный ОВ'!$O$10:$O$11</definedName>
    <definedName name="OV_TLSH" localSheetId="66">'[9]Служебный ОВ'!$O$10:$O$11</definedName>
    <definedName name="OV_TLSH" localSheetId="55">'[9]Служебный ОВ'!$O$10:$O$11</definedName>
    <definedName name="OV_TLSH" localSheetId="69">'[9]Служебный ОВ'!$O$10:$O$11</definedName>
    <definedName name="OV_TLSH" localSheetId="48">'[9]Служебный ОВ'!$O$10:$O$11</definedName>
    <definedName name="OV_TLSH" localSheetId="46">'[9]Служебный ОВ'!$O$10:$O$11</definedName>
    <definedName name="OV_TLSH" localSheetId="72">'[9]Служебный ОВ'!$O$10:$O$11</definedName>
    <definedName name="OV_TLSH" localSheetId="52">'[9]Служебный ОВ'!$O$10:$O$11</definedName>
    <definedName name="OV_TLSH" localSheetId="56">'[9]Служебный ОВ'!$O$10:$O$11</definedName>
    <definedName name="OV_TLSH" localSheetId="53">'[9]Служебный ОВ'!$O$10:$O$11</definedName>
    <definedName name="OV_TLSH" localSheetId="67">'[9]Служебный ОВ'!$O$10:$O$11</definedName>
    <definedName name="OV_TLSH" localSheetId="74">'[9]Служебный ОВ'!$O$10:$O$11</definedName>
    <definedName name="OV_TLSH" localSheetId="70">'[9]Служебный ОВ'!$O$10:$O$11</definedName>
    <definedName name="OV_TLSH" localSheetId="63">'[9]Служебный ОВ'!$O$10:$O$11</definedName>
    <definedName name="OV_TLSH" localSheetId="71">'[9]Служебный ОВ'!$O$10:$O$11</definedName>
    <definedName name="OV_TLSH" localSheetId="47">'[9]Служебный ОВ'!$O$10:$O$11</definedName>
    <definedName name="OV_TLSH" localSheetId="49">'[9]Служебный ОВ'!$O$10:$O$11</definedName>
    <definedName name="OV_TLSH" localSheetId="73">'[9]Служебный ОВ'!$O$10:$O$11</definedName>
    <definedName name="OV_TLSH">'Служебный ОВ'!$O$10:$O$11</definedName>
    <definedName name="OV_Var" localSheetId="61">'[9]Служебный ОВ'!$B$2:$B$3</definedName>
    <definedName name="OV_Var" localSheetId="45">'[9]Служебный ОВ'!$B$2:$B$3</definedName>
    <definedName name="OV_Var" localSheetId="68">'[9]Служебный ОВ'!$B$2:$B$3</definedName>
    <definedName name="OV_Var" localSheetId="54">'[9]Служебный ОВ'!$B$2:$B$3</definedName>
    <definedName name="OV_Var" localSheetId="62">'[9]Служебный ОВ'!$B$2:$B$3</definedName>
    <definedName name="OV_Var" localSheetId="59">'[9]Служебный ОВ'!$B$2:$B$3</definedName>
    <definedName name="OV_Var" localSheetId="50">'[9]Служебный ОВ'!$B$2:$B$3</definedName>
    <definedName name="OV_Var" localSheetId="64">'[9]Служебный ОВ'!$B$2:$B$3</definedName>
    <definedName name="OV_Var" localSheetId="51">'[9]Служебный ОВ'!$B$2:$B$3</definedName>
    <definedName name="OV_Var" localSheetId="65">'[9]Служебный ОВ'!$B$2:$B$3</definedName>
    <definedName name="OV_Var" localSheetId="57">'[9]Служебный ОВ'!$B$2:$B$3</definedName>
    <definedName name="OV_Var" localSheetId="58">'[9]Служебный ОВ'!$B$2:$B$3</definedName>
    <definedName name="OV_Var" localSheetId="60">'[9]Служебный ОВ'!$B$2:$B$3</definedName>
    <definedName name="OV_Var" localSheetId="66">'[9]Служебный ОВ'!$B$2:$B$3</definedName>
    <definedName name="OV_Var" localSheetId="55">'[9]Служебный ОВ'!$B$2:$B$3</definedName>
    <definedName name="OV_Var" localSheetId="69">'[9]Служебный ОВ'!$B$2:$B$3</definedName>
    <definedName name="OV_Var" localSheetId="48">'[9]Служебный ОВ'!$B$2:$B$3</definedName>
    <definedName name="OV_Var" localSheetId="46">'[9]Служебный ОВ'!$B$2:$B$3</definedName>
    <definedName name="OV_Var" localSheetId="72">'[9]Служебный ОВ'!$B$2:$B$3</definedName>
    <definedName name="OV_Var" localSheetId="52">'[9]Служебный ОВ'!$B$2:$B$3</definedName>
    <definedName name="OV_Var" localSheetId="56">'[9]Служебный ОВ'!$B$2:$B$3</definedName>
    <definedName name="OV_Var" localSheetId="53">'[9]Служебный ОВ'!$B$2:$B$3</definedName>
    <definedName name="OV_Var" localSheetId="67">'[9]Служебный ОВ'!$B$2:$B$3</definedName>
    <definedName name="OV_Var" localSheetId="74">'[9]Служебный ОВ'!$B$2:$B$3</definedName>
    <definedName name="OV_Var" localSheetId="70">'[9]Служебный ОВ'!$B$2:$B$3</definedName>
    <definedName name="OV_Var" localSheetId="63">'[9]Служебный ОВ'!$B$2:$B$3</definedName>
    <definedName name="OV_Var" localSheetId="71">'[9]Служебный ОВ'!$B$2:$B$3</definedName>
    <definedName name="OV_Var" localSheetId="47">'[9]Служебный ОВ'!$B$2:$B$3</definedName>
    <definedName name="OV_Var" localSheetId="49">'[9]Служебный ОВ'!$B$2:$B$3</definedName>
    <definedName name="OV_Var" localSheetId="73">'[9]Служебный ОВ'!$B$2:$B$3</definedName>
    <definedName name="OV_Var">'Служебный ОВ'!$B$2:$B$3</definedName>
    <definedName name="OV_VDI" localSheetId="61">'[9]Служебный ОВ'!$L$10:$L$14</definedName>
    <definedName name="OV_VDI" localSheetId="45">'[9]Служебный ОВ'!$L$10:$L$14</definedName>
    <definedName name="OV_VDI" localSheetId="68">'[9]Служебный ОВ'!$L$10:$L$14</definedName>
    <definedName name="OV_VDI" localSheetId="54">'[9]Служебный ОВ'!$L$10:$L$14</definedName>
    <definedName name="OV_VDI" localSheetId="62">'[9]Служебный ОВ'!$L$10:$L$14</definedName>
    <definedName name="OV_VDI" localSheetId="59">'[9]Служебный ОВ'!$L$10:$L$14</definedName>
    <definedName name="OV_VDI" localSheetId="50">'[9]Служебный ОВ'!$L$10:$L$14</definedName>
    <definedName name="OV_VDI" localSheetId="64">'[9]Служебный ОВ'!$L$10:$L$14</definedName>
    <definedName name="OV_VDI" localSheetId="51">'[9]Служебный ОВ'!$L$10:$L$14</definedName>
    <definedName name="OV_VDI" localSheetId="65">'[9]Служебный ОВ'!$L$10:$L$14</definedName>
    <definedName name="OV_VDI" localSheetId="57">'[9]Служебный ОВ'!$L$10:$L$14</definedName>
    <definedName name="OV_VDI" localSheetId="58">'[9]Служебный ОВ'!$L$10:$L$14</definedName>
    <definedName name="OV_VDI" localSheetId="60">'[9]Служебный ОВ'!$L$10:$L$14</definedName>
    <definedName name="OV_VDI" localSheetId="66">'[9]Служебный ОВ'!$L$10:$L$14</definedName>
    <definedName name="OV_VDI" localSheetId="55">'[9]Служебный ОВ'!$L$10:$L$14</definedName>
    <definedName name="OV_VDI" localSheetId="69">'[9]Служебный ОВ'!$L$10:$L$14</definedName>
    <definedName name="OV_VDI" localSheetId="48">'[9]Служебный ОВ'!$L$10:$L$14</definedName>
    <definedName name="OV_VDI" localSheetId="46">'[9]Служебный ОВ'!$L$10:$L$14</definedName>
    <definedName name="OV_VDI" localSheetId="72">'[9]Служебный ОВ'!$L$10:$L$14</definedName>
    <definedName name="OV_VDI" localSheetId="52">'[9]Служебный ОВ'!$L$10:$L$14</definedName>
    <definedName name="OV_VDI" localSheetId="56">'[9]Служебный ОВ'!$L$10:$L$14</definedName>
    <definedName name="OV_VDI" localSheetId="53">'[9]Служебный ОВ'!$L$10:$L$14</definedName>
    <definedName name="OV_VDI" localSheetId="67">'[9]Служебный ОВ'!$L$10:$L$14</definedName>
    <definedName name="OV_VDI" localSheetId="74">'[9]Служебный ОВ'!$L$10:$L$14</definedName>
    <definedName name="OV_VDI" localSheetId="70">'[9]Служебный ОВ'!$L$10:$L$14</definedName>
    <definedName name="OV_VDI" localSheetId="63">'[9]Служебный ОВ'!$L$10:$L$14</definedName>
    <definedName name="OV_VDI" localSheetId="71">'[9]Служебный ОВ'!$L$10:$L$14</definedName>
    <definedName name="OV_VDI" localSheetId="47">'[9]Служебный ОВ'!$L$10:$L$14</definedName>
    <definedName name="OV_VDI" localSheetId="49">'[9]Служебный ОВ'!$L$10:$L$14</definedName>
    <definedName name="OV_VDI" localSheetId="73">'[9]Служебный ОВ'!$L$10:$L$14</definedName>
    <definedName name="OV_VDI">'Служебный ОВ'!$L$10:$L$14</definedName>
    <definedName name="OV_VM" localSheetId="61">'[9]Служебный ОВ'!$AA$10:$AA$13</definedName>
    <definedName name="OV_VM" localSheetId="45">'[9]Служебный ОВ'!$AA$10:$AA$13</definedName>
    <definedName name="OV_VM" localSheetId="68">'[9]Служебный ОВ'!$AA$10:$AA$13</definedName>
    <definedName name="OV_VM" localSheetId="54">'[9]Служебный ОВ'!$AA$10:$AA$13</definedName>
    <definedName name="OV_VM" localSheetId="62">'[9]Служебный ОВ'!$AA$10:$AA$13</definedName>
    <definedName name="OV_VM" localSheetId="59">'[9]Служебный ОВ'!$AA$10:$AA$13</definedName>
    <definedName name="OV_VM" localSheetId="50">'[9]Служебный ОВ'!$AA$10:$AA$13</definedName>
    <definedName name="OV_VM" localSheetId="64">'[9]Служебный ОВ'!$AA$10:$AA$13</definedName>
    <definedName name="OV_VM" localSheetId="51">'[9]Служебный ОВ'!$AA$10:$AA$13</definedName>
    <definedName name="OV_VM" localSheetId="65">'[9]Служебный ОВ'!$AA$10:$AA$13</definedName>
    <definedName name="OV_VM" localSheetId="57">'[9]Служебный ОВ'!$AA$10:$AA$13</definedName>
    <definedName name="OV_VM" localSheetId="58">'[9]Служебный ОВ'!$AA$10:$AA$13</definedName>
    <definedName name="OV_VM" localSheetId="60">'[9]Служебный ОВ'!$AA$10:$AA$13</definedName>
    <definedName name="OV_VM" localSheetId="66">'[9]Служебный ОВ'!$AA$10:$AA$13</definedName>
    <definedName name="OV_VM" localSheetId="55">'[9]Служебный ОВ'!$AA$10:$AA$13</definedName>
    <definedName name="OV_VM" localSheetId="69">'[9]Служебный ОВ'!$AA$10:$AA$13</definedName>
    <definedName name="OV_VM" localSheetId="48">'[9]Служебный ОВ'!$AA$10:$AA$13</definedName>
    <definedName name="OV_VM" localSheetId="46">'[9]Служебный ОВ'!$AA$10:$AA$13</definedName>
    <definedName name="OV_VM" localSheetId="72">'[9]Служебный ОВ'!$AA$10:$AA$13</definedName>
    <definedName name="OV_VM" localSheetId="52">'[9]Служебный ОВ'!$AA$10:$AA$13</definedName>
    <definedName name="OV_VM" localSheetId="56">'[9]Служебный ОВ'!$AA$10:$AA$13</definedName>
    <definedName name="OV_VM" localSheetId="53">'[9]Служебный ОВ'!$AA$10:$AA$13</definedName>
    <definedName name="OV_VM" localSheetId="67">'[9]Служебный ОВ'!$AA$10:$AA$13</definedName>
    <definedName name="OV_VM" localSheetId="74">'[9]Служебный ОВ'!$AA$10:$AA$13</definedName>
    <definedName name="OV_VM" localSheetId="70">'[9]Служебный ОВ'!$AA$10:$AA$13</definedName>
    <definedName name="OV_VM" localSheetId="63">'[9]Служебный ОВ'!$AA$10:$AA$13</definedName>
    <definedName name="OV_VM" localSheetId="71">'[9]Служебный ОВ'!$AA$10:$AA$13</definedName>
    <definedName name="OV_VM" localSheetId="47">'[9]Служебный ОВ'!$AA$10:$AA$13</definedName>
    <definedName name="OV_VM" localSheetId="49">'[9]Служебный ОВ'!$AA$10:$AA$13</definedName>
    <definedName name="OV_VM" localSheetId="73">'[9]Служебный ОВ'!$AA$10:$AA$13</definedName>
    <definedName name="OV_VM">'Служебный ОВ'!$AA$10:$AA$13</definedName>
    <definedName name="OV_WAF" localSheetId="61">'[9]Служебный ОВ'!$T$10:$T$12</definedName>
    <definedName name="OV_WAF" localSheetId="45">'[9]Служебный ОВ'!$T$10:$T$12</definedName>
    <definedName name="OV_WAF" localSheetId="68">'[9]Служебный ОВ'!$T$10:$T$12</definedName>
    <definedName name="OV_WAF" localSheetId="54">'[9]Служебный ОВ'!$T$10:$T$12</definedName>
    <definedName name="OV_WAF" localSheetId="62">'[9]Служебный ОВ'!$T$10:$T$12</definedName>
    <definedName name="OV_WAF" localSheetId="59">'[9]Служебный ОВ'!$T$10:$T$12</definedName>
    <definedName name="OV_WAF" localSheetId="50">'[9]Служебный ОВ'!$T$10:$T$12</definedName>
    <definedName name="OV_WAF" localSheetId="64">'[9]Служебный ОВ'!$T$10:$T$12</definedName>
    <definedName name="OV_WAF" localSheetId="51">'[9]Служебный ОВ'!$T$10:$T$12</definedName>
    <definedName name="OV_WAF" localSheetId="65">'[9]Служебный ОВ'!$T$10:$T$12</definedName>
    <definedName name="OV_WAF" localSheetId="57">'[9]Служебный ОВ'!$T$10:$T$12</definedName>
    <definedName name="OV_WAF" localSheetId="58">'[9]Служебный ОВ'!$T$10:$T$12</definedName>
    <definedName name="OV_WAF" localSheetId="60">'[9]Служебный ОВ'!$T$10:$T$12</definedName>
    <definedName name="OV_WAF" localSheetId="66">'[9]Служебный ОВ'!$T$10:$T$12</definedName>
    <definedName name="OV_WAF" localSheetId="55">'[9]Служебный ОВ'!$T$10:$T$12</definedName>
    <definedName name="OV_WAF" localSheetId="69">'[9]Служебный ОВ'!$T$10:$T$12</definedName>
    <definedName name="OV_WAF" localSheetId="48">'[9]Служебный ОВ'!$T$10:$T$12</definedName>
    <definedName name="OV_WAF" localSheetId="46">'[9]Служебный ОВ'!$T$10:$T$12</definedName>
    <definedName name="OV_WAF" localSheetId="72">'[9]Служебный ОВ'!$T$10:$T$12</definedName>
    <definedName name="OV_WAF" localSheetId="52">'[9]Служебный ОВ'!$T$10:$T$12</definedName>
    <definedName name="OV_WAF" localSheetId="56">'[9]Служебный ОВ'!$T$10:$T$12</definedName>
    <definedName name="OV_WAF" localSheetId="53">'[9]Служебный ОВ'!$T$10:$T$12</definedName>
    <definedName name="OV_WAF" localSheetId="67">'[9]Служебный ОВ'!$T$10:$T$12</definedName>
    <definedName name="OV_WAF" localSheetId="74">'[9]Служебный ОВ'!$T$10:$T$12</definedName>
    <definedName name="OV_WAF" localSheetId="70">'[9]Служебный ОВ'!$T$10:$T$12</definedName>
    <definedName name="OV_WAF" localSheetId="63">'[9]Служебный ОВ'!$T$10:$T$12</definedName>
    <definedName name="OV_WAF" localSheetId="71">'[9]Служебный ОВ'!$T$10:$T$12</definedName>
    <definedName name="OV_WAF" localSheetId="47">'[9]Служебный ОВ'!$T$10:$T$12</definedName>
    <definedName name="OV_WAF" localSheetId="49">'[9]Служебный ОВ'!$T$10:$T$12</definedName>
    <definedName name="OV_WAF" localSheetId="73">'[9]Служебный ОВ'!$T$10:$T$12</definedName>
    <definedName name="OV_WAF">'Служебный ОВ'!$T$10:$T$12</definedName>
    <definedName name="OV_Worker" localSheetId="61">'[9]Служебный ОВ'!$A$2:$A$6</definedName>
    <definedName name="OV_Worker" localSheetId="45">'[9]Служебный ОВ'!$A$2:$A$6</definedName>
    <definedName name="OV_Worker" localSheetId="68">'[9]Служебный ОВ'!$A$2:$A$6</definedName>
    <definedName name="OV_Worker" localSheetId="54">'[9]Служебный ОВ'!$A$2:$A$6</definedName>
    <definedName name="OV_Worker" localSheetId="62">'[9]Служебный ОВ'!$A$2:$A$6</definedName>
    <definedName name="OV_Worker" localSheetId="59">'[9]Служебный ОВ'!$A$2:$A$6</definedName>
    <definedName name="OV_Worker" localSheetId="50">'[9]Служебный ОВ'!$A$2:$A$6</definedName>
    <definedName name="OV_Worker" localSheetId="64">'[9]Служебный ОВ'!$A$2:$A$6</definedName>
    <definedName name="OV_Worker" localSheetId="51">'[9]Служебный ОВ'!$A$2:$A$6</definedName>
    <definedName name="OV_Worker" localSheetId="65">'[9]Служебный ОВ'!$A$2:$A$6</definedName>
    <definedName name="OV_Worker" localSheetId="57">'[9]Служебный ОВ'!$A$2:$A$6</definedName>
    <definedName name="OV_Worker" localSheetId="58">'[9]Служебный ОВ'!$A$2:$A$6</definedName>
    <definedName name="OV_Worker" localSheetId="60">'[9]Служебный ОВ'!$A$2:$A$6</definedName>
    <definedName name="OV_Worker" localSheetId="66">'[9]Служебный ОВ'!$A$2:$A$6</definedName>
    <definedName name="OV_Worker" localSheetId="55">'[9]Служебный ОВ'!$A$2:$A$6</definedName>
    <definedName name="OV_Worker" localSheetId="69">'[9]Служебный ОВ'!$A$2:$A$6</definedName>
    <definedName name="OV_Worker" localSheetId="48">'[9]Служебный ОВ'!$A$2:$A$6</definedName>
    <definedName name="OV_Worker" localSheetId="46">'[9]Служебный ОВ'!$A$2:$A$6</definedName>
    <definedName name="OV_Worker" localSheetId="72">'[9]Служебный ОВ'!$A$2:$A$6</definedName>
    <definedName name="OV_Worker" localSheetId="52">'[9]Служебный ОВ'!$A$2:$A$6</definedName>
    <definedName name="OV_Worker" localSheetId="56">'[9]Служебный ОВ'!$A$2:$A$6</definedName>
    <definedName name="OV_Worker" localSheetId="53">'[9]Служебный ОВ'!$A$2:$A$6</definedName>
    <definedName name="OV_Worker" localSheetId="67">'[9]Служебный ОВ'!$A$2:$A$6</definedName>
    <definedName name="OV_Worker" localSheetId="74">'[9]Служебный ОВ'!$A$2:$A$6</definedName>
    <definedName name="OV_Worker" localSheetId="70">'[9]Служебный ОВ'!$A$2:$A$6</definedName>
    <definedName name="OV_Worker" localSheetId="63">'[9]Служебный ОВ'!$A$2:$A$6</definedName>
    <definedName name="OV_Worker" localSheetId="71">'[9]Служебный ОВ'!$A$2:$A$6</definedName>
    <definedName name="OV_Worker" localSheetId="47">'[9]Служебный ОВ'!$A$2:$A$6</definedName>
    <definedName name="OV_Worker" localSheetId="49">'[9]Служебный ОВ'!$A$2:$A$6</definedName>
    <definedName name="OV_Worker" localSheetId="73">'[9]Служебный ОВ'!$A$2:$A$6</definedName>
    <definedName name="OV_Worker">'Служебный ОВ'!$A$2:$A$6</definedName>
    <definedName name="PRTYPE_list_ASUTP" localSheetId="20">'[5]Служебный АСУТП'!$B$2:$B$4</definedName>
    <definedName name="PRTYPE_list_ASUTP" localSheetId="21">'[5]Служебный АСУТП'!$B$2:$B$4</definedName>
    <definedName name="PRTYPE_list_ASUTP">'Служебный АСУТП'!$B$2:$B$4</definedName>
    <definedName name="Solutions">'[1]Служебный ОП'!$J$3:$J$51</definedName>
    <definedName name="Speci" localSheetId="61">'Служебный ОВ'!$D$2:$D$6</definedName>
    <definedName name="Speci" localSheetId="45">'[9]Служебный ОВ'!$D$2:$D$6</definedName>
    <definedName name="Speci" localSheetId="68">'[9]Служебный ОВ'!$D$2:$D$6</definedName>
    <definedName name="Speci" localSheetId="54">'[9]Служебный ОВ'!$D$2:$D$6</definedName>
    <definedName name="Speci" localSheetId="62">'[9]Служебный ОВ'!$D$2:$D$6</definedName>
    <definedName name="Speci" localSheetId="59">'[9]Служебный ОВ'!$D$2:$D$6</definedName>
    <definedName name="Speci" localSheetId="50">'[9]Служебный ОВ'!$D$2:$D$6</definedName>
    <definedName name="Speci" localSheetId="64">'[9]Служебный ОВ'!$D$2:$D$6</definedName>
    <definedName name="Speci" localSheetId="51">'[9]Служебный ОВ'!$D$2:$D$6</definedName>
    <definedName name="Speci" localSheetId="65">'[9]Служебный ОВ'!$D$2:$D$6</definedName>
    <definedName name="Speci" localSheetId="57">'[9]Служебный ОВ'!$D$2:$D$6</definedName>
    <definedName name="Speci" localSheetId="58">'[9]Служебный ОВ'!$D$2:$D$6</definedName>
    <definedName name="Speci" localSheetId="60">'[9]Служебный ОВ'!$D$2:$D$6</definedName>
    <definedName name="Speci" localSheetId="66">'[9]Служебный ОВ'!$D$2:$D$6</definedName>
    <definedName name="Speci" localSheetId="55">'[9]Служебный ОВ'!$D$2:$D$6</definedName>
    <definedName name="Speci" localSheetId="69">'[9]Служебный ОВ'!$D$2:$D$6</definedName>
    <definedName name="Speci" localSheetId="48">'[9]Служебный ОВ'!$D$2:$D$6</definedName>
    <definedName name="Speci" localSheetId="46">'[9]Служебный ОВ'!$D$2:$D$6</definedName>
    <definedName name="Speci" localSheetId="72">'[9]Служебный ОВ'!$D$2:$D$6</definedName>
    <definedName name="Speci" localSheetId="52">'[9]Служебный ОВ'!$D$2:$D$6</definedName>
    <definedName name="Speci" localSheetId="56">'[9]Служебный ОВ'!$D$2:$D$6</definedName>
    <definedName name="Speci" localSheetId="53">'[9]Служебный ОВ'!$D$2:$D$6</definedName>
    <definedName name="Speci" localSheetId="67">'[9]Служебный ОВ'!$D$2:$D$6</definedName>
    <definedName name="Speci" localSheetId="74">'[9]Служебный ОВ'!$D$2:$D$6</definedName>
    <definedName name="Speci" localSheetId="70">'[9]Служебный ОВ'!$D$2:$D$6</definedName>
    <definedName name="Speci" localSheetId="63">'[9]Служебный ОВ'!$D$2:$D$6</definedName>
    <definedName name="Speci" localSheetId="71">'[9]Служебный ОВ'!$D$2:$D$6</definedName>
    <definedName name="Speci" localSheetId="47">'[9]Служебный ОВ'!$D$2:$D$6</definedName>
    <definedName name="Speci" localSheetId="49">'[9]Служебный ОВ'!$D$2:$D$6</definedName>
    <definedName name="Speci" localSheetId="73">'[9]Служебный ОВ'!$D$2:$D$6</definedName>
    <definedName name="Speci">'Служебный ОВ'!$D$2:$D$6</definedName>
    <definedName name="VM_ASO" localSheetId="6">'[4]Служебный АСУТП'!$AG$2:$AG$3</definedName>
    <definedName name="VM_ASO" localSheetId="4">'[3]Служебный АСУТП'!$AH$2:$AH$3</definedName>
    <definedName name="VM_ASO" localSheetId="5">'[4]Служебный АСУТП'!$AG$2:$AG$3</definedName>
    <definedName name="VM_ASO">'Служебный АСУТП'!$AH$2:$AH$3</definedName>
    <definedName name="VM_SPO" localSheetId="6">'[4]Служебный АСУТП'!$AF$2:$AF$5</definedName>
    <definedName name="VM_SPO" localSheetId="4">'[3]Служебный АСУТП'!$AG$2:$AG$5</definedName>
    <definedName name="VM_SPO" localSheetId="5">'[4]Служебный АСУТП'!$AF$2:$AF$5</definedName>
    <definedName name="VM_SPO">'Служебный АСУТП'!$AG$2:$AG$5</definedName>
    <definedName name="VM_ZSV" localSheetId="6">'[4]Служебный АСУТП'!$AE$2:$AE$7</definedName>
    <definedName name="VM_ZSV" localSheetId="4">'[3]Служебный АСУТП'!$AF$2:$AF$7</definedName>
    <definedName name="VM_ZSV" localSheetId="5">'[4]Служебный АСУТП'!$AE$2:$AE$7</definedName>
    <definedName name="VM_ZSV">'Служебный АСУТП'!$AF$2:$AF$7</definedName>
    <definedName name="Z_18A094BB_EA3E_4938_9069_21F549B37E23_.wvu.Cols" localSheetId="2" hidden="1">ТрЗ_ОП!$AE:$AO</definedName>
    <definedName name="Z_A1A876F1_3EAA_4E5F_BD51_8B131AB8854B_.wvu.Cols" localSheetId="2" hidden="1">ТрЗ_ОП!$AE:$AO</definedName>
    <definedName name="Z_B91A3F61_3B23_46E3_9B55_19B17EB6638A_.wvu.Cols" localSheetId="2" hidden="1">ТрЗ_ОП!$AE:$AO</definedName>
    <definedName name="Z_F5CB9414_DBF4_48FF_9213_FFE745451535_.wvu.Cols" localSheetId="2" hidden="1">ТрЗ_ОП!$AE:$AO</definedName>
    <definedName name="ВА">'Документы АСУТП'!$CV$18</definedName>
    <definedName name="Варианты" localSheetId="42">[10]!Таблица2[Варианты]</definedName>
    <definedName name="Варианты" localSheetId="43">[10]!Таблица2[Варианты]</definedName>
    <definedName name="Варианты" localSheetId="25">[10]!Таблица2[Варианты]</definedName>
    <definedName name="Варианты" localSheetId="36">[10]!Таблица2[Варианты]</definedName>
    <definedName name="Варианты" localSheetId="27">[10]!Таблица2[Варианты]</definedName>
    <definedName name="Варианты" localSheetId="39">[10]!Таблица2[Варианты]</definedName>
    <definedName name="Варианты" localSheetId="38">[10]!Таблица2[Варианты]</definedName>
    <definedName name="Варианты" localSheetId="37">[10]!Таблица2[Варианты]</definedName>
    <definedName name="Варианты" localSheetId="41">[10]!Таблица2[Варианты]</definedName>
    <definedName name="Варианты" localSheetId="40">[10]!Таблица2[Варианты]</definedName>
    <definedName name="Варианты" localSheetId="26">[10]!Таблица2[Варианты]</definedName>
    <definedName name="Варианты" localSheetId="34">[10]!Таблица2[Варианты]</definedName>
    <definedName name="Варианты" localSheetId="33">[10]!Таблица2[Варианты]</definedName>
    <definedName name="Варианты" localSheetId="35">[10]!Таблица2[Варианты]</definedName>
    <definedName name="Варианты" localSheetId="31">[10]!Таблица2[Варианты]</definedName>
    <definedName name="Варианты" localSheetId="29">[10]!Таблица2[Варианты]</definedName>
    <definedName name="Варианты" localSheetId="32">[10]!Таблица2[Варианты]</definedName>
    <definedName name="Варианты" localSheetId="30">[10]!Таблица2[Варианты]</definedName>
    <definedName name="Варианты" localSheetId="24">[10]!Таблица2[Варианты]</definedName>
    <definedName name="Варианты">Таблица2[Варианты]</definedName>
    <definedName name="Командировки_ОП">Таблица2[Варианты]</definedName>
    <definedName name="л">'Служебный АСУТП'!$E$2</definedName>
    <definedName name="Обследование">'[1]Служебный ОП'!$N$2:$N$4</definedName>
    <definedName name="Отделы" localSheetId="20">'[5]Служебный АСУТП'!$R$1:$R$3</definedName>
    <definedName name="Отделы" localSheetId="80">'[6]Служебный АСУТП'!$R$1:$R$2</definedName>
    <definedName name="Отделы" localSheetId="6">'[4]Служебный АСУТП'!$AH$1:$AH$4</definedName>
    <definedName name="Отделы" localSheetId="14">'[7]Служебный АСУТП'!$R$1:$R$2</definedName>
    <definedName name="Отделы" localSheetId="21">'[5]Служебный АСУТП'!$R$1:$R$3</definedName>
    <definedName name="Отделы" localSheetId="79">'[6]Служебный АСУТП'!$R$1:$R$2</definedName>
    <definedName name="Отделы" localSheetId="9">'[7]Служебный АСУТП'!$R$1:$R$2</definedName>
    <definedName name="Отделы" localSheetId="5">'[8]Служебный АСУТП'!$R$1:$R$2</definedName>
    <definedName name="Отделы">'Служебный АСУТП'!$AI$1:$AI$4</definedName>
    <definedName name="Сложность" localSheetId="42">[10]!Таблица1[Сложность]</definedName>
    <definedName name="Сложность" localSheetId="43">[10]!Таблица1[Сложность]</definedName>
    <definedName name="Сложность" localSheetId="25">[10]!Таблица1[Сложность]</definedName>
    <definedName name="Сложность" localSheetId="36">[10]!Таблица1[Сложность]</definedName>
    <definedName name="Сложность" localSheetId="27">[10]!Таблица1[Сложность]</definedName>
    <definedName name="Сложность" localSheetId="39">[10]!Таблица1[Сложность]</definedName>
    <definedName name="Сложность" localSheetId="38">[10]!Таблица1[Сложность]</definedName>
    <definedName name="Сложность" localSheetId="37">[10]!Таблица1[Сложность]</definedName>
    <definedName name="Сложность" localSheetId="41">[10]!Таблица1[Сложность]</definedName>
    <definedName name="Сложность" localSheetId="40">[10]!Таблица1[Сложность]</definedName>
    <definedName name="Сложность" localSheetId="26">[10]!Таблица1[Сложность]</definedName>
    <definedName name="Сложность" localSheetId="34">[10]!Таблица1[Сложность]</definedName>
    <definedName name="Сложность" localSheetId="33">[10]!Таблица1[Сложность]</definedName>
    <definedName name="Сложность" localSheetId="35">[10]!Таблица1[Сложность]</definedName>
    <definedName name="Сложность" localSheetId="31">[10]!Таблица1[Сложность]</definedName>
    <definedName name="Сложность" localSheetId="29">[10]!Таблица1[Сложность]</definedName>
    <definedName name="Сложность" localSheetId="32">[10]!Таблица1[Сложность]</definedName>
    <definedName name="Сложность" localSheetId="30">[10]!Таблица1[Сложность]</definedName>
    <definedName name="Сложность" localSheetId="24">[10]!Таблица1[Сложность]</definedName>
    <definedName name="Сложность">Таблица1[Сложность]</definedName>
    <definedName name="Специалисты" localSheetId="91">'Служебный АСУТП'!#REF!</definedName>
    <definedName name="Специалисты" localSheetId="85">'Служебный АСУТП'!#REF!</definedName>
    <definedName name="Специалисты" localSheetId="80">'[6]Служебный АСУТП'!#REF!</definedName>
    <definedName name="Специалисты" localSheetId="84">'Служебный АСУТП'!#REF!</definedName>
    <definedName name="Специалисты" localSheetId="6">'[4]Служебный АСУТП'!#REF!</definedName>
    <definedName name="Специалисты" localSheetId="14">'[7]Служебный АСУТП'!#REF!</definedName>
    <definedName name="Специалисты" localSheetId="0">[1]!Таблица4[Специалисты]</definedName>
    <definedName name="Специалисты" localSheetId="4">'[3]Служебный АСУТП'!#REF!</definedName>
    <definedName name="Специалисты" localSheetId="79">'[6]Служебный АСУТП'!#REF!</definedName>
    <definedName name="Специалисты" localSheetId="12">[1]!Таблица4[Специалисты]</definedName>
    <definedName name="Специалисты" localSheetId="9">'[7]Служебный АСУТП'!#REF!</definedName>
    <definedName name="Специалисты" localSheetId="5">'[8]Служебный АСУТП'!#REF!</definedName>
    <definedName name="Специалисты">'Служебный АСУТП'!#REF!</definedName>
    <definedName name="Стадии" localSheetId="91">'Служебный АСУТП'!#REF!</definedName>
    <definedName name="Стадии" localSheetId="85">'Служебный АСУТП'!#REF!</definedName>
    <definedName name="Стадии" localSheetId="80">'[6]Служебный АСУТП'!#REF!</definedName>
    <definedName name="Стадии" localSheetId="84">'Служебный АСУТП'!#REF!</definedName>
    <definedName name="Стадии" localSheetId="6">'[4]Служебный АСУТП'!#REF!</definedName>
    <definedName name="Стадии" localSheetId="14">'[7]Служебный АСУТП'!#REF!</definedName>
    <definedName name="Стадии" localSheetId="0">[1]Служебный!$H$3:$H$15</definedName>
    <definedName name="Стадии" localSheetId="4">'[3]Служебный АСУТП'!#REF!</definedName>
    <definedName name="Стадии" localSheetId="79">'[6]Служебный АСУТП'!#REF!</definedName>
    <definedName name="Стадии" localSheetId="12">[1]Служебный!$H$3:$H$15</definedName>
    <definedName name="Стадии" localSheetId="9">'[7]Служебный АСУТП'!#REF!</definedName>
    <definedName name="Стадии" localSheetId="5">'[8]Служебный АСУТП'!#REF!</definedName>
    <definedName name="Стадии">'Служебный АСУТП'!#REF!</definedName>
    <definedName name="Тип_Проекта">[1]СЗИ!$B$1:$I$1</definedName>
  </definedNames>
  <calcPr calcId="191029"/>
  <customWorkbookViews>
    <customWorkbookView name="Добровольский Максим Васильевич - Личное представление" guid="{B91A3F61-3B23-46E3-9B55-19B17EB6638A}" mergeInterval="0" personalView="1" maximized="1" xWindow="-11" yWindow="-11" windowWidth="1942" windowHeight="1042" activeSheetId="11"/>
    <customWorkbookView name="Горбачев Александр Максимович - Личное представление" guid="{F5CB9414-DBF4-48FF-9213-FFE745451535}" mergeInterval="0" personalView="1" maximized="1" xWindow="-11" yWindow="-11" windowWidth="1942" windowHeight="1042" activeSheetId="1"/>
    <customWorkbookView name="Пилюгина Карина Нематовна - Личное представление" guid="{A1A876F1-3EAA-4E5F-BD51-8B131AB8854B}" mergeInterval="0" personalView="1" maximized="1" xWindow="-8" yWindow="-8" windowWidth="1936" windowHeight="1056" activeSheetId="11"/>
    <customWorkbookView name="Строкатов Антон Анатольевич - Личное представление" guid="{18A094BB-EA3E-4938-9069-21F549B37E23}" mergeInterval="0" personalView="1" maximized="1" xWindow="-8" yWindow="-8" windowWidth="1798" windowHeight="1096" activeSheetId="24"/>
  </customWorkbookView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0" i="15" l="1"/>
  <c r="F10" i="15"/>
  <c r="F9" i="15"/>
  <c r="E95" i="14"/>
  <c r="F92" i="14"/>
  <c r="D79" i="14"/>
  <c r="A200" i="51" l="1"/>
  <c r="A197" i="51"/>
  <c r="A194" i="51"/>
  <c r="A191" i="51"/>
  <c r="A188" i="51"/>
  <c r="A185" i="51"/>
  <c r="A182" i="51"/>
  <c r="A179" i="51"/>
  <c r="A176" i="51"/>
  <c r="A173" i="51"/>
  <c r="A170" i="51"/>
  <c r="A167" i="51"/>
  <c r="A164" i="51"/>
  <c r="A161" i="51"/>
  <c r="A158" i="51"/>
  <c r="A155" i="51"/>
  <c r="A152" i="51"/>
  <c r="A149" i="51"/>
  <c r="A146" i="51"/>
  <c r="A143" i="51"/>
  <c r="A140" i="51"/>
  <c r="A137" i="51"/>
  <c r="A134" i="51"/>
  <c r="A131" i="51"/>
  <c r="A128" i="51"/>
  <c r="A125" i="51"/>
  <c r="A122" i="51"/>
  <c r="A119" i="51"/>
  <c r="A116" i="51"/>
  <c r="A113" i="51"/>
  <c r="D1" i="51"/>
  <c r="L38" i="59"/>
  <c r="H38" i="59"/>
  <c r="D38" i="59" l="1"/>
  <c r="A200" i="59"/>
  <c r="A197" i="59"/>
  <c r="A194" i="59"/>
  <c r="A191" i="59"/>
  <c r="A188" i="59"/>
  <c r="A185" i="59"/>
  <c r="A182" i="59"/>
  <c r="A179" i="59"/>
  <c r="A176" i="59"/>
  <c r="A173" i="59"/>
  <c r="A170" i="59"/>
  <c r="A167" i="59"/>
  <c r="A164" i="59"/>
  <c r="A161" i="59"/>
  <c r="A158" i="59"/>
  <c r="A155" i="59"/>
  <c r="A152" i="59"/>
  <c r="A149" i="59"/>
  <c r="A146" i="59"/>
  <c r="A143" i="59"/>
  <c r="A140" i="59"/>
  <c r="A137" i="59"/>
  <c r="A134" i="59"/>
  <c r="A131" i="59"/>
  <c r="A128" i="59"/>
  <c r="A125" i="59"/>
  <c r="A122" i="59"/>
  <c r="A119" i="59"/>
  <c r="A116" i="59"/>
  <c r="A113" i="59"/>
  <c r="H38" i="57"/>
  <c r="AF54" i="14"/>
  <c r="AB54" i="14"/>
  <c r="X54" i="14"/>
  <c r="T54" i="14"/>
  <c r="P54" i="14"/>
  <c r="L54" i="14"/>
  <c r="H54" i="14"/>
  <c r="D38" i="57"/>
  <c r="A200" i="57"/>
  <c r="A197" i="57"/>
  <c r="A194" i="57"/>
  <c r="A191" i="57"/>
  <c r="A188" i="57"/>
  <c r="A185" i="57"/>
  <c r="A182" i="57"/>
  <c r="A179" i="57"/>
  <c r="A176" i="57"/>
  <c r="A173" i="57"/>
  <c r="A170" i="57"/>
  <c r="A167" i="57"/>
  <c r="A164" i="57"/>
  <c r="A161" i="57"/>
  <c r="A158" i="57"/>
  <c r="A155" i="57"/>
  <c r="A152" i="57"/>
  <c r="A149" i="57"/>
  <c r="A146" i="57"/>
  <c r="A143" i="57"/>
  <c r="A140" i="57"/>
  <c r="A137" i="57"/>
  <c r="A134" i="57"/>
  <c r="A131" i="57"/>
  <c r="A128" i="57"/>
  <c r="A125" i="57"/>
  <c r="A122" i="57"/>
  <c r="A119" i="57"/>
  <c r="A116" i="57"/>
  <c r="A113" i="57"/>
  <c r="H38" i="15"/>
  <c r="B38" i="1"/>
  <c r="A200" i="15" l="1"/>
  <c r="A197" i="15"/>
  <c r="A194" i="15"/>
  <c r="A191" i="15"/>
  <c r="A188" i="15"/>
  <c r="A185" i="15"/>
  <c r="A182" i="15"/>
  <c r="A179" i="15"/>
  <c r="A176" i="15"/>
  <c r="A173" i="15"/>
  <c r="A170" i="15"/>
  <c r="A167" i="15"/>
  <c r="A164" i="15"/>
  <c r="A161" i="15"/>
  <c r="A158" i="15"/>
  <c r="A155" i="15"/>
  <c r="A152" i="15"/>
  <c r="A149" i="15"/>
  <c r="A146" i="15"/>
  <c r="A143" i="15"/>
  <c r="A140" i="15"/>
  <c r="A137" i="15"/>
  <c r="A134" i="15"/>
  <c r="A131" i="15"/>
  <c r="A128" i="15"/>
  <c r="A125" i="15"/>
  <c r="A122" i="15"/>
  <c r="A119" i="15"/>
  <c r="A116" i="15"/>
  <c r="A113" i="15"/>
  <c r="A116" i="14"/>
  <c r="A113" i="14"/>
  <c r="A200" i="14"/>
  <c r="A197" i="14"/>
  <c r="A194" i="14"/>
  <c r="A191" i="14"/>
  <c r="A188" i="14"/>
  <c r="A185" i="14"/>
  <c r="A182" i="14"/>
  <c r="A179" i="14"/>
  <c r="A176" i="14"/>
  <c r="A173" i="14"/>
  <c r="A170" i="14"/>
  <c r="A167" i="14"/>
  <c r="A164" i="14"/>
  <c r="A161" i="14"/>
  <c r="A158" i="14"/>
  <c r="A155" i="14"/>
  <c r="A152" i="14"/>
  <c r="A149" i="14"/>
  <c r="A146" i="14"/>
  <c r="A143" i="14"/>
  <c r="A140" i="14"/>
  <c r="A137" i="14"/>
  <c r="A134" i="14"/>
  <c r="A131" i="14"/>
  <c r="A128" i="14"/>
  <c r="A125" i="14"/>
  <c r="A122" i="14"/>
  <c r="A119" i="14"/>
  <c r="I4" i="36"/>
  <c r="H4" i="36"/>
  <c r="G4" i="36"/>
  <c r="F4" i="36"/>
  <c r="F6" i="36"/>
  <c r="G6" i="36"/>
  <c r="H6" i="36"/>
  <c r="I6" i="36"/>
  <c r="E94" i="1"/>
  <c r="C95" i="1"/>
  <c r="E95" i="1"/>
  <c r="D95" i="1"/>
  <c r="D94" i="1"/>
  <c r="E93" i="1"/>
  <c r="E92" i="1"/>
  <c r="D93" i="1"/>
  <c r="D92" i="1"/>
  <c r="C94" i="1"/>
  <c r="C93" i="1"/>
  <c r="C92" i="1"/>
  <c r="O92" i="1"/>
  <c r="O95" i="1"/>
  <c r="O96" i="1"/>
  <c r="O90" i="1"/>
  <c r="C6" i="1"/>
  <c r="B8" i="134" s="1"/>
  <c r="F8" i="134"/>
  <c r="H8" i="134"/>
  <c r="G8" i="134"/>
  <c r="E8" i="134"/>
  <c r="D8" i="134"/>
  <c r="D10" i="134" s="1"/>
  <c r="J24" i="36"/>
  <c r="J23" i="36"/>
  <c r="I8" i="134"/>
  <c r="I10" i="134" s="1"/>
  <c r="J5" i="134"/>
  <c r="K5" i="134" s="1"/>
  <c r="J4" i="134"/>
  <c r="L4" i="134" s="1"/>
  <c r="J3" i="134"/>
  <c r="K3" i="134" s="1"/>
  <c r="J2" i="134"/>
  <c r="M2" i="134" s="1"/>
  <c r="J95" i="36"/>
  <c r="J96" i="36"/>
  <c r="J94" i="36"/>
  <c r="J74" i="36"/>
  <c r="J75" i="36"/>
  <c r="J73" i="36"/>
  <c r="J49" i="36"/>
  <c r="J50" i="36"/>
  <c r="J48" i="36"/>
  <c r="J25" i="36"/>
  <c r="E203" i="36"/>
  <c r="C16" i="123"/>
  <c r="F92" i="1" l="1"/>
  <c r="G92" i="1" s="1"/>
  <c r="F95" i="1"/>
  <c r="G95" i="1" s="1"/>
  <c r="E10" i="134"/>
  <c r="J10" i="134" s="1"/>
  <c r="J14" i="134" s="1"/>
  <c r="D9" i="134"/>
  <c r="E9" i="134"/>
  <c r="K2" i="134"/>
  <c r="L3" i="134"/>
  <c r="M3" i="134"/>
  <c r="L2" i="134"/>
  <c r="I9" i="134"/>
  <c r="K4" i="134"/>
  <c r="L5" i="134"/>
  <c r="M5" i="134"/>
  <c r="I171" i="131"/>
  <c r="I152" i="131"/>
  <c r="J9" i="134" l="1"/>
  <c r="K10" i="134"/>
  <c r="M10" i="134"/>
  <c r="L10" i="134"/>
  <c r="F2" i="118"/>
  <c r="E2" i="118"/>
  <c r="B22" i="133"/>
  <c r="B16" i="133"/>
  <c r="B10" i="133"/>
  <c r="B16" i="119"/>
  <c r="B10" i="119"/>
  <c r="B2" i="118"/>
  <c r="B2" i="117"/>
  <c r="B2" i="116"/>
  <c r="B2" i="115"/>
  <c r="D11" i="36"/>
  <c r="L9" i="134" l="1"/>
  <c r="J13" i="134"/>
  <c r="K13" i="134" s="1"/>
  <c r="K9" i="134"/>
  <c r="M14" i="134"/>
  <c r="L14" i="134"/>
  <c r="K14" i="134"/>
  <c r="E171" i="36"/>
  <c r="E170" i="36"/>
  <c r="F94" i="1" l="1"/>
  <c r="G94" i="1" s="1"/>
  <c r="L13" i="134"/>
  <c r="F2" i="128"/>
  <c r="D2" i="118"/>
  <c r="I274" i="131"/>
  <c r="M274" i="131" s="1"/>
  <c r="H274" i="131"/>
  <c r="L274" i="131" s="1"/>
  <c r="I264" i="131"/>
  <c r="M264" i="131" s="1"/>
  <c r="I262" i="131"/>
  <c r="M262" i="131" s="1"/>
  <c r="H262" i="131"/>
  <c r="L262" i="131" s="1"/>
  <c r="G262" i="131"/>
  <c r="K262" i="131" s="1"/>
  <c r="I260" i="131"/>
  <c r="M260" i="131" s="1"/>
  <c r="H260" i="131"/>
  <c r="G260" i="131"/>
  <c r="K260" i="131" s="1"/>
  <c r="I243" i="131"/>
  <c r="M243" i="131" s="1"/>
  <c r="H243" i="131"/>
  <c r="L243" i="131" s="1"/>
  <c r="G243" i="131"/>
  <c r="K243" i="131" s="1"/>
  <c r="I242" i="131"/>
  <c r="M242" i="131" s="1"/>
  <c r="H242" i="131"/>
  <c r="L242" i="131" s="1"/>
  <c r="G242" i="131"/>
  <c r="K242" i="131" s="1"/>
  <c r="E22" i="133"/>
  <c r="D22" i="133"/>
  <c r="D16" i="133"/>
  <c r="F10" i="133"/>
  <c r="E10" i="133"/>
  <c r="D10" i="133"/>
  <c r="I196" i="131"/>
  <c r="I172" i="131"/>
  <c r="H172" i="131"/>
  <c r="L172" i="131" s="1"/>
  <c r="G172" i="131"/>
  <c r="K172" i="131" s="1"/>
  <c r="H171" i="131"/>
  <c r="G171" i="131"/>
  <c r="K171" i="131" s="1"/>
  <c r="F2" i="116"/>
  <c r="F124" i="116" s="1"/>
  <c r="E2" i="116"/>
  <c r="E105" i="116" s="1"/>
  <c r="D2" i="116"/>
  <c r="I121" i="131"/>
  <c r="M121" i="131" s="1"/>
  <c r="G12" i="116"/>
  <c r="I12" i="116" s="1"/>
  <c r="G11" i="116"/>
  <c r="I11" i="116" s="1"/>
  <c r="G10" i="116"/>
  <c r="H10" i="116" s="1"/>
  <c r="C9" i="116"/>
  <c r="C8" i="116"/>
  <c r="C7" i="116"/>
  <c r="C6" i="116"/>
  <c r="G6" i="116" s="1"/>
  <c r="I6" i="116" s="1"/>
  <c r="C5" i="116"/>
  <c r="G5" i="116" s="1"/>
  <c r="C4" i="116"/>
  <c r="G4" i="116" s="1"/>
  <c r="I4" i="116" s="1"/>
  <c r="D10" i="120"/>
  <c r="I157" i="131"/>
  <c r="M157" i="131" s="1"/>
  <c r="I156" i="131"/>
  <c r="M156" i="131" s="1"/>
  <c r="M152" i="131"/>
  <c r="M151" i="131" s="1"/>
  <c r="H116" i="131"/>
  <c r="L116" i="131" s="1"/>
  <c r="I93" i="131"/>
  <c r="M93" i="131" s="1"/>
  <c r="H93" i="131"/>
  <c r="L93" i="131" s="1"/>
  <c r="G93" i="131"/>
  <c r="K93" i="131" s="1"/>
  <c r="I48" i="131"/>
  <c r="H48" i="131"/>
  <c r="G48" i="131"/>
  <c r="K48" i="131" s="1"/>
  <c r="I46" i="131"/>
  <c r="M46" i="131" s="1"/>
  <c r="H46" i="131"/>
  <c r="L46" i="131" s="1"/>
  <c r="G46" i="131"/>
  <c r="I29" i="131"/>
  <c r="M29" i="131" s="1"/>
  <c r="H29" i="131"/>
  <c r="G29" i="131"/>
  <c r="K29" i="131" s="1"/>
  <c r="I23" i="131"/>
  <c r="M23" i="131" s="1"/>
  <c r="H23" i="131"/>
  <c r="L23" i="131" s="1"/>
  <c r="G23" i="131"/>
  <c r="K23" i="131" s="1"/>
  <c r="I14" i="131"/>
  <c r="M14" i="131" s="1"/>
  <c r="H14" i="131"/>
  <c r="L14" i="131" s="1"/>
  <c r="G14" i="131"/>
  <c r="K14" i="131" s="1"/>
  <c r="I13" i="131"/>
  <c r="M13" i="131" s="1"/>
  <c r="H13" i="131"/>
  <c r="L13" i="131" s="1"/>
  <c r="G13" i="131"/>
  <c r="K13" i="131" s="1"/>
  <c r="E10" i="119"/>
  <c r="F93" i="1" l="1"/>
  <c r="G93" i="1" s="1"/>
  <c r="J11" i="116"/>
  <c r="I116" i="131" s="1"/>
  <c r="M116" i="131" s="1"/>
  <c r="E33" i="116"/>
  <c r="E42" i="116"/>
  <c r="E57" i="116"/>
  <c r="E8" i="116"/>
  <c r="E18" i="116"/>
  <c r="E132" i="116"/>
  <c r="E59" i="116"/>
  <c r="E139" i="116"/>
  <c r="E31" i="116"/>
  <c r="E46" i="116"/>
  <c r="E48" i="116"/>
  <c r="E106" i="116"/>
  <c r="F33" i="116"/>
  <c r="F61" i="116"/>
  <c r="F110" i="116"/>
  <c r="F25" i="116"/>
  <c r="F53" i="116"/>
  <c r="F77" i="116"/>
  <c r="F43" i="116"/>
  <c r="F90" i="116"/>
  <c r="F138" i="116"/>
  <c r="F16" i="116"/>
  <c r="F27" i="116"/>
  <c r="F37" i="116"/>
  <c r="F65" i="116"/>
  <c r="F81" i="116"/>
  <c r="F94" i="116"/>
  <c r="F120" i="116"/>
  <c r="F133" i="116"/>
  <c r="F141" i="116"/>
  <c r="F41" i="116"/>
  <c r="F69" i="116"/>
  <c r="F84" i="116"/>
  <c r="F100" i="116"/>
  <c r="F128" i="116"/>
  <c r="F137" i="116"/>
  <c r="F18" i="116"/>
  <c r="F49" i="116"/>
  <c r="F59" i="116"/>
  <c r="F73" i="116"/>
  <c r="F86" i="116"/>
  <c r="E14" i="116"/>
  <c r="E27" i="116"/>
  <c r="E75" i="116"/>
  <c r="E86" i="116"/>
  <c r="E16" i="116"/>
  <c r="E20" i="116"/>
  <c r="E131" i="116"/>
  <c r="E133" i="116"/>
  <c r="E140" i="116"/>
  <c r="E7" i="116"/>
  <c r="E22" i="116"/>
  <c r="E29" i="116"/>
  <c r="E44" i="116"/>
  <c r="E61" i="116"/>
  <c r="E84" i="116"/>
  <c r="E88" i="116"/>
  <c r="E104" i="116"/>
  <c r="F135" i="116"/>
  <c r="F19" i="116"/>
  <c r="F24" i="116"/>
  <c r="F28" i="116"/>
  <c r="F40" i="116"/>
  <c r="F48" i="116"/>
  <c r="F56" i="116"/>
  <c r="F66" i="116"/>
  <c r="F74" i="116"/>
  <c r="F80" i="116"/>
  <c r="F89" i="116"/>
  <c r="F98" i="116"/>
  <c r="F125" i="116"/>
  <c r="F130" i="116"/>
  <c r="F21" i="116"/>
  <c r="F30" i="116"/>
  <c r="F36" i="116"/>
  <c r="F46" i="116"/>
  <c r="F52" i="116"/>
  <c r="F62" i="116"/>
  <c r="F70" i="116"/>
  <c r="F76" i="116"/>
  <c r="F87" i="116"/>
  <c r="F93" i="116"/>
  <c r="F102" i="116"/>
  <c r="F116" i="116"/>
  <c r="L260" i="131"/>
  <c r="J260" i="131" s="1"/>
  <c r="G241" i="131"/>
  <c r="K241" i="131"/>
  <c r="E89" i="36" s="1"/>
  <c r="J242" i="131"/>
  <c r="M241" i="131"/>
  <c r="E91" i="36" s="1"/>
  <c r="L241" i="131"/>
  <c r="E90" i="36" s="1"/>
  <c r="J243" i="131"/>
  <c r="J262" i="131"/>
  <c r="F242" i="131"/>
  <c r="F243" i="131"/>
  <c r="F260" i="131"/>
  <c r="F262" i="131"/>
  <c r="I241" i="131"/>
  <c r="H241" i="131"/>
  <c r="G170" i="131"/>
  <c r="F172" i="131"/>
  <c r="H170" i="131"/>
  <c r="K170" i="131"/>
  <c r="E64" i="36" s="1"/>
  <c r="L171" i="131"/>
  <c r="L170" i="131" s="1"/>
  <c r="E65" i="36" s="1"/>
  <c r="M172" i="131"/>
  <c r="M196" i="131"/>
  <c r="I155" i="131"/>
  <c r="M155" i="131"/>
  <c r="E101" i="116"/>
  <c r="F106" i="116"/>
  <c r="F112" i="116"/>
  <c r="F117" i="116"/>
  <c r="F127" i="116"/>
  <c r="F129" i="116"/>
  <c r="F132" i="116"/>
  <c r="F140" i="116"/>
  <c r="F14" i="116"/>
  <c r="F17" i="116"/>
  <c r="F22" i="116"/>
  <c r="F26" i="116"/>
  <c r="F31" i="116"/>
  <c r="F34" i="116"/>
  <c r="F38" i="116"/>
  <c r="F44" i="116"/>
  <c r="F47" i="116"/>
  <c r="F50" i="116"/>
  <c r="F54" i="116"/>
  <c r="F57" i="116"/>
  <c r="F60" i="116"/>
  <c r="F63" i="116"/>
  <c r="F67" i="116"/>
  <c r="F71" i="116"/>
  <c r="F78" i="116"/>
  <c r="F82" i="116"/>
  <c r="F85" i="116"/>
  <c r="F91" i="116"/>
  <c r="F96" i="116"/>
  <c r="F104" i="116"/>
  <c r="F108" i="116"/>
  <c r="F113" i="116"/>
  <c r="F118" i="116"/>
  <c r="F123" i="116"/>
  <c r="F121" i="116"/>
  <c r="F131" i="116"/>
  <c r="F134" i="116"/>
  <c r="F136" i="116"/>
  <c r="F139" i="116"/>
  <c r="F15" i="116"/>
  <c r="F20" i="116"/>
  <c r="F23" i="116"/>
  <c r="F29" i="116"/>
  <c r="F32" i="116"/>
  <c r="F35" i="116"/>
  <c r="F39" i="116"/>
  <c r="F42" i="116"/>
  <c r="F45" i="116"/>
  <c r="F51" i="116"/>
  <c r="F55" i="116"/>
  <c r="F58" i="116"/>
  <c r="F64" i="116"/>
  <c r="F68" i="116"/>
  <c r="F72" i="116"/>
  <c r="F75" i="116"/>
  <c r="F79" i="116"/>
  <c r="F83" i="116"/>
  <c r="F88" i="116"/>
  <c r="F92" i="116"/>
  <c r="F97" i="116"/>
  <c r="F101" i="116"/>
  <c r="F105" i="116"/>
  <c r="F109" i="116"/>
  <c r="F114" i="116"/>
  <c r="F119" i="116"/>
  <c r="E129" i="116"/>
  <c r="E130" i="116"/>
  <c r="E135" i="116"/>
  <c r="E9" i="116"/>
  <c r="E26" i="116"/>
  <c r="E28" i="116"/>
  <c r="E30" i="116"/>
  <c r="E32" i="116"/>
  <c r="E34" i="116"/>
  <c r="E41" i="116"/>
  <c r="E43" i="116"/>
  <c r="E45" i="116"/>
  <c r="E47" i="116"/>
  <c r="E49" i="116"/>
  <c r="E56" i="116"/>
  <c r="E58" i="116"/>
  <c r="E60" i="116"/>
  <c r="E74" i="116"/>
  <c r="E76" i="116"/>
  <c r="E83" i="116"/>
  <c r="E85" i="116"/>
  <c r="E87" i="116"/>
  <c r="E127" i="116"/>
  <c r="E128" i="116"/>
  <c r="E134" i="116"/>
  <c r="E141" i="116"/>
  <c r="E15" i="116"/>
  <c r="E17" i="116"/>
  <c r="E19" i="116"/>
  <c r="E21" i="116"/>
  <c r="E100" i="116"/>
  <c r="E102" i="116"/>
  <c r="I10" i="116"/>
  <c r="J4" i="116"/>
  <c r="H12" i="116"/>
  <c r="H11" i="116"/>
  <c r="G116" i="131" s="1"/>
  <c r="F116" i="131" s="1"/>
  <c r="J12" i="116"/>
  <c r="H6" i="116"/>
  <c r="J5" i="116"/>
  <c r="I114" i="131" s="1"/>
  <c r="M114" i="131" s="1"/>
  <c r="H5" i="116"/>
  <c r="G114" i="131" s="1"/>
  <c r="J6" i="116"/>
  <c r="H4" i="116"/>
  <c r="I5" i="116"/>
  <c r="H114" i="131" s="1"/>
  <c r="J93" i="131"/>
  <c r="F93" i="131"/>
  <c r="I151" i="131"/>
  <c r="L29" i="131"/>
  <c r="J29" i="131" s="1"/>
  <c r="F46" i="131"/>
  <c r="F48" i="131"/>
  <c r="M48" i="131"/>
  <c r="K46" i="131"/>
  <c r="L48" i="131"/>
  <c r="F29" i="131"/>
  <c r="J23" i="131"/>
  <c r="J14" i="131"/>
  <c r="F23" i="131"/>
  <c r="F14" i="131"/>
  <c r="F13" i="131"/>
  <c r="J13" i="131"/>
  <c r="J46" i="131" l="1"/>
  <c r="F241" i="131"/>
  <c r="J241" i="131"/>
  <c r="K116" i="131"/>
  <c r="J116" i="131" s="1"/>
  <c r="J172" i="131"/>
  <c r="K114" i="131"/>
  <c r="F114" i="131"/>
  <c r="L114" i="131"/>
  <c r="J48" i="131"/>
  <c r="J114" i="131" l="1"/>
  <c r="P16" i="116"/>
  <c r="O16" i="116"/>
  <c r="N16" i="116"/>
  <c r="M16" i="116"/>
  <c r="P15" i="116"/>
  <c r="O15" i="116"/>
  <c r="N15" i="116"/>
  <c r="M15" i="116"/>
  <c r="L15" i="116"/>
  <c r="P14" i="116"/>
  <c r="O14" i="116"/>
  <c r="N14" i="116"/>
  <c r="M14" i="116"/>
  <c r="O6" i="116"/>
  <c r="O5" i="116"/>
  <c r="O4" i="116"/>
  <c r="B23" i="1"/>
  <c r="L73" i="81"/>
  <c r="I73" i="81"/>
  <c r="G73" i="81"/>
  <c r="D73" i="81"/>
  <c r="Q73" i="81"/>
  <c r="Q39" i="81"/>
  <c r="Q83" i="81"/>
  <c r="D39" i="81"/>
  <c r="I39" i="81"/>
  <c r="G39" i="81"/>
  <c r="D83" i="81"/>
  <c r="C137" i="116" l="1"/>
  <c r="G137" i="116" s="1"/>
  <c r="C124" i="116"/>
  <c r="G124" i="116" s="1"/>
  <c r="C109" i="116"/>
  <c r="G109" i="116" s="1"/>
  <c r="C93" i="116"/>
  <c r="G93" i="116" s="1"/>
  <c r="C81" i="116"/>
  <c r="G81" i="116" s="1"/>
  <c r="C69" i="116"/>
  <c r="C57" i="116"/>
  <c r="G57" i="116" s="1"/>
  <c r="C45" i="116"/>
  <c r="G45" i="116" s="1"/>
  <c r="C33" i="116"/>
  <c r="C21" i="116"/>
  <c r="G21" i="116" s="1"/>
  <c r="C117" i="116"/>
  <c r="G117" i="116" s="1"/>
  <c r="C87" i="116"/>
  <c r="G87" i="116" s="1"/>
  <c r="C63" i="116"/>
  <c r="C39" i="116"/>
  <c r="C27" i="116"/>
  <c r="C15" i="116"/>
  <c r="C66" i="116"/>
  <c r="C54" i="116"/>
  <c r="G54" i="116" s="1"/>
  <c r="C42" i="116"/>
  <c r="G42" i="116" s="1"/>
  <c r="C30" i="116"/>
  <c r="G30" i="116" s="1"/>
  <c r="C18" i="116"/>
  <c r="G18" i="116" s="1"/>
  <c r="C140" i="116"/>
  <c r="G140" i="116" s="1"/>
  <c r="C128" i="116"/>
  <c r="G128" i="116" s="1"/>
  <c r="C113" i="116"/>
  <c r="G113" i="116" s="1"/>
  <c r="C97" i="116"/>
  <c r="G97" i="116" s="1"/>
  <c r="C84" i="116"/>
  <c r="G84" i="116" s="1"/>
  <c r="C72" i="116"/>
  <c r="C60" i="116"/>
  <c r="G60" i="116" s="1"/>
  <c r="C48" i="116"/>
  <c r="G48" i="116" s="1"/>
  <c r="C36" i="116"/>
  <c r="G36" i="116" s="1"/>
  <c r="C24" i="116"/>
  <c r="G24" i="116" s="1"/>
  <c r="C131" i="116"/>
  <c r="G131" i="116" s="1"/>
  <c r="C101" i="116"/>
  <c r="G101" i="116" s="1"/>
  <c r="C75" i="116"/>
  <c r="G75" i="116" s="1"/>
  <c r="C51" i="116"/>
  <c r="G51" i="116" s="1"/>
  <c r="C134" i="116"/>
  <c r="C120" i="116"/>
  <c r="G120" i="116" s="1"/>
  <c r="C105" i="116"/>
  <c r="G105" i="116" s="1"/>
  <c r="C90" i="116"/>
  <c r="G90" i="116" s="1"/>
  <c r="C78" i="116"/>
  <c r="G78" i="116" s="1"/>
  <c r="D33" i="116"/>
  <c r="D63" i="116"/>
  <c r="D134" i="116"/>
  <c r="D8" i="116"/>
  <c r="G8" i="116" s="1"/>
  <c r="D69" i="116"/>
  <c r="D66" i="116"/>
  <c r="D15" i="116"/>
  <c r="D72" i="116"/>
  <c r="D27" i="116"/>
  <c r="D39" i="116"/>
  <c r="C141" i="116"/>
  <c r="G141" i="116" s="1"/>
  <c r="C129" i="116"/>
  <c r="G129" i="116" s="1"/>
  <c r="C114" i="116"/>
  <c r="G114" i="116" s="1"/>
  <c r="C98" i="116"/>
  <c r="G98" i="116" s="1"/>
  <c r="C85" i="116"/>
  <c r="G85" i="116" s="1"/>
  <c r="C73" i="116"/>
  <c r="C61" i="116"/>
  <c r="G61" i="116" s="1"/>
  <c r="C49" i="116"/>
  <c r="G49" i="116" s="1"/>
  <c r="C37" i="116"/>
  <c r="G37" i="116" s="1"/>
  <c r="C25" i="116"/>
  <c r="G25" i="116" s="1"/>
  <c r="C135" i="116"/>
  <c r="C106" i="116"/>
  <c r="G106" i="116" s="1"/>
  <c r="C79" i="116"/>
  <c r="G79" i="116" s="1"/>
  <c r="C55" i="116"/>
  <c r="G55" i="116" s="1"/>
  <c r="C110" i="116"/>
  <c r="G110" i="116" s="1"/>
  <c r="C94" i="116"/>
  <c r="G94" i="116" s="1"/>
  <c r="C58" i="116"/>
  <c r="G58" i="116" s="1"/>
  <c r="C46" i="116"/>
  <c r="G46" i="116" s="1"/>
  <c r="C34" i="116"/>
  <c r="C22" i="116"/>
  <c r="G22" i="116" s="1"/>
  <c r="C132" i="116"/>
  <c r="G132" i="116" s="1"/>
  <c r="C118" i="116"/>
  <c r="G118" i="116" s="1"/>
  <c r="C102" i="116"/>
  <c r="G102" i="116" s="1"/>
  <c r="C88" i="116"/>
  <c r="G88" i="116" s="1"/>
  <c r="C76" i="116"/>
  <c r="G76" i="116" s="1"/>
  <c r="C64" i="116"/>
  <c r="C52" i="116"/>
  <c r="G52" i="116" s="1"/>
  <c r="C40" i="116"/>
  <c r="C28" i="116"/>
  <c r="C16" i="116"/>
  <c r="C121" i="116"/>
  <c r="G121" i="116" s="1"/>
  <c r="C91" i="116"/>
  <c r="G91" i="116" s="1"/>
  <c r="C67" i="116"/>
  <c r="C43" i="116"/>
  <c r="G43" i="116" s="1"/>
  <c r="C31" i="116"/>
  <c r="G31" i="116" s="1"/>
  <c r="C19" i="116"/>
  <c r="G19" i="116" s="1"/>
  <c r="C138" i="116"/>
  <c r="G138" i="116" s="1"/>
  <c r="C125" i="116"/>
  <c r="G125" i="116" s="1"/>
  <c r="C82" i="116"/>
  <c r="G82" i="116" s="1"/>
  <c r="C70" i="116"/>
  <c r="D28" i="116"/>
  <c r="D40" i="116"/>
  <c r="D64" i="116"/>
  <c r="D9" i="116"/>
  <c r="G9" i="116" s="1"/>
  <c r="D135" i="116"/>
  <c r="D34" i="116"/>
  <c r="D73" i="116"/>
  <c r="D70" i="116"/>
  <c r="D67" i="116"/>
  <c r="D16" i="116"/>
  <c r="C133" i="116"/>
  <c r="C119" i="116"/>
  <c r="G119" i="116" s="1"/>
  <c r="C104" i="116"/>
  <c r="G104" i="116" s="1"/>
  <c r="C89" i="116"/>
  <c r="G89" i="116" s="1"/>
  <c r="C77" i="116"/>
  <c r="G77" i="116" s="1"/>
  <c r="C65" i="116"/>
  <c r="C53" i="116"/>
  <c r="G53" i="116" s="1"/>
  <c r="C41" i="116"/>
  <c r="G41" i="116" s="1"/>
  <c r="C29" i="116"/>
  <c r="G29" i="116" s="1"/>
  <c r="C17" i="116"/>
  <c r="G17" i="116" s="1"/>
  <c r="C127" i="116"/>
  <c r="G127" i="116" s="1"/>
  <c r="C96" i="116"/>
  <c r="G96" i="116" s="1"/>
  <c r="C71" i="116"/>
  <c r="C47" i="116"/>
  <c r="G47" i="116" s="1"/>
  <c r="C130" i="116"/>
  <c r="G130" i="116" s="1"/>
  <c r="C86" i="116"/>
  <c r="G86" i="116" s="1"/>
  <c r="C74" i="116"/>
  <c r="G74" i="116" s="1"/>
  <c r="C62" i="116"/>
  <c r="C50" i="116"/>
  <c r="G50" i="116" s="1"/>
  <c r="C38" i="116"/>
  <c r="C26" i="116"/>
  <c r="C14" i="116"/>
  <c r="C136" i="116"/>
  <c r="G136" i="116" s="1"/>
  <c r="C123" i="116"/>
  <c r="G123" i="116" s="1"/>
  <c r="C108" i="116"/>
  <c r="G108" i="116" s="1"/>
  <c r="C92" i="116"/>
  <c r="G92" i="116" s="1"/>
  <c r="C80" i="116"/>
  <c r="G80" i="116" s="1"/>
  <c r="C68" i="116"/>
  <c r="C56" i="116"/>
  <c r="G56" i="116" s="1"/>
  <c r="C44" i="116"/>
  <c r="G44" i="116" s="1"/>
  <c r="C32" i="116"/>
  <c r="C20" i="116"/>
  <c r="G20" i="116" s="1"/>
  <c r="C139" i="116"/>
  <c r="G139" i="116" s="1"/>
  <c r="C112" i="116"/>
  <c r="G112" i="116" s="1"/>
  <c r="C83" i="116"/>
  <c r="G83" i="116" s="1"/>
  <c r="C59" i="116"/>
  <c r="G59" i="116" s="1"/>
  <c r="C35" i="116"/>
  <c r="G35" i="116" s="1"/>
  <c r="C23" i="116"/>
  <c r="G23" i="116" s="1"/>
  <c r="C116" i="116"/>
  <c r="G116" i="116" s="1"/>
  <c r="C100" i="116"/>
  <c r="G100" i="116" s="1"/>
  <c r="D7" i="116"/>
  <c r="G7" i="116" s="1"/>
  <c r="H7" i="116" s="1"/>
  <c r="D65" i="116"/>
  <c r="D68" i="116"/>
  <c r="D38" i="116"/>
  <c r="D26" i="116"/>
  <c r="D32" i="116"/>
  <c r="D62" i="116"/>
  <c r="D14" i="116"/>
  <c r="D133" i="116"/>
  <c r="D71" i="116"/>
  <c r="DF4" i="12"/>
  <c r="DF41" i="12"/>
  <c r="DG41" i="12" s="1"/>
  <c r="DF40" i="12"/>
  <c r="DG40" i="12" s="1"/>
  <c r="DF39" i="12"/>
  <c r="DG39" i="12" s="1"/>
  <c r="DF38" i="12"/>
  <c r="DF37" i="12"/>
  <c r="DF36" i="12"/>
  <c r="DG36" i="12" s="1"/>
  <c r="DF34" i="12"/>
  <c r="DG34" i="12" s="1"/>
  <c r="DF33" i="12"/>
  <c r="DG33" i="12" s="1"/>
  <c r="DF32" i="12"/>
  <c r="DG32" i="12" s="1"/>
  <c r="DF31" i="12"/>
  <c r="DG31" i="12" s="1"/>
  <c r="DF30" i="12"/>
  <c r="DF29" i="12"/>
  <c r="DF28" i="12"/>
  <c r="DF27" i="12"/>
  <c r="DF26" i="12"/>
  <c r="DF25" i="12"/>
  <c r="DG25" i="12" s="1"/>
  <c r="DF24" i="12"/>
  <c r="DG24" i="12" s="1"/>
  <c r="DF23" i="12"/>
  <c r="DG23" i="12" s="1"/>
  <c r="DF22" i="12"/>
  <c r="DG22" i="12" s="1"/>
  <c r="DF21" i="12"/>
  <c r="DF20" i="12"/>
  <c r="DF18" i="12"/>
  <c r="DG18" i="12" s="1"/>
  <c r="DF16" i="12"/>
  <c r="DF15" i="12"/>
  <c r="DF14" i="12"/>
  <c r="DF13" i="12"/>
  <c r="DF12" i="12"/>
  <c r="DF11" i="12"/>
  <c r="DG11" i="12" s="1"/>
  <c r="DF10" i="12"/>
  <c r="DF8" i="12"/>
  <c r="DF6" i="12"/>
  <c r="DF5" i="12"/>
  <c r="DG5" i="12" s="1"/>
  <c r="DD4" i="12"/>
  <c r="DF2" i="12"/>
  <c r="G68" i="116" l="1"/>
  <c r="J68" i="116" s="1"/>
  <c r="G64" i="116"/>
  <c r="J64" i="116" s="1"/>
  <c r="G73" i="116"/>
  <c r="H73" i="116" s="1"/>
  <c r="G72" i="116"/>
  <c r="I72" i="116" s="1"/>
  <c r="H137" i="131" s="1"/>
  <c r="L137" i="131" s="1"/>
  <c r="G27" i="116"/>
  <c r="H27" i="116" s="1"/>
  <c r="G122" i="131" s="1"/>
  <c r="G14" i="116"/>
  <c r="H14" i="116" s="1"/>
  <c r="G62" i="116"/>
  <c r="I62" i="116" s="1"/>
  <c r="G69" i="116"/>
  <c r="J69" i="116" s="1"/>
  <c r="I136" i="131" s="1"/>
  <c r="M136" i="131" s="1"/>
  <c r="J35" i="116"/>
  <c r="I35" i="116"/>
  <c r="H35" i="116"/>
  <c r="I56" i="116"/>
  <c r="H56" i="116"/>
  <c r="J56" i="116"/>
  <c r="G26" i="116"/>
  <c r="J74" i="116"/>
  <c r="I74" i="116"/>
  <c r="H74" i="116"/>
  <c r="J29" i="116"/>
  <c r="H29" i="116"/>
  <c r="I29" i="116"/>
  <c r="G133" i="116"/>
  <c r="G67" i="116"/>
  <c r="G28" i="116"/>
  <c r="J76" i="116"/>
  <c r="H76" i="116"/>
  <c r="I76" i="116"/>
  <c r="I58" i="116"/>
  <c r="H58" i="116"/>
  <c r="J58" i="116"/>
  <c r="J79" i="116"/>
  <c r="H79" i="116"/>
  <c r="I79" i="116"/>
  <c r="J37" i="116"/>
  <c r="H37" i="116"/>
  <c r="I37" i="116"/>
  <c r="H85" i="116"/>
  <c r="I85" i="116"/>
  <c r="J85" i="116"/>
  <c r="H141" i="116"/>
  <c r="J141" i="116"/>
  <c r="I141" i="116"/>
  <c r="H117" i="116"/>
  <c r="G156" i="131" s="1"/>
  <c r="I117" i="116"/>
  <c r="H156" i="131" s="1"/>
  <c r="J100" i="116"/>
  <c r="H100" i="116"/>
  <c r="I100" i="116"/>
  <c r="I59" i="116"/>
  <c r="H59" i="116"/>
  <c r="J59" i="116"/>
  <c r="J20" i="116"/>
  <c r="H20" i="116"/>
  <c r="I20" i="116"/>
  <c r="I123" i="116"/>
  <c r="H123" i="116"/>
  <c r="J123" i="116"/>
  <c r="G38" i="116"/>
  <c r="I86" i="116"/>
  <c r="H86" i="116"/>
  <c r="J86" i="116"/>
  <c r="J96" i="116"/>
  <c r="H96" i="116"/>
  <c r="I96" i="116"/>
  <c r="H41" i="116"/>
  <c r="J41" i="116"/>
  <c r="I41" i="116"/>
  <c r="H89" i="116"/>
  <c r="J89" i="116"/>
  <c r="I89" i="116"/>
  <c r="I9" i="116"/>
  <c r="J9" i="116"/>
  <c r="H9" i="116"/>
  <c r="G70" i="116"/>
  <c r="H19" i="116"/>
  <c r="I19" i="116"/>
  <c r="J19" i="116"/>
  <c r="H91" i="116"/>
  <c r="J91" i="116"/>
  <c r="I91" i="116"/>
  <c r="G40" i="116"/>
  <c r="I88" i="116"/>
  <c r="H88" i="116"/>
  <c r="J88" i="116"/>
  <c r="I22" i="116"/>
  <c r="H22" i="116"/>
  <c r="J22" i="116"/>
  <c r="H94" i="116"/>
  <c r="J94" i="116"/>
  <c r="I94" i="116"/>
  <c r="I106" i="116"/>
  <c r="H106" i="116"/>
  <c r="J106" i="116"/>
  <c r="J49" i="116"/>
  <c r="H49" i="116"/>
  <c r="I49" i="116"/>
  <c r="I98" i="116"/>
  <c r="J98" i="116"/>
  <c r="H98" i="116"/>
  <c r="H105" i="116"/>
  <c r="G150" i="131" s="1"/>
  <c r="J105" i="116"/>
  <c r="I150" i="131" s="1"/>
  <c r="I105" i="116"/>
  <c r="H150" i="131" s="1"/>
  <c r="H75" i="116"/>
  <c r="G138" i="131" s="1"/>
  <c r="I75" i="116"/>
  <c r="H138" i="131" s="1"/>
  <c r="L138" i="131" s="1"/>
  <c r="J75" i="116"/>
  <c r="I138" i="131" s="1"/>
  <c r="M138" i="131" s="1"/>
  <c r="I36" i="116"/>
  <c r="H125" i="131" s="1"/>
  <c r="L125" i="131" s="1"/>
  <c r="J36" i="116"/>
  <c r="I125" i="131" s="1"/>
  <c r="M125" i="131" s="1"/>
  <c r="H36" i="116"/>
  <c r="G125" i="131" s="1"/>
  <c r="J84" i="116"/>
  <c r="I141" i="131" s="1"/>
  <c r="M141" i="131" s="1"/>
  <c r="I84" i="116"/>
  <c r="H141" i="131" s="1"/>
  <c r="L141" i="131" s="1"/>
  <c r="H84" i="116"/>
  <c r="G141" i="131" s="1"/>
  <c r="I140" i="116"/>
  <c r="H165" i="131" s="1"/>
  <c r="L165" i="131" s="1"/>
  <c r="J140" i="116"/>
  <c r="I165" i="131" s="1"/>
  <c r="M165" i="131" s="1"/>
  <c r="H140" i="116"/>
  <c r="G165" i="131" s="1"/>
  <c r="H54" i="116"/>
  <c r="G131" i="131" s="1"/>
  <c r="K131" i="131" s="1"/>
  <c r="I54" i="116"/>
  <c r="H131" i="131" s="1"/>
  <c r="J54" i="116"/>
  <c r="I131" i="131" s="1"/>
  <c r="M131" i="131" s="1"/>
  <c r="G39" i="116"/>
  <c r="H21" i="116"/>
  <c r="G120" i="131" s="1"/>
  <c r="I21" i="116"/>
  <c r="H120" i="131" s="1"/>
  <c r="L120" i="131" s="1"/>
  <c r="J21" i="116"/>
  <c r="I120" i="131" s="1"/>
  <c r="M120" i="131" s="1"/>
  <c r="J124" i="116"/>
  <c r="I159" i="131" s="1"/>
  <c r="H124" i="116"/>
  <c r="G159" i="131" s="1"/>
  <c r="I124" i="116"/>
  <c r="H159" i="131" s="1"/>
  <c r="I23" i="116"/>
  <c r="H23" i="116"/>
  <c r="I112" i="116"/>
  <c r="J112" i="116"/>
  <c r="H112" i="116"/>
  <c r="H139" i="116"/>
  <c r="I139" i="116"/>
  <c r="J139" i="116"/>
  <c r="I108" i="116"/>
  <c r="H108" i="116"/>
  <c r="G71" i="116"/>
  <c r="I77" i="116"/>
  <c r="J77" i="116"/>
  <c r="H77" i="116"/>
  <c r="J138" i="116"/>
  <c r="H138" i="116"/>
  <c r="I138" i="116"/>
  <c r="J132" i="116"/>
  <c r="H132" i="116"/>
  <c r="I132" i="116"/>
  <c r="J90" i="116"/>
  <c r="I143" i="131" s="1"/>
  <c r="M143" i="131" s="1"/>
  <c r="I90" i="116"/>
  <c r="H143" i="131" s="1"/>
  <c r="L143" i="131" s="1"/>
  <c r="H90" i="116"/>
  <c r="G143" i="131" s="1"/>
  <c r="I51" i="116"/>
  <c r="H130" i="131" s="1"/>
  <c r="L130" i="131" s="1"/>
  <c r="H51" i="116"/>
  <c r="G130" i="131" s="1"/>
  <c r="J51" i="116"/>
  <c r="I130" i="131" s="1"/>
  <c r="M130" i="131" s="1"/>
  <c r="I24" i="116"/>
  <c r="H121" i="131" s="1"/>
  <c r="L121" i="131" s="1"/>
  <c r="H24" i="116"/>
  <c r="G121" i="131" s="1"/>
  <c r="J128" i="116"/>
  <c r="I161" i="131" s="1"/>
  <c r="I128" i="116"/>
  <c r="H161" i="131" s="1"/>
  <c r="H128" i="116"/>
  <c r="G161" i="131" s="1"/>
  <c r="H42" i="116"/>
  <c r="G127" i="131" s="1"/>
  <c r="J42" i="116"/>
  <c r="I127" i="131" s="1"/>
  <c r="M127" i="131" s="1"/>
  <c r="I42" i="116"/>
  <c r="H127" i="131" s="1"/>
  <c r="L127" i="131" s="1"/>
  <c r="J57" i="116"/>
  <c r="I132" i="131" s="1"/>
  <c r="M132" i="131" s="1"/>
  <c r="H57" i="116"/>
  <c r="G132" i="131" s="1"/>
  <c r="I57" i="116"/>
  <c r="H132" i="131" s="1"/>
  <c r="L132" i="131" s="1"/>
  <c r="I109" i="116"/>
  <c r="H152" i="131" s="1"/>
  <c r="H109" i="116"/>
  <c r="G152" i="131" s="1"/>
  <c r="I116" i="116"/>
  <c r="H116" i="116"/>
  <c r="J83" i="116"/>
  <c r="I83" i="116"/>
  <c r="H83" i="116"/>
  <c r="G32" i="116"/>
  <c r="I80" i="116"/>
  <c r="H80" i="116"/>
  <c r="J80" i="116"/>
  <c r="I136" i="116"/>
  <c r="H136" i="116"/>
  <c r="J136" i="116"/>
  <c r="I50" i="116"/>
  <c r="J50" i="116"/>
  <c r="H50" i="116"/>
  <c r="J130" i="116"/>
  <c r="I130" i="116"/>
  <c r="H130" i="116"/>
  <c r="I127" i="116"/>
  <c r="J127" i="116"/>
  <c r="H127" i="116"/>
  <c r="I53" i="116"/>
  <c r="J53" i="116"/>
  <c r="H53" i="116"/>
  <c r="I104" i="116"/>
  <c r="H104" i="116"/>
  <c r="J104" i="116"/>
  <c r="J82" i="116"/>
  <c r="I82" i="116"/>
  <c r="H82" i="116"/>
  <c r="J31" i="116"/>
  <c r="I31" i="116"/>
  <c r="H31" i="116"/>
  <c r="H121" i="116"/>
  <c r="I121" i="116"/>
  <c r="H52" i="116"/>
  <c r="I52" i="116"/>
  <c r="J52" i="116"/>
  <c r="J102" i="116"/>
  <c r="H102" i="116"/>
  <c r="I102" i="116"/>
  <c r="G34" i="116"/>
  <c r="I110" i="116"/>
  <c r="H110" i="116"/>
  <c r="G135" i="116"/>
  <c r="I61" i="116"/>
  <c r="J61" i="116"/>
  <c r="H61" i="116"/>
  <c r="I114" i="116"/>
  <c r="H114" i="116"/>
  <c r="J114" i="116"/>
  <c r="I120" i="116"/>
  <c r="H157" i="131" s="1"/>
  <c r="L157" i="131" s="1"/>
  <c r="H120" i="116"/>
  <c r="G157" i="131" s="1"/>
  <c r="J101" i="116"/>
  <c r="I148" i="131" s="1"/>
  <c r="H101" i="116"/>
  <c r="G148" i="131" s="1"/>
  <c r="I101" i="116"/>
  <c r="H148" i="131" s="1"/>
  <c r="H48" i="116"/>
  <c r="G129" i="131" s="1"/>
  <c r="J48" i="116"/>
  <c r="I129" i="131" s="1"/>
  <c r="M129" i="131" s="1"/>
  <c r="I48" i="116"/>
  <c r="H129" i="131" s="1"/>
  <c r="L129" i="131" s="1"/>
  <c r="I97" i="116"/>
  <c r="H146" i="131" s="1"/>
  <c r="J97" i="116"/>
  <c r="I146" i="131" s="1"/>
  <c r="H97" i="116"/>
  <c r="G146" i="131" s="1"/>
  <c r="I18" i="116"/>
  <c r="H119" i="131" s="1"/>
  <c r="L119" i="131" s="1"/>
  <c r="J18" i="116"/>
  <c r="I119" i="131" s="1"/>
  <c r="M119" i="131" s="1"/>
  <c r="H18" i="116"/>
  <c r="G119" i="131" s="1"/>
  <c r="G66" i="116"/>
  <c r="G63" i="116"/>
  <c r="G33" i="116"/>
  <c r="I81" i="116"/>
  <c r="H140" i="131" s="1"/>
  <c r="L140" i="131" s="1"/>
  <c r="J81" i="116"/>
  <c r="I140" i="131" s="1"/>
  <c r="M140" i="131" s="1"/>
  <c r="H81" i="116"/>
  <c r="G140" i="131" s="1"/>
  <c r="J137" i="116"/>
  <c r="I164" i="131" s="1"/>
  <c r="M164" i="131" s="1"/>
  <c r="H137" i="116"/>
  <c r="G164" i="131" s="1"/>
  <c r="I137" i="116"/>
  <c r="H164" i="131" s="1"/>
  <c r="L164" i="131" s="1"/>
  <c r="I44" i="116"/>
  <c r="J44" i="116"/>
  <c r="H44" i="116"/>
  <c r="I92" i="116"/>
  <c r="H92" i="116"/>
  <c r="J92" i="116"/>
  <c r="H47" i="116"/>
  <c r="I47" i="116"/>
  <c r="J47" i="116"/>
  <c r="J17" i="116"/>
  <c r="I17" i="116"/>
  <c r="H17" i="116"/>
  <c r="G65" i="116"/>
  <c r="H119" i="116"/>
  <c r="I119" i="116"/>
  <c r="I125" i="116"/>
  <c r="J125" i="116"/>
  <c r="H125" i="116"/>
  <c r="J43" i="116"/>
  <c r="H43" i="116"/>
  <c r="I43" i="116"/>
  <c r="G16" i="116"/>
  <c r="I118" i="116"/>
  <c r="H118" i="116"/>
  <c r="J46" i="116"/>
  <c r="H46" i="116"/>
  <c r="I46" i="116"/>
  <c r="I55" i="116"/>
  <c r="H55" i="116"/>
  <c r="J55" i="116"/>
  <c r="I25" i="116"/>
  <c r="H25" i="116"/>
  <c r="H129" i="116"/>
  <c r="I129" i="116"/>
  <c r="J129" i="116"/>
  <c r="I8" i="116"/>
  <c r="H115" i="131" s="1"/>
  <c r="H8" i="116"/>
  <c r="G115" i="131" s="1"/>
  <c r="J8" i="116"/>
  <c r="I115" i="131" s="1"/>
  <c r="H78" i="116"/>
  <c r="G139" i="131" s="1"/>
  <c r="I78" i="116"/>
  <c r="H139" i="131" s="1"/>
  <c r="L139" i="131" s="1"/>
  <c r="J78" i="116"/>
  <c r="I139" i="131" s="1"/>
  <c r="M139" i="131" s="1"/>
  <c r="G134" i="116"/>
  <c r="I131" i="116"/>
  <c r="H162" i="131" s="1"/>
  <c r="L162" i="131" s="1"/>
  <c r="H131" i="116"/>
  <c r="G162" i="131" s="1"/>
  <c r="J131" i="116"/>
  <c r="I162" i="131" s="1"/>
  <c r="M162" i="131" s="1"/>
  <c r="I60" i="116"/>
  <c r="H133" i="131" s="1"/>
  <c r="L133" i="131" s="1"/>
  <c r="H60" i="116"/>
  <c r="G133" i="131" s="1"/>
  <c r="J60" i="116"/>
  <c r="I133" i="131" s="1"/>
  <c r="M133" i="131" s="1"/>
  <c r="I113" i="116"/>
  <c r="H154" i="131" s="1"/>
  <c r="H113" i="116"/>
  <c r="G154" i="131" s="1"/>
  <c r="J113" i="116"/>
  <c r="I154" i="131" s="1"/>
  <c r="J30" i="116"/>
  <c r="I123" i="131" s="1"/>
  <c r="M123" i="131" s="1"/>
  <c r="H30" i="116"/>
  <c r="G123" i="131" s="1"/>
  <c r="I30" i="116"/>
  <c r="H123" i="131" s="1"/>
  <c r="L123" i="131" s="1"/>
  <c r="G15" i="116"/>
  <c r="J87" i="116"/>
  <c r="I142" i="131" s="1"/>
  <c r="M142" i="131" s="1"/>
  <c r="I87" i="116"/>
  <c r="H142" i="131" s="1"/>
  <c r="L142" i="131" s="1"/>
  <c r="H87" i="116"/>
  <c r="G142" i="131" s="1"/>
  <c r="H45" i="116"/>
  <c r="G128" i="131" s="1"/>
  <c r="I45" i="116"/>
  <c r="H128" i="131" s="1"/>
  <c r="L128" i="131" s="1"/>
  <c r="J45" i="116"/>
  <c r="I128" i="131" s="1"/>
  <c r="M128" i="131" s="1"/>
  <c r="I93" i="116"/>
  <c r="H144" i="131" s="1"/>
  <c r="L144" i="131" s="1"/>
  <c r="H93" i="116"/>
  <c r="G144" i="131" s="1"/>
  <c r="J93" i="116"/>
  <c r="I144" i="131" s="1"/>
  <c r="M144" i="131" s="1"/>
  <c r="D88" i="1"/>
  <c r="G127" i="1" s="1"/>
  <c r="H127" i="1" s="1"/>
  <c r="G88" i="1"/>
  <c r="G130" i="1" s="1"/>
  <c r="F88" i="1"/>
  <c r="G129" i="1" s="1"/>
  <c r="E88" i="1"/>
  <c r="G128" i="1" s="1"/>
  <c r="H128" i="1" s="1"/>
  <c r="E24" i="133"/>
  <c r="D24" i="133"/>
  <c r="D18" i="133"/>
  <c r="G18" i="133" s="1"/>
  <c r="D13" i="133"/>
  <c r="G7" i="133"/>
  <c r="J7" i="133" s="1"/>
  <c r="G6" i="133"/>
  <c r="J6" i="133" s="1"/>
  <c r="G5" i="133"/>
  <c r="I5" i="133" s="1"/>
  <c r="G4" i="133"/>
  <c r="J4" i="133" s="1"/>
  <c r="G3" i="133"/>
  <c r="J3" i="133" s="1"/>
  <c r="G2" i="133"/>
  <c r="J2" i="133" s="1"/>
  <c r="I69" i="116" l="1"/>
  <c r="H136" i="131" s="1"/>
  <c r="L136" i="131" s="1"/>
  <c r="I27" i="116"/>
  <c r="H122" i="131" s="1"/>
  <c r="L122" i="131" s="1"/>
  <c r="J72" i="116"/>
  <c r="I137" i="131" s="1"/>
  <c r="M137" i="131" s="1"/>
  <c r="H72" i="116"/>
  <c r="G137" i="131" s="1"/>
  <c r="K137" i="131" s="1"/>
  <c r="H69" i="116"/>
  <c r="G136" i="131" s="1"/>
  <c r="K136" i="131" s="1"/>
  <c r="I68" i="116"/>
  <c r="I64" i="116"/>
  <c r="J27" i="116"/>
  <c r="I122" i="131" s="1"/>
  <c r="M122" i="131" s="1"/>
  <c r="H68" i="116"/>
  <c r="J14" i="116"/>
  <c r="J73" i="116"/>
  <c r="H64" i="116"/>
  <c r="H62" i="116"/>
  <c r="I14" i="116"/>
  <c r="I73" i="116"/>
  <c r="J62" i="116"/>
  <c r="K128" i="131"/>
  <c r="J128" i="131" s="1"/>
  <c r="F128" i="131"/>
  <c r="K133" i="131"/>
  <c r="J133" i="131" s="1"/>
  <c r="F133" i="131"/>
  <c r="K164" i="131"/>
  <c r="J164" i="131" s="1"/>
  <c r="F164" i="131"/>
  <c r="M146" i="131"/>
  <c r="M145" i="131" s="1"/>
  <c r="I145" i="131"/>
  <c r="K165" i="131"/>
  <c r="J165" i="131" s="1"/>
  <c r="F165" i="131"/>
  <c r="H70" i="116"/>
  <c r="I70" i="116"/>
  <c r="J70" i="116"/>
  <c r="I38" i="116"/>
  <c r="J38" i="116"/>
  <c r="H38" i="116"/>
  <c r="L156" i="131"/>
  <c r="H155" i="131"/>
  <c r="J28" i="116"/>
  <c r="I28" i="116"/>
  <c r="H28" i="116"/>
  <c r="K142" i="131"/>
  <c r="J142" i="131" s="1"/>
  <c r="F142" i="131"/>
  <c r="K154" i="131"/>
  <c r="G153" i="131"/>
  <c r="F154" i="131"/>
  <c r="J134" i="116"/>
  <c r="I163" i="131" s="1"/>
  <c r="M163" i="131" s="1"/>
  <c r="H134" i="116"/>
  <c r="G163" i="131" s="1"/>
  <c r="G160" i="131" s="1"/>
  <c r="I134" i="116"/>
  <c r="H163" i="131" s="1"/>
  <c r="L163" i="131" s="1"/>
  <c r="I113" i="131"/>
  <c r="M115" i="131"/>
  <c r="I33" i="116"/>
  <c r="H124" i="131" s="1"/>
  <c r="L124" i="131" s="1"/>
  <c r="J33" i="116"/>
  <c r="I124" i="131" s="1"/>
  <c r="M124" i="131" s="1"/>
  <c r="H33" i="116"/>
  <c r="G124" i="131" s="1"/>
  <c r="L146" i="131"/>
  <c r="L145" i="131" s="1"/>
  <c r="H145" i="131"/>
  <c r="L148" i="131"/>
  <c r="L147" i="131" s="1"/>
  <c r="H147" i="131"/>
  <c r="K152" i="131"/>
  <c r="F152" i="131"/>
  <c r="G151" i="131"/>
  <c r="L161" i="131"/>
  <c r="K130" i="131"/>
  <c r="J130" i="131" s="1"/>
  <c r="F130" i="131"/>
  <c r="M159" i="131"/>
  <c r="M158" i="131" s="1"/>
  <c r="I158" i="131"/>
  <c r="M150" i="131"/>
  <c r="M149" i="131" s="1"/>
  <c r="I149" i="131"/>
  <c r="I40" i="116"/>
  <c r="H40" i="116"/>
  <c r="J40" i="116"/>
  <c r="K156" i="131"/>
  <c r="F156" i="131"/>
  <c r="I67" i="116"/>
  <c r="J67" i="116"/>
  <c r="H67" i="116"/>
  <c r="I26" i="116"/>
  <c r="J26" i="116"/>
  <c r="H26" i="116"/>
  <c r="J15" i="116"/>
  <c r="I118" i="131" s="1"/>
  <c r="H15" i="116"/>
  <c r="G118" i="131" s="1"/>
  <c r="I15" i="116"/>
  <c r="H118" i="131" s="1"/>
  <c r="J65" i="116"/>
  <c r="H65" i="116"/>
  <c r="I65" i="116"/>
  <c r="K129" i="131"/>
  <c r="J129" i="131" s="1"/>
  <c r="F129" i="131"/>
  <c r="J135" i="116"/>
  <c r="H135" i="116"/>
  <c r="I135" i="116"/>
  <c r="K132" i="131"/>
  <c r="J132" i="131" s="1"/>
  <c r="F132" i="131"/>
  <c r="K161" i="131"/>
  <c r="F161" i="131"/>
  <c r="L150" i="131"/>
  <c r="L149" i="131" s="1"/>
  <c r="H149" i="131"/>
  <c r="K123" i="131"/>
  <c r="J123" i="131" s="1"/>
  <c r="F123" i="131"/>
  <c r="L154" i="131"/>
  <c r="L153" i="131" s="1"/>
  <c r="H153" i="131"/>
  <c r="K115" i="131"/>
  <c r="K113" i="131" s="1"/>
  <c r="F115" i="131"/>
  <c r="G113" i="131"/>
  <c r="K140" i="131"/>
  <c r="J140" i="131" s="1"/>
  <c r="F140" i="131"/>
  <c r="J63" i="116"/>
  <c r="I134" i="131" s="1"/>
  <c r="M134" i="131" s="1"/>
  <c r="H63" i="116"/>
  <c r="G134" i="131" s="1"/>
  <c r="I63" i="116"/>
  <c r="H134" i="131" s="1"/>
  <c r="L134" i="131" s="1"/>
  <c r="G147" i="131"/>
  <c r="F148" i="131"/>
  <c r="K148" i="131"/>
  <c r="L152" i="131"/>
  <c r="L151" i="131" s="1"/>
  <c r="H151" i="131"/>
  <c r="M161" i="131"/>
  <c r="K121" i="131"/>
  <c r="J121" i="131" s="1"/>
  <c r="F121" i="131"/>
  <c r="L131" i="131"/>
  <c r="J131" i="131" s="1"/>
  <c r="F131" i="131"/>
  <c r="K125" i="131"/>
  <c r="J125" i="131" s="1"/>
  <c r="F125" i="131"/>
  <c r="F150" i="131"/>
  <c r="G149" i="131"/>
  <c r="K150" i="131"/>
  <c r="H133" i="116"/>
  <c r="J133" i="116"/>
  <c r="I133" i="116"/>
  <c r="K144" i="131"/>
  <c r="J144" i="131" s="1"/>
  <c r="F144" i="131"/>
  <c r="I153" i="131"/>
  <c r="M154" i="131"/>
  <c r="M153" i="131" s="1"/>
  <c r="K139" i="131"/>
  <c r="J139" i="131" s="1"/>
  <c r="F139" i="131"/>
  <c r="K119" i="131"/>
  <c r="J119" i="131" s="1"/>
  <c r="F119" i="131"/>
  <c r="G155" i="131"/>
  <c r="F157" i="131"/>
  <c r="K157" i="131"/>
  <c r="K159" i="131"/>
  <c r="F159" i="131"/>
  <c r="G158" i="131"/>
  <c r="I39" i="116"/>
  <c r="H126" i="131" s="1"/>
  <c r="L126" i="131" s="1"/>
  <c r="H39" i="116"/>
  <c r="G126" i="131" s="1"/>
  <c r="J39" i="116"/>
  <c r="I126" i="131" s="1"/>
  <c r="M126" i="131" s="1"/>
  <c r="K162" i="131"/>
  <c r="J162" i="131" s="1"/>
  <c r="F162" i="131"/>
  <c r="L115" i="131"/>
  <c r="L113" i="131" s="1"/>
  <c r="H113" i="131"/>
  <c r="I16" i="116"/>
  <c r="J16" i="116"/>
  <c r="H16" i="116"/>
  <c r="J66" i="116"/>
  <c r="I135" i="131" s="1"/>
  <c r="M135" i="131" s="1"/>
  <c r="I66" i="116"/>
  <c r="H135" i="131" s="1"/>
  <c r="L135" i="131" s="1"/>
  <c r="H66" i="116"/>
  <c r="G135" i="131" s="1"/>
  <c r="K146" i="131"/>
  <c r="G145" i="131"/>
  <c r="F146" i="131"/>
  <c r="I147" i="131"/>
  <c r="M148" i="131"/>
  <c r="M147" i="131" s="1"/>
  <c r="I34" i="116"/>
  <c r="J34" i="116"/>
  <c r="H34" i="116"/>
  <c r="I32" i="116"/>
  <c r="H32" i="116"/>
  <c r="J32" i="116"/>
  <c r="K122" i="131"/>
  <c r="K127" i="131"/>
  <c r="J127" i="131" s="1"/>
  <c r="F127" i="131"/>
  <c r="K143" i="131"/>
  <c r="J143" i="131" s="1"/>
  <c r="F143" i="131"/>
  <c r="I71" i="116"/>
  <c r="J71" i="116"/>
  <c r="H71" i="116"/>
  <c r="L159" i="131"/>
  <c r="L158" i="131" s="1"/>
  <c r="H158" i="131"/>
  <c r="K120" i="131"/>
  <c r="J120" i="131" s="1"/>
  <c r="F120" i="131"/>
  <c r="K141" i="131"/>
  <c r="J141" i="131" s="1"/>
  <c r="F141" i="131"/>
  <c r="K138" i="131"/>
  <c r="J138" i="131" s="1"/>
  <c r="F138" i="131"/>
  <c r="H130" i="1"/>
  <c r="H129" i="1"/>
  <c r="H5" i="133"/>
  <c r="G24" i="133"/>
  <c r="J24" i="133" s="1"/>
  <c r="I178" i="131" s="1"/>
  <c r="D11" i="133"/>
  <c r="D12" i="133"/>
  <c r="I18" i="133"/>
  <c r="H176" i="131" s="1"/>
  <c r="H18" i="133"/>
  <c r="G176" i="131" s="1"/>
  <c r="J18" i="133"/>
  <c r="I176" i="131" s="1"/>
  <c r="D19" i="133"/>
  <c r="G19" i="133" s="1"/>
  <c r="H6" i="133"/>
  <c r="D25" i="133"/>
  <c r="H4" i="133"/>
  <c r="I4" i="133"/>
  <c r="E25" i="133"/>
  <c r="D23" i="133"/>
  <c r="H2" i="133"/>
  <c r="I6" i="133"/>
  <c r="E23" i="133"/>
  <c r="D17" i="133"/>
  <c r="G17" i="133" s="1"/>
  <c r="I2" i="133"/>
  <c r="H7" i="133"/>
  <c r="H3" i="133"/>
  <c r="I7" i="133"/>
  <c r="I3" i="133"/>
  <c r="G23" i="133" l="1"/>
  <c r="J136" i="131"/>
  <c r="F122" i="131"/>
  <c r="J137" i="131"/>
  <c r="F136" i="131"/>
  <c r="J122" i="131"/>
  <c r="F137" i="131"/>
  <c r="F149" i="131"/>
  <c r="H160" i="131"/>
  <c r="I160" i="131"/>
  <c r="L160" i="131"/>
  <c r="F158" i="131"/>
  <c r="M118" i="131"/>
  <c r="M117" i="131" s="1"/>
  <c r="I117" i="131"/>
  <c r="I110" i="131" s="1"/>
  <c r="K153" i="131"/>
  <c r="J154" i="131"/>
  <c r="J153" i="131" s="1"/>
  <c r="K155" i="131"/>
  <c r="J157" i="131"/>
  <c r="K151" i="131"/>
  <c r="J152" i="131"/>
  <c r="J151" i="131" s="1"/>
  <c r="J115" i="131"/>
  <c r="M113" i="131"/>
  <c r="J113" i="131" s="1"/>
  <c r="F113" i="131"/>
  <c r="L118" i="131"/>
  <c r="L117" i="131" s="1"/>
  <c r="H117" i="131"/>
  <c r="H110" i="131" s="1"/>
  <c r="F147" i="131"/>
  <c r="K124" i="131"/>
  <c r="J124" i="131" s="1"/>
  <c r="F124" i="131"/>
  <c r="F155" i="131"/>
  <c r="K135" i="131"/>
  <c r="J135" i="131" s="1"/>
  <c r="F135" i="131"/>
  <c r="K126" i="131"/>
  <c r="J126" i="131" s="1"/>
  <c r="F126" i="131"/>
  <c r="J159" i="131"/>
  <c r="J158" i="131" s="1"/>
  <c r="K158" i="131"/>
  <c r="K163" i="131"/>
  <c r="J163" i="131" s="1"/>
  <c r="F163" i="131"/>
  <c r="F145" i="131"/>
  <c r="K147" i="131"/>
  <c r="J148" i="131"/>
  <c r="J147" i="131" s="1"/>
  <c r="K134" i="131"/>
  <c r="J134" i="131" s="1"/>
  <c r="F134" i="131"/>
  <c r="K145" i="131"/>
  <c r="J146" i="131"/>
  <c r="J145" i="131" s="1"/>
  <c r="K149" i="131"/>
  <c r="J150" i="131"/>
  <c r="J149" i="131" s="1"/>
  <c r="M160" i="131"/>
  <c r="J161" i="131"/>
  <c r="K118" i="131"/>
  <c r="G117" i="131"/>
  <c r="F118" i="131"/>
  <c r="F151" i="131"/>
  <c r="F153" i="131"/>
  <c r="J156" i="131"/>
  <c r="L155" i="131"/>
  <c r="M178" i="131"/>
  <c r="M177" i="131" s="1"/>
  <c r="I177" i="131"/>
  <c r="H175" i="131"/>
  <c r="L176" i="131"/>
  <c r="L175" i="131" s="1"/>
  <c r="K176" i="131"/>
  <c r="G175" i="131"/>
  <c r="F176" i="131"/>
  <c r="I175" i="131"/>
  <c r="M176" i="131"/>
  <c r="M175" i="131" s="1"/>
  <c r="I24" i="133"/>
  <c r="H178" i="131" s="1"/>
  <c r="H24" i="133"/>
  <c r="G178" i="131" s="1"/>
  <c r="G25" i="133"/>
  <c r="J19" i="133"/>
  <c r="I19" i="133"/>
  <c r="H19" i="133"/>
  <c r="J17" i="133"/>
  <c r="H17" i="133"/>
  <c r="I17" i="133"/>
  <c r="F160" i="131" l="1"/>
  <c r="J160" i="131"/>
  <c r="L110" i="131"/>
  <c r="E210" i="36" s="1"/>
  <c r="F117" i="131"/>
  <c r="J118" i="131"/>
  <c r="J117" i="131" s="1"/>
  <c r="K117" i="131"/>
  <c r="J155" i="131"/>
  <c r="K160" i="131"/>
  <c r="M110" i="131"/>
  <c r="E211" i="36" s="1"/>
  <c r="G110" i="131"/>
  <c r="F110" i="131" s="1"/>
  <c r="K178" i="131"/>
  <c r="F178" i="131"/>
  <c r="G177" i="131"/>
  <c r="L178" i="131"/>
  <c r="L177" i="131" s="1"/>
  <c r="H177" i="131"/>
  <c r="F175" i="131"/>
  <c r="K175" i="131"/>
  <c r="J176" i="131"/>
  <c r="J175" i="131" s="1"/>
  <c r="H25" i="133"/>
  <c r="I25" i="133"/>
  <c r="J25" i="133"/>
  <c r="J23" i="133"/>
  <c r="I23" i="133"/>
  <c r="H23" i="133"/>
  <c r="K110" i="131" l="1"/>
  <c r="E209" i="36" s="1"/>
  <c r="F177" i="131"/>
  <c r="J178" i="131"/>
  <c r="J177" i="131" s="1"/>
  <c r="K177" i="131"/>
  <c r="F2" i="130"/>
  <c r="E2" i="130"/>
  <c r="D2" i="130"/>
  <c r="D2" i="129"/>
  <c r="E2" i="128"/>
  <c r="D2" i="128"/>
  <c r="E2" i="127"/>
  <c r="D2" i="127"/>
  <c r="E2" i="126"/>
  <c r="D2" i="126"/>
  <c r="E2" i="125"/>
  <c r="D2" i="125"/>
  <c r="F2" i="124"/>
  <c r="F4" i="124" s="1"/>
  <c r="E2" i="124"/>
  <c r="D2" i="124"/>
  <c r="F2" i="123"/>
  <c r="E2" i="123"/>
  <c r="D2" i="123"/>
  <c r="F2" i="122"/>
  <c r="E2" i="122"/>
  <c r="D2" i="122"/>
  <c r="D10" i="122" s="1"/>
  <c r="B2" i="122"/>
  <c r="E22" i="121"/>
  <c r="D22" i="121"/>
  <c r="D16" i="121"/>
  <c r="F10" i="121"/>
  <c r="E10" i="121"/>
  <c r="D10" i="121"/>
  <c r="E22" i="120"/>
  <c r="D22" i="120"/>
  <c r="D16" i="120"/>
  <c r="F10" i="120"/>
  <c r="E10" i="120"/>
  <c r="D16" i="119"/>
  <c r="F10" i="119"/>
  <c r="D10" i="119"/>
  <c r="F2" i="117"/>
  <c r="E2" i="117"/>
  <c r="D2" i="117"/>
  <c r="F2" i="115"/>
  <c r="E2" i="115"/>
  <c r="D2" i="115"/>
  <c r="J110" i="131" l="1"/>
  <c r="E6" i="125"/>
  <c r="E5" i="125"/>
  <c r="E4" i="125"/>
  <c r="D39" i="130"/>
  <c r="G39" i="130" s="1"/>
  <c r="D37" i="130"/>
  <c r="G37" i="130" s="1"/>
  <c r="E36" i="130"/>
  <c r="E34" i="130"/>
  <c r="E26" i="130"/>
  <c r="C24" i="130"/>
  <c r="C23" i="130"/>
  <c r="C22" i="130"/>
  <c r="G21" i="130"/>
  <c r="H21" i="130" s="1"/>
  <c r="G20" i="130"/>
  <c r="I20" i="130" s="1"/>
  <c r="H230" i="131" s="1"/>
  <c r="L230" i="131" s="1"/>
  <c r="C19" i="130"/>
  <c r="G19" i="130" s="1"/>
  <c r="J19" i="130" s="1"/>
  <c r="D17" i="130"/>
  <c r="G17" i="130" s="1"/>
  <c r="D16" i="130"/>
  <c r="G16" i="130" s="1"/>
  <c r="C15" i="130"/>
  <c r="C14" i="130"/>
  <c r="C13" i="130"/>
  <c r="D11" i="130"/>
  <c r="G11" i="130" s="1"/>
  <c r="D10" i="130"/>
  <c r="G10" i="130" s="1"/>
  <c r="N6" i="130"/>
  <c r="C33" i="130" s="1"/>
  <c r="C6" i="130"/>
  <c r="N5" i="130"/>
  <c r="C8" i="130" s="1"/>
  <c r="E5" i="130"/>
  <c r="C5" i="130"/>
  <c r="N4" i="130"/>
  <c r="C7" i="130" s="1"/>
  <c r="C4" i="130"/>
  <c r="E14" i="130"/>
  <c r="D9" i="129"/>
  <c r="G9" i="129" s="1"/>
  <c r="D6" i="128"/>
  <c r="E5" i="128"/>
  <c r="D4" i="128"/>
  <c r="E4" i="128"/>
  <c r="D5" i="128"/>
  <c r="E6" i="127"/>
  <c r="E4" i="127"/>
  <c r="E5" i="127"/>
  <c r="D4" i="127"/>
  <c r="E6" i="126"/>
  <c r="D6" i="126"/>
  <c r="E5" i="126"/>
  <c r="D4" i="126"/>
  <c r="D4" i="125"/>
  <c r="E4" i="124"/>
  <c r="D4" i="124"/>
  <c r="F23" i="123"/>
  <c r="C23" i="123"/>
  <c r="C22" i="123"/>
  <c r="C21" i="123"/>
  <c r="F20" i="123"/>
  <c r="G20" i="123" s="1"/>
  <c r="J20" i="123" s="1"/>
  <c r="E16" i="123"/>
  <c r="C15" i="123"/>
  <c r="C14" i="123"/>
  <c r="D9" i="123"/>
  <c r="C9" i="123"/>
  <c r="C8" i="123"/>
  <c r="C7" i="123"/>
  <c r="F21" i="123"/>
  <c r="G21" i="123" s="1"/>
  <c r="E14" i="123"/>
  <c r="D7" i="123"/>
  <c r="E39" i="122"/>
  <c r="G39" i="122" s="1"/>
  <c r="E37" i="122"/>
  <c r="G37" i="122" s="1"/>
  <c r="C36" i="122"/>
  <c r="G36" i="122" s="1"/>
  <c r="C35" i="122"/>
  <c r="G35" i="122" s="1"/>
  <c r="C34" i="122"/>
  <c r="G34" i="122" s="1"/>
  <c r="F33" i="122"/>
  <c r="E33" i="122"/>
  <c r="F32" i="122"/>
  <c r="F31" i="122"/>
  <c r="E31" i="122"/>
  <c r="E30" i="122"/>
  <c r="G30" i="122" s="1"/>
  <c r="E28" i="122"/>
  <c r="G28" i="122" s="1"/>
  <c r="F27" i="122"/>
  <c r="E27" i="122"/>
  <c r="F25" i="122"/>
  <c r="E24" i="122"/>
  <c r="G24" i="122" s="1"/>
  <c r="E23" i="122"/>
  <c r="G23" i="122" s="1"/>
  <c r="E22" i="122"/>
  <c r="G22" i="122" s="1"/>
  <c r="F21" i="122"/>
  <c r="E21" i="122"/>
  <c r="F20" i="122"/>
  <c r="E18" i="122"/>
  <c r="G18" i="122" s="1"/>
  <c r="E15" i="122"/>
  <c r="G15" i="122" s="1"/>
  <c r="E14" i="122"/>
  <c r="G14" i="122" s="1"/>
  <c r="E13" i="122"/>
  <c r="G13" i="122" s="1"/>
  <c r="D12" i="122"/>
  <c r="G12" i="122" s="1"/>
  <c r="G10" i="122"/>
  <c r="G9" i="122"/>
  <c r="I9" i="122" s="1"/>
  <c r="G8" i="122"/>
  <c r="I8" i="122" s="1"/>
  <c r="G7" i="122"/>
  <c r="H7" i="122" s="1"/>
  <c r="C6" i="122"/>
  <c r="G6" i="122" s="1"/>
  <c r="C5" i="122"/>
  <c r="G5" i="122" s="1"/>
  <c r="C4" i="122"/>
  <c r="G4" i="122" s="1"/>
  <c r="I4" i="122" s="1"/>
  <c r="E19" i="122"/>
  <c r="E25" i="122"/>
  <c r="D11" i="122"/>
  <c r="G11" i="122" s="1"/>
  <c r="E24" i="121"/>
  <c r="D24" i="121"/>
  <c r="D18" i="121"/>
  <c r="G18" i="121" s="1"/>
  <c r="E13" i="121"/>
  <c r="F12" i="121"/>
  <c r="E12" i="121"/>
  <c r="D12" i="121"/>
  <c r="F11" i="121"/>
  <c r="E11" i="121"/>
  <c r="D13" i="121"/>
  <c r="G7" i="121"/>
  <c r="I7" i="121" s="1"/>
  <c r="G6" i="121"/>
  <c r="J6" i="121" s="1"/>
  <c r="G5" i="121"/>
  <c r="H5" i="121" s="1"/>
  <c r="G4" i="121"/>
  <c r="J4" i="121" s="1"/>
  <c r="G3" i="121"/>
  <c r="J3" i="121" s="1"/>
  <c r="G2" i="121"/>
  <c r="J2" i="121" s="1"/>
  <c r="G2" i="120"/>
  <c r="I2" i="120" s="1"/>
  <c r="G3" i="120"/>
  <c r="H3" i="120" s="1"/>
  <c r="G4" i="120"/>
  <c r="H4" i="120" s="1"/>
  <c r="G5" i="120"/>
  <c r="H5" i="120" s="1"/>
  <c r="G6" i="120"/>
  <c r="H6" i="120" s="1"/>
  <c r="G94" i="131" s="1"/>
  <c r="G7" i="120"/>
  <c r="H7" i="120" s="1"/>
  <c r="D12" i="120"/>
  <c r="E11" i="120"/>
  <c r="E12" i="120"/>
  <c r="E13" i="120"/>
  <c r="D19" i="120"/>
  <c r="G19" i="120" s="1"/>
  <c r="D17" i="120"/>
  <c r="G17" i="120" s="1"/>
  <c r="D18" i="120"/>
  <c r="G18" i="120" s="1"/>
  <c r="D23" i="120"/>
  <c r="E23" i="120"/>
  <c r="D24" i="120"/>
  <c r="E24" i="120"/>
  <c r="D19" i="119"/>
  <c r="G19" i="119" s="1"/>
  <c r="E12" i="119"/>
  <c r="D12" i="119"/>
  <c r="E11" i="119"/>
  <c r="D11" i="119"/>
  <c r="E13" i="119"/>
  <c r="D13" i="119"/>
  <c r="G7" i="119"/>
  <c r="I7" i="119" s="1"/>
  <c r="G6" i="119"/>
  <c r="J6" i="119" s="1"/>
  <c r="I30" i="131" s="1"/>
  <c r="G5" i="119"/>
  <c r="H5" i="119" s="1"/>
  <c r="G4" i="119"/>
  <c r="H4" i="119" s="1"/>
  <c r="G3" i="119"/>
  <c r="J3" i="119" s="1"/>
  <c r="G2" i="119"/>
  <c r="J2" i="119" s="1"/>
  <c r="L15" i="118"/>
  <c r="G12" i="118"/>
  <c r="H12" i="118" s="1"/>
  <c r="G11" i="118"/>
  <c r="I11" i="118" s="1"/>
  <c r="G10" i="118"/>
  <c r="I10" i="118" s="1"/>
  <c r="C9" i="118"/>
  <c r="C8" i="118"/>
  <c r="C7" i="118"/>
  <c r="O6" i="118"/>
  <c r="C46" i="118" s="1"/>
  <c r="C6" i="118"/>
  <c r="G6" i="118" s="1"/>
  <c r="O5" i="118"/>
  <c r="C36" i="118" s="1"/>
  <c r="C5" i="118"/>
  <c r="G5" i="118" s="1"/>
  <c r="H5" i="118" s="1"/>
  <c r="O4" i="118"/>
  <c r="C38" i="118" s="1"/>
  <c r="C4" i="118"/>
  <c r="G4" i="118" s="1"/>
  <c r="F40" i="118"/>
  <c r="E31" i="118"/>
  <c r="F92" i="117"/>
  <c r="F90" i="117"/>
  <c r="F89" i="117"/>
  <c r="F87" i="117"/>
  <c r="F82" i="117"/>
  <c r="E82" i="117"/>
  <c r="F80" i="117"/>
  <c r="E80" i="117"/>
  <c r="F78" i="117"/>
  <c r="F77" i="117"/>
  <c r="F75" i="117"/>
  <c r="F74" i="117"/>
  <c r="F71" i="117"/>
  <c r="E71" i="117"/>
  <c r="F69" i="117"/>
  <c r="F67" i="117"/>
  <c r="F66" i="117"/>
  <c r="F65" i="117"/>
  <c r="F64" i="117"/>
  <c r="F63" i="117"/>
  <c r="F62" i="117"/>
  <c r="F61" i="117"/>
  <c r="F60" i="117"/>
  <c r="E60" i="117"/>
  <c r="F58" i="117"/>
  <c r="F56" i="117"/>
  <c r="F55" i="117"/>
  <c r="F53" i="117"/>
  <c r="F52" i="117"/>
  <c r="F49" i="117"/>
  <c r="E49" i="117"/>
  <c r="F47" i="117"/>
  <c r="F45" i="117"/>
  <c r="F44" i="117"/>
  <c r="E44" i="117"/>
  <c r="F42" i="117"/>
  <c r="F40" i="117"/>
  <c r="F39" i="117"/>
  <c r="F37" i="117"/>
  <c r="F36" i="117"/>
  <c r="F33" i="117"/>
  <c r="E33" i="117"/>
  <c r="F31" i="117"/>
  <c r="F29" i="117"/>
  <c r="F28" i="117"/>
  <c r="E28" i="117"/>
  <c r="F26" i="117"/>
  <c r="F24" i="117"/>
  <c r="F23" i="117"/>
  <c r="F21" i="117"/>
  <c r="F20" i="117"/>
  <c r="L15" i="117"/>
  <c r="G12" i="117"/>
  <c r="J12" i="117" s="1"/>
  <c r="G11" i="117"/>
  <c r="H11" i="117" s="1"/>
  <c r="G194" i="131" s="1"/>
  <c r="G10" i="117"/>
  <c r="I10" i="117" s="1"/>
  <c r="E9" i="117"/>
  <c r="C9" i="117"/>
  <c r="C8" i="117"/>
  <c r="E7" i="117"/>
  <c r="C7" i="117"/>
  <c r="O6" i="117"/>
  <c r="C85" i="117" s="1"/>
  <c r="C6" i="117"/>
  <c r="G6" i="117" s="1"/>
  <c r="I6" i="117" s="1"/>
  <c r="O5" i="117"/>
  <c r="C36" i="117" s="1"/>
  <c r="C5" i="117"/>
  <c r="G5" i="117" s="1"/>
  <c r="O4" i="117"/>
  <c r="C74" i="117" s="1"/>
  <c r="C4" i="117"/>
  <c r="G4" i="117" s="1"/>
  <c r="F88" i="117"/>
  <c r="E67" i="117"/>
  <c r="F107" i="115"/>
  <c r="F92" i="115"/>
  <c r="F85" i="115"/>
  <c r="F80" i="115"/>
  <c r="F65" i="115"/>
  <c r="E65" i="115"/>
  <c r="F52" i="115"/>
  <c r="E52" i="115"/>
  <c r="F46" i="115"/>
  <c r="F40" i="115"/>
  <c r="E40" i="115"/>
  <c r="F35" i="115"/>
  <c r="E35" i="115"/>
  <c r="F17" i="115"/>
  <c r="E17" i="115"/>
  <c r="L15" i="115"/>
  <c r="G12" i="115"/>
  <c r="J12" i="115" s="1"/>
  <c r="G11" i="115"/>
  <c r="J11" i="115" s="1"/>
  <c r="G10" i="115"/>
  <c r="H10" i="115" s="1"/>
  <c r="C9" i="115"/>
  <c r="C8" i="115"/>
  <c r="E7" i="115"/>
  <c r="C7" i="115"/>
  <c r="O6" i="115"/>
  <c r="C118" i="115" s="1"/>
  <c r="C6" i="115"/>
  <c r="G6" i="115" s="1"/>
  <c r="J6" i="115" s="1"/>
  <c r="O5" i="115"/>
  <c r="C72" i="115" s="1"/>
  <c r="C5" i="115"/>
  <c r="G5" i="115" s="1"/>
  <c r="O4" i="115"/>
  <c r="C116" i="115" s="1"/>
  <c r="G4" i="115"/>
  <c r="J4" i="115" s="1"/>
  <c r="F97" i="115"/>
  <c r="G4" i="125" l="1"/>
  <c r="K194" i="131"/>
  <c r="K94" i="131"/>
  <c r="K92" i="131" s="1"/>
  <c r="E39" i="36" s="1"/>
  <c r="G92" i="131"/>
  <c r="M30" i="131"/>
  <c r="M28" i="131" s="1"/>
  <c r="E16" i="36" s="1"/>
  <c r="I28" i="131"/>
  <c r="F13" i="119"/>
  <c r="F11" i="119"/>
  <c r="G11" i="119" s="1"/>
  <c r="I11" i="119" s="1"/>
  <c r="F12" i="120"/>
  <c r="G12" i="120" s="1"/>
  <c r="I12" i="120" s="1"/>
  <c r="H96" i="131" s="1"/>
  <c r="F12" i="119"/>
  <c r="G12" i="119" s="1"/>
  <c r="I12" i="119" s="1"/>
  <c r="H32" i="131" s="1"/>
  <c r="L32" i="131" s="1"/>
  <c r="G6" i="126"/>
  <c r="J6" i="126" s="1"/>
  <c r="G7" i="115"/>
  <c r="H7" i="115" s="1"/>
  <c r="C61" i="115"/>
  <c r="J3" i="120"/>
  <c r="C16" i="115"/>
  <c r="G4" i="128"/>
  <c r="H4" i="128" s="1"/>
  <c r="C17" i="118"/>
  <c r="C58" i="115"/>
  <c r="I5" i="120"/>
  <c r="D19" i="118"/>
  <c r="C19" i="118"/>
  <c r="J9" i="122"/>
  <c r="C75" i="117"/>
  <c r="G9" i="123"/>
  <c r="I9" i="123" s="1"/>
  <c r="H2" i="120"/>
  <c r="C63" i="117"/>
  <c r="G25" i="122"/>
  <c r="J25" i="122" s="1"/>
  <c r="C55" i="115"/>
  <c r="D63" i="117"/>
  <c r="C76" i="117"/>
  <c r="C23" i="118"/>
  <c r="C30" i="115"/>
  <c r="C15" i="117"/>
  <c r="C30" i="117"/>
  <c r="C25" i="118"/>
  <c r="C31" i="115"/>
  <c r="C78" i="115"/>
  <c r="D64" i="117"/>
  <c r="C78" i="117"/>
  <c r="C26" i="118"/>
  <c r="C32" i="115"/>
  <c r="C79" i="115"/>
  <c r="C16" i="117"/>
  <c r="C51" i="117"/>
  <c r="C29" i="118"/>
  <c r="C33" i="115"/>
  <c r="D18" i="117"/>
  <c r="C32" i="118"/>
  <c r="D19" i="117"/>
  <c r="D66" i="117"/>
  <c r="C34" i="118"/>
  <c r="C37" i="117"/>
  <c r="C54" i="117"/>
  <c r="C41" i="118"/>
  <c r="C105" i="115"/>
  <c r="C21" i="117"/>
  <c r="C43" i="118"/>
  <c r="C107" i="115"/>
  <c r="C69" i="117"/>
  <c r="C84" i="117"/>
  <c r="C44" i="118"/>
  <c r="C41" i="115"/>
  <c r="C22" i="117"/>
  <c r="C40" i="117"/>
  <c r="C57" i="117"/>
  <c r="C109" i="115"/>
  <c r="C117" i="115"/>
  <c r="D8" i="117"/>
  <c r="C24" i="117"/>
  <c r="C15" i="115"/>
  <c r="C43" i="117"/>
  <c r="C73" i="117"/>
  <c r="F15" i="118"/>
  <c r="E36" i="118"/>
  <c r="E21" i="118"/>
  <c r="F25" i="118"/>
  <c r="F23" i="118"/>
  <c r="E8" i="118"/>
  <c r="F29" i="118"/>
  <c r="E41" i="118"/>
  <c r="C22" i="115"/>
  <c r="C67" i="115"/>
  <c r="C69" i="115"/>
  <c r="C94" i="115"/>
  <c r="C46" i="115"/>
  <c r="I4" i="119"/>
  <c r="C93" i="115"/>
  <c r="C43" i="115"/>
  <c r="C122" i="115"/>
  <c r="C25" i="115"/>
  <c r="C70" i="115"/>
  <c r="C96" i="115"/>
  <c r="C125" i="115"/>
  <c r="E18" i="118"/>
  <c r="E27" i="118"/>
  <c r="F38" i="118"/>
  <c r="G24" i="120"/>
  <c r="I24" i="120" s="1"/>
  <c r="H100" i="131" s="1"/>
  <c r="I5" i="121"/>
  <c r="J20" i="130"/>
  <c r="I230" i="131" s="1"/>
  <c r="M230" i="131" s="1"/>
  <c r="C27" i="115"/>
  <c r="C73" i="115"/>
  <c r="C97" i="115"/>
  <c r="G97" i="115" s="1"/>
  <c r="D17" i="117"/>
  <c r="C31" i="117"/>
  <c r="C45" i="117"/>
  <c r="C72" i="117"/>
  <c r="C88" i="117"/>
  <c r="F18" i="118"/>
  <c r="F27" i="118"/>
  <c r="E39" i="118"/>
  <c r="J4" i="119"/>
  <c r="G21" i="122"/>
  <c r="H21" i="122" s="1"/>
  <c r="D103" i="115"/>
  <c r="C28" i="115"/>
  <c r="C49" i="115"/>
  <c r="C74" i="115"/>
  <c r="C100" i="115"/>
  <c r="D7" i="117"/>
  <c r="G7" i="117" s="1"/>
  <c r="H7" i="117" s="1"/>
  <c r="F39" i="118"/>
  <c r="J4" i="120"/>
  <c r="C75" i="115"/>
  <c r="D102" i="115"/>
  <c r="C90" i="117"/>
  <c r="D8" i="118"/>
  <c r="F20" i="118"/>
  <c r="E29" i="118"/>
  <c r="I4" i="120"/>
  <c r="G23" i="123"/>
  <c r="J23" i="123" s="1"/>
  <c r="G5" i="128"/>
  <c r="H5" i="128" s="1"/>
  <c r="G255" i="131" s="1"/>
  <c r="C9" i="130"/>
  <c r="C106" i="115"/>
  <c r="C35" i="117"/>
  <c r="F21" i="118"/>
  <c r="F31" i="118"/>
  <c r="F41" i="118"/>
  <c r="I7" i="122"/>
  <c r="I12" i="115"/>
  <c r="J7" i="122"/>
  <c r="C28" i="130"/>
  <c r="H4" i="115"/>
  <c r="I4" i="115"/>
  <c r="C34" i="115"/>
  <c r="C59" i="115"/>
  <c r="C81" i="115"/>
  <c r="H10" i="118"/>
  <c r="D23" i="118"/>
  <c r="E32" i="118"/>
  <c r="E43" i="118"/>
  <c r="J2" i="120"/>
  <c r="D28" i="130"/>
  <c r="H12" i="115"/>
  <c r="C60" i="115"/>
  <c r="C85" i="115"/>
  <c r="C108" i="115"/>
  <c r="E23" i="118"/>
  <c r="F32" i="118"/>
  <c r="F43" i="118"/>
  <c r="C31" i="130"/>
  <c r="C63" i="115"/>
  <c r="H11" i="118"/>
  <c r="E34" i="118"/>
  <c r="D34" i="130"/>
  <c r="G34" i="130" s="1"/>
  <c r="J34" i="130" s="1"/>
  <c r="D36" i="130"/>
  <c r="G36" i="130" s="1"/>
  <c r="I36" i="130" s="1"/>
  <c r="C90" i="115"/>
  <c r="C115" i="115"/>
  <c r="C17" i="115"/>
  <c r="G17" i="115" s="1"/>
  <c r="H17" i="115" s="1"/>
  <c r="C37" i="115"/>
  <c r="C112" i="115"/>
  <c r="C40" i="115"/>
  <c r="G40" i="115" s="1"/>
  <c r="C64" i="115"/>
  <c r="C91" i="115"/>
  <c r="H12" i="117"/>
  <c r="C56" i="117"/>
  <c r="C67" i="117"/>
  <c r="D25" i="118"/>
  <c r="F34" i="118"/>
  <c r="F46" i="118"/>
  <c r="G46" i="118" s="1"/>
  <c r="H46" i="118" s="1"/>
  <c r="C92" i="115"/>
  <c r="G92" i="115" s="1"/>
  <c r="J92" i="115" s="1"/>
  <c r="I12" i="117"/>
  <c r="C27" i="117"/>
  <c r="C42" i="117"/>
  <c r="C81" i="117"/>
  <c r="C15" i="118"/>
  <c r="E25" i="118"/>
  <c r="C14" i="117"/>
  <c r="C121" i="115"/>
  <c r="H6" i="117"/>
  <c r="D18" i="118"/>
  <c r="F36" i="118"/>
  <c r="G16" i="123"/>
  <c r="I16" i="123" s="1"/>
  <c r="H20" i="130"/>
  <c r="G230" i="131" s="1"/>
  <c r="C19" i="115"/>
  <c r="C24" i="115"/>
  <c r="J6" i="117"/>
  <c r="C27" i="118"/>
  <c r="E38" i="118"/>
  <c r="G4" i="127"/>
  <c r="I4" i="127" s="1"/>
  <c r="G4" i="124"/>
  <c r="I4" i="124" s="1"/>
  <c r="G14" i="123"/>
  <c r="I14" i="123" s="1"/>
  <c r="G27" i="122"/>
  <c r="I27" i="122" s="1"/>
  <c r="G31" i="122"/>
  <c r="J31" i="122" s="1"/>
  <c r="G33" i="122"/>
  <c r="H33" i="122" s="1"/>
  <c r="G12" i="121"/>
  <c r="I12" i="121" s="1"/>
  <c r="H245" i="131" s="1"/>
  <c r="G13" i="119"/>
  <c r="J13" i="119" s="1"/>
  <c r="G107" i="115"/>
  <c r="J107" i="115" s="1"/>
  <c r="I17" i="130"/>
  <c r="H229" i="131" s="1"/>
  <c r="L229" i="131" s="1"/>
  <c r="H17" i="130"/>
  <c r="G229" i="131" s="1"/>
  <c r="J17" i="130"/>
  <c r="I229" i="131" s="1"/>
  <c r="M229" i="131" s="1"/>
  <c r="J10" i="130"/>
  <c r="I10" i="130"/>
  <c r="H10" i="130"/>
  <c r="H37" i="130"/>
  <c r="J37" i="130"/>
  <c r="I37" i="130"/>
  <c r="J39" i="130"/>
  <c r="I39" i="130"/>
  <c r="H39" i="130"/>
  <c r="H11" i="130"/>
  <c r="G227" i="131" s="1"/>
  <c r="K227" i="131" s="1"/>
  <c r="J11" i="130"/>
  <c r="I227" i="131" s="1"/>
  <c r="I11" i="130"/>
  <c r="H227" i="131" s="1"/>
  <c r="L227" i="131" s="1"/>
  <c r="J16" i="130"/>
  <c r="I16" i="130"/>
  <c r="H16" i="130"/>
  <c r="C29" i="130"/>
  <c r="D6" i="130"/>
  <c r="D29" i="130"/>
  <c r="E13" i="130"/>
  <c r="D15" i="130"/>
  <c r="D18" i="130"/>
  <c r="G18" i="130" s="1"/>
  <c r="I21" i="130"/>
  <c r="D27" i="130"/>
  <c r="D35" i="130"/>
  <c r="D4" i="130"/>
  <c r="D9" i="130"/>
  <c r="E15" i="130"/>
  <c r="J21" i="130"/>
  <c r="E27" i="130"/>
  <c r="E35" i="130"/>
  <c r="D38" i="130"/>
  <c r="G38" i="130" s="1"/>
  <c r="D32" i="130"/>
  <c r="C30" i="130"/>
  <c r="D22" i="130"/>
  <c r="G22" i="130" s="1"/>
  <c r="D30" i="130"/>
  <c r="D8" i="130"/>
  <c r="G8" i="130" s="1"/>
  <c r="E6" i="130"/>
  <c r="D13" i="130"/>
  <c r="D12" i="130"/>
  <c r="G12" i="130" s="1"/>
  <c r="D25" i="130"/>
  <c r="E4" i="130"/>
  <c r="C32" i="130"/>
  <c r="D24" i="130"/>
  <c r="G24" i="130" s="1"/>
  <c r="D5" i="130"/>
  <c r="G5" i="130" s="1"/>
  <c r="D7" i="130"/>
  <c r="G7" i="130" s="1"/>
  <c r="E25" i="130"/>
  <c r="D33" i="130"/>
  <c r="G33" i="130" s="1"/>
  <c r="H19" i="130"/>
  <c r="I19" i="130"/>
  <c r="D14" i="130"/>
  <c r="G14" i="130" s="1"/>
  <c r="D23" i="130"/>
  <c r="G23" i="130" s="1"/>
  <c r="D31" i="130"/>
  <c r="D26" i="130"/>
  <c r="G26" i="130" s="1"/>
  <c r="J9" i="129"/>
  <c r="I9" i="129"/>
  <c r="H9" i="129"/>
  <c r="D6" i="129"/>
  <c r="G6" i="129" s="1"/>
  <c r="D14" i="129"/>
  <c r="G14" i="129" s="1"/>
  <c r="D5" i="129"/>
  <c r="G5" i="129" s="1"/>
  <c r="D11" i="129"/>
  <c r="G11" i="129" s="1"/>
  <c r="D7" i="129"/>
  <c r="G7" i="129" s="1"/>
  <c r="D15" i="129"/>
  <c r="G15" i="129" s="1"/>
  <c r="D4" i="129"/>
  <c r="G4" i="129" s="1"/>
  <c r="D12" i="129"/>
  <c r="G12" i="129" s="1"/>
  <c r="D8" i="129"/>
  <c r="G8" i="129" s="1"/>
  <c r="D16" i="129"/>
  <c r="G16" i="129" s="1"/>
  <c r="D13" i="129"/>
  <c r="G13" i="129" s="1"/>
  <c r="E6" i="128"/>
  <c r="G6" i="128" s="1"/>
  <c r="D5" i="127"/>
  <c r="G5" i="127" s="1"/>
  <c r="D6" i="127"/>
  <c r="G6" i="127" s="1"/>
  <c r="E4" i="126"/>
  <c r="G4" i="126" s="1"/>
  <c r="D5" i="126"/>
  <c r="G5" i="126" s="1"/>
  <c r="D5" i="125"/>
  <c r="G5" i="125" s="1"/>
  <c r="D6" i="125"/>
  <c r="G6" i="125" s="1"/>
  <c r="D5" i="124"/>
  <c r="D6" i="124"/>
  <c r="E5" i="124"/>
  <c r="F5" i="124"/>
  <c r="E6" i="124"/>
  <c r="F6" i="124"/>
  <c r="J21" i="123"/>
  <c r="I21" i="123"/>
  <c r="H21" i="123"/>
  <c r="G7" i="123"/>
  <c r="I20" i="123"/>
  <c r="D5" i="123"/>
  <c r="G5" i="123" s="1"/>
  <c r="D8" i="123"/>
  <c r="G8" i="123" s="1"/>
  <c r="E12" i="123"/>
  <c r="G12" i="123" s="1"/>
  <c r="E15" i="123"/>
  <c r="G15" i="123" s="1"/>
  <c r="F19" i="123"/>
  <c r="G19" i="123" s="1"/>
  <c r="F22" i="123"/>
  <c r="G22" i="123" s="1"/>
  <c r="D6" i="123"/>
  <c r="G6" i="123" s="1"/>
  <c r="E13" i="123"/>
  <c r="G13" i="123" s="1"/>
  <c r="D4" i="123"/>
  <c r="G4" i="123" s="1"/>
  <c r="E11" i="123"/>
  <c r="G11" i="123" s="1"/>
  <c r="H20" i="123"/>
  <c r="F18" i="123"/>
  <c r="G18" i="123" s="1"/>
  <c r="J10" i="122"/>
  <c r="I10" i="122"/>
  <c r="H10" i="122"/>
  <c r="J13" i="122"/>
  <c r="I13" i="122"/>
  <c r="H13" i="122"/>
  <c r="I24" i="122"/>
  <c r="J24" i="122"/>
  <c r="H24" i="122"/>
  <c r="J30" i="122"/>
  <c r="I30" i="122"/>
  <c r="H30" i="122"/>
  <c r="J12" i="122"/>
  <c r="H12" i="122"/>
  <c r="I12" i="122"/>
  <c r="I14" i="122"/>
  <c r="H16" i="131" s="1"/>
  <c r="L16" i="131" s="1"/>
  <c r="J14" i="122"/>
  <c r="H14" i="122"/>
  <c r="G16" i="131" s="1"/>
  <c r="J18" i="122"/>
  <c r="I18" i="122"/>
  <c r="H18" i="122"/>
  <c r="J28" i="122"/>
  <c r="I28" i="122"/>
  <c r="H28" i="122"/>
  <c r="J11" i="122"/>
  <c r="I11" i="122"/>
  <c r="H11" i="122"/>
  <c r="I15" i="122"/>
  <c r="H15" i="122"/>
  <c r="J15" i="122"/>
  <c r="J34" i="122"/>
  <c r="I34" i="122"/>
  <c r="H34" i="122"/>
  <c r="I35" i="122"/>
  <c r="H35" i="122"/>
  <c r="J35" i="122"/>
  <c r="J5" i="122"/>
  <c r="H5" i="122"/>
  <c r="I5" i="122"/>
  <c r="I36" i="122"/>
  <c r="H36" i="122"/>
  <c r="J36" i="122"/>
  <c r="J6" i="122"/>
  <c r="I6" i="122"/>
  <c r="H6" i="122"/>
  <c r="J22" i="122"/>
  <c r="I22" i="122"/>
  <c r="H22" i="122"/>
  <c r="J37" i="122"/>
  <c r="I37" i="122"/>
  <c r="H37" i="122"/>
  <c r="J23" i="122"/>
  <c r="I19" i="131" s="1"/>
  <c r="M19" i="131" s="1"/>
  <c r="I23" i="122"/>
  <c r="H19" i="131" s="1"/>
  <c r="L19" i="131" s="1"/>
  <c r="H23" i="122"/>
  <c r="G19" i="131" s="1"/>
  <c r="J39" i="122"/>
  <c r="H39" i="122"/>
  <c r="I39" i="122"/>
  <c r="J4" i="122"/>
  <c r="E17" i="122"/>
  <c r="G17" i="122" s="1"/>
  <c r="E20" i="122"/>
  <c r="G20" i="122" s="1"/>
  <c r="J8" i="122"/>
  <c r="E26" i="122"/>
  <c r="H4" i="122"/>
  <c r="F26" i="122"/>
  <c r="E29" i="122"/>
  <c r="G29" i="122" s="1"/>
  <c r="E32" i="122"/>
  <c r="G32" i="122" s="1"/>
  <c r="E38" i="122"/>
  <c r="G38" i="122" s="1"/>
  <c r="H9" i="122"/>
  <c r="H8" i="122"/>
  <c r="E16" i="122"/>
  <c r="G16" i="122" s="1"/>
  <c r="F19" i="122"/>
  <c r="G19" i="122" s="1"/>
  <c r="I18" i="121"/>
  <c r="H247" i="131" s="1"/>
  <c r="H18" i="121"/>
  <c r="G247" i="131" s="1"/>
  <c r="J18" i="121"/>
  <c r="I247" i="131" s="1"/>
  <c r="G24" i="121"/>
  <c r="H4" i="121"/>
  <c r="F13" i="121"/>
  <c r="G13" i="121" s="1"/>
  <c r="D19" i="121"/>
  <c r="G19" i="121" s="1"/>
  <c r="D17" i="121"/>
  <c r="G17" i="121" s="1"/>
  <c r="I6" i="121"/>
  <c r="I2" i="121"/>
  <c r="I4" i="121"/>
  <c r="D11" i="121"/>
  <c r="G11" i="121" s="1"/>
  <c r="D25" i="121"/>
  <c r="H6" i="121"/>
  <c r="D23" i="121"/>
  <c r="H2" i="121"/>
  <c r="E25" i="121"/>
  <c r="H7" i="121"/>
  <c r="I3" i="121"/>
  <c r="J7" i="121"/>
  <c r="E23" i="121"/>
  <c r="H3" i="121"/>
  <c r="G23" i="120"/>
  <c r="I17" i="120"/>
  <c r="J17" i="120"/>
  <c r="H17" i="120"/>
  <c r="H18" i="120"/>
  <c r="G98" i="131" s="1"/>
  <c r="I18" i="120"/>
  <c r="H98" i="131" s="1"/>
  <c r="J18" i="120"/>
  <c r="I98" i="131" s="1"/>
  <c r="J19" i="120"/>
  <c r="H19" i="120"/>
  <c r="I19" i="120"/>
  <c r="D25" i="120"/>
  <c r="E25" i="120"/>
  <c r="D11" i="120"/>
  <c r="J7" i="120"/>
  <c r="I3" i="120"/>
  <c r="D13" i="120"/>
  <c r="I7" i="120"/>
  <c r="J6" i="120"/>
  <c r="I94" i="131" s="1"/>
  <c r="I6" i="120"/>
  <c r="H94" i="131" s="1"/>
  <c r="I19" i="119"/>
  <c r="H19" i="119"/>
  <c r="J19" i="119"/>
  <c r="I5" i="119"/>
  <c r="H6" i="119"/>
  <c r="G30" i="131" s="1"/>
  <c r="I6" i="119"/>
  <c r="H30" i="131" s="1"/>
  <c r="H3" i="119"/>
  <c r="I3" i="119"/>
  <c r="J7" i="119"/>
  <c r="H2" i="119"/>
  <c r="I2" i="119"/>
  <c r="D18" i="119"/>
  <c r="G18" i="119" s="1"/>
  <c r="H7" i="119"/>
  <c r="D17" i="119"/>
  <c r="G17" i="119" s="1"/>
  <c r="H6" i="118"/>
  <c r="J6" i="118"/>
  <c r="I6" i="118"/>
  <c r="J5" i="118"/>
  <c r="D17" i="118"/>
  <c r="I12" i="118"/>
  <c r="D9" i="118"/>
  <c r="J12" i="118"/>
  <c r="F17" i="118"/>
  <c r="F19" i="118"/>
  <c r="C28" i="118"/>
  <c r="F30" i="118"/>
  <c r="E37" i="118"/>
  <c r="C42" i="118"/>
  <c r="J11" i="118"/>
  <c r="E17" i="118"/>
  <c r="E19" i="118"/>
  <c r="E30" i="118"/>
  <c r="C37" i="118"/>
  <c r="F44" i="118"/>
  <c r="E9" i="118"/>
  <c r="C14" i="118"/>
  <c r="E28" i="118"/>
  <c r="C35" i="118"/>
  <c r="F37" i="118"/>
  <c r="E42" i="118"/>
  <c r="C24" i="118"/>
  <c r="E35" i="118"/>
  <c r="C45" i="118"/>
  <c r="H4" i="118"/>
  <c r="C22" i="118"/>
  <c r="D24" i="118"/>
  <c r="E26" i="118"/>
  <c r="C33" i="118"/>
  <c r="F35" i="118"/>
  <c r="C40" i="118"/>
  <c r="F45" i="118"/>
  <c r="I5" i="118"/>
  <c r="C21" i="118"/>
  <c r="C30" i="118"/>
  <c r="I4" i="118"/>
  <c r="D7" i="118"/>
  <c r="C16" i="118"/>
  <c r="E22" i="118"/>
  <c r="E24" i="118"/>
  <c r="F26" i="118"/>
  <c r="E33" i="118"/>
  <c r="E40" i="118"/>
  <c r="C39" i="118"/>
  <c r="F14" i="118"/>
  <c r="F28" i="118"/>
  <c r="F42" i="118"/>
  <c r="J4" i="118"/>
  <c r="E7" i="118"/>
  <c r="F16" i="118"/>
  <c r="C18" i="118"/>
  <c r="C20" i="118"/>
  <c r="F22" i="118"/>
  <c r="F24" i="118"/>
  <c r="C31" i="118"/>
  <c r="F33" i="118"/>
  <c r="E20" i="118"/>
  <c r="I4" i="117"/>
  <c r="H4" i="117"/>
  <c r="J4" i="117"/>
  <c r="I5" i="117"/>
  <c r="H192" i="131" s="1"/>
  <c r="L192" i="131" s="1"/>
  <c r="H5" i="117"/>
  <c r="G192" i="131" s="1"/>
  <c r="J5" i="117"/>
  <c r="I192" i="131" s="1"/>
  <c r="M192" i="131" s="1"/>
  <c r="E20" i="117"/>
  <c r="E8" i="117"/>
  <c r="E27" i="117"/>
  <c r="C34" i="117"/>
  <c r="E43" i="117"/>
  <c r="C83" i="117"/>
  <c r="I11" i="117"/>
  <c r="H194" i="131" s="1"/>
  <c r="L194" i="131" s="1"/>
  <c r="F18" i="117"/>
  <c r="C25" i="117"/>
  <c r="F27" i="117"/>
  <c r="E34" i="117"/>
  <c r="C41" i="117"/>
  <c r="F43" i="117"/>
  <c r="E50" i="117"/>
  <c r="F59" i="117"/>
  <c r="E72" i="117"/>
  <c r="C79" i="117"/>
  <c r="D81" i="117"/>
  <c r="E83" i="117"/>
  <c r="C91" i="117"/>
  <c r="E69" i="117"/>
  <c r="C59" i="117"/>
  <c r="E85" i="117"/>
  <c r="E18" i="117"/>
  <c r="C50" i="117"/>
  <c r="J11" i="117"/>
  <c r="I194" i="131" s="1"/>
  <c r="M194" i="131" s="1"/>
  <c r="E15" i="117"/>
  <c r="E25" i="117"/>
  <c r="C32" i="117"/>
  <c r="F34" i="117"/>
  <c r="E41" i="117"/>
  <c r="C48" i="117"/>
  <c r="F50" i="117"/>
  <c r="E57" i="117"/>
  <c r="C70" i="117"/>
  <c r="F72" i="117"/>
  <c r="E79" i="117"/>
  <c r="E81" i="117"/>
  <c r="F83" i="117"/>
  <c r="E91" i="117"/>
  <c r="E36" i="117"/>
  <c r="G36" i="117" s="1"/>
  <c r="E59" i="117"/>
  <c r="F85" i="117"/>
  <c r="F15" i="117"/>
  <c r="C23" i="117"/>
  <c r="F25" i="117"/>
  <c r="E32" i="117"/>
  <c r="C39" i="117"/>
  <c r="F41" i="117"/>
  <c r="E48" i="117"/>
  <c r="C55" i="117"/>
  <c r="F57" i="117"/>
  <c r="E70" i="117"/>
  <c r="C77" i="117"/>
  <c r="F79" i="117"/>
  <c r="F81" i="117"/>
  <c r="C89" i="117"/>
  <c r="F91" i="117"/>
  <c r="E52" i="117"/>
  <c r="E74" i="117"/>
  <c r="G74" i="117" s="1"/>
  <c r="E23" i="117"/>
  <c r="F32" i="117"/>
  <c r="E39" i="117"/>
  <c r="C46" i="117"/>
  <c r="F48" i="117"/>
  <c r="E55" i="117"/>
  <c r="C62" i="117"/>
  <c r="C64" i="117"/>
  <c r="C66" i="117"/>
  <c r="C68" i="117"/>
  <c r="F70" i="117"/>
  <c r="E77" i="117"/>
  <c r="E89" i="117"/>
  <c r="E46" i="117"/>
  <c r="C53" i="117"/>
  <c r="E68" i="117"/>
  <c r="E30" i="117"/>
  <c r="D62" i="117"/>
  <c r="C87" i="117"/>
  <c r="D9" i="117"/>
  <c r="G9" i="117" s="1"/>
  <c r="C17" i="117"/>
  <c r="C19" i="117"/>
  <c r="E21" i="117"/>
  <c r="G21" i="117" s="1"/>
  <c r="C28" i="117"/>
  <c r="G28" i="117" s="1"/>
  <c r="F30" i="117"/>
  <c r="E37" i="117"/>
  <c r="C44" i="117"/>
  <c r="G44" i="117" s="1"/>
  <c r="F46" i="117"/>
  <c r="E53" i="117"/>
  <c r="C60" i="117"/>
  <c r="G60" i="117" s="1"/>
  <c r="E62" i="117"/>
  <c r="E64" i="117"/>
  <c r="E66" i="117"/>
  <c r="F68" i="117"/>
  <c r="E75" i="117"/>
  <c r="E87" i="117"/>
  <c r="E14" i="117"/>
  <c r="E17" i="117"/>
  <c r="E19" i="117"/>
  <c r="C26" i="117"/>
  <c r="E35" i="117"/>
  <c r="E51" i="117"/>
  <c r="C58" i="117"/>
  <c r="E73" i="117"/>
  <c r="C80" i="117"/>
  <c r="C82" i="117"/>
  <c r="E84" i="117"/>
  <c r="C92" i="117"/>
  <c r="F14" i="117"/>
  <c r="F17" i="117"/>
  <c r="F19" i="117"/>
  <c r="E26" i="117"/>
  <c r="C33" i="117"/>
  <c r="G33" i="117" s="1"/>
  <c r="F35" i="117"/>
  <c r="E42" i="117"/>
  <c r="C49" i="117"/>
  <c r="G49" i="117" s="1"/>
  <c r="F51" i="117"/>
  <c r="E58" i="117"/>
  <c r="C71" i="117"/>
  <c r="G71" i="117" s="1"/>
  <c r="F73" i="117"/>
  <c r="D80" i="117"/>
  <c r="D82" i="117"/>
  <c r="F84" i="117"/>
  <c r="E92" i="117"/>
  <c r="E24" i="117"/>
  <c r="G24" i="117" s="1"/>
  <c r="E40" i="117"/>
  <c r="C47" i="117"/>
  <c r="E56" i="117"/>
  <c r="E78" i="117"/>
  <c r="E90" i="117"/>
  <c r="C38" i="117"/>
  <c r="E47" i="117"/>
  <c r="C65" i="117"/>
  <c r="E22" i="117"/>
  <c r="E31" i="117"/>
  <c r="G31" i="117" s="1"/>
  <c r="H10" i="117"/>
  <c r="E16" i="117"/>
  <c r="C29" i="117"/>
  <c r="E38" i="117"/>
  <c r="E54" i="117"/>
  <c r="C61" i="117"/>
  <c r="D65" i="117"/>
  <c r="D67" i="117"/>
  <c r="E76" i="117"/>
  <c r="E88" i="117"/>
  <c r="F16" i="117"/>
  <c r="C18" i="117"/>
  <c r="C20" i="117"/>
  <c r="F22" i="117"/>
  <c r="E29" i="117"/>
  <c r="F38" i="117"/>
  <c r="E45" i="117"/>
  <c r="C52" i="117"/>
  <c r="F54" i="117"/>
  <c r="E61" i="117"/>
  <c r="E63" i="117"/>
  <c r="E65" i="117"/>
  <c r="F76" i="117"/>
  <c r="H5" i="115"/>
  <c r="J5" i="115"/>
  <c r="I5" i="115"/>
  <c r="E66" i="115"/>
  <c r="E61" i="115"/>
  <c r="E45" i="115"/>
  <c r="E29" i="115"/>
  <c r="E121" i="115"/>
  <c r="E105" i="115"/>
  <c r="E100" i="115"/>
  <c r="E90" i="115"/>
  <c r="E54" i="115"/>
  <c r="E38" i="115"/>
  <c r="E77" i="115"/>
  <c r="E67" i="115"/>
  <c r="E46" i="115"/>
  <c r="G46" i="115" s="1"/>
  <c r="E30" i="115"/>
  <c r="E55" i="115"/>
  <c r="E122" i="115"/>
  <c r="E106" i="115"/>
  <c r="E91" i="115"/>
  <c r="E84" i="115"/>
  <c r="E79" i="115"/>
  <c r="E69" i="115"/>
  <c r="E116" i="115"/>
  <c r="E86" i="115"/>
  <c r="E50" i="115"/>
  <c r="E51" i="115"/>
  <c r="E47" i="115"/>
  <c r="E36" i="115"/>
  <c r="E53" i="115"/>
  <c r="E33" i="115"/>
  <c r="E123" i="115"/>
  <c r="E120" i="115"/>
  <c r="E42" i="115"/>
  <c r="E34" i="115"/>
  <c r="E21" i="115"/>
  <c r="E41" i="115"/>
  <c r="E99" i="115"/>
  <c r="E39" i="115"/>
  <c r="E26" i="115"/>
  <c r="E9" i="115"/>
  <c r="G9" i="115" s="1"/>
  <c r="E44" i="115"/>
  <c r="E28" i="115"/>
  <c r="E70" i="115"/>
  <c r="E56" i="115"/>
  <c r="E87" i="115"/>
  <c r="E83" i="115"/>
  <c r="E57" i="115"/>
  <c r="E31" i="115"/>
  <c r="E18" i="115"/>
  <c r="E118" i="115"/>
  <c r="E23" i="115"/>
  <c r="E98" i="115"/>
  <c r="E60" i="115"/>
  <c r="E78" i="115"/>
  <c r="F27" i="115"/>
  <c r="E124" i="115"/>
  <c r="F88" i="115"/>
  <c r="E89" i="115"/>
  <c r="E117" i="115"/>
  <c r="F24" i="115"/>
  <c r="F82" i="115"/>
  <c r="F104" i="115"/>
  <c r="C113" i="115"/>
  <c r="C98" i="115"/>
  <c r="C20" i="115"/>
  <c r="C120" i="115"/>
  <c r="C104" i="115"/>
  <c r="C89" i="115"/>
  <c r="C53" i="115"/>
  <c r="C62" i="115"/>
  <c r="C77" i="115"/>
  <c r="D101" i="115"/>
  <c r="C95" i="115"/>
  <c r="C80" i="115"/>
  <c r="G80" i="115" s="1"/>
  <c r="C68" i="115"/>
  <c r="C65" i="115"/>
  <c r="G65" i="115" s="1"/>
  <c r="C29" i="115"/>
  <c r="C83" i="115"/>
  <c r="D14" i="115"/>
  <c r="C47" i="115"/>
  <c r="C23" i="115"/>
  <c r="C44" i="115"/>
  <c r="C123" i="115"/>
  <c r="C50" i="115"/>
  <c r="C86" i="115"/>
  <c r="C110" i="115"/>
  <c r="C71" i="115"/>
  <c r="C26" i="115"/>
  <c r="C14" i="115"/>
  <c r="F112" i="115"/>
  <c r="F49" i="115"/>
  <c r="C56" i="115"/>
  <c r="F77" i="115"/>
  <c r="F121" i="115"/>
  <c r="F105" i="115"/>
  <c r="F100" i="115"/>
  <c r="F90" i="115"/>
  <c r="F54" i="115"/>
  <c r="F38" i="115"/>
  <c r="F22" i="115"/>
  <c r="F110" i="115"/>
  <c r="F95" i="115"/>
  <c r="F83" i="115"/>
  <c r="F78" i="115"/>
  <c r="F73" i="115"/>
  <c r="F68" i="115"/>
  <c r="F47" i="115"/>
  <c r="F122" i="115"/>
  <c r="F114" i="115"/>
  <c r="F106" i="115"/>
  <c r="F91" i="115"/>
  <c r="F62" i="115"/>
  <c r="F55" i="115"/>
  <c r="F39" i="115"/>
  <c r="F23" i="115"/>
  <c r="F101" i="115"/>
  <c r="F84" i="115"/>
  <c r="F79" i="115"/>
  <c r="F69" i="115"/>
  <c r="F124" i="115"/>
  <c r="F111" i="115"/>
  <c r="F96" i="115"/>
  <c r="F74" i="115"/>
  <c r="G74" i="115" s="1"/>
  <c r="F108" i="115"/>
  <c r="F93" i="115"/>
  <c r="G93" i="115" s="1"/>
  <c r="F71" i="115"/>
  <c r="F64" i="115"/>
  <c r="F59" i="115"/>
  <c r="F123" i="115"/>
  <c r="F120" i="115"/>
  <c r="F115" i="115"/>
  <c r="F103" i="115"/>
  <c r="F76" i="115"/>
  <c r="F72" i="115"/>
  <c r="G72" i="115" s="1"/>
  <c r="F45" i="115"/>
  <c r="F42" i="115"/>
  <c r="F34" i="115"/>
  <c r="F21" i="115"/>
  <c r="F98" i="115"/>
  <c r="F60" i="115"/>
  <c r="F36" i="115"/>
  <c r="F67" i="115"/>
  <c r="F63" i="115"/>
  <c r="F28" i="115"/>
  <c r="F86" i="115"/>
  <c r="F70" i="115"/>
  <c r="F41" i="115"/>
  <c r="F33" i="115"/>
  <c r="F99" i="115"/>
  <c r="F26" i="115"/>
  <c r="F94" i="115"/>
  <c r="G94" i="115" s="1"/>
  <c r="F53" i="115"/>
  <c r="F87" i="115"/>
  <c r="F57" i="115"/>
  <c r="F31" i="115"/>
  <c r="F18" i="115"/>
  <c r="F56" i="115"/>
  <c r="F20" i="115"/>
  <c r="F118" i="115"/>
  <c r="F102" i="115"/>
  <c r="F75" i="115"/>
  <c r="F50" i="115"/>
  <c r="F44" i="115"/>
  <c r="E37" i="115"/>
  <c r="F19" i="115"/>
  <c r="F89" i="115"/>
  <c r="F117" i="115"/>
  <c r="F125" i="115"/>
  <c r="E49" i="115"/>
  <c r="H11" i="115"/>
  <c r="E20" i="115"/>
  <c r="F51" i="115"/>
  <c r="F116" i="115"/>
  <c r="E32" i="115"/>
  <c r="F32" i="115"/>
  <c r="F48" i="115"/>
  <c r="F66" i="115"/>
  <c r="E19" i="115"/>
  <c r="E24" i="115"/>
  <c r="E104" i="115"/>
  <c r="F29" i="115"/>
  <c r="E68" i="115"/>
  <c r="I10" i="115"/>
  <c r="C38" i="115"/>
  <c r="I6" i="115"/>
  <c r="H6" i="115"/>
  <c r="I11" i="115"/>
  <c r="E25" i="115"/>
  <c r="E58" i="115"/>
  <c r="E22" i="115"/>
  <c r="E27" i="115"/>
  <c r="E59" i="115"/>
  <c r="E88" i="115"/>
  <c r="E48" i="115"/>
  <c r="E8" i="115"/>
  <c r="G8" i="115" s="1"/>
  <c r="F37" i="115"/>
  <c r="F61" i="115"/>
  <c r="F81" i="115"/>
  <c r="G81" i="115" s="1"/>
  <c r="F109" i="115"/>
  <c r="E43" i="115"/>
  <c r="E125" i="115"/>
  <c r="F43" i="115"/>
  <c r="F25" i="115"/>
  <c r="F30" i="115"/>
  <c r="C35" i="115"/>
  <c r="G35" i="115" s="1"/>
  <c r="F58" i="115"/>
  <c r="E85" i="115"/>
  <c r="F113" i="115"/>
  <c r="C87" i="115"/>
  <c r="C39" i="115"/>
  <c r="D16" i="115"/>
  <c r="C42" i="115"/>
  <c r="C51" i="115"/>
  <c r="C54" i="115"/>
  <c r="C36" i="115"/>
  <c r="C66" i="115"/>
  <c r="C45" i="115"/>
  <c r="C99" i="115"/>
  <c r="C21" i="115"/>
  <c r="D15" i="115"/>
  <c r="C114" i="115"/>
  <c r="C124" i="115"/>
  <c r="C57" i="115"/>
  <c r="C18" i="115"/>
  <c r="C48" i="115"/>
  <c r="C84" i="115"/>
  <c r="C111" i="115"/>
  <c r="C82" i="115"/>
  <c r="C52" i="115"/>
  <c r="G52" i="115" s="1"/>
  <c r="C76" i="115"/>
  <c r="C88" i="115"/>
  <c r="M94" i="131" l="1"/>
  <c r="I92" i="131"/>
  <c r="L30" i="131"/>
  <c r="L28" i="131" s="1"/>
  <c r="E15" i="36" s="1"/>
  <c r="H28" i="131"/>
  <c r="F194" i="131"/>
  <c r="L94" i="131"/>
  <c r="L92" i="131" s="1"/>
  <c r="E40" i="36" s="1"/>
  <c r="H92" i="131"/>
  <c r="G109" i="115"/>
  <c r="H109" i="115" s="1"/>
  <c r="K192" i="131"/>
  <c r="J192" i="131" s="1"/>
  <c r="F192" i="131"/>
  <c r="G28" i="131"/>
  <c r="F30" i="131"/>
  <c r="K30" i="131"/>
  <c r="K230" i="131"/>
  <c r="J230" i="131" s="1"/>
  <c r="F230" i="131"/>
  <c r="F94" i="131"/>
  <c r="J194" i="131"/>
  <c r="G15" i="131"/>
  <c r="K15" i="131" s="1"/>
  <c r="I15" i="131"/>
  <c r="M15" i="131" s="1"/>
  <c r="H15" i="131"/>
  <c r="I16" i="131"/>
  <c r="M16" i="131" s="1"/>
  <c r="L245" i="131"/>
  <c r="H246" i="131"/>
  <c r="L247" i="131"/>
  <c r="L246" i="131" s="1"/>
  <c r="M247" i="131"/>
  <c r="M246" i="131" s="1"/>
  <c r="I246" i="131"/>
  <c r="K247" i="131"/>
  <c r="K246" i="131" s="1"/>
  <c r="G246" i="131"/>
  <c r="F247" i="131"/>
  <c r="K255" i="131"/>
  <c r="G253" i="131"/>
  <c r="K229" i="131"/>
  <c r="J229" i="131" s="1"/>
  <c r="F229" i="131"/>
  <c r="F227" i="131"/>
  <c r="M227" i="131"/>
  <c r="J227" i="131" s="1"/>
  <c r="K98" i="131"/>
  <c r="G97" i="131"/>
  <c r="L100" i="131"/>
  <c r="L99" i="131" s="1"/>
  <c r="H99" i="131"/>
  <c r="F98" i="131"/>
  <c r="M98" i="131"/>
  <c r="M97" i="131" s="1"/>
  <c r="I97" i="131"/>
  <c r="L98" i="131"/>
  <c r="L97" i="131" s="1"/>
  <c r="H97" i="131"/>
  <c r="L96" i="131"/>
  <c r="F11" i="120"/>
  <c r="G11" i="120" s="1"/>
  <c r="F13" i="120"/>
  <c r="G13" i="120" s="1"/>
  <c r="K19" i="131"/>
  <c r="J19" i="131" s="1"/>
  <c r="F19" i="131"/>
  <c r="K16" i="131"/>
  <c r="I6" i="126"/>
  <c r="H6" i="126"/>
  <c r="J4" i="127"/>
  <c r="I4" i="128"/>
  <c r="J17" i="115"/>
  <c r="I17" i="115"/>
  <c r="G51" i="117"/>
  <c r="J51" i="117" s="1"/>
  <c r="J9" i="123"/>
  <c r="H11" i="119"/>
  <c r="H24" i="120"/>
  <c r="G100" i="131" s="1"/>
  <c r="J4" i="128"/>
  <c r="H14" i="123"/>
  <c r="I21" i="122"/>
  <c r="G8" i="117"/>
  <c r="H8" i="117" s="1"/>
  <c r="G193" i="131" s="1"/>
  <c r="G39" i="118"/>
  <c r="I39" i="118" s="1"/>
  <c r="H272" i="131" s="1"/>
  <c r="L272" i="131" s="1"/>
  <c r="J97" i="115"/>
  <c r="I97" i="115"/>
  <c r="G111" i="115"/>
  <c r="H111" i="115" s="1"/>
  <c r="G82" i="131" s="1"/>
  <c r="G16" i="115"/>
  <c r="H16" i="115" s="1"/>
  <c r="G115" i="115"/>
  <c r="I115" i="115" s="1"/>
  <c r="G36" i="118"/>
  <c r="J36" i="118" s="1"/>
  <c r="I271" i="131" s="1"/>
  <c r="M271" i="131" s="1"/>
  <c r="G63" i="117"/>
  <c r="I63" i="117" s="1"/>
  <c r="H92" i="115"/>
  <c r="G59" i="115"/>
  <c r="J59" i="115" s="1"/>
  <c r="I92" i="115"/>
  <c r="H25" i="122"/>
  <c r="J24" i="120"/>
  <c r="I100" i="131" s="1"/>
  <c r="I25" i="122"/>
  <c r="G31" i="118"/>
  <c r="H31" i="118" s="1"/>
  <c r="J14" i="123"/>
  <c r="G57" i="117"/>
  <c r="H57" i="117" s="1"/>
  <c r="G40" i="117"/>
  <c r="H40" i="117" s="1"/>
  <c r="G38" i="118"/>
  <c r="I38" i="118" s="1"/>
  <c r="G8" i="118"/>
  <c r="J8" i="118" s="1"/>
  <c r="I261" i="131" s="1"/>
  <c r="G103" i="115"/>
  <c r="H103" i="115" s="1"/>
  <c r="G27" i="119"/>
  <c r="I27" i="119" s="1"/>
  <c r="G41" i="115"/>
  <c r="I41" i="115" s="1"/>
  <c r="G22" i="119"/>
  <c r="I22" i="119" s="1"/>
  <c r="G75" i="115"/>
  <c r="J75" i="115" s="1"/>
  <c r="I70" i="131" s="1"/>
  <c r="M70" i="131" s="1"/>
  <c r="H23" i="123"/>
  <c r="H107" i="115"/>
  <c r="G7" i="118"/>
  <c r="H7" i="118" s="1"/>
  <c r="H31" i="122"/>
  <c r="I23" i="123"/>
  <c r="G64" i="115"/>
  <c r="J64" i="115" s="1"/>
  <c r="I107" i="115"/>
  <c r="G69" i="117"/>
  <c r="I69" i="117" s="1"/>
  <c r="J12" i="120"/>
  <c r="I96" i="131" s="1"/>
  <c r="I31" i="122"/>
  <c r="H4" i="127"/>
  <c r="G102" i="115"/>
  <c r="H102" i="115" s="1"/>
  <c r="G79" i="131" s="1"/>
  <c r="G22" i="117"/>
  <c r="J22" i="117" s="1"/>
  <c r="G37" i="117"/>
  <c r="J37" i="117" s="1"/>
  <c r="G9" i="130"/>
  <c r="H9" i="130" s="1"/>
  <c r="G28" i="120"/>
  <c r="J28" i="120" s="1"/>
  <c r="I102" i="131" s="1"/>
  <c r="I33" i="122"/>
  <c r="H16" i="123"/>
  <c r="H97" i="115"/>
  <c r="G56" i="117"/>
  <c r="H56" i="117" s="1"/>
  <c r="J21" i="122"/>
  <c r="H4" i="124"/>
  <c r="G31" i="130"/>
  <c r="I31" i="130" s="1"/>
  <c r="G49" i="115"/>
  <c r="H49" i="115" s="1"/>
  <c r="G75" i="117"/>
  <c r="J75" i="117" s="1"/>
  <c r="G23" i="119"/>
  <c r="J23" i="119" s="1"/>
  <c r="H9" i="123"/>
  <c r="G15" i="118"/>
  <c r="H12" i="120"/>
  <c r="G96" i="131" s="1"/>
  <c r="J33" i="122"/>
  <c r="J16" i="123"/>
  <c r="G90" i="117"/>
  <c r="I90" i="117" s="1"/>
  <c r="G34" i="120"/>
  <c r="H34" i="120" s="1"/>
  <c r="G103" i="131" s="1"/>
  <c r="J4" i="124"/>
  <c r="G88" i="117"/>
  <c r="J88" i="117" s="1"/>
  <c r="J5" i="128"/>
  <c r="I255" i="131" s="1"/>
  <c r="G40" i="118"/>
  <c r="J40" i="118" s="1"/>
  <c r="I5" i="128"/>
  <c r="H255" i="131" s="1"/>
  <c r="G73" i="115"/>
  <c r="J73" i="115" s="1"/>
  <c r="H12" i="119"/>
  <c r="J27" i="122"/>
  <c r="G36" i="115"/>
  <c r="J36" i="115" s="1"/>
  <c r="I57" i="131" s="1"/>
  <c r="M57" i="131" s="1"/>
  <c r="G21" i="119"/>
  <c r="H21" i="119" s="1"/>
  <c r="G68" i="117"/>
  <c r="J68" i="117" s="1"/>
  <c r="G14" i="117"/>
  <c r="I14" i="117" s="1"/>
  <c r="G41" i="118"/>
  <c r="H41" i="118" s="1"/>
  <c r="G34" i="118"/>
  <c r="H34" i="118" s="1"/>
  <c r="G27" i="118"/>
  <c r="J27" i="118" s="1"/>
  <c r="I268" i="131" s="1"/>
  <c r="M268" i="131" s="1"/>
  <c r="G23" i="118"/>
  <c r="J23" i="118" s="1"/>
  <c r="G61" i="115"/>
  <c r="I61" i="115" s="1"/>
  <c r="G85" i="115"/>
  <c r="H85" i="115" s="1"/>
  <c r="G78" i="117"/>
  <c r="H78" i="117" s="1"/>
  <c r="G84" i="115"/>
  <c r="J84" i="115" s="1"/>
  <c r="I73" i="131" s="1"/>
  <c r="M73" i="131" s="1"/>
  <c r="G76" i="117"/>
  <c r="H76" i="117" s="1"/>
  <c r="G72" i="117"/>
  <c r="J72" i="117" s="1"/>
  <c r="G15" i="115"/>
  <c r="H15" i="115" s="1"/>
  <c r="G50" i="131" s="1"/>
  <c r="G113" i="115"/>
  <c r="H113" i="115" s="1"/>
  <c r="G44" i="118"/>
  <c r="H44" i="118" s="1"/>
  <c r="H34" i="130"/>
  <c r="G79" i="115"/>
  <c r="J79" i="115" s="1"/>
  <c r="G19" i="115"/>
  <c r="H19" i="115" s="1"/>
  <c r="I34" i="130"/>
  <c r="G108" i="115"/>
  <c r="H108" i="115" s="1"/>
  <c r="G81" i="131" s="1"/>
  <c r="K81" i="131" s="1"/>
  <c r="G26" i="118"/>
  <c r="J26" i="118" s="1"/>
  <c r="G117" i="115"/>
  <c r="J117" i="115" s="1"/>
  <c r="I84" i="131" s="1"/>
  <c r="M84" i="131" s="1"/>
  <c r="G4" i="130"/>
  <c r="I4" i="130" s="1"/>
  <c r="G96" i="115"/>
  <c r="J96" i="115" s="1"/>
  <c r="I77" i="131" s="1"/>
  <c r="M77" i="131" s="1"/>
  <c r="H27" i="122"/>
  <c r="G76" i="115"/>
  <c r="J76" i="115" s="1"/>
  <c r="G16" i="117"/>
  <c r="H16" i="117" s="1"/>
  <c r="G25" i="117"/>
  <c r="H25" i="117" s="1"/>
  <c r="G78" i="115"/>
  <c r="J78" i="115" s="1"/>
  <c r="I71" i="131" s="1"/>
  <c r="M71" i="131" s="1"/>
  <c r="G16" i="118"/>
  <c r="H16" i="118" s="1"/>
  <c r="G20" i="118"/>
  <c r="H20" i="118" s="1"/>
  <c r="G17" i="118"/>
  <c r="H17" i="118" s="1"/>
  <c r="G21" i="118"/>
  <c r="I21" i="118" s="1"/>
  <c r="H266" i="131" s="1"/>
  <c r="L266" i="131" s="1"/>
  <c r="G9" i="118"/>
  <c r="J9" i="118" s="1"/>
  <c r="G25" i="118"/>
  <c r="J25" i="118" s="1"/>
  <c r="G43" i="118"/>
  <c r="G19" i="118"/>
  <c r="I19" i="118" s="1"/>
  <c r="G32" i="118"/>
  <c r="H32" i="118" s="1"/>
  <c r="G29" i="118"/>
  <c r="G42" i="117"/>
  <c r="I42" i="117" s="1"/>
  <c r="H205" i="131" s="1"/>
  <c r="L205" i="131" s="1"/>
  <c r="G28" i="118"/>
  <c r="J28" i="118" s="1"/>
  <c r="G39" i="117"/>
  <c r="I39" i="117" s="1"/>
  <c r="G18" i="118"/>
  <c r="I18" i="118" s="1"/>
  <c r="H265" i="131" s="1"/>
  <c r="G67" i="117"/>
  <c r="J67" i="117" s="1"/>
  <c r="G45" i="115"/>
  <c r="I45" i="115" s="1"/>
  <c r="H60" i="131" s="1"/>
  <c r="G25" i="115"/>
  <c r="H25" i="115" s="1"/>
  <c r="G22" i="115"/>
  <c r="H22" i="115" s="1"/>
  <c r="G32" i="115"/>
  <c r="H32" i="115" s="1"/>
  <c r="G118" i="115"/>
  <c r="I118" i="115" s="1"/>
  <c r="G63" i="115"/>
  <c r="H63" i="115" s="1"/>
  <c r="G66" i="131" s="1"/>
  <c r="G31" i="115"/>
  <c r="I31" i="115" s="1"/>
  <c r="G14" i="118"/>
  <c r="I14" i="118" s="1"/>
  <c r="G83" i="115"/>
  <c r="J83" i="115" s="1"/>
  <c r="G125" i="115"/>
  <c r="I125" i="115" s="1"/>
  <c r="G27" i="117"/>
  <c r="I27" i="117" s="1"/>
  <c r="H200" i="131" s="1"/>
  <c r="L200" i="131" s="1"/>
  <c r="G33" i="118"/>
  <c r="J33" i="118" s="1"/>
  <c r="I270" i="131" s="1"/>
  <c r="M270" i="131" s="1"/>
  <c r="G50" i="117"/>
  <c r="J50" i="117" s="1"/>
  <c r="G38" i="115"/>
  <c r="H38" i="115" s="1"/>
  <c r="G112" i="115"/>
  <c r="I112" i="115" s="1"/>
  <c r="G45" i="117"/>
  <c r="J45" i="117" s="1"/>
  <c r="G58" i="115"/>
  <c r="J58" i="115" s="1"/>
  <c r="G58" i="117"/>
  <c r="J58" i="117" s="1"/>
  <c r="G85" i="117"/>
  <c r="I85" i="117" s="1"/>
  <c r="G66" i="115"/>
  <c r="J66" i="115" s="1"/>
  <c r="I67" i="131" s="1"/>
  <c r="M67" i="131" s="1"/>
  <c r="G100" i="115"/>
  <c r="I100" i="115" s="1"/>
  <c r="G13" i="130"/>
  <c r="I13" i="130" s="1"/>
  <c r="G28" i="130"/>
  <c r="G66" i="117"/>
  <c r="I66" i="117" s="1"/>
  <c r="G43" i="117"/>
  <c r="J43" i="117" s="1"/>
  <c r="G6" i="130"/>
  <c r="J6" i="130" s="1"/>
  <c r="G65" i="117"/>
  <c r="J65" i="117" s="1"/>
  <c r="G35" i="117"/>
  <c r="I35" i="117" s="1"/>
  <c r="G69" i="115"/>
  <c r="I69" i="115" s="1"/>
  <c r="H68" i="131" s="1"/>
  <c r="L68" i="131" s="1"/>
  <c r="G20" i="117"/>
  <c r="J20" i="117" s="1"/>
  <c r="G26" i="117"/>
  <c r="I26" i="117" s="1"/>
  <c r="G64" i="117"/>
  <c r="J64" i="117" s="1"/>
  <c r="G34" i="117"/>
  <c r="I34" i="117" s="1"/>
  <c r="G15" i="130"/>
  <c r="J15" i="130" s="1"/>
  <c r="J36" i="130"/>
  <c r="G32" i="130"/>
  <c r="I32" i="130" s="1"/>
  <c r="H234" i="131" s="1"/>
  <c r="H36" i="130"/>
  <c r="H12" i="121"/>
  <c r="G245" i="131" s="1"/>
  <c r="G23" i="121"/>
  <c r="G27" i="121" s="1"/>
  <c r="J12" i="121"/>
  <c r="I245" i="131" s="1"/>
  <c r="G29" i="119"/>
  <c r="H29" i="119" s="1"/>
  <c r="H13" i="119"/>
  <c r="I13" i="119"/>
  <c r="J12" i="119"/>
  <c r="I32" i="131" s="1"/>
  <c r="G48" i="117"/>
  <c r="J48" i="117" s="1"/>
  <c r="G54" i="117"/>
  <c r="H54" i="117" s="1"/>
  <c r="G41" i="117"/>
  <c r="I41" i="117" s="1"/>
  <c r="G53" i="117"/>
  <c r="J53" i="117" s="1"/>
  <c r="G15" i="117"/>
  <c r="I15" i="117" s="1"/>
  <c r="G81" i="117"/>
  <c r="J81" i="117" s="1"/>
  <c r="G59" i="117"/>
  <c r="J59" i="117" s="1"/>
  <c r="G55" i="117"/>
  <c r="J55" i="117" s="1"/>
  <c r="G53" i="115"/>
  <c r="J53" i="115" s="1"/>
  <c r="G43" i="115"/>
  <c r="H43" i="115" s="1"/>
  <c r="G89" i="115"/>
  <c r="H89" i="115" s="1"/>
  <c r="G116" i="115"/>
  <c r="H116" i="115" s="1"/>
  <c r="G105" i="115"/>
  <c r="I105" i="115" s="1"/>
  <c r="H80" i="131" s="1"/>
  <c r="L80" i="131" s="1"/>
  <c r="G121" i="115"/>
  <c r="H121" i="115" s="1"/>
  <c r="G86" i="131" s="1"/>
  <c r="G82" i="115"/>
  <c r="I82" i="115" s="1"/>
  <c r="G24" i="115"/>
  <c r="I24" i="115" s="1"/>
  <c r="H53" i="131" s="1"/>
  <c r="L53" i="131" s="1"/>
  <c r="G55" i="115"/>
  <c r="I55" i="115" s="1"/>
  <c r="G60" i="115"/>
  <c r="J60" i="115" s="1"/>
  <c r="I65" i="131" s="1"/>
  <c r="M65" i="131" s="1"/>
  <c r="G33" i="115"/>
  <c r="I33" i="115" s="1"/>
  <c r="H56" i="131" s="1"/>
  <c r="L56" i="131" s="1"/>
  <c r="G27" i="115"/>
  <c r="I27" i="115" s="1"/>
  <c r="H54" i="131" s="1"/>
  <c r="L54" i="131" s="1"/>
  <c r="G26" i="115"/>
  <c r="I26" i="115" s="1"/>
  <c r="G101" i="115"/>
  <c r="J101" i="115" s="1"/>
  <c r="G70" i="115"/>
  <c r="I70" i="115" s="1"/>
  <c r="G87" i="115"/>
  <c r="H87" i="115" s="1"/>
  <c r="G74" i="131" s="1"/>
  <c r="G42" i="115"/>
  <c r="H42" i="115" s="1"/>
  <c r="G59" i="131" s="1"/>
  <c r="G71" i="115"/>
  <c r="J71" i="115" s="1"/>
  <c r="G77" i="115"/>
  <c r="I77" i="115" s="1"/>
  <c r="G28" i="115"/>
  <c r="I28" i="115" s="1"/>
  <c r="G110" i="115"/>
  <c r="J110" i="115" s="1"/>
  <c r="G62" i="115"/>
  <c r="H62" i="115" s="1"/>
  <c r="G90" i="115"/>
  <c r="J90" i="115" s="1"/>
  <c r="I75" i="131" s="1"/>
  <c r="M75" i="131" s="1"/>
  <c r="J23" i="130"/>
  <c r="I231" i="131" s="1"/>
  <c r="I23" i="130"/>
  <c r="H231" i="131" s="1"/>
  <c r="L231" i="131" s="1"/>
  <c r="H23" i="130"/>
  <c r="G231" i="131" s="1"/>
  <c r="K231" i="131" s="1"/>
  <c r="J24" i="130"/>
  <c r="I24" i="130"/>
  <c r="H24" i="130"/>
  <c r="J33" i="130"/>
  <c r="I33" i="130"/>
  <c r="H33" i="130"/>
  <c r="J7" i="130"/>
  <c r="I7" i="130"/>
  <c r="H7" i="130"/>
  <c r="H8" i="130"/>
  <c r="G226" i="131" s="1"/>
  <c r="J8" i="130"/>
  <c r="I226" i="131" s="1"/>
  <c r="M226" i="131" s="1"/>
  <c r="I8" i="130"/>
  <c r="H226" i="131" s="1"/>
  <c r="L226" i="131" s="1"/>
  <c r="I26" i="130"/>
  <c r="H232" i="131" s="1"/>
  <c r="L232" i="131" s="1"/>
  <c r="H26" i="130"/>
  <c r="G232" i="131" s="1"/>
  <c r="J26" i="130"/>
  <c r="I232" i="131" s="1"/>
  <c r="M232" i="131" s="1"/>
  <c r="J18" i="130"/>
  <c r="I18" i="130"/>
  <c r="H18" i="130"/>
  <c r="J5" i="130"/>
  <c r="I225" i="131" s="1"/>
  <c r="I5" i="130"/>
  <c r="H225" i="131" s="1"/>
  <c r="H5" i="130"/>
  <c r="G225" i="131" s="1"/>
  <c r="J22" i="130"/>
  <c r="H22" i="130"/>
  <c r="I22" i="130"/>
  <c r="G35" i="130"/>
  <c r="J12" i="130"/>
  <c r="I12" i="130"/>
  <c r="H12" i="130"/>
  <c r="J14" i="130"/>
  <c r="I228" i="131" s="1"/>
  <c r="M228" i="131" s="1"/>
  <c r="H14" i="130"/>
  <c r="G228" i="131" s="1"/>
  <c r="I14" i="130"/>
  <c r="H228" i="131" s="1"/>
  <c r="L228" i="131" s="1"/>
  <c r="G30" i="130"/>
  <c r="G25" i="130"/>
  <c r="G27" i="130"/>
  <c r="G29" i="130"/>
  <c r="J38" i="130"/>
  <c r="I236" i="131" s="1"/>
  <c r="M236" i="131" s="1"/>
  <c r="I38" i="130"/>
  <c r="H236" i="131" s="1"/>
  <c r="L236" i="131" s="1"/>
  <c r="H38" i="130"/>
  <c r="G236" i="131" s="1"/>
  <c r="H13" i="129"/>
  <c r="J13" i="129"/>
  <c r="I13" i="129"/>
  <c r="J15" i="129"/>
  <c r="I286" i="131" s="1"/>
  <c r="M286" i="131" s="1"/>
  <c r="I15" i="129"/>
  <c r="H286" i="131" s="1"/>
  <c r="L286" i="131" s="1"/>
  <c r="H15" i="129"/>
  <c r="G286" i="131" s="1"/>
  <c r="J16" i="129"/>
  <c r="I16" i="129"/>
  <c r="H16" i="129"/>
  <c r="I4" i="129"/>
  <c r="H4" i="129"/>
  <c r="I11" i="129"/>
  <c r="H11" i="129"/>
  <c r="J8" i="129"/>
  <c r="I283" i="131" s="1"/>
  <c r="M283" i="131" s="1"/>
  <c r="I8" i="129"/>
  <c r="H283" i="131" s="1"/>
  <c r="L283" i="131" s="1"/>
  <c r="H8" i="129"/>
  <c r="G283" i="131" s="1"/>
  <c r="J12" i="129"/>
  <c r="I285" i="131" s="1"/>
  <c r="H12" i="129"/>
  <c r="G285" i="131" s="1"/>
  <c r="I12" i="129"/>
  <c r="H285" i="131" s="1"/>
  <c r="I7" i="129"/>
  <c r="H7" i="129"/>
  <c r="I5" i="129"/>
  <c r="H282" i="131" s="1"/>
  <c r="H5" i="129"/>
  <c r="G282" i="131" s="1"/>
  <c r="J5" i="129"/>
  <c r="I282" i="131" s="1"/>
  <c r="I14" i="129"/>
  <c r="H14" i="129"/>
  <c r="J6" i="129"/>
  <c r="I6" i="129"/>
  <c r="H6" i="129"/>
  <c r="I6" i="128"/>
  <c r="H6" i="128"/>
  <c r="J6" i="128"/>
  <c r="I6" i="127"/>
  <c r="H6" i="127"/>
  <c r="J6" i="127"/>
  <c r="I5" i="127"/>
  <c r="H290" i="131" s="1"/>
  <c r="L290" i="131" s="1"/>
  <c r="J5" i="127"/>
  <c r="I290" i="131" s="1"/>
  <c r="M290" i="131" s="1"/>
  <c r="H5" i="127"/>
  <c r="G290" i="131" s="1"/>
  <c r="J4" i="126"/>
  <c r="I4" i="126"/>
  <c r="H4" i="126"/>
  <c r="I5" i="126"/>
  <c r="H184" i="131" s="1"/>
  <c r="H5" i="126"/>
  <c r="G184" i="131" s="1"/>
  <c r="J5" i="126"/>
  <c r="I184" i="131" s="1"/>
  <c r="J4" i="125"/>
  <c r="I4" i="125"/>
  <c r="H4" i="125"/>
  <c r="H5" i="125"/>
  <c r="G106" i="131" s="1"/>
  <c r="J5" i="125"/>
  <c r="I106" i="131" s="1"/>
  <c r="I5" i="125"/>
  <c r="H106" i="131" s="1"/>
  <c r="I6" i="125"/>
  <c r="H6" i="125"/>
  <c r="J6" i="125"/>
  <c r="G6" i="124"/>
  <c r="G5" i="124"/>
  <c r="J15" i="123"/>
  <c r="I187" i="131" s="1"/>
  <c r="M187" i="131" s="1"/>
  <c r="I15" i="123"/>
  <c r="H187" i="131" s="1"/>
  <c r="L187" i="131" s="1"/>
  <c r="H15" i="123"/>
  <c r="G187" i="131" s="1"/>
  <c r="J13" i="123"/>
  <c r="I13" i="123"/>
  <c r="H13" i="123"/>
  <c r="J6" i="123"/>
  <c r="H6" i="123"/>
  <c r="I6" i="123"/>
  <c r="J22" i="123"/>
  <c r="I278" i="131" s="1"/>
  <c r="M278" i="131" s="1"/>
  <c r="I22" i="123"/>
  <c r="H278" i="131" s="1"/>
  <c r="L278" i="131" s="1"/>
  <c r="H22" i="123"/>
  <c r="G278" i="131" s="1"/>
  <c r="J11" i="123"/>
  <c r="H11" i="123"/>
  <c r="I11" i="123"/>
  <c r="J19" i="123"/>
  <c r="I277" i="131" s="1"/>
  <c r="I19" i="123"/>
  <c r="H277" i="131" s="1"/>
  <c r="H19" i="123"/>
  <c r="G277" i="131" s="1"/>
  <c r="J18" i="123"/>
  <c r="I18" i="123"/>
  <c r="H18" i="123"/>
  <c r="H4" i="123"/>
  <c r="I4" i="123"/>
  <c r="J4" i="123"/>
  <c r="J12" i="123"/>
  <c r="I12" i="123"/>
  <c r="H12" i="123"/>
  <c r="J8" i="123"/>
  <c r="I8" i="123"/>
  <c r="H8" i="123"/>
  <c r="G109" i="131" s="1"/>
  <c r="H7" i="123"/>
  <c r="I7" i="123"/>
  <c r="J7" i="123"/>
  <c r="J5" i="123"/>
  <c r="I108" i="131" s="1"/>
  <c r="I5" i="123"/>
  <c r="H108" i="131" s="1"/>
  <c r="L108" i="131" s="1"/>
  <c r="H5" i="123"/>
  <c r="G108" i="131" s="1"/>
  <c r="J16" i="122"/>
  <c r="H16" i="122"/>
  <c r="I16" i="122"/>
  <c r="G26" i="122"/>
  <c r="J19" i="122"/>
  <c r="I19" i="122"/>
  <c r="H19" i="122"/>
  <c r="J20" i="122"/>
  <c r="I18" i="131" s="1"/>
  <c r="M18" i="131" s="1"/>
  <c r="H20" i="122"/>
  <c r="G18" i="131" s="1"/>
  <c r="I20" i="122"/>
  <c r="H18" i="131" s="1"/>
  <c r="L18" i="131" s="1"/>
  <c r="J38" i="122"/>
  <c r="I24" i="131" s="1"/>
  <c r="M24" i="131" s="1"/>
  <c r="H38" i="122"/>
  <c r="G24" i="131" s="1"/>
  <c r="I38" i="122"/>
  <c r="H24" i="131" s="1"/>
  <c r="L24" i="131" s="1"/>
  <c r="J17" i="122"/>
  <c r="H17" i="122"/>
  <c r="I17" i="122"/>
  <c r="H32" i="122"/>
  <c r="I32" i="122"/>
  <c r="J32" i="122"/>
  <c r="I22" i="131" s="1"/>
  <c r="M22" i="131" s="1"/>
  <c r="I29" i="122"/>
  <c r="H21" i="131" s="1"/>
  <c r="L21" i="131" s="1"/>
  <c r="J29" i="122"/>
  <c r="I21" i="131" s="1"/>
  <c r="M21" i="131" s="1"/>
  <c r="H29" i="122"/>
  <c r="G21" i="131" s="1"/>
  <c r="J13" i="121"/>
  <c r="H13" i="121"/>
  <c r="I13" i="121"/>
  <c r="J19" i="121"/>
  <c r="H19" i="121"/>
  <c r="I19" i="121"/>
  <c r="I17" i="121"/>
  <c r="J17" i="121"/>
  <c r="H17" i="121"/>
  <c r="J24" i="121"/>
  <c r="I249" i="131" s="1"/>
  <c r="I24" i="121"/>
  <c r="H249" i="131" s="1"/>
  <c r="H24" i="121"/>
  <c r="G249" i="131" s="1"/>
  <c r="G34" i="121"/>
  <c r="G28" i="121"/>
  <c r="G25" i="121"/>
  <c r="G35" i="121" s="1"/>
  <c r="I11" i="121"/>
  <c r="H11" i="121"/>
  <c r="G25" i="120"/>
  <c r="H23" i="120"/>
  <c r="I23" i="120"/>
  <c r="J23" i="120"/>
  <c r="H17" i="119"/>
  <c r="J17" i="119"/>
  <c r="I17" i="119"/>
  <c r="G28" i="119"/>
  <c r="J18" i="119"/>
  <c r="I18" i="119"/>
  <c r="H18" i="119"/>
  <c r="G37" i="118"/>
  <c r="G30" i="118"/>
  <c r="G22" i="118"/>
  <c r="G35" i="118"/>
  <c r="G45" i="118"/>
  <c r="H45" i="118" s="1"/>
  <c r="G274" i="131" s="1"/>
  <c r="G42" i="118"/>
  <c r="G24" i="118"/>
  <c r="H24" i="117"/>
  <c r="J24" i="117"/>
  <c r="I24" i="117"/>
  <c r="H31" i="117"/>
  <c r="J31" i="117"/>
  <c r="I31" i="117"/>
  <c r="J9" i="117"/>
  <c r="H9" i="117"/>
  <c r="I9" i="117"/>
  <c r="G73" i="117"/>
  <c r="G77" i="117"/>
  <c r="H28" i="117"/>
  <c r="J28" i="117"/>
  <c r="I28" i="117"/>
  <c r="G18" i="117"/>
  <c r="G19" i="117"/>
  <c r="I44" i="117"/>
  <c r="H44" i="117"/>
  <c r="J44" i="117"/>
  <c r="J74" i="117"/>
  <c r="I74" i="117"/>
  <c r="H74" i="117"/>
  <c r="I21" i="117"/>
  <c r="J21" i="117"/>
  <c r="H21" i="117"/>
  <c r="G38" i="117"/>
  <c r="G62" i="117"/>
  <c r="G91" i="117"/>
  <c r="I33" i="117"/>
  <c r="H33" i="117"/>
  <c r="J33" i="117"/>
  <c r="G17" i="117"/>
  <c r="I71" i="117"/>
  <c r="H71" i="117"/>
  <c r="J71" i="117"/>
  <c r="G83" i="117"/>
  <c r="I49" i="117"/>
  <c r="H49" i="117"/>
  <c r="J49" i="117"/>
  <c r="G46" i="117"/>
  <c r="G79" i="117"/>
  <c r="G70" i="117"/>
  <c r="G47" i="117"/>
  <c r="G87" i="117"/>
  <c r="G61" i="117"/>
  <c r="G30" i="117"/>
  <c r="G23" i="117"/>
  <c r="G32" i="117"/>
  <c r="J36" i="117"/>
  <c r="I36" i="117"/>
  <c r="H36" i="117"/>
  <c r="G92" i="117"/>
  <c r="G84" i="117"/>
  <c r="G29" i="117"/>
  <c r="G82" i="117"/>
  <c r="I60" i="117"/>
  <c r="H60" i="117"/>
  <c r="J60" i="117"/>
  <c r="I211" i="131" s="1"/>
  <c r="M211" i="131" s="1"/>
  <c r="G52" i="117"/>
  <c r="G80" i="117"/>
  <c r="G89" i="117"/>
  <c r="H74" i="115"/>
  <c r="I74" i="115"/>
  <c r="J74" i="115"/>
  <c r="J9" i="115"/>
  <c r="I9" i="115"/>
  <c r="H9" i="115"/>
  <c r="J109" i="115"/>
  <c r="I109" i="115"/>
  <c r="J81" i="115"/>
  <c r="I72" i="131" s="1"/>
  <c r="M72" i="131" s="1"/>
  <c r="I81" i="115"/>
  <c r="H72" i="131" s="1"/>
  <c r="L72" i="131" s="1"/>
  <c r="H81" i="115"/>
  <c r="G72" i="131" s="1"/>
  <c r="J94" i="115"/>
  <c r="I94" i="115"/>
  <c r="H94" i="115"/>
  <c r="G54" i="115"/>
  <c r="I46" i="115"/>
  <c r="J46" i="115"/>
  <c r="H46" i="115"/>
  <c r="J93" i="115"/>
  <c r="I76" i="131" s="1"/>
  <c r="M76" i="131" s="1"/>
  <c r="I93" i="115"/>
  <c r="H76" i="131" s="1"/>
  <c r="H93" i="115"/>
  <c r="G76" i="131" s="1"/>
  <c r="K76" i="131" s="1"/>
  <c r="G104" i="115"/>
  <c r="G120" i="115"/>
  <c r="G20" i="115"/>
  <c r="G98" i="115"/>
  <c r="G18" i="115"/>
  <c r="J65" i="115"/>
  <c r="I65" i="115"/>
  <c r="H65" i="115"/>
  <c r="J52" i="115"/>
  <c r="I52" i="115"/>
  <c r="H52" i="115"/>
  <c r="G44" i="115"/>
  <c r="G106" i="115"/>
  <c r="G37" i="115"/>
  <c r="I72" i="115"/>
  <c r="H69" i="131" s="1"/>
  <c r="L69" i="131" s="1"/>
  <c r="J72" i="115"/>
  <c r="I69" i="131" s="1"/>
  <c r="M69" i="131" s="1"/>
  <c r="H72" i="115"/>
  <c r="G69" i="131" s="1"/>
  <c r="G68" i="115"/>
  <c r="G30" i="115"/>
  <c r="G88" i="115"/>
  <c r="G50" i="115"/>
  <c r="G123" i="115"/>
  <c r="G56" i="115"/>
  <c r="G34" i="115"/>
  <c r="G114" i="115"/>
  <c r="G21" i="115"/>
  <c r="J80" i="115"/>
  <c r="I80" i="115"/>
  <c r="H80" i="115"/>
  <c r="G51" i="115"/>
  <c r="G23" i="115"/>
  <c r="G48" i="115"/>
  <c r="G47" i="115"/>
  <c r="G39" i="115"/>
  <c r="G91" i="115"/>
  <c r="G57" i="115"/>
  <c r="G124" i="115"/>
  <c r="G29" i="115"/>
  <c r="G122" i="115"/>
  <c r="G99" i="115"/>
  <c r="H40" i="115"/>
  <c r="J40" i="115"/>
  <c r="I40" i="115"/>
  <c r="G14" i="115"/>
  <c r="G95" i="115"/>
  <c r="G67" i="115"/>
  <c r="J35" i="115"/>
  <c r="H35" i="115"/>
  <c r="I35" i="115"/>
  <c r="J8" i="115"/>
  <c r="I47" i="131" s="1"/>
  <c r="I8" i="115"/>
  <c r="H47" i="131" s="1"/>
  <c r="H8" i="115"/>
  <c r="G47" i="131" s="1"/>
  <c r="G86" i="115"/>
  <c r="F92" i="131" l="1"/>
  <c r="F28" i="131"/>
  <c r="J30" i="131"/>
  <c r="J28" i="131" s="1"/>
  <c r="K28" i="131"/>
  <c r="E14" i="36" s="1"/>
  <c r="J94" i="131"/>
  <c r="J92" i="131" s="1"/>
  <c r="M92" i="131"/>
  <c r="E41" i="36" s="1"/>
  <c r="F15" i="131"/>
  <c r="F16" i="131"/>
  <c r="I109" i="131"/>
  <c r="M109" i="131" s="1"/>
  <c r="H109" i="131"/>
  <c r="L109" i="131" s="1"/>
  <c r="L107" i="131" s="1"/>
  <c r="E120" i="36" s="1"/>
  <c r="I208" i="131"/>
  <c r="M208" i="131" s="1"/>
  <c r="G186" i="131"/>
  <c r="K186" i="131" s="1"/>
  <c r="H186" i="131"/>
  <c r="L186" i="131" s="1"/>
  <c r="I186" i="131"/>
  <c r="M186" i="131" s="1"/>
  <c r="I216" i="131"/>
  <c r="M216" i="131" s="1"/>
  <c r="H199" i="131"/>
  <c r="L199" i="131" s="1"/>
  <c r="H203" i="131"/>
  <c r="L203" i="131" s="1"/>
  <c r="G199" i="131"/>
  <c r="K199" i="131" s="1"/>
  <c r="H196" i="131"/>
  <c r="L196" i="131" s="1"/>
  <c r="G210" i="131"/>
  <c r="K210" i="131" s="1"/>
  <c r="G202" i="131"/>
  <c r="K202" i="131" s="1"/>
  <c r="I198" i="131"/>
  <c r="M198" i="131" s="1"/>
  <c r="I206" i="131"/>
  <c r="M206" i="131" s="1"/>
  <c r="I215" i="131"/>
  <c r="M215" i="131" s="1"/>
  <c r="G32" i="131"/>
  <c r="K32" i="131" s="1"/>
  <c r="H34" i="131"/>
  <c r="L34" i="131" s="1"/>
  <c r="L33" i="131" s="1"/>
  <c r="L31" i="131" s="1"/>
  <c r="E24" i="36" s="1"/>
  <c r="G34" i="131"/>
  <c r="K34" i="131" s="1"/>
  <c r="K33" i="131" s="1"/>
  <c r="I34" i="131"/>
  <c r="I33" i="131" s="1"/>
  <c r="I31" i="131" s="1"/>
  <c r="J16" i="131"/>
  <c r="H17" i="131"/>
  <c r="L17" i="131" s="1"/>
  <c r="G17" i="131"/>
  <c r="I17" i="131"/>
  <c r="M17" i="131" s="1"/>
  <c r="L15" i="131"/>
  <c r="J15" i="131" s="1"/>
  <c r="H22" i="131"/>
  <c r="L22" i="131" s="1"/>
  <c r="G22" i="131"/>
  <c r="K22" i="131" s="1"/>
  <c r="H9" i="118"/>
  <c r="K274" i="131"/>
  <c r="J274" i="131" s="1"/>
  <c r="F274" i="131"/>
  <c r="L265" i="131"/>
  <c r="M261" i="131"/>
  <c r="M259" i="131" s="1"/>
  <c r="I259" i="131"/>
  <c r="M277" i="131"/>
  <c r="M276" i="131" s="1"/>
  <c r="M275" i="131" s="1"/>
  <c r="I276" i="131"/>
  <c r="I275" i="131" s="1"/>
  <c r="K278" i="131"/>
  <c r="F278" i="131"/>
  <c r="J278" i="131" s="1"/>
  <c r="G281" i="131"/>
  <c r="K282" i="131"/>
  <c r="F282" i="131"/>
  <c r="L285" i="131"/>
  <c r="L284" i="131" s="1"/>
  <c r="H284" i="131"/>
  <c r="K290" i="131"/>
  <c r="J290" i="131" s="1"/>
  <c r="F290" i="131"/>
  <c r="L282" i="131"/>
  <c r="L281" i="131" s="1"/>
  <c r="H281" i="131"/>
  <c r="K285" i="131"/>
  <c r="G284" i="131"/>
  <c r="F285" i="131"/>
  <c r="K286" i="131"/>
  <c r="J286" i="131" s="1"/>
  <c r="F286" i="131"/>
  <c r="G276" i="131"/>
  <c r="G275" i="131" s="1"/>
  <c r="F277" i="131"/>
  <c r="J277" i="131" s="1"/>
  <c r="K277" i="131"/>
  <c r="M285" i="131"/>
  <c r="M284" i="131" s="1"/>
  <c r="I284" i="131"/>
  <c r="L277" i="131"/>
  <c r="L276" i="131" s="1"/>
  <c r="L275" i="131" s="1"/>
  <c r="H276" i="131"/>
  <c r="H275" i="131" s="1"/>
  <c r="I281" i="131"/>
  <c r="M282" i="131"/>
  <c r="M281" i="131" s="1"/>
  <c r="K283" i="131"/>
  <c r="J283" i="131" s="1"/>
  <c r="F283" i="131"/>
  <c r="H248" i="131"/>
  <c r="H244" i="131" s="1"/>
  <c r="L249" i="131"/>
  <c r="L248" i="131" s="1"/>
  <c r="L244" i="131" s="1"/>
  <c r="E95" i="36" s="1"/>
  <c r="K253" i="131"/>
  <c r="E145" i="36" s="1"/>
  <c r="G248" i="131"/>
  <c r="G244" i="131" s="1"/>
  <c r="K249" i="131"/>
  <c r="F249" i="131"/>
  <c r="I253" i="131"/>
  <c r="M255" i="131"/>
  <c r="M253" i="131" s="1"/>
  <c r="E147" i="36" s="1"/>
  <c r="F255" i="131"/>
  <c r="M245" i="131"/>
  <c r="J247" i="131"/>
  <c r="J246" i="131" s="1"/>
  <c r="M249" i="131"/>
  <c r="M248" i="131" s="1"/>
  <c r="I248" i="131"/>
  <c r="H253" i="131"/>
  <c r="L255" i="131"/>
  <c r="L253" i="131" s="1"/>
  <c r="E146" i="36" s="1"/>
  <c r="F246" i="131"/>
  <c r="K245" i="131"/>
  <c r="F245" i="131"/>
  <c r="M225" i="131"/>
  <c r="K228" i="131"/>
  <c r="J228" i="131" s="1"/>
  <c r="F228" i="131"/>
  <c r="K232" i="131"/>
  <c r="J232" i="131" s="1"/>
  <c r="F232" i="131"/>
  <c r="G191" i="131"/>
  <c r="K193" i="131"/>
  <c r="K184" i="131"/>
  <c r="G182" i="131"/>
  <c r="F184" i="131"/>
  <c r="F225" i="131"/>
  <c r="K225" i="131"/>
  <c r="M184" i="131"/>
  <c r="M182" i="131" s="1"/>
  <c r="E143" i="36" s="1"/>
  <c r="I182" i="131"/>
  <c r="K236" i="131"/>
  <c r="J236" i="131" s="1"/>
  <c r="F236" i="131"/>
  <c r="K226" i="131"/>
  <c r="J226" i="131" s="1"/>
  <c r="F226" i="131"/>
  <c r="F231" i="131"/>
  <c r="M231" i="131"/>
  <c r="J231" i="131" s="1"/>
  <c r="K187" i="131"/>
  <c r="J187" i="131" s="1"/>
  <c r="F187" i="131"/>
  <c r="L184" i="131"/>
  <c r="L182" i="131" s="1"/>
  <c r="E142" i="36" s="1"/>
  <c r="H182" i="131"/>
  <c r="L225" i="131"/>
  <c r="L234" i="131"/>
  <c r="I104" i="131"/>
  <c r="M106" i="131"/>
  <c r="M104" i="131" s="1"/>
  <c r="E139" i="36" s="1"/>
  <c r="H104" i="131"/>
  <c r="L106" i="131"/>
  <c r="L104" i="131" s="1"/>
  <c r="E138" i="36" s="1"/>
  <c r="G104" i="131"/>
  <c r="K106" i="131"/>
  <c r="K104" i="131" s="1"/>
  <c r="E137" i="36" s="1"/>
  <c r="F106" i="131"/>
  <c r="K108" i="131"/>
  <c r="G107" i="131"/>
  <c r="F108" i="131"/>
  <c r="M108" i="131"/>
  <c r="K109" i="131"/>
  <c r="M100" i="131"/>
  <c r="M99" i="131" s="1"/>
  <c r="I99" i="131"/>
  <c r="I95" i="131" s="1"/>
  <c r="L95" i="131"/>
  <c r="E49" i="36" s="1"/>
  <c r="G99" i="131"/>
  <c r="G95" i="131" s="1"/>
  <c r="K100" i="131"/>
  <c r="F100" i="131"/>
  <c r="H95" i="131"/>
  <c r="F97" i="131"/>
  <c r="K97" i="131"/>
  <c r="J98" i="131"/>
  <c r="J97" i="131" s="1"/>
  <c r="K103" i="131"/>
  <c r="K96" i="131"/>
  <c r="F96" i="131"/>
  <c r="M102" i="131"/>
  <c r="M96" i="131"/>
  <c r="H13" i="120"/>
  <c r="J13" i="120"/>
  <c r="I13" i="120"/>
  <c r="H11" i="120"/>
  <c r="I11" i="120"/>
  <c r="G33" i="120"/>
  <c r="I33" i="120" s="1"/>
  <c r="G27" i="120"/>
  <c r="H27" i="120" s="1"/>
  <c r="G35" i="120"/>
  <c r="I35" i="120" s="1"/>
  <c r="F69" i="131"/>
  <c r="K69" i="131"/>
  <c r="J69" i="131" s="1"/>
  <c r="M32" i="131"/>
  <c r="F76" i="131"/>
  <c r="L76" i="131"/>
  <c r="J76" i="131" s="1"/>
  <c r="K86" i="131"/>
  <c r="L60" i="131"/>
  <c r="L47" i="131"/>
  <c r="L45" i="131" s="1"/>
  <c r="H45" i="131"/>
  <c r="M47" i="131"/>
  <c r="M45" i="131" s="1"/>
  <c r="I45" i="131"/>
  <c r="K72" i="131"/>
  <c r="J72" i="131" s="1"/>
  <c r="F72" i="131"/>
  <c r="K21" i="131"/>
  <c r="J21" i="131" s="1"/>
  <c r="F21" i="131"/>
  <c r="K59" i="131"/>
  <c r="K18" i="131"/>
  <c r="J18" i="131" s="1"/>
  <c r="F18" i="131"/>
  <c r="K74" i="131"/>
  <c r="F47" i="131"/>
  <c r="K47" i="131"/>
  <c r="K45" i="131" s="1"/>
  <c r="G45" i="131"/>
  <c r="K24" i="131"/>
  <c r="J24" i="131" s="1"/>
  <c r="F24" i="131"/>
  <c r="K66" i="131"/>
  <c r="K82" i="131"/>
  <c r="H21" i="118"/>
  <c r="G266" i="131" s="1"/>
  <c r="M288" i="131"/>
  <c r="M287" i="131" s="1"/>
  <c r="I288" i="131"/>
  <c r="I287" i="131" s="1"/>
  <c r="L288" i="131"/>
  <c r="L287" i="131" s="1"/>
  <c r="H288" i="131"/>
  <c r="H287" i="131" s="1"/>
  <c r="G288" i="131"/>
  <c r="G287" i="131" s="1"/>
  <c r="J21" i="118"/>
  <c r="I266" i="131" s="1"/>
  <c r="M266" i="131" s="1"/>
  <c r="I36" i="118"/>
  <c r="H271" i="131" s="1"/>
  <c r="L271" i="131" s="1"/>
  <c r="I9" i="118"/>
  <c r="H36" i="118"/>
  <c r="G271" i="131" s="1"/>
  <c r="I31" i="118"/>
  <c r="H39" i="118"/>
  <c r="G272" i="131" s="1"/>
  <c r="J31" i="118"/>
  <c r="J39" i="118"/>
  <c r="I272" i="131" s="1"/>
  <c r="M272" i="131" s="1"/>
  <c r="I17" i="118"/>
  <c r="J17" i="118"/>
  <c r="J103" i="115"/>
  <c r="I72" i="117"/>
  <c r="H215" i="131" s="1"/>
  <c r="I57" i="117"/>
  <c r="H34" i="117"/>
  <c r="I54" i="117"/>
  <c r="J34" i="117"/>
  <c r="I64" i="117"/>
  <c r="H26" i="117"/>
  <c r="J26" i="117"/>
  <c r="H51" i="117"/>
  <c r="I51" i="117"/>
  <c r="J57" i="117"/>
  <c r="H64" i="117"/>
  <c r="I102" i="115"/>
  <c r="H79" i="131" s="1"/>
  <c r="I75" i="117"/>
  <c r="H216" i="131" s="1"/>
  <c r="L216" i="131" s="1"/>
  <c r="J49" i="115"/>
  <c r="J125" i="115"/>
  <c r="H72" i="117"/>
  <c r="G215" i="131" s="1"/>
  <c r="K215" i="131" s="1"/>
  <c r="H96" i="115"/>
  <c r="G77" i="131" s="1"/>
  <c r="I89" i="115"/>
  <c r="I40" i="117"/>
  <c r="I88" i="117"/>
  <c r="H66" i="115"/>
  <c r="G67" i="131" s="1"/>
  <c r="H88" i="117"/>
  <c r="I8" i="117"/>
  <c r="H193" i="131" s="1"/>
  <c r="H90" i="117"/>
  <c r="H35" i="117"/>
  <c r="G203" i="131" s="1"/>
  <c r="K203" i="131" s="1"/>
  <c r="J8" i="117"/>
  <c r="I193" i="131" s="1"/>
  <c r="J35" i="117"/>
  <c r="I203" i="131" s="1"/>
  <c r="M203" i="131" s="1"/>
  <c r="H75" i="117"/>
  <c r="G216" i="131" s="1"/>
  <c r="K216" i="131" s="1"/>
  <c r="H42" i="117"/>
  <c r="J42" i="117"/>
  <c r="J54" i="117"/>
  <c r="I209" i="131" s="1"/>
  <c r="M209" i="131" s="1"/>
  <c r="I16" i="117"/>
  <c r="H15" i="130"/>
  <c r="I34" i="120"/>
  <c r="H103" i="131" s="1"/>
  <c r="J34" i="120"/>
  <c r="I103" i="131" s="1"/>
  <c r="M103" i="131" s="1"/>
  <c r="H28" i="120"/>
  <c r="G102" i="131" s="1"/>
  <c r="I28" i="120"/>
  <c r="H102" i="131" s="1"/>
  <c r="L102" i="131" s="1"/>
  <c r="H125" i="115"/>
  <c r="H75" i="115"/>
  <c r="G70" i="131" s="1"/>
  <c r="I75" i="115"/>
  <c r="H70" i="131" s="1"/>
  <c r="L70" i="131" s="1"/>
  <c r="J85" i="115"/>
  <c r="I84" i="115"/>
  <c r="H73" i="131" s="1"/>
  <c r="L73" i="131" s="1"/>
  <c r="I85" i="115"/>
  <c r="H59" i="115"/>
  <c r="I59" i="115"/>
  <c r="I49" i="115"/>
  <c r="I21" i="119"/>
  <c r="H36" i="131" s="1"/>
  <c r="L36" i="131" s="1"/>
  <c r="H28" i="115"/>
  <c r="H36" i="115"/>
  <c r="G57" i="131" s="1"/>
  <c r="I36" i="115"/>
  <c r="H57" i="131" s="1"/>
  <c r="L57" i="131" s="1"/>
  <c r="H60" i="115"/>
  <c r="G65" i="131" s="1"/>
  <c r="J25" i="115"/>
  <c r="J28" i="115"/>
  <c r="I83" i="115"/>
  <c r="I113" i="115"/>
  <c r="I60" i="115"/>
  <c r="H65" i="131" s="1"/>
  <c r="L65" i="131" s="1"/>
  <c r="H41" i="117"/>
  <c r="I50" i="117"/>
  <c r="J31" i="130"/>
  <c r="J31" i="115"/>
  <c r="J63" i="117"/>
  <c r="J22" i="119"/>
  <c r="I36" i="131" s="1"/>
  <c r="I111" i="115"/>
  <c r="H82" i="131" s="1"/>
  <c r="L82" i="131" s="1"/>
  <c r="H50" i="117"/>
  <c r="H78" i="115"/>
  <c r="G71" i="131" s="1"/>
  <c r="J41" i="117"/>
  <c r="H22" i="119"/>
  <c r="G36" i="131" s="1"/>
  <c r="I53" i="117"/>
  <c r="H31" i="130"/>
  <c r="H14" i="117"/>
  <c r="J111" i="115"/>
  <c r="I82" i="131" s="1"/>
  <c r="M82" i="131" s="1"/>
  <c r="I78" i="115"/>
  <c r="H71" i="131" s="1"/>
  <c r="L71" i="131" s="1"/>
  <c r="J112" i="115"/>
  <c r="H55" i="115"/>
  <c r="H53" i="117"/>
  <c r="G209" i="131" s="1"/>
  <c r="I76" i="115"/>
  <c r="I108" i="115"/>
  <c r="H81" i="131" s="1"/>
  <c r="L81" i="131" s="1"/>
  <c r="J108" i="115"/>
  <c r="I81" i="131" s="1"/>
  <c r="I63" i="115"/>
  <c r="H66" i="131" s="1"/>
  <c r="L66" i="131" s="1"/>
  <c r="J90" i="117"/>
  <c r="I9" i="130"/>
  <c r="J9" i="130"/>
  <c r="J55" i="115"/>
  <c r="I66" i="115"/>
  <c r="H67" i="131" s="1"/>
  <c r="L67" i="131" s="1"/>
  <c r="J77" i="115"/>
  <c r="I25" i="115"/>
  <c r="H58" i="117"/>
  <c r="J102" i="115"/>
  <c r="I79" i="131" s="1"/>
  <c r="H117" i="115"/>
  <c r="G84" i="131" s="1"/>
  <c r="H77" i="115"/>
  <c r="J25" i="117"/>
  <c r="J85" i="117"/>
  <c r="J115" i="115"/>
  <c r="I58" i="117"/>
  <c r="H115" i="115"/>
  <c r="J39" i="117"/>
  <c r="H33" i="118"/>
  <c r="G270" i="131" s="1"/>
  <c r="I16" i="118"/>
  <c r="H38" i="118"/>
  <c r="I27" i="118"/>
  <c r="H268" i="131" s="1"/>
  <c r="L268" i="131" s="1"/>
  <c r="J40" i="117"/>
  <c r="J38" i="115"/>
  <c r="I16" i="115"/>
  <c r="H48" i="117"/>
  <c r="H8" i="118"/>
  <c r="G261" i="131" s="1"/>
  <c r="J16" i="115"/>
  <c r="I48" i="117"/>
  <c r="I76" i="117"/>
  <c r="I8" i="118"/>
  <c r="H261" i="131" s="1"/>
  <c r="I38" i="115"/>
  <c r="J76" i="117"/>
  <c r="H20" i="117"/>
  <c r="G198" i="131" s="1"/>
  <c r="H63" i="117"/>
  <c r="G212" i="131" s="1"/>
  <c r="K212" i="131" s="1"/>
  <c r="I20" i="117"/>
  <c r="H198" i="131" s="1"/>
  <c r="L198" i="131" s="1"/>
  <c r="J56" i="117"/>
  <c r="J63" i="115"/>
  <c r="I66" i="131" s="1"/>
  <c r="M66" i="131" s="1"/>
  <c r="H39" i="117"/>
  <c r="I56" i="117"/>
  <c r="H76" i="115"/>
  <c r="H85" i="117"/>
  <c r="I103" i="115"/>
  <c r="J43" i="115"/>
  <c r="I34" i="118"/>
  <c r="H118" i="115"/>
  <c r="I22" i="117"/>
  <c r="I58" i="115"/>
  <c r="J32" i="115"/>
  <c r="H37" i="117"/>
  <c r="J29" i="119"/>
  <c r="I15" i="118"/>
  <c r="H264" i="131" s="1"/>
  <c r="L264" i="131" s="1"/>
  <c r="H15" i="118"/>
  <c r="G264" i="131" s="1"/>
  <c r="J113" i="115"/>
  <c r="I19" i="115"/>
  <c r="I68" i="117"/>
  <c r="H214" i="131" s="1"/>
  <c r="L214" i="131" s="1"/>
  <c r="I29" i="119"/>
  <c r="I117" i="115"/>
  <c r="H84" i="131" s="1"/>
  <c r="L84" i="131" s="1"/>
  <c r="H40" i="118"/>
  <c r="H61" i="115"/>
  <c r="J19" i="115"/>
  <c r="H64" i="115"/>
  <c r="I40" i="118"/>
  <c r="I64" i="115"/>
  <c r="J69" i="117"/>
  <c r="I214" i="131" s="1"/>
  <c r="M214" i="131" s="1"/>
  <c r="J34" i="118"/>
  <c r="I25" i="117"/>
  <c r="H69" i="117"/>
  <c r="G214" i="131" s="1"/>
  <c r="I33" i="118"/>
  <c r="H270" i="131" s="1"/>
  <c r="L270" i="131" s="1"/>
  <c r="H26" i="118"/>
  <c r="H27" i="119"/>
  <c r="M11" i="130"/>
  <c r="J118" i="115"/>
  <c r="H58" i="115"/>
  <c r="I32" i="115"/>
  <c r="H22" i="117"/>
  <c r="I65" i="117"/>
  <c r="H213" i="131" s="1"/>
  <c r="L213" i="131" s="1"/>
  <c r="I53" i="115"/>
  <c r="H41" i="115"/>
  <c r="J61" i="115"/>
  <c r="H23" i="119"/>
  <c r="H73" i="115"/>
  <c r="I67" i="117"/>
  <c r="I23" i="119"/>
  <c r="I41" i="118"/>
  <c r="I73" i="115"/>
  <c r="J15" i="115"/>
  <c r="I50" i="131" s="1"/>
  <c r="I15" i="115"/>
  <c r="H50" i="131" s="1"/>
  <c r="I90" i="115"/>
  <c r="H75" i="131" s="1"/>
  <c r="L75" i="131" s="1"/>
  <c r="I96" i="115"/>
  <c r="H77" i="131" s="1"/>
  <c r="L77" i="131" s="1"/>
  <c r="I26" i="118"/>
  <c r="I121" i="115"/>
  <c r="H86" i="131" s="1"/>
  <c r="I37" i="117"/>
  <c r="H69" i="115"/>
  <c r="G68" i="131" s="1"/>
  <c r="J69" i="115"/>
  <c r="I68" i="131" s="1"/>
  <c r="M68" i="131" s="1"/>
  <c r="J41" i="115"/>
  <c r="J4" i="130"/>
  <c r="H68" i="117"/>
  <c r="J13" i="130"/>
  <c r="H53" i="115"/>
  <c r="H67" i="117"/>
  <c r="H90" i="115"/>
  <c r="G75" i="131" s="1"/>
  <c r="I62" i="115"/>
  <c r="J89" i="115"/>
  <c r="J78" i="117"/>
  <c r="H45" i="117"/>
  <c r="G206" i="131" s="1"/>
  <c r="H4" i="130"/>
  <c r="G29" i="121"/>
  <c r="H29" i="121" s="1"/>
  <c r="I32" i="118"/>
  <c r="J32" i="118"/>
  <c r="I23" i="118"/>
  <c r="H23" i="118"/>
  <c r="H27" i="118"/>
  <c r="G268" i="131" s="1"/>
  <c r="H83" i="115"/>
  <c r="J62" i="115"/>
  <c r="I78" i="117"/>
  <c r="H15" i="117"/>
  <c r="H84" i="115"/>
  <c r="G73" i="131" s="1"/>
  <c r="H45" i="115"/>
  <c r="G60" i="131" s="1"/>
  <c r="K60" i="131" s="1"/>
  <c r="H81" i="117"/>
  <c r="I81" i="117"/>
  <c r="J19" i="118"/>
  <c r="H6" i="130"/>
  <c r="I6" i="130"/>
  <c r="J45" i="115"/>
  <c r="I60" i="131" s="1"/>
  <c r="M60" i="131" s="1"/>
  <c r="J20" i="118"/>
  <c r="I22" i="115"/>
  <c r="I20" i="118"/>
  <c r="H110" i="115"/>
  <c r="J27" i="117"/>
  <c r="J22" i="115"/>
  <c r="I110" i="115"/>
  <c r="H43" i="117"/>
  <c r="H79" i="115"/>
  <c r="I43" i="117"/>
  <c r="I79" i="115"/>
  <c r="H112" i="115"/>
  <c r="I45" i="117"/>
  <c r="H206" i="131" s="1"/>
  <c r="L206" i="131" s="1"/>
  <c r="M16" i="118"/>
  <c r="H28" i="118"/>
  <c r="I25" i="118"/>
  <c r="I28" i="118"/>
  <c r="H25" i="118"/>
  <c r="H19" i="118"/>
  <c r="J29" i="118"/>
  <c r="H29" i="118"/>
  <c r="I29" i="118"/>
  <c r="J18" i="118"/>
  <c r="I265" i="131" s="1"/>
  <c r="I43" i="118"/>
  <c r="H43" i="118"/>
  <c r="J43" i="118"/>
  <c r="H18" i="118"/>
  <c r="G265" i="131" s="1"/>
  <c r="H65" i="117"/>
  <c r="H31" i="115"/>
  <c r="J100" i="115"/>
  <c r="J32" i="130"/>
  <c r="I234" i="131" s="1"/>
  <c r="M234" i="131" s="1"/>
  <c r="H100" i="115"/>
  <c r="H66" i="117"/>
  <c r="I28" i="130"/>
  <c r="H28" i="130"/>
  <c r="J28" i="130"/>
  <c r="H27" i="115"/>
  <c r="G54" i="131" s="1"/>
  <c r="J70" i="115"/>
  <c r="H33" i="115"/>
  <c r="G56" i="131" s="1"/>
  <c r="H59" i="117"/>
  <c r="G211" i="131" s="1"/>
  <c r="J66" i="117"/>
  <c r="I213" i="131" s="1"/>
  <c r="M213" i="131" s="1"/>
  <c r="J27" i="115"/>
  <c r="I54" i="131" s="1"/>
  <c r="M54" i="131" s="1"/>
  <c r="I43" i="115"/>
  <c r="J33" i="115"/>
  <c r="I56" i="131" s="1"/>
  <c r="M56" i="131" s="1"/>
  <c r="H27" i="117"/>
  <c r="G200" i="131" s="1"/>
  <c r="K200" i="131" s="1"/>
  <c r="I59" i="117"/>
  <c r="H211" i="131" s="1"/>
  <c r="L211" i="131" s="1"/>
  <c r="H14" i="118"/>
  <c r="H13" i="130"/>
  <c r="I101" i="115"/>
  <c r="H26" i="115"/>
  <c r="J26" i="115"/>
  <c r="I15" i="130"/>
  <c r="M12" i="130"/>
  <c r="M13" i="130"/>
  <c r="H32" i="130"/>
  <c r="G234" i="131" s="1"/>
  <c r="K234" i="131" s="1"/>
  <c r="I23" i="121"/>
  <c r="H23" i="121"/>
  <c r="J23" i="121"/>
  <c r="G33" i="121"/>
  <c r="I33" i="121" s="1"/>
  <c r="H55" i="117"/>
  <c r="I55" i="117"/>
  <c r="H101" i="115"/>
  <c r="J87" i="115"/>
  <c r="I74" i="131" s="1"/>
  <c r="M74" i="131" s="1"/>
  <c r="I116" i="115"/>
  <c r="H82" i="115"/>
  <c r="I42" i="115"/>
  <c r="H59" i="131" s="1"/>
  <c r="L59" i="131" s="1"/>
  <c r="J24" i="115"/>
  <c r="I53" i="131" s="1"/>
  <c r="M53" i="131" s="1"/>
  <c r="H105" i="115"/>
  <c r="G80" i="131" s="1"/>
  <c r="I71" i="115"/>
  <c r="J82" i="115"/>
  <c r="J121" i="115"/>
  <c r="I86" i="131" s="1"/>
  <c r="J42" i="115"/>
  <c r="I59" i="131" s="1"/>
  <c r="M59" i="131" s="1"/>
  <c r="H24" i="115"/>
  <c r="G53" i="131" s="1"/>
  <c r="H71" i="115"/>
  <c r="H70" i="115"/>
  <c r="J105" i="115"/>
  <c r="I80" i="131" s="1"/>
  <c r="M80" i="131" s="1"/>
  <c r="I87" i="115"/>
  <c r="H74" i="131" s="1"/>
  <c r="L74" i="131" s="1"/>
  <c r="J116" i="115"/>
  <c r="J30" i="130"/>
  <c r="H30" i="130"/>
  <c r="I30" i="130"/>
  <c r="J35" i="130"/>
  <c r="I235" i="131" s="1"/>
  <c r="I35" i="130"/>
  <c r="H235" i="131" s="1"/>
  <c r="L235" i="131" s="1"/>
  <c r="H35" i="130"/>
  <c r="G235" i="131" s="1"/>
  <c r="K235" i="131" s="1"/>
  <c r="H29" i="130"/>
  <c r="G233" i="131" s="1"/>
  <c r="J29" i="130"/>
  <c r="I233" i="131" s="1"/>
  <c r="M233" i="131" s="1"/>
  <c r="I29" i="130"/>
  <c r="H233" i="131" s="1"/>
  <c r="L233" i="131" s="1"/>
  <c r="J27" i="130"/>
  <c r="I27" i="130"/>
  <c r="H27" i="130"/>
  <c r="J25" i="130"/>
  <c r="I25" i="130"/>
  <c r="H25" i="130"/>
  <c r="J5" i="124"/>
  <c r="I41" i="131" s="1"/>
  <c r="H5" i="124"/>
  <c r="G41" i="131" s="1"/>
  <c r="I5" i="124"/>
  <c r="H41" i="131" s="1"/>
  <c r="J6" i="124"/>
  <c r="I6" i="124"/>
  <c r="H6" i="124"/>
  <c r="H26" i="122"/>
  <c r="G20" i="131" s="1"/>
  <c r="I26" i="122"/>
  <c r="H20" i="131" s="1"/>
  <c r="J26" i="122"/>
  <c r="I20" i="131" s="1"/>
  <c r="J35" i="121"/>
  <c r="I35" i="121"/>
  <c r="H35" i="121"/>
  <c r="H27" i="121"/>
  <c r="I27" i="121"/>
  <c r="I25" i="121"/>
  <c r="J25" i="121"/>
  <c r="H25" i="121"/>
  <c r="I28" i="121"/>
  <c r="H251" i="131" s="1"/>
  <c r="H28" i="121"/>
  <c r="G251" i="131" s="1"/>
  <c r="J28" i="121"/>
  <c r="I251" i="131" s="1"/>
  <c r="H34" i="121"/>
  <c r="G252" i="131" s="1"/>
  <c r="J34" i="121"/>
  <c r="I252" i="131" s="1"/>
  <c r="M252" i="131" s="1"/>
  <c r="I34" i="121"/>
  <c r="H252" i="131" s="1"/>
  <c r="L252" i="131" s="1"/>
  <c r="G29" i="120"/>
  <c r="I25" i="120"/>
  <c r="J25" i="120"/>
  <c r="H25" i="120"/>
  <c r="J28" i="119"/>
  <c r="I37" i="131" s="1"/>
  <c r="M37" i="131" s="1"/>
  <c r="I28" i="119"/>
  <c r="H37" i="131" s="1"/>
  <c r="L37" i="131" s="1"/>
  <c r="H28" i="119"/>
  <c r="G37" i="131" s="1"/>
  <c r="J24" i="118"/>
  <c r="I267" i="131" s="1"/>
  <c r="M267" i="131" s="1"/>
  <c r="I24" i="118"/>
  <c r="H267" i="131" s="1"/>
  <c r="L267" i="131" s="1"/>
  <c r="H24" i="118"/>
  <c r="G267" i="131" s="1"/>
  <c r="J30" i="118"/>
  <c r="I269" i="131" s="1"/>
  <c r="M269" i="131" s="1"/>
  <c r="I30" i="118"/>
  <c r="H269" i="131" s="1"/>
  <c r="L269" i="131" s="1"/>
  <c r="H30" i="118"/>
  <c r="G269" i="131" s="1"/>
  <c r="J35" i="118"/>
  <c r="I35" i="118"/>
  <c r="H35" i="118"/>
  <c r="M15" i="118"/>
  <c r="J37" i="118"/>
  <c r="I37" i="118"/>
  <c r="H37" i="118"/>
  <c r="M14" i="118"/>
  <c r="J22" i="118"/>
  <c r="I22" i="118"/>
  <c r="H22" i="118"/>
  <c r="J42" i="118"/>
  <c r="I273" i="131" s="1"/>
  <c r="M273" i="131" s="1"/>
  <c r="I42" i="118"/>
  <c r="H273" i="131" s="1"/>
  <c r="L273" i="131" s="1"/>
  <c r="H42" i="118"/>
  <c r="G273" i="131" s="1"/>
  <c r="J29" i="117"/>
  <c r="I29" i="117"/>
  <c r="H29" i="117"/>
  <c r="J70" i="117"/>
  <c r="I70" i="117"/>
  <c r="H70" i="117"/>
  <c r="J17" i="117"/>
  <c r="H17" i="117"/>
  <c r="I17" i="117"/>
  <c r="J89" i="117"/>
  <c r="I89" i="117"/>
  <c r="H89" i="117"/>
  <c r="J18" i="117"/>
  <c r="I18" i="117"/>
  <c r="H18" i="117"/>
  <c r="J32" i="117"/>
  <c r="I202" i="131" s="1"/>
  <c r="M202" i="131" s="1"/>
  <c r="H32" i="117"/>
  <c r="I32" i="117"/>
  <c r="H202" i="131" s="1"/>
  <c r="L202" i="131" s="1"/>
  <c r="M14" i="117"/>
  <c r="J23" i="117"/>
  <c r="I199" i="131" s="1"/>
  <c r="M199" i="131" s="1"/>
  <c r="I23" i="117"/>
  <c r="H23" i="117"/>
  <c r="J84" i="117"/>
  <c r="I84" i="117"/>
  <c r="H84" i="117"/>
  <c r="J19" i="117"/>
  <c r="I19" i="117"/>
  <c r="H19" i="117"/>
  <c r="J77" i="117"/>
  <c r="I77" i="117"/>
  <c r="H77" i="117"/>
  <c r="G217" i="131" s="1"/>
  <c r="K217" i="131" s="1"/>
  <c r="H47" i="117"/>
  <c r="J47" i="117"/>
  <c r="I207" i="131" s="1"/>
  <c r="M207" i="131" s="1"/>
  <c r="I47" i="117"/>
  <c r="I30" i="117"/>
  <c r="H201" i="131" s="1"/>
  <c r="L201" i="131" s="1"/>
  <c r="H30" i="117"/>
  <c r="G201" i="131" s="1"/>
  <c r="J30" i="117"/>
  <c r="I201" i="131" s="1"/>
  <c r="M201" i="131" s="1"/>
  <c r="J91" i="117"/>
  <c r="I222" i="131" s="1"/>
  <c r="M222" i="131" s="1"/>
  <c r="I91" i="117"/>
  <c r="H222" i="131" s="1"/>
  <c r="L222" i="131" s="1"/>
  <c r="H91" i="117"/>
  <c r="J73" i="117"/>
  <c r="I73" i="117"/>
  <c r="H73" i="117"/>
  <c r="J61" i="117"/>
  <c r="I61" i="117"/>
  <c r="H61" i="117"/>
  <c r="J79" i="117"/>
  <c r="I79" i="117"/>
  <c r="H79" i="117"/>
  <c r="J62" i="117"/>
  <c r="H62" i="117"/>
  <c r="I62" i="117"/>
  <c r="H212" i="131" s="1"/>
  <c r="L212" i="131" s="1"/>
  <c r="I82" i="117"/>
  <c r="H82" i="117"/>
  <c r="J82" i="117"/>
  <c r="J83" i="117"/>
  <c r="I83" i="117"/>
  <c r="H83" i="117"/>
  <c r="J38" i="117"/>
  <c r="I38" i="117"/>
  <c r="H204" i="131" s="1"/>
  <c r="L204" i="131" s="1"/>
  <c r="H38" i="117"/>
  <c r="M15" i="117"/>
  <c r="I80" i="117"/>
  <c r="H80" i="117"/>
  <c r="J80" i="117"/>
  <c r="I218" i="131" s="1"/>
  <c r="M218" i="131" s="1"/>
  <c r="J92" i="117"/>
  <c r="I92" i="117"/>
  <c r="H92" i="117"/>
  <c r="M16" i="117"/>
  <c r="J52" i="117"/>
  <c r="I52" i="117"/>
  <c r="H52" i="117"/>
  <c r="J46" i="117"/>
  <c r="I46" i="117"/>
  <c r="H46" i="117"/>
  <c r="I87" i="117"/>
  <c r="J87" i="117"/>
  <c r="I221" i="131" s="1"/>
  <c r="M221" i="131" s="1"/>
  <c r="H87" i="117"/>
  <c r="J67" i="115"/>
  <c r="I67" i="115"/>
  <c r="H67" i="115"/>
  <c r="J95" i="115"/>
  <c r="I95" i="115"/>
  <c r="H95" i="115"/>
  <c r="I14" i="115"/>
  <c r="J14" i="115"/>
  <c r="H14" i="115"/>
  <c r="M14" i="115"/>
  <c r="J68" i="115"/>
  <c r="H68" i="115"/>
  <c r="I68" i="115"/>
  <c r="I50" i="115"/>
  <c r="H50" i="115"/>
  <c r="J50" i="115"/>
  <c r="I122" i="115"/>
  <c r="J122" i="115"/>
  <c r="H122" i="115"/>
  <c r="H29" i="115"/>
  <c r="J29" i="115"/>
  <c r="I29" i="115"/>
  <c r="J37" i="115"/>
  <c r="I37" i="115"/>
  <c r="H37" i="115"/>
  <c r="H124" i="115"/>
  <c r="G87" i="131" s="1"/>
  <c r="G85" i="131" s="1"/>
  <c r="J124" i="115"/>
  <c r="I87" i="131" s="1"/>
  <c r="M87" i="131" s="1"/>
  <c r="I124" i="115"/>
  <c r="H87" i="131" s="1"/>
  <c r="L87" i="131" s="1"/>
  <c r="I86" i="115"/>
  <c r="H86" i="115"/>
  <c r="J86" i="115"/>
  <c r="J51" i="115"/>
  <c r="I62" i="131" s="1"/>
  <c r="M62" i="131" s="1"/>
  <c r="H51" i="115"/>
  <c r="G62" i="131" s="1"/>
  <c r="K62" i="131" s="1"/>
  <c r="I51" i="115"/>
  <c r="H62" i="131" s="1"/>
  <c r="H114" i="115"/>
  <c r="G83" i="131" s="1"/>
  <c r="J114" i="115"/>
  <c r="I83" i="131" s="1"/>
  <c r="M83" i="131" s="1"/>
  <c r="I114" i="115"/>
  <c r="H83" i="131" s="1"/>
  <c r="L83" i="131" s="1"/>
  <c r="J106" i="115"/>
  <c r="I106" i="115"/>
  <c r="H106" i="115"/>
  <c r="I30" i="115"/>
  <c r="H55" i="131" s="1"/>
  <c r="L55" i="131" s="1"/>
  <c r="J30" i="115"/>
  <c r="I55" i="131" s="1"/>
  <c r="M55" i="131" s="1"/>
  <c r="H30" i="115"/>
  <c r="G55" i="131" s="1"/>
  <c r="I18" i="115"/>
  <c r="H51" i="131" s="1"/>
  <c r="L51" i="131" s="1"/>
  <c r="H18" i="115"/>
  <c r="G51" i="131" s="1"/>
  <c r="J18" i="115"/>
  <c r="I51" i="131" s="1"/>
  <c r="M51" i="131" s="1"/>
  <c r="I34" i="115"/>
  <c r="J34" i="115"/>
  <c r="H34" i="115"/>
  <c r="M16" i="115"/>
  <c r="H57" i="115"/>
  <c r="G64" i="131" s="1"/>
  <c r="J57" i="115"/>
  <c r="I64" i="131" s="1"/>
  <c r="M64" i="131" s="1"/>
  <c r="I57" i="115"/>
  <c r="H64" i="131" s="1"/>
  <c r="L64" i="131" s="1"/>
  <c r="H123" i="115"/>
  <c r="J123" i="115"/>
  <c r="I123" i="115"/>
  <c r="J98" i="115"/>
  <c r="I98" i="115"/>
  <c r="H98" i="115"/>
  <c r="J47" i="115"/>
  <c r="I47" i="115"/>
  <c r="H47" i="115"/>
  <c r="H56" i="115"/>
  <c r="I56" i="115"/>
  <c r="J56" i="115"/>
  <c r="J91" i="115"/>
  <c r="I91" i="115"/>
  <c r="H91" i="115"/>
  <c r="H39" i="115"/>
  <c r="G58" i="131" s="1"/>
  <c r="J39" i="115"/>
  <c r="I58" i="131" s="1"/>
  <c r="M58" i="131" s="1"/>
  <c r="I39" i="115"/>
  <c r="H58" i="131" s="1"/>
  <c r="L58" i="131" s="1"/>
  <c r="I99" i="115"/>
  <c r="H78" i="131" s="1"/>
  <c r="L78" i="131" s="1"/>
  <c r="H99" i="115"/>
  <c r="G78" i="131" s="1"/>
  <c r="J99" i="115"/>
  <c r="I78" i="131" s="1"/>
  <c r="M78" i="131" s="1"/>
  <c r="H48" i="115"/>
  <c r="G61" i="131" s="1"/>
  <c r="J48" i="115"/>
  <c r="I61" i="131" s="1"/>
  <c r="M61" i="131" s="1"/>
  <c r="I48" i="115"/>
  <c r="H61" i="131" s="1"/>
  <c r="L61" i="131" s="1"/>
  <c r="I54" i="115"/>
  <c r="H63" i="131" s="1"/>
  <c r="L63" i="131" s="1"/>
  <c r="H54" i="115"/>
  <c r="G63" i="131" s="1"/>
  <c r="J54" i="115"/>
  <c r="I63" i="131" s="1"/>
  <c r="M63" i="131" s="1"/>
  <c r="M15" i="115"/>
  <c r="J23" i="115"/>
  <c r="I23" i="115"/>
  <c r="H23" i="115"/>
  <c r="H21" i="115"/>
  <c r="G52" i="131" s="1"/>
  <c r="J21" i="115"/>
  <c r="I52" i="131" s="1"/>
  <c r="M52" i="131" s="1"/>
  <c r="I21" i="115"/>
  <c r="H52" i="131" s="1"/>
  <c r="L52" i="131" s="1"/>
  <c r="H20" i="115"/>
  <c r="J20" i="115"/>
  <c r="I20" i="115"/>
  <c r="I120" i="115"/>
  <c r="J120" i="115"/>
  <c r="H120" i="115"/>
  <c r="J44" i="115"/>
  <c r="I44" i="115"/>
  <c r="H44" i="115"/>
  <c r="J104" i="115"/>
  <c r="H104" i="115"/>
  <c r="I104" i="115"/>
  <c r="J88" i="115"/>
  <c r="I88" i="115"/>
  <c r="H88" i="115"/>
  <c r="H107" i="131" l="1"/>
  <c r="F109" i="131"/>
  <c r="F32" i="131"/>
  <c r="H33" i="131"/>
  <c r="H31" i="131" s="1"/>
  <c r="I107" i="131"/>
  <c r="G185" i="131"/>
  <c r="F186" i="131"/>
  <c r="H280" i="131"/>
  <c r="H279" i="131" s="1"/>
  <c r="I185" i="131"/>
  <c r="H185" i="131"/>
  <c r="F34" i="131"/>
  <c r="G33" i="131"/>
  <c r="G31" i="131" s="1"/>
  <c r="I217" i="131"/>
  <c r="M217" i="131" s="1"/>
  <c r="G219" i="131"/>
  <c r="K219" i="131" s="1"/>
  <c r="H217" i="131"/>
  <c r="L217" i="131" s="1"/>
  <c r="J217" i="131" s="1"/>
  <c r="G196" i="131"/>
  <c r="K196" i="131" s="1"/>
  <c r="H210" i="131"/>
  <c r="L210" i="131" s="1"/>
  <c r="I200" i="131"/>
  <c r="F200" i="131" s="1"/>
  <c r="I204" i="131"/>
  <c r="M204" i="131" s="1"/>
  <c r="G222" i="131"/>
  <c r="K222" i="131" s="1"/>
  <c r="J222" i="131" s="1"/>
  <c r="I212" i="131"/>
  <c r="F212" i="131" s="1"/>
  <c r="G205" i="131"/>
  <c r="J199" i="131"/>
  <c r="H209" i="131"/>
  <c r="L209" i="131" s="1"/>
  <c r="G213" i="131"/>
  <c r="K213" i="131" s="1"/>
  <c r="J213" i="131" s="1"/>
  <c r="K211" i="131"/>
  <c r="J211" i="131" s="1"/>
  <c r="F211" i="131"/>
  <c r="J203" i="131"/>
  <c r="K198" i="131"/>
  <c r="J198" i="131" s="1"/>
  <c r="F198" i="131"/>
  <c r="F199" i="131"/>
  <c r="H207" i="131"/>
  <c r="L207" i="131" s="1"/>
  <c r="I219" i="131"/>
  <c r="M219" i="131" s="1"/>
  <c r="I210" i="131"/>
  <c r="M210" i="131" s="1"/>
  <c r="G197" i="131"/>
  <c r="H208" i="131"/>
  <c r="L208" i="131" s="1"/>
  <c r="J202" i="131"/>
  <c r="F202" i="131"/>
  <c r="G207" i="131"/>
  <c r="G208" i="131"/>
  <c r="K208" i="131" s="1"/>
  <c r="I197" i="131"/>
  <c r="M197" i="131" s="1"/>
  <c r="H218" i="131"/>
  <c r="L218" i="131" s="1"/>
  <c r="F203" i="131"/>
  <c r="I205" i="131"/>
  <c r="M205" i="131" s="1"/>
  <c r="G218" i="131"/>
  <c r="K218" i="131" s="1"/>
  <c r="G221" i="131"/>
  <c r="K221" i="131" s="1"/>
  <c r="H197" i="131"/>
  <c r="L197" i="131" s="1"/>
  <c r="G204" i="131"/>
  <c r="K204" i="131" s="1"/>
  <c r="H219" i="131"/>
  <c r="L219" i="131" s="1"/>
  <c r="H221" i="131"/>
  <c r="H220" i="131" s="1"/>
  <c r="F17" i="131"/>
  <c r="K17" i="131"/>
  <c r="J17" i="131" s="1"/>
  <c r="M34" i="131"/>
  <c r="M33" i="131" s="1"/>
  <c r="M31" i="131" s="1"/>
  <c r="E25" i="36" s="1"/>
  <c r="F22" i="131"/>
  <c r="J276" i="131"/>
  <c r="K288" i="131"/>
  <c r="K287" i="131" s="1"/>
  <c r="J287" i="131" s="1"/>
  <c r="L280" i="131"/>
  <c r="E108" i="36" s="1"/>
  <c r="M280" i="131"/>
  <c r="E109" i="36" s="1"/>
  <c r="F253" i="131"/>
  <c r="I27" i="120"/>
  <c r="H33" i="120"/>
  <c r="K31" i="131"/>
  <c r="E23" i="36" s="1"/>
  <c r="L185" i="131"/>
  <c r="E127" i="36" s="1"/>
  <c r="M185" i="131"/>
  <c r="E128" i="36" s="1"/>
  <c r="M107" i="131"/>
  <c r="E121" i="36" s="1"/>
  <c r="K107" i="131"/>
  <c r="E119" i="36" s="1"/>
  <c r="J22" i="131"/>
  <c r="K284" i="131"/>
  <c r="J284" i="131" s="1"/>
  <c r="F284" i="131"/>
  <c r="F275" i="131"/>
  <c r="K276" i="131"/>
  <c r="K275" i="131" s="1"/>
  <c r="K264" i="131"/>
  <c r="J264" i="131" s="1"/>
  <c r="F264" i="131"/>
  <c r="K266" i="131"/>
  <c r="J266" i="131" s="1"/>
  <c r="F266" i="131"/>
  <c r="K273" i="131"/>
  <c r="J273" i="131" s="1"/>
  <c r="F273" i="131"/>
  <c r="K268" i="131"/>
  <c r="J268" i="131" s="1"/>
  <c r="F268" i="131"/>
  <c r="K271" i="131"/>
  <c r="J271" i="131" s="1"/>
  <c r="F271" i="131"/>
  <c r="K272" i="131"/>
  <c r="J272" i="131" s="1"/>
  <c r="F272" i="131"/>
  <c r="K269" i="131"/>
  <c r="J269" i="131" s="1"/>
  <c r="F269" i="131"/>
  <c r="K270" i="131"/>
  <c r="J270" i="131" s="1"/>
  <c r="F270" i="131"/>
  <c r="K267" i="131"/>
  <c r="J267" i="131" s="1"/>
  <c r="F267" i="131"/>
  <c r="K265" i="131"/>
  <c r="G263" i="131"/>
  <c r="F265" i="131"/>
  <c r="M265" i="131"/>
  <c r="M263" i="131" s="1"/>
  <c r="M256" i="131" s="1"/>
  <c r="E219" i="36" s="1"/>
  <c r="I263" i="131"/>
  <c r="I256" i="131" s="1"/>
  <c r="L261" i="131"/>
  <c r="L259" i="131" s="1"/>
  <c r="H259" i="131"/>
  <c r="K261" i="131"/>
  <c r="F261" i="131"/>
  <c r="G259" i="131"/>
  <c r="H263" i="131"/>
  <c r="L263" i="131"/>
  <c r="F193" i="131"/>
  <c r="H223" i="131"/>
  <c r="F248" i="131"/>
  <c r="F276" i="131"/>
  <c r="J285" i="131"/>
  <c r="K281" i="131"/>
  <c r="J282" i="131"/>
  <c r="M220" i="131"/>
  <c r="F281" i="131"/>
  <c r="I280" i="131"/>
  <c r="I279" i="131" s="1"/>
  <c r="K252" i="131"/>
  <c r="J252" i="131" s="1"/>
  <c r="F252" i="131"/>
  <c r="K248" i="131"/>
  <c r="K244" i="131" s="1"/>
  <c r="E94" i="36" s="1"/>
  <c r="J249" i="131"/>
  <c r="J248" i="131" s="1"/>
  <c r="K251" i="131"/>
  <c r="G250" i="131"/>
  <c r="G238" i="131" s="1"/>
  <c r="F251" i="131"/>
  <c r="I244" i="131"/>
  <c r="I250" i="131"/>
  <c r="M251" i="131"/>
  <c r="M250" i="131" s="1"/>
  <c r="E103" i="36" s="1"/>
  <c r="J245" i="131"/>
  <c r="L251" i="131"/>
  <c r="L250" i="131" s="1"/>
  <c r="E102" i="36" s="1"/>
  <c r="H250" i="131"/>
  <c r="H238" i="131" s="1"/>
  <c r="M244" i="131"/>
  <c r="E96" i="36" s="1"/>
  <c r="J255" i="131"/>
  <c r="J253" i="131" s="1"/>
  <c r="M171" i="131"/>
  <c r="I170" i="131"/>
  <c r="F170" i="131" s="1"/>
  <c r="F171" i="131"/>
  <c r="K182" i="131"/>
  <c r="E141" i="36" s="1"/>
  <c r="J184" i="131"/>
  <c r="J182" i="131" s="1"/>
  <c r="F215" i="131"/>
  <c r="L215" i="131"/>
  <c r="J215" i="131" s="1"/>
  <c r="F216" i="131"/>
  <c r="K214" i="131"/>
  <c r="J214" i="131" s="1"/>
  <c r="F214" i="131"/>
  <c r="L193" i="131"/>
  <c r="L191" i="131" s="1"/>
  <c r="H191" i="131"/>
  <c r="J234" i="131"/>
  <c r="L223" i="131"/>
  <c r="E248" i="36" s="1"/>
  <c r="I223" i="131"/>
  <c r="K233" i="131"/>
  <c r="J233" i="131" s="1"/>
  <c r="F233" i="131"/>
  <c r="K206" i="131"/>
  <c r="J206" i="131" s="1"/>
  <c r="F206" i="131"/>
  <c r="J216" i="131"/>
  <c r="K185" i="131"/>
  <c r="E126" i="36" s="1"/>
  <c r="J186" i="131"/>
  <c r="I220" i="131"/>
  <c r="G223" i="131"/>
  <c r="K201" i="131"/>
  <c r="J201" i="131" s="1"/>
  <c r="F201" i="131"/>
  <c r="F235" i="131"/>
  <c r="M235" i="131"/>
  <c r="J235" i="131" s="1"/>
  <c r="I191" i="131"/>
  <c r="M193" i="131"/>
  <c r="M191" i="131" s="1"/>
  <c r="F234" i="131"/>
  <c r="K209" i="131"/>
  <c r="J225" i="131"/>
  <c r="F182" i="131"/>
  <c r="K191" i="131"/>
  <c r="F45" i="131"/>
  <c r="J109" i="131"/>
  <c r="J60" i="131"/>
  <c r="F74" i="131"/>
  <c r="F86" i="131"/>
  <c r="F66" i="131"/>
  <c r="F82" i="131"/>
  <c r="J106" i="131"/>
  <c r="J104" i="131" s="1"/>
  <c r="F104" i="131"/>
  <c r="M95" i="131"/>
  <c r="E50" i="36" s="1"/>
  <c r="J108" i="131"/>
  <c r="F103" i="131"/>
  <c r="F99" i="131"/>
  <c r="M101" i="131"/>
  <c r="E57" i="36" s="1"/>
  <c r="I101" i="131"/>
  <c r="I89" i="131" s="1"/>
  <c r="K99" i="131"/>
  <c r="J99" i="131" s="1"/>
  <c r="J100" i="131"/>
  <c r="K102" i="131"/>
  <c r="K101" i="131" s="1"/>
  <c r="E55" i="36" s="1"/>
  <c r="G101" i="131"/>
  <c r="G89" i="131" s="1"/>
  <c r="G88" i="131" s="1"/>
  <c r="F102" i="131"/>
  <c r="F95" i="131"/>
  <c r="H101" i="131"/>
  <c r="H89" i="131" s="1"/>
  <c r="L103" i="131"/>
  <c r="J103" i="131" s="1"/>
  <c r="J96" i="131"/>
  <c r="H35" i="120"/>
  <c r="J35" i="120"/>
  <c r="K80" i="131"/>
  <c r="J80" i="131" s="1"/>
  <c r="F80" i="131"/>
  <c r="F63" i="131"/>
  <c r="K63" i="131"/>
  <c r="J63" i="131" s="1"/>
  <c r="K61" i="131"/>
  <c r="J61" i="131" s="1"/>
  <c r="F61" i="131"/>
  <c r="F64" i="131"/>
  <c r="K64" i="131"/>
  <c r="J64" i="131" s="1"/>
  <c r="F55" i="131"/>
  <c r="K55" i="131"/>
  <c r="J55" i="131" s="1"/>
  <c r="F83" i="131"/>
  <c r="K83" i="131"/>
  <c r="J83" i="131" s="1"/>
  <c r="G38" i="131"/>
  <c r="F41" i="131"/>
  <c r="K41" i="131"/>
  <c r="F81" i="131"/>
  <c r="M81" i="131"/>
  <c r="J81" i="131" s="1"/>
  <c r="I35" i="131"/>
  <c r="M36" i="131"/>
  <c r="M35" i="131" s="1"/>
  <c r="E32" i="36" s="1"/>
  <c r="K67" i="131"/>
  <c r="J67" i="131" s="1"/>
  <c r="F67" i="131"/>
  <c r="K77" i="131"/>
  <c r="J77" i="131" s="1"/>
  <c r="F77" i="131"/>
  <c r="J32" i="131"/>
  <c r="L35" i="131"/>
  <c r="E31" i="36" s="1"/>
  <c r="F52" i="131"/>
  <c r="K52" i="131"/>
  <c r="J52" i="131" s="1"/>
  <c r="K58" i="131"/>
  <c r="J58" i="131" s="1"/>
  <c r="F58" i="131"/>
  <c r="L20" i="131"/>
  <c r="H10" i="131"/>
  <c r="F62" i="131"/>
  <c r="L62" i="131"/>
  <c r="J62" i="131" s="1"/>
  <c r="K87" i="131"/>
  <c r="J87" i="131" s="1"/>
  <c r="F87" i="131"/>
  <c r="K37" i="131"/>
  <c r="J37" i="131" s="1"/>
  <c r="F37" i="131"/>
  <c r="M20" i="131"/>
  <c r="I10" i="131"/>
  <c r="I38" i="131"/>
  <c r="M41" i="131"/>
  <c r="M38" i="131" s="1"/>
  <c r="E135" i="36" s="1"/>
  <c r="K53" i="131"/>
  <c r="J53" i="131" s="1"/>
  <c r="F53" i="131"/>
  <c r="K54" i="131"/>
  <c r="J54" i="131" s="1"/>
  <c r="F54" i="131"/>
  <c r="L86" i="131"/>
  <c r="L85" i="131" s="1"/>
  <c r="H85" i="131"/>
  <c r="F84" i="131"/>
  <c r="K84" i="131"/>
  <c r="J84" i="131" s="1"/>
  <c r="K71" i="131"/>
  <c r="J71" i="131" s="1"/>
  <c r="F71" i="131"/>
  <c r="F57" i="131"/>
  <c r="K57" i="131"/>
  <c r="J57" i="131" s="1"/>
  <c r="J82" i="131"/>
  <c r="H35" i="131"/>
  <c r="K51" i="131"/>
  <c r="J51" i="131" s="1"/>
  <c r="F51" i="131"/>
  <c r="J47" i="131"/>
  <c r="J45" i="131" s="1"/>
  <c r="J59" i="131"/>
  <c r="K78" i="131"/>
  <c r="J78" i="131" s="1"/>
  <c r="F78" i="131"/>
  <c r="K20" i="131"/>
  <c r="F20" i="131"/>
  <c r="H38" i="131"/>
  <c r="L41" i="131"/>
  <c r="L38" i="131" s="1"/>
  <c r="E134" i="36" s="1"/>
  <c r="M86" i="131"/>
  <c r="M85" i="131" s="1"/>
  <c r="I85" i="131"/>
  <c r="F56" i="131"/>
  <c r="K56" i="131"/>
  <c r="J56" i="131" s="1"/>
  <c r="K73" i="131"/>
  <c r="J73" i="131" s="1"/>
  <c r="F73" i="131"/>
  <c r="F75" i="131"/>
  <c r="K75" i="131"/>
  <c r="J75" i="131" s="1"/>
  <c r="K68" i="131"/>
  <c r="J68" i="131" s="1"/>
  <c r="F68" i="131"/>
  <c r="K36" i="131"/>
  <c r="G35" i="131"/>
  <c r="F36" i="131"/>
  <c r="F65" i="131"/>
  <c r="K65" i="131"/>
  <c r="J65" i="131" s="1"/>
  <c r="F70" i="131"/>
  <c r="K70" i="131"/>
  <c r="J70" i="131" s="1"/>
  <c r="J66" i="131"/>
  <c r="J74" i="131"/>
  <c r="F59" i="131"/>
  <c r="F60" i="131"/>
  <c r="G10" i="131"/>
  <c r="F288" i="131"/>
  <c r="G280" i="131"/>
  <c r="G279" i="131" s="1"/>
  <c r="I29" i="121"/>
  <c r="J29" i="121"/>
  <c r="O15" i="118"/>
  <c r="O14" i="118"/>
  <c r="N12" i="130"/>
  <c r="H33" i="121"/>
  <c r="P12" i="130"/>
  <c r="N13" i="130"/>
  <c r="P11" i="130"/>
  <c r="P14" i="118"/>
  <c r="N15" i="118"/>
  <c r="F287" i="131"/>
  <c r="N14" i="118"/>
  <c r="P15" i="118"/>
  <c r="O16" i="118"/>
  <c r="N16" i="115"/>
  <c r="N15" i="117"/>
  <c r="N11" i="130"/>
  <c r="P15" i="117"/>
  <c r="O11" i="130"/>
  <c r="O16" i="117"/>
  <c r="N16" i="118"/>
  <c r="N16" i="117"/>
  <c r="O12" i="130"/>
  <c r="P13" i="130"/>
  <c r="O13" i="130"/>
  <c r="P16" i="117"/>
  <c r="N14" i="117"/>
  <c r="P16" i="115"/>
  <c r="O15" i="115"/>
  <c r="O16" i="115"/>
  <c r="N15" i="115"/>
  <c r="H29" i="120"/>
  <c r="I29" i="120"/>
  <c r="J29" i="120"/>
  <c r="P16" i="118"/>
  <c r="O14" i="117"/>
  <c r="P14" i="117"/>
  <c r="O15" i="117"/>
  <c r="P15" i="115"/>
  <c r="N14" i="115"/>
  <c r="P14" i="115"/>
  <c r="O14" i="115"/>
  <c r="F107" i="131" l="1"/>
  <c r="F31" i="131"/>
  <c r="M279" i="131"/>
  <c r="L279" i="131"/>
  <c r="F33" i="131"/>
  <c r="I88" i="131"/>
  <c r="F217" i="131"/>
  <c r="F185" i="131"/>
  <c r="F218" i="131"/>
  <c r="J210" i="131"/>
  <c r="J209" i="131"/>
  <c r="F205" i="131"/>
  <c r="F209" i="131"/>
  <c r="F207" i="131"/>
  <c r="J288" i="131"/>
  <c r="F196" i="131"/>
  <c r="J34" i="131"/>
  <c r="J33" i="131" s="1"/>
  <c r="G220" i="131"/>
  <c r="F220" i="131" s="1"/>
  <c r="F222" i="131"/>
  <c r="J204" i="131"/>
  <c r="M200" i="131"/>
  <c r="J200" i="131" s="1"/>
  <c r="F204" i="131"/>
  <c r="J208" i="131"/>
  <c r="M212" i="131"/>
  <c r="J212" i="131" s="1"/>
  <c r="F197" i="131"/>
  <c r="K207" i="131"/>
  <c r="J207" i="131" s="1"/>
  <c r="F213" i="131"/>
  <c r="K205" i="131"/>
  <c r="J205" i="131" s="1"/>
  <c r="I195" i="131"/>
  <c r="I188" i="131" s="1"/>
  <c r="F221" i="131"/>
  <c r="J218" i="131"/>
  <c r="F208" i="131"/>
  <c r="F210" i="131"/>
  <c r="J219" i="131"/>
  <c r="K197" i="131"/>
  <c r="H195" i="131"/>
  <c r="H188" i="131" s="1"/>
  <c r="G195" i="131"/>
  <c r="L221" i="131"/>
  <c r="L220" i="131" s="1"/>
  <c r="F219" i="131"/>
  <c r="F279" i="131"/>
  <c r="J281" i="131"/>
  <c r="K280" i="131"/>
  <c r="J280" i="131" s="1"/>
  <c r="J185" i="131"/>
  <c r="F223" i="131"/>
  <c r="F191" i="131"/>
  <c r="E132" i="36"/>
  <c r="E131" i="36"/>
  <c r="J107" i="131"/>
  <c r="L238" i="131"/>
  <c r="K85" i="131"/>
  <c r="K95" i="131"/>
  <c r="E48" i="36" s="1"/>
  <c r="E124" i="36"/>
  <c r="E125" i="36"/>
  <c r="M10" i="131"/>
  <c r="E114" i="36" s="1"/>
  <c r="L10" i="131"/>
  <c r="E113" i="36" s="1"/>
  <c r="J31" i="131"/>
  <c r="H256" i="131"/>
  <c r="H237" i="131" s="1"/>
  <c r="K259" i="131"/>
  <c r="J259" i="131" s="1"/>
  <c r="J261" i="131"/>
  <c r="K263" i="131"/>
  <c r="J263" i="131" s="1"/>
  <c r="J265" i="131"/>
  <c r="G256" i="131"/>
  <c r="F259" i="131"/>
  <c r="L256" i="131"/>
  <c r="E218" i="36" s="1"/>
  <c r="F263" i="131"/>
  <c r="M238" i="131"/>
  <c r="M237" i="131" s="1"/>
  <c r="F280" i="131"/>
  <c r="K250" i="131"/>
  <c r="E101" i="36" s="1"/>
  <c r="J251" i="131"/>
  <c r="J244" i="131"/>
  <c r="F244" i="131"/>
  <c r="I238" i="131"/>
  <c r="F238" i="131" s="1"/>
  <c r="F250" i="131"/>
  <c r="M223" i="131"/>
  <c r="E249" i="36" s="1"/>
  <c r="K223" i="131"/>
  <c r="E247" i="36" s="1"/>
  <c r="J196" i="131"/>
  <c r="K220" i="131"/>
  <c r="M170" i="131"/>
  <c r="E66" i="36" s="1"/>
  <c r="J171" i="131"/>
  <c r="J170" i="131" s="1"/>
  <c r="J193" i="131"/>
  <c r="J191" i="131" s="1"/>
  <c r="L195" i="131"/>
  <c r="J20" i="131"/>
  <c r="J10" i="131" s="1"/>
  <c r="F10" i="131"/>
  <c r="F35" i="131"/>
  <c r="M89" i="131"/>
  <c r="M88" i="131" s="1"/>
  <c r="F89" i="131"/>
  <c r="H88" i="131"/>
  <c r="F101" i="131"/>
  <c r="L101" i="131"/>
  <c r="E56" i="36" s="1"/>
  <c r="J102" i="131"/>
  <c r="K10" i="131"/>
  <c r="E112" i="36" s="1"/>
  <c r="K38" i="131"/>
  <c r="E133" i="36" s="1"/>
  <c r="J41" i="131"/>
  <c r="J38" i="131" s="1"/>
  <c r="K35" i="131"/>
  <c r="E30" i="36" s="1"/>
  <c r="E37" i="36" s="1"/>
  <c r="J36" i="131"/>
  <c r="F85" i="131"/>
  <c r="F38" i="131"/>
  <c r="J86" i="131"/>
  <c r="J85" i="131" s="1"/>
  <c r="J275" i="131"/>
  <c r="M195" i="131" l="1"/>
  <c r="M188" i="131" s="1"/>
  <c r="E215" i="36" s="1"/>
  <c r="E251" i="36"/>
  <c r="E250" i="36"/>
  <c r="G188" i="131"/>
  <c r="F188" i="131" s="1"/>
  <c r="L188" i="131"/>
  <c r="E214" i="36" s="1"/>
  <c r="K195" i="131"/>
  <c r="K188" i="131" s="1"/>
  <c r="F195" i="131"/>
  <c r="J197" i="131"/>
  <c r="J195" i="131" s="1"/>
  <c r="J221" i="131"/>
  <c r="J220" i="131"/>
  <c r="E107" i="36"/>
  <c r="K279" i="131"/>
  <c r="J279" i="131" s="1"/>
  <c r="J223" i="131"/>
  <c r="J95" i="131"/>
  <c r="I237" i="131"/>
  <c r="L237" i="131"/>
  <c r="J250" i="131"/>
  <c r="J35" i="131"/>
  <c r="E156" i="36"/>
  <c r="E157" i="36"/>
  <c r="E118" i="36"/>
  <c r="E117" i="36"/>
  <c r="F256" i="131"/>
  <c r="K256" i="131"/>
  <c r="E217" i="36" s="1"/>
  <c r="J256" i="131"/>
  <c r="K238" i="131"/>
  <c r="J238" i="131" s="1"/>
  <c r="K89" i="131"/>
  <c r="J101" i="131"/>
  <c r="L89" i="131"/>
  <c r="G237" i="131"/>
  <c r="F88" i="131"/>
  <c r="E213" i="36" l="1"/>
  <c r="J188" i="131"/>
  <c r="E111" i="36"/>
  <c r="E110" i="36"/>
  <c r="F237" i="131"/>
  <c r="E106" i="36"/>
  <c r="E105" i="36"/>
  <c r="E38" i="36"/>
  <c r="J89" i="131"/>
  <c r="L88" i="131"/>
  <c r="K237" i="131"/>
  <c r="J237" i="131" s="1"/>
  <c r="K88" i="131"/>
  <c r="B3" i="101"/>
  <c r="B2" i="101"/>
  <c r="G138" i="81"/>
  <c r="D138" i="81"/>
  <c r="B5" i="100"/>
  <c r="B4" i="100"/>
  <c r="B3" i="100"/>
  <c r="B2" i="100"/>
  <c r="L161" i="81"/>
  <c r="I161" i="81"/>
  <c r="G161" i="81"/>
  <c r="D161" i="81"/>
  <c r="B3" i="99"/>
  <c r="B2" i="99"/>
  <c r="G126" i="81"/>
  <c r="D126" i="81"/>
  <c r="B6" i="98"/>
  <c r="B5" i="98"/>
  <c r="B4" i="98"/>
  <c r="B3" i="98"/>
  <c r="B2" i="98"/>
  <c r="D113" i="81"/>
  <c r="N113" i="81"/>
  <c r="L113" i="81"/>
  <c r="I113" i="81"/>
  <c r="G113" i="81"/>
  <c r="J88" i="131" l="1"/>
  <c r="B4" i="96"/>
  <c r="B3" i="96"/>
  <c r="B2" i="96"/>
  <c r="I152" i="81"/>
  <c r="G152" i="81"/>
  <c r="D152" i="81"/>
  <c r="B4" i="95" l="1"/>
  <c r="B3" i="95"/>
  <c r="B2" i="95"/>
  <c r="I139" i="81"/>
  <c r="G139" i="81"/>
  <c r="D139" i="81"/>
  <c r="B3" i="94"/>
  <c r="B2" i="94"/>
  <c r="G154" i="81"/>
  <c r="D154" i="81"/>
  <c r="B4" i="93"/>
  <c r="D19" i="93" s="1"/>
  <c r="F19" i="93" s="1"/>
  <c r="B3" i="93"/>
  <c r="D18" i="93" s="1"/>
  <c r="F18" i="93" s="1"/>
  <c r="B2" i="93"/>
  <c r="I155" i="81"/>
  <c r="G155" i="81"/>
  <c r="D155" i="81"/>
  <c r="B6" i="92"/>
  <c r="D23" i="92" s="1"/>
  <c r="E23" i="92" s="1"/>
  <c r="B5" i="92"/>
  <c r="D24" i="92" s="1"/>
  <c r="F24" i="92" s="1"/>
  <c r="B4" i="92"/>
  <c r="D20" i="92" s="1"/>
  <c r="E20" i="92" s="1"/>
  <c r="B3" i="92"/>
  <c r="D11" i="92" s="1"/>
  <c r="B2" i="92"/>
  <c r="N153" i="81"/>
  <c r="L153" i="81"/>
  <c r="I153" i="81"/>
  <c r="G153" i="81"/>
  <c r="D153" i="81"/>
  <c r="B4" i="91"/>
  <c r="B3" i="91"/>
  <c r="D16" i="91" s="1"/>
  <c r="F16" i="91" s="1"/>
  <c r="B2" i="91"/>
  <c r="I158" i="81"/>
  <c r="G158" i="81"/>
  <c r="I157" i="81"/>
  <c r="G157" i="81"/>
  <c r="D157" i="81"/>
  <c r="B2" i="90"/>
  <c r="B4" i="89"/>
  <c r="B16" i="89" s="1"/>
  <c r="D16" i="89" s="1"/>
  <c r="B3" i="89"/>
  <c r="D13" i="89" s="1"/>
  <c r="B2" i="89"/>
  <c r="G156" i="81"/>
  <c r="D156" i="81"/>
  <c r="B3" i="97"/>
  <c r="D14" i="97" s="1"/>
  <c r="B2" i="97"/>
  <c r="G112" i="81"/>
  <c r="D112" i="81"/>
  <c r="B51" i="112"/>
  <c r="D51" i="112" s="1"/>
  <c r="B50" i="112"/>
  <c r="D50" i="112" s="1"/>
  <c r="B49" i="112"/>
  <c r="D49" i="112" s="1"/>
  <c r="B48" i="112"/>
  <c r="D48" i="112" s="1"/>
  <c r="B47" i="112"/>
  <c r="D47" i="112" s="1"/>
  <c r="B46" i="112"/>
  <c r="D46" i="112" s="1"/>
  <c r="B45" i="112"/>
  <c r="D45" i="112" s="1"/>
  <c r="B44" i="112"/>
  <c r="D44" i="112" s="1"/>
  <c r="B43" i="112"/>
  <c r="D43" i="112" s="1"/>
  <c r="B42" i="112"/>
  <c r="D42" i="112" s="1"/>
  <c r="B40" i="112"/>
  <c r="D40" i="112" s="1"/>
  <c r="B39" i="112"/>
  <c r="D39" i="112" s="1"/>
  <c r="B38" i="112"/>
  <c r="D38" i="112" s="1"/>
  <c r="B37" i="112"/>
  <c r="D37" i="112" s="1"/>
  <c r="B36" i="112"/>
  <c r="D36" i="112" s="1"/>
  <c r="B35" i="112"/>
  <c r="B34" i="112"/>
  <c r="D34" i="112" s="1"/>
  <c r="B32" i="112"/>
  <c r="D32" i="112" s="1"/>
  <c r="B31" i="112"/>
  <c r="D31" i="112" s="1"/>
  <c r="B30" i="112"/>
  <c r="D30" i="112" s="1"/>
  <c r="B29" i="112"/>
  <c r="D29" i="112" s="1"/>
  <c r="B28" i="112"/>
  <c r="D28" i="112" s="1"/>
  <c r="B27" i="112"/>
  <c r="D27" i="112" s="1"/>
  <c r="B26" i="112"/>
  <c r="D26" i="112" s="1"/>
  <c r="B25" i="112"/>
  <c r="B7" i="112"/>
  <c r="D17" i="112" s="1"/>
  <c r="F17" i="112" s="1"/>
  <c r="B6" i="112"/>
  <c r="D19" i="112" s="1"/>
  <c r="B5" i="112"/>
  <c r="B3" i="108"/>
  <c r="B2" i="108"/>
  <c r="D4" i="108" s="1"/>
  <c r="B4" i="105"/>
  <c r="D20" i="105" s="1"/>
  <c r="B3" i="105"/>
  <c r="B40" i="102"/>
  <c r="D40" i="102" s="1"/>
  <c r="B37" i="102"/>
  <c r="B8" i="102"/>
  <c r="B7" i="102"/>
  <c r="D36" i="102" s="1"/>
  <c r="B6" i="102"/>
  <c r="D32" i="102" s="1"/>
  <c r="G32" i="102" s="1"/>
  <c r="B5" i="102"/>
  <c r="B4" i="88"/>
  <c r="B3" i="88"/>
  <c r="D14" i="88" s="1"/>
  <c r="B2" i="88"/>
  <c r="B15" i="87"/>
  <c r="C50" i="87" s="1"/>
  <c r="B13" i="87"/>
  <c r="B12" i="87"/>
  <c r="C46" i="87" s="1"/>
  <c r="F46" i="87" s="1"/>
  <c r="B11" i="87"/>
  <c r="C45" i="87" s="1"/>
  <c r="B10" i="87"/>
  <c r="B9" i="87"/>
  <c r="C37" i="87" s="1"/>
  <c r="B8" i="87"/>
  <c r="C36" i="87" s="1"/>
  <c r="B7" i="87"/>
  <c r="C41" i="87" s="1"/>
  <c r="B6" i="87"/>
  <c r="C43" i="87" s="1"/>
  <c r="E43" i="87" s="1"/>
  <c r="B5" i="87"/>
  <c r="B20" i="87" s="1"/>
  <c r="C20" i="87" s="1"/>
  <c r="B4" i="87"/>
  <c r="C48" i="87" s="1"/>
  <c r="F48" i="87" s="1"/>
  <c r="B3" i="87"/>
  <c r="B21" i="86"/>
  <c r="B20" i="86"/>
  <c r="B19" i="86"/>
  <c r="D19" i="86" s="1"/>
  <c r="B18" i="86"/>
  <c r="D18" i="86" s="1"/>
  <c r="B17" i="86"/>
  <c r="D17" i="86" s="1"/>
  <c r="B16" i="86"/>
  <c r="D16" i="86" s="1"/>
  <c r="G16" i="86" s="1"/>
  <c r="B15" i="86"/>
  <c r="D15" i="86" s="1"/>
  <c r="B4" i="86"/>
  <c r="D14" i="86" s="1"/>
  <c r="F14" i="86" s="1"/>
  <c r="B3" i="86"/>
  <c r="D13" i="86" s="1"/>
  <c r="B2" i="86"/>
  <c r="B3" i="85"/>
  <c r="D12" i="85" s="1"/>
  <c r="B5" i="83"/>
  <c r="D18" i="83" s="1"/>
  <c r="B4" i="83" a="1"/>
  <c r="B4" i="83" s="1"/>
  <c r="B3" i="83"/>
  <c r="D15" i="83" s="1"/>
  <c r="B2" i="83" a="1"/>
  <c r="C2" i="83" s="1"/>
  <c r="B14" i="111"/>
  <c r="B12" i="111"/>
  <c r="C45" i="111" s="1"/>
  <c r="F45" i="111" s="1"/>
  <c r="B11" i="111"/>
  <c r="C44" i="111" s="1"/>
  <c r="B10" i="111"/>
  <c r="B9" i="111"/>
  <c r="B7" i="111"/>
  <c r="C40" i="111" s="1"/>
  <c r="B6" i="111"/>
  <c r="C42" i="111" s="1"/>
  <c r="B5" i="111"/>
  <c r="B19" i="111" s="1"/>
  <c r="C19" i="111" s="1"/>
  <c r="B4" i="111"/>
  <c r="B18" i="111" s="1"/>
  <c r="C18" i="111" s="1"/>
  <c r="B3" i="111"/>
  <c r="C26" i="111" s="1"/>
  <c r="B7" i="110"/>
  <c r="D34" i="110" s="1"/>
  <c r="B6" i="110"/>
  <c r="D16" i="110" s="1"/>
  <c r="B5" i="110"/>
  <c r="T43" i="104"/>
  <c r="D43" i="104"/>
  <c r="S42" i="104"/>
  <c r="V42" i="104" s="1"/>
  <c r="V47" i="104" s="1"/>
  <c r="V51" i="104" s="1"/>
  <c r="R42" i="104"/>
  <c r="C42" i="104"/>
  <c r="F42" i="104" s="1"/>
  <c r="F47" i="104" s="1"/>
  <c r="F51" i="104" s="1"/>
  <c r="B42" i="104"/>
  <c r="G42" i="104" s="1"/>
  <c r="G47" i="104" s="1"/>
  <c r="G51" i="104" s="1"/>
  <c r="V40" i="104"/>
  <c r="U40" i="104"/>
  <c r="F40" i="104"/>
  <c r="E40" i="104"/>
  <c r="V38" i="104"/>
  <c r="F38" i="104"/>
  <c r="U36" i="104"/>
  <c r="E36" i="104"/>
  <c r="V34" i="104"/>
  <c r="U34" i="104"/>
  <c r="F34" i="104"/>
  <c r="E34" i="104"/>
  <c r="V33" i="104"/>
  <c r="U33" i="104"/>
  <c r="F33" i="104"/>
  <c r="E33" i="104"/>
  <c r="V32" i="104"/>
  <c r="U32" i="104"/>
  <c r="F32" i="104"/>
  <c r="E32" i="104"/>
  <c r="V31" i="104"/>
  <c r="U31" i="104"/>
  <c r="F31" i="104"/>
  <c r="E31" i="104"/>
  <c r="J30" i="104"/>
  <c r="V29" i="104"/>
  <c r="U29" i="104"/>
  <c r="P29" i="104"/>
  <c r="P33" i="104" s="1"/>
  <c r="P36" i="104" s="1"/>
  <c r="O29" i="104"/>
  <c r="O33" i="104" s="1"/>
  <c r="O36" i="104" s="1"/>
  <c r="M29" i="104"/>
  <c r="L29" i="104"/>
  <c r="L33" i="104" s="1"/>
  <c r="L36" i="104" s="1"/>
  <c r="I29" i="104"/>
  <c r="F29" i="104"/>
  <c r="E29" i="104"/>
  <c r="V28" i="104"/>
  <c r="U28" i="104"/>
  <c r="F28" i="104"/>
  <c r="E28" i="104"/>
  <c r="O27" i="104"/>
  <c r="N27" i="104"/>
  <c r="L27" i="104"/>
  <c r="K27" i="104"/>
  <c r="V26" i="104"/>
  <c r="U26" i="104"/>
  <c r="F26" i="104"/>
  <c r="E26" i="104"/>
  <c r="V25" i="104"/>
  <c r="U25" i="104"/>
  <c r="O25" i="104"/>
  <c r="N25" i="104"/>
  <c r="L25" i="104"/>
  <c r="K25" i="104"/>
  <c r="F25" i="104"/>
  <c r="E25" i="104"/>
  <c r="V24" i="104"/>
  <c r="U24" i="104"/>
  <c r="F24" i="104"/>
  <c r="E24" i="104"/>
  <c r="V23" i="104"/>
  <c r="U23" i="104"/>
  <c r="O23" i="104"/>
  <c r="N23" i="104"/>
  <c r="L23" i="104"/>
  <c r="K23" i="104"/>
  <c r="F23" i="104"/>
  <c r="E23" i="104"/>
  <c r="V22" i="104"/>
  <c r="U22" i="104"/>
  <c r="O22" i="104"/>
  <c r="N22" i="104"/>
  <c r="L22" i="104"/>
  <c r="K22" i="104"/>
  <c r="F22" i="104"/>
  <c r="E22" i="104"/>
  <c r="V21" i="104"/>
  <c r="U21" i="104"/>
  <c r="O21" i="104"/>
  <c r="N21" i="104"/>
  <c r="L21" i="104"/>
  <c r="K21" i="104"/>
  <c r="F21" i="104"/>
  <c r="E21" i="104"/>
  <c r="V20" i="104"/>
  <c r="U20" i="104"/>
  <c r="F20" i="104"/>
  <c r="E20" i="104"/>
  <c r="V19" i="104"/>
  <c r="U19" i="104"/>
  <c r="O19" i="104"/>
  <c r="N19" i="104"/>
  <c r="L19" i="104"/>
  <c r="K19" i="104"/>
  <c r="F19" i="104"/>
  <c r="E19" i="104"/>
  <c r="V18" i="104"/>
  <c r="U18" i="104"/>
  <c r="F18" i="104"/>
  <c r="E18" i="104"/>
  <c r="V17" i="104"/>
  <c r="U17" i="104"/>
  <c r="O17" i="104"/>
  <c r="N17" i="104"/>
  <c r="L17" i="104"/>
  <c r="K17" i="104"/>
  <c r="F17" i="104"/>
  <c r="E17" i="104"/>
  <c r="V16" i="104"/>
  <c r="U16" i="104"/>
  <c r="O16" i="104"/>
  <c r="N16" i="104"/>
  <c r="L16" i="104"/>
  <c r="K16" i="104"/>
  <c r="F16" i="104"/>
  <c r="E16" i="104"/>
  <c r="V15" i="104"/>
  <c r="U15" i="104"/>
  <c r="O15" i="104"/>
  <c r="N15" i="104"/>
  <c r="L15" i="104"/>
  <c r="K15" i="104"/>
  <c r="F15" i="104"/>
  <c r="E15" i="104"/>
  <c r="V14" i="104"/>
  <c r="U14" i="104"/>
  <c r="O14" i="104"/>
  <c r="N14" i="104"/>
  <c r="L14" i="104"/>
  <c r="K14" i="104"/>
  <c r="F14" i="104"/>
  <c r="E14" i="104"/>
  <c r="V13" i="104"/>
  <c r="U13" i="104"/>
  <c r="O13" i="104"/>
  <c r="N13" i="104"/>
  <c r="L13" i="104"/>
  <c r="K13" i="104"/>
  <c r="F13" i="104"/>
  <c r="E13" i="104"/>
  <c r="V10" i="104"/>
  <c r="U10" i="104"/>
  <c r="O10" i="104"/>
  <c r="N10" i="104"/>
  <c r="L10" i="104"/>
  <c r="K10" i="104"/>
  <c r="F10" i="104"/>
  <c r="E10" i="104"/>
  <c r="V9" i="104"/>
  <c r="U9" i="104"/>
  <c r="O9" i="104"/>
  <c r="N9" i="104"/>
  <c r="L9" i="104"/>
  <c r="K9" i="104"/>
  <c r="F9" i="104"/>
  <c r="E9" i="104"/>
  <c r="V8" i="104"/>
  <c r="U8" i="104"/>
  <c r="O8" i="104"/>
  <c r="N8" i="104"/>
  <c r="L8" i="104"/>
  <c r="K8" i="104"/>
  <c r="F8" i="104"/>
  <c r="E8" i="104"/>
  <c r="V7" i="104"/>
  <c r="U7" i="104"/>
  <c r="O7" i="104"/>
  <c r="N7" i="104"/>
  <c r="N32" i="104" s="1"/>
  <c r="N34" i="104" s="1"/>
  <c r="L7" i="104"/>
  <c r="K7" i="104"/>
  <c r="K32" i="104" s="1"/>
  <c r="K34" i="104" s="1"/>
  <c r="F7" i="104"/>
  <c r="E7" i="104"/>
  <c r="S4" i="104"/>
  <c r="S44" i="104" s="1"/>
  <c r="R4" i="104"/>
  <c r="I4" i="104"/>
  <c r="I31" i="104" s="1"/>
  <c r="C4" i="104"/>
  <c r="B4" i="104"/>
  <c r="F54" i="104" s="1"/>
  <c r="S3" i="104"/>
  <c r="R3" i="104"/>
  <c r="I3" i="104"/>
  <c r="C3" i="104"/>
  <c r="C9" i="104" s="1"/>
  <c r="B3" i="104"/>
  <c r="R9" i="104" s="1"/>
  <c r="D40" i="103"/>
  <c r="C40" i="103"/>
  <c r="B40" i="103"/>
  <c r="D39" i="103"/>
  <c r="C39" i="103"/>
  <c r="B39" i="103"/>
  <c r="D38" i="103"/>
  <c r="J38" i="103" s="1"/>
  <c r="S38" i="103" s="1"/>
  <c r="C38" i="103"/>
  <c r="I38" i="103" s="1"/>
  <c r="B38" i="103"/>
  <c r="H38" i="103" s="1"/>
  <c r="D37" i="103"/>
  <c r="J37" i="103" s="1"/>
  <c r="S37" i="103" s="1"/>
  <c r="C37" i="103"/>
  <c r="B37" i="103"/>
  <c r="H37" i="103" s="1"/>
  <c r="N37" i="103" s="1"/>
  <c r="D35" i="103"/>
  <c r="C35" i="103"/>
  <c r="B35" i="103"/>
  <c r="D34" i="103"/>
  <c r="C34" i="103"/>
  <c r="B34" i="103"/>
  <c r="D33" i="103"/>
  <c r="C33" i="103"/>
  <c r="B33" i="103"/>
  <c r="D31" i="103"/>
  <c r="J33" i="103" s="1"/>
  <c r="C31" i="103"/>
  <c r="I34" i="103" s="1"/>
  <c r="L34" i="103" s="1"/>
  <c r="B31" i="103"/>
  <c r="H34" i="103" s="1"/>
  <c r="D30" i="103"/>
  <c r="C30" i="103"/>
  <c r="B30" i="103"/>
  <c r="D29" i="103"/>
  <c r="C29" i="103"/>
  <c r="B29" i="103"/>
  <c r="D28" i="103"/>
  <c r="C28" i="103"/>
  <c r="B28" i="103"/>
  <c r="D27" i="103"/>
  <c r="C27" i="103"/>
  <c r="B27" i="103"/>
  <c r="D16" i="103"/>
  <c r="C16" i="103"/>
  <c r="I16" i="103" s="1"/>
  <c r="O16" i="103" s="1"/>
  <c r="B16" i="103"/>
  <c r="H16" i="103" s="1"/>
  <c r="D7" i="103"/>
  <c r="J24" i="103" s="1"/>
  <c r="C7" i="103"/>
  <c r="I24" i="103" s="1"/>
  <c r="B7" i="103"/>
  <c r="H24" i="103" s="1"/>
  <c r="D6" i="103"/>
  <c r="J22" i="103" s="1"/>
  <c r="C6" i="103"/>
  <c r="I18" i="103" s="1"/>
  <c r="B6" i="103"/>
  <c r="D5" i="103"/>
  <c r="J20" i="103" s="1"/>
  <c r="C5" i="103"/>
  <c r="I29" i="103" s="1"/>
  <c r="B5" i="103"/>
  <c r="D4" i="103"/>
  <c r="C4" i="103"/>
  <c r="B4" i="103"/>
  <c r="B3" i="84"/>
  <c r="D12" i="84" s="1"/>
  <c r="B6" i="109"/>
  <c r="D27" i="109" s="1"/>
  <c r="F27" i="109" s="1"/>
  <c r="B5" i="109"/>
  <c r="O29" i="82"/>
  <c r="P26" i="82"/>
  <c r="O26" i="82"/>
  <c r="O25" i="82"/>
  <c r="E57" i="112"/>
  <c r="G55" i="112"/>
  <c r="C9" i="112"/>
  <c r="F8" i="112"/>
  <c r="E8" i="112"/>
  <c r="D55" i="111"/>
  <c r="C48" i="111"/>
  <c r="F48" i="111" s="1"/>
  <c r="F44" i="111"/>
  <c r="B23" i="111"/>
  <c r="C23" i="111" s="1"/>
  <c r="F23" i="111" s="1"/>
  <c r="F53" i="111" s="1"/>
  <c r="B22" i="111"/>
  <c r="B21" i="111"/>
  <c r="B20" i="111"/>
  <c r="B17" i="111"/>
  <c r="E41" i="110"/>
  <c r="G39" i="110"/>
  <c r="F8" i="110"/>
  <c r="E38" i="109"/>
  <c r="G36" i="109"/>
  <c r="F7" i="109"/>
  <c r="E23" i="108"/>
  <c r="G21" i="108"/>
  <c r="D16" i="108"/>
  <c r="F16" i="108" s="1"/>
  <c r="D15" i="108"/>
  <c r="F15" i="108" s="1"/>
  <c r="D14" i="108"/>
  <c r="F14" i="108" s="1"/>
  <c r="D13" i="108"/>
  <c r="F13" i="108" s="1"/>
  <c r="D12" i="108"/>
  <c r="F12" i="108" s="1"/>
  <c r="D9" i="108"/>
  <c r="E9" i="108" s="1"/>
  <c r="D8" i="108"/>
  <c r="F8" i="108" s="1"/>
  <c r="D7" i="108"/>
  <c r="E7" i="108" s="1"/>
  <c r="D6" i="108"/>
  <c r="F6" i="108" s="1"/>
  <c r="E24" i="107"/>
  <c r="D17" i="107"/>
  <c r="F17" i="107" s="1"/>
  <c r="D16" i="107"/>
  <c r="E16" i="107" s="1"/>
  <c r="D15" i="107"/>
  <c r="F15" i="107" s="1"/>
  <c r="D14" i="107"/>
  <c r="E14" i="107" s="1"/>
  <c r="D13" i="107"/>
  <c r="E13" i="107" s="1"/>
  <c r="D12" i="107"/>
  <c r="F12" i="107" s="1"/>
  <c r="D11" i="107"/>
  <c r="D10" i="107"/>
  <c r="E10" i="107" s="1"/>
  <c r="D9" i="107"/>
  <c r="E9" i="107" s="1"/>
  <c r="F7" i="107"/>
  <c r="I34" i="106"/>
  <c r="O32" i="106"/>
  <c r="N32" i="106"/>
  <c r="M32" i="106"/>
  <c r="E32" i="106"/>
  <c r="D32" i="106"/>
  <c r="C32" i="106"/>
  <c r="O27" i="106"/>
  <c r="N27" i="106"/>
  <c r="M27" i="106"/>
  <c r="L27" i="106"/>
  <c r="K27" i="106"/>
  <c r="J27" i="106"/>
  <c r="O26" i="106"/>
  <c r="N26" i="106"/>
  <c r="M26" i="106"/>
  <c r="L26" i="106"/>
  <c r="K26" i="106"/>
  <c r="J26" i="106"/>
  <c r="I25" i="106"/>
  <c r="H25" i="106"/>
  <c r="G25" i="106"/>
  <c r="I24" i="106"/>
  <c r="H24" i="106"/>
  <c r="G24" i="106"/>
  <c r="L23" i="106"/>
  <c r="K23" i="106"/>
  <c r="J23" i="106"/>
  <c r="L22" i="106"/>
  <c r="K22" i="106"/>
  <c r="J22" i="106"/>
  <c r="L21" i="106"/>
  <c r="K21" i="106"/>
  <c r="J21" i="106"/>
  <c r="I21" i="106"/>
  <c r="H21" i="106"/>
  <c r="G21" i="106"/>
  <c r="I20" i="106"/>
  <c r="H20" i="106"/>
  <c r="G20" i="106"/>
  <c r="L19" i="106"/>
  <c r="K19" i="106"/>
  <c r="J19" i="106"/>
  <c r="I19" i="106"/>
  <c r="H19" i="106"/>
  <c r="G19" i="106"/>
  <c r="L17" i="106"/>
  <c r="K17" i="106"/>
  <c r="J17" i="106"/>
  <c r="I17" i="106"/>
  <c r="H17" i="106"/>
  <c r="G17" i="106"/>
  <c r="I16" i="106"/>
  <c r="H16" i="106"/>
  <c r="G16" i="106"/>
  <c r="I15" i="106"/>
  <c r="H15" i="106"/>
  <c r="G15" i="106"/>
  <c r="L14" i="106"/>
  <c r="K14" i="106"/>
  <c r="J14" i="106"/>
  <c r="I14" i="106"/>
  <c r="H14" i="106"/>
  <c r="G14" i="106"/>
  <c r="L13" i="106"/>
  <c r="K13" i="106"/>
  <c r="J13" i="106"/>
  <c r="I13" i="106"/>
  <c r="H13" i="106"/>
  <c r="G13" i="106"/>
  <c r="L12" i="106"/>
  <c r="K12" i="106"/>
  <c r="J12" i="106"/>
  <c r="I12" i="106"/>
  <c r="H12" i="106"/>
  <c r="G12" i="106"/>
  <c r="L9" i="106"/>
  <c r="K9" i="106"/>
  <c r="J9" i="106"/>
  <c r="I9" i="106"/>
  <c r="H9" i="106"/>
  <c r="G9" i="106"/>
  <c r="L8" i="106"/>
  <c r="K8" i="106"/>
  <c r="J8" i="106"/>
  <c r="I8" i="106"/>
  <c r="H8" i="106"/>
  <c r="G8" i="106"/>
  <c r="L7" i="106"/>
  <c r="K7" i="106"/>
  <c r="J7" i="106"/>
  <c r="I7" i="106"/>
  <c r="H7" i="106"/>
  <c r="G7" i="106"/>
  <c r="L6" i="106"/>
  <c r="K6" i="106"/>
  <c r="J6" i="106"/>
  <c r="I6" i="106"/>
  <c r="H6" i="106"/>
  <c r="G6" i="106"/>
  <c r="L5" i="106"/>
  <c r="K5" i="106"/>
  <c r="J5" i="106"/>
  <c r="D22" i="105"/>
  <c r="D21" i="105"/>
  <c r="D6" i="105"/>
  <c r="W50" i="104"/>
  <c r="G50" i="104"/>
  <c r="W49" i="104"/>
  <c r="G49" i="104"/>
  <c r="W48" i="104"/>
  <c r="G48" i="104"/>
  <c r="U47" i="104"/>
  <c r="U51" i="104" s="1"/>
  <c r="E47" i="104"/>
  <c r="E51" i="104" s="1"/>
  <c r="S46" i="104"/>
  <c r="R46" i="104"/>
  <c r="C46" i="104"/>
  <c r="B46" i="104"/>
  <c r="R47" i="104"/>
  <c r="P35" i="104"/>
  <c r="M35" i="104"/>
  <c r="P34" i="104"/>
  <c r="M34" i="104"/>
  <c r="N33" i="104"/>
  <c r="N36" i="104" s="1"/>
  <c r="K33" i="104"/>
  <c r="K36" i="104" s="1"/>
  <c r="M33" i="104"/>
  <c r="M36" i="104" s="1"/>
  <c r="F5" i="104"/>
  <c r="I37" i="103"/>
  <c r="H29" i="103"/>
  <c r="K29" i="103" s="1"/>
  <c r="J9" i="103"/>
  <c r="I9" i="103"/>
  <c r="O9" i="103" s="1"/>
  <c r="H9" i="103"/>
  <c r="N9" i="103" s="1"/>
  <c r="H25" i="103"/>
  <c r="E48" i="102"/>
  <c r="G46" i="102"/>
  <c r="C10" i="102"/>
  <c r="F9" i="102"/>
  <c r="E24" i="101"/>
  <c r="G22" i="101"/>
  <c r="F22" i="101"/>
  <c r="E22" i="101"/>
  <c r="D16" i="101"/>
  <c r="F16" i="101" s="1"/>
  <c r="D15" i="101"/>
  <c r="E15" i="101" s="1"/>
  <c r="D14" i="101"/>
  <c r="F14" i="101" s="1"/>
  <c r="D13" i="101"/>
  <c r="F13" i="101" s="1"/>
  <c r="D12" i="101"/>
  <c r="D9" i="101"/>
  <c r="D8" i="101"/>
  <c r="D7" i="101"/>
  <c r="D6" i="101"/>
  <c r="C5" i="101"/>
  <c r="D5" i="101" s="1"/>
  <c r="E5" i="101" s="1"/>
  <c r="F4" i="101"/>
  <c r="E26" i="100"/>
  <c r="G24" i="100"/>
  <c r="F24" i="100"/>
  <c r="E24" i="100"/>
  <c r="D18" i="100"/>
  <c r="F18" i="100" s="1"/>
  <c r="D17" i="100"/>
  <c r="F17" i="100" s="1"/>
  <c r="D16" i="100"/>
  <c r="F16" i="100" s="1"/>
  <c r="D15" i="100"/>
  <c r="F15" i="100" s="1"/>
  <c r="D14" i="100"/>
  <c r="D11" i="100"/>
  <c r="D10" i="100"/>
  <c r="F7" i="100" s="1"/>
  <c r="D9" i="100"/>
  <c r="D8" i="100"/>
  <c r="C7" i="100"/>
  <c r="D7" i="100" s="1"/>
  <c r="F6" i="100"/>
  <c r="E23" i="99"/>
  <c r="G21" i="99"/>
  <c r="D15" i="99"/>
  <c r="E15" i="99" s="1"/>
  <c r="D14" i="99"/>
  <c r="E14" i="99" s="1"/>
  <c r="D13" i="99"/>
  <c r="F13" i="99" s="1"/>
  <c r="D12" i="99"/>
  <c r="E12" i="99" s="1"/>
  <c r="D10" i="99"/>
  <c r="F6" i="99" s="1"/>
  <c r="D9" i="99"/>
  <c r="D8" i="99"/>
  <c r="D7" i="99"/>
  <c r="C6" i="99"/>
  <c r="D6" i="99" s="1"/>
  <c r="F5" i="99"/>
  <c r="E30" i="98"/>
  <c r="G28" i="98"/>
  <c r="D22" i="98"/>
  <c r="E22" i="98" s="1"/>
  <c r="D21" i="98"/>
  <c r="E21" i="98" s="1"/>
  <c r="D20" i="98"/>
  <c r="F20" i="98" s="1"/>
  <c r="B19" i="98"/>
  <c r="D19" i="98" s="1"/>
  <c r="B18" i="98"/>
  <c r="D18" i="98" s="1"/>
  <c r="B17" i="98"/>
  <c r="D17" i="98" s="1"/>
  <c r="B16" i="98"/>
  <c r="D16" i="98" s="1"/>
  <c r="D15" i="98"/>
  <c r="E15" i="98" s="1"/>
  <c r="D12" i="98"/>
  <c r="F12" i="98" s="1"/>
  <c r="D11" i="98"/>
  <c r="E11" i="98" s="1"/>
  <c r="D10" i="98"/>
  <c r="F10" i="98" s="1"/>
  <c r="D9" i="98"/>
  <c r="F9" i="98" s="1"/>
  <c r="C8" i="98"/>
  <c r="D8" i="98" s="1"/>
  <c r="F7" i="98"/>
  <c r="E25" i="97"/>
  <c r="E24" i="97"/>
  <c r="G23" i="97"/>
  <c r="F23" i="97"/>
  <c r="E23" i="97"/>
  <c r="C5" i="97"/>
  <c r="F4" i="97"/>
  <c r="G25" i="96"/>
  <c r="G24" i="96"/>
  <c r="G23" i="96"/>
  <c r="G22" i="96"/>
  <c r="E22" i="96"/>
  <c r="D22" i="96"/>
  <c r="G20" i="96"/>
  <c r="G26" i="96" s="1"/>
  <c r="D17" i="96"/>
  <c r="E17" i="96" s="1"/>
  <c r="D16" i="96"/>
  <c r="F16" i="96" s="1"/>
  <c r="D15" i="96"/>
  <c r="F15" i="96" s="1"/>
  <c r="D14" i="96"/>
  <c r="F14" i="96" s="1"/>
  <c r="D13" i="96"/>
  <c r="D10" i="96"/>
  <c r="F6" i="96" s="1"/>
  <c r="F23" i="96" s="1"/>
  <c r="D9" i="96"/>
  <c r="D8" i="96"/>
  <c r="D7" i="96"/>
  <c r="C6" i="96"/>
  <c r="D6" i="96" s="1"/>
  <c r="F5" i="96"/>
  <c r="E27" i="95"/>
  <c r="G25" i="95"/>
  <c r="F25" i="95"/>
  <c r="E25" i="95"/>
  <c r="D19" i="95"/>
  <c r="E19" i="95" s="1"/>
  <c r="D18" i="95"/>
  <c r="E18" i="95" s="1"/>
  <c r="D17" i="95"/>
  <c r="F17" i="95" s="1"/>
  <c r="D16" i="95"/>
  <c r="F16" i="95" s="1"/>
  <c r="D15" i="95"/>
  <c r="D14" i="95"/>
  <c r="E14" i="95" s="1"/>
  <c r="D13" i="95"/>
  <c r="D10" i="95"/>
  <c r="F6" i="95" s="1"/>
  <c r="D9" i="95"/>
  <c r="D8" i="95"/>
  <c r="D7" i="95"/>
  <c r="C6" i="95"/>
  <c r="D6" i="95" s="1"/>
  <c r="F5" i="95"/>
  <c r="E25" i="94"/>
  <c r="G23" i="94"/>
  <c r="C19" i="94"/>
  <c r="D17" i="94"/>
  <c r="F17" i="94" s="1"/>
  <c r="D16" i="94"/>
  <c r="F16" i="94" s="1"/>
  <c r="D15" i="94"/>
  <c r="F15" i="94" s="1"/>
  <c r="D14" i="94"/>
  <c r="E14" i="94" s="1"/>
  <c r="D13" i="94"/>
  <c r="F13" i="94" s="1"/>
  <c r="D12" i="94"/>
  <c r="D9" i="94"/>
  <c r="D8" i="94"/>
  <c r="D7" i="94"/>
  <c r="D6" i="94"/>
  <c r="F5" i="94"/>
  <c r="F23" i="94" s="1"/>
  <c r="E5" i="94"/>
  <c r="E23" i="94" s="1"/>
  <c r="C5" i="94"/>
  <c r="D5" i="94" s="1"/>
  <c r="F4" i="94"/>
  <c r="E27" i="93"/>
  <c r="G25" i="93"/>
  <c r="E25" i="93"/>
  <c r="D25" i="93"/>
  <c r="C8" i="93"/>
  <c r="F7" i="93"/>
  <c r="F25" i="93" s="1"/>
  <c r="E32" i="92"/>
  <c r="G30" i="92"/>
  <c r="D22" i="92"/>
  <c r="E22" i="92" s="1"/>
  <c r="D21" i="92"/>
  <c r="F21" i="92" s="1"/>
  <c r="D19" i="92"/>
  <c r="E19" i="92" s="1"/>
  <c r="C8" i="92"/>
  <c r="F7" i="92"/>
  <c r="E27" i="91"/>
  <c r="G25" i="91"/>
  <c r="D17" i="91"/>
  <c r="F17" i="91" s="1"/>
  <c r="C6" i="91"/>
  <c r="F5" i="91"/>
  <c r="E25" i="90"/>
  <c r="G23" i="90"/>
  <c r="F23" i="90"/>
  <c r="E23" i="90"/>
  <c r="D17" i="90"/>
  <c r="F17" i="90" s="1"/>
  <c r="D16" i="90"/>
  <c r="F16" i="90" s="1"/>
  <c r="D15" i="90"/>
  <c r="G15" i="90" s="1"/>
  <c r="D14" i="90"/>
  <c r="F14" i="90" s="1"/>
  <c r="D13" i="90"/>
  <c r="D10" i="90"/>
  <c r="D9" i="90"/>
  <c r="D8" i="90"/>
  <c r="D7" i="90"/>
  <c r="C6" i="90"/>
  <c r="D6" i="90" s="1"/>
  <c r="F5" i="90"/>
  <c r="E27" i="89"/>
  <c r="G25" i="89"/>
  <c r="F25" i="89"/>
  <c r="E25" i="89"/>
  <c r="D17" i="89"/>
  <c r="F17" i="89" s="1"/>
  <c r="C6" i="89"/>
  <c r="F5" i="89"/>
  <c r="E26" i="88"/>
  <c r="G24" i="88"/>
  <c r="F24" i="88"/>
  <c r="E24" i="88"/>
  <c r="D18" i="88"/>
  <c r="F18" i="88" s="1"/>
  <c r="D8" i="88"/>
  <c r="C7" i="88"/>
  <c r="F6" i="88"/>
  <c r="D57" i="87"/>
  <c r="F45" i="87"/>
  <c r="C40" i="87"/>
  <c r="E40" i="87" s="1"/>
  <c r="C35" i="87"/>
  <c r="E35" i="87" s="1"/>
  <c r="C32" i="87"/>
  <c r="D32" i="87" s="1"/>
  <c r="C28" i="87"/>
  <c r="E28" i="87" s="1"/>
  <c r="B24" i="87"/>
  <c r="C24" i="87" s="1"/>
  <c r="B23" i="87"/>
  <c r="B22" i="87"/>
  <c r="B21" i="87"/>
  <c r="B18" i="87"/>
  <c r="C18" i="87" s="1"/>
  <c r="C49" i="87"/>
  <c r="C27" i="87"/>
  <c r="E29" i="86"/>
  <c r="G27" i="86"/>
  <c r="D21" i="86"/>
  <c r="C6" i="86"/>
  <c r="F5" i="86"/>
  <c r="E20" i="85"/>
  <c r="G18" i="85"/>
  <c r="F18" i="85"/>
  <c r="E18" i="85"/>
  <c r="D18" i="85"/>
  <c r="E20" i="84"/>
  <c r="G18" i="84"/>
  <c r="F18" i="84"/>
  <c r="E18" i="84"/>
  <c r="D18" i="84"/>
  <c r="E28" i="83"/>
  <c r="G26" i="83"/>
  <c r="E26" i="83"/>
  <c r="C7" i="83"/>
  <c r="F6" i="83"/>
  <c r="Q164" i="81"/>
  <c r="B51" i="82" s="1"/>
  <c r="G164" i="81"/>
  <c r="D164" i="81"/>
  <c r="A164" i="81"/>
  <c r="Q163" i="81"/>
  <c r="B50" i="82" s="1"/>
  <c r="K50" i="82" s="1"/>
  <c r="G163" i="81"/>
  <c r="D163" i="81"/>
  <c r="A163" i="81"/>
  <c r="Q162" i="81"/>
  <c r="B49" i="82" s="1"/>
  <c r="N51" i="82" s="1"/>
  <c r="D162" i="81"/>
  <c r="A162" i="81"/>
  <c r="Q161" i="81"/>
  <c r="B48" i="82" s="1"/>
  <c r="A161" i="81"/>
  <c r="Q160" i="81"/>
  <c r="B47" i="82" s="1"/>
  <c r="G160" i="81"/>
  <c r="D160" i="81"/>
  <c r="A160" i="81"/>
  <c r="Q159" i="81"/>
  <c r="B46" i="82" s="1"/>
  <c r="N46" i="82" s="1"/>
  <c r="I159" i="81"/>
  <c r="G159" i="81"/>
  <c r="D159" i="81"/>
  <c r="A159" i="81"/>
  <c r="Q158" i="81"/>
  <c r="B45" i="82" s="1"/>
  <c r="H45" i="82" s="1"/>
  <c r="D158" i="81"/>
  <c r="A158" i="81"/>
  <c r="Q157" i="81"/>
  <c r="B44" i="82" s="1"/>
  <c r="A157" i="81"/>
  <c r="Q156" i="81"/>
  <c r="B43" i="82" s="1"/>
  <c r="C43" i="82" s="1"/>
  <c r="A156" i="81"/>
  <c r="Q155" i="81"/>
  <c r="B42" i="82" s="1"/>
  <c r="M42" i="82" s="1"/>
  <c r="A155" i="81"/>
  <c r="Q154" i="81"/>
  <c r="B41" i="82" s="1"/>
  <c r="N41" i="82" s="1"/>
  <c r="A154" i="81"/>
  <c r="Q153" i="81"/>
  <c r="B40" i="82" s="1"/>
  <c r="L40" i="82" s="1"/>
  <c r="A153" i="81"/>
  <c r="Q152" i="81"/>
  <c r="B39" i="82" s="1"/>
  <c r="A152" i="81"/>
  <c r="Q140" i="81"/>
  <c r="B38" i="82" s="1"/>
  <c r="I140" i="81"/>
  <c r="G140" i="81"/>
  <c r="D140" i="81"/>
  <c r="A140" i="81"/>
  <c r="Q139" i="81"/>
  <c r="B37" i="82" s="1"/>
  <c r="M37" i="82" s="1"/>
  <c r="A139" i="81"/>
  <c r="Q138" i="81"/>
  <c r="B36" i="82" s="1"/>
  <c r="A138" i="81"/>
  <c r="Q127" i="81"/>
  <c r="B35" i="82" s="1"/>
  <c r="N127" i="81"/>
  <c r="L127" i="81"/>
  <c r="I127" i="81"/>
  <c r="G127" i="81"/>
  <c r="D127" i="81"/>
  <c r="A127" i="81"/>
  <c r="Q126" i="81"/>
  <c r="B34" i="82" s="1"/>
  <c r="A126" i="81"/>
  <c r="Q114" i="81"/>
  <c r="B33" i="82" s="1"/>
  <c r="N114" i="81"/>
  <c r="L114" i="81"/>
  <c r="I114" i="81"/>
  <c r="G114" i="81"/>
  <c r="D114" i="81"/>
  <c r="A114" i="81"/>
  <c r="Q113" i="81"/>
  <c r="B32" i="82" s="1"/>
  <c r="A113" i="81"/>
  <c r="Q112" i="81"/>
  <c r="B31" i="82" s="1"/>
  <c r="L31" i="82" s="1"/>
  <c r="A112" i="81"/>
  <c r="Q111" i="81"/>
  <c r="B30" i="82" s="1"/>
  <c r="G111" i="81"/>
  <c r="D111" i="81"/>
  <c r="A111" i="81"/>
  <c r="Q110" i="81"/>
  <c r="B29" i="82" s="1"/>
  <c r="I110" i="81"/>
  <c r="G110" i="81"/>
  <c r="D110" i="81"/>
  <c r="A110" i="81"/>
  <c r="Q109" i="81"/>
  <c r="B28" i="82" s="1"/>
  <c r="F28" i="82" s="1"/>
  <c r="G109" i="81"/>
  <c r="D109" i="81"/>
  <c r="A109" i="81"/>
  <c r="Q108" i="81"/>
  <c r="B27" i="82" s="1"/>
  <c r="I108" i="81"/>
  <c r="G108" i="81"/>
  <c r="D108" i="81"/>
  <c r="A108" i="81"/>
  <c r="Q107" i="81"/>
  <c r="I107" i="81"/>
  <c r="G107" i="81"/>
  <c r="D107" i="81"/>
  <c r="A107" i="81"/>
  <c r="B25" i="82"/>
  <c r="L83" i="81"/>
  <c r="I83" i="81"/>
  <c r="G83" i="81"/>
  <c r="A83" i="81"/>
  <c r="Q82" i="81"/>
  <c r="B24" i="82" s="1"/>
  <c r="L82" i="81"/>
  <c r="I82" i="81"/>
  <c r="G82" i="81"/>
  <c r="D82" i="81"/>
  <c r="A82" i="81"/>
  <c r="B23" i="82"/>
  <c r="A73" i="81"/>
  <c r="B22" i="82"/>
  <c r="A39" i="81"/>
  <c r="A11" i="81"/>
  <c r="J30" i="103" l="1"/>
  <c r="G54" i="104"/>
  <c r="E54" i="104"/>
  <c r="D15" i="88"/>
  <c r="F15" i="88" s="1"/>
  <c r="E21" i="105"/>
  <c r="O32" i="104"/>
  <c r="O34" i="104" s="1"/>
  <c r="D6" i="91"/>
  <c r="D25" i="91" s="1"/>
  <c r="J28" i="103"/>
  <c r="D7" i="88"/>
  <c r="B44" i="104"/>
  <c r="D6" i="89"/>
  <c r="D12" i="92"/>
  <c r="H39" i="103"/>
  <c r="E46" i="104"/>
  <c r="E48" i="104" s="1"/>
  <c r="N31" i="104"/>
  <c r="N35" i="104" s="1"/>
  <c r="D7" i="89"/>
  <c r="D15" i="92"/>
  <c r="E15" i="92" s="1"/>
  <c r="F46" i="104"/>
  <c r="F48" i="104" s="1"/>
  <c r="D14" i="89"/>
  <c r="E14" i="89" s="1"/>
  <c r="D16" i="92"/>
  <c r="F16" i="92" s="1"/>
  <c r="D15" i="89"/>
  <c r="E15" i="89" s="1"/>
  <c r="D17" i="92"/>
  <c r="E17" i="92" s="1"/>
  <c r="H30" i="103"/>
  <c r="J8" i="103"/>
  <c r="D25" i="112"/>
  <c r="G25" i="112" s="1"/>
  <c r="B26" i="82"/>
  <c r="M26" i="82" s="1"/>
  <c r="D26" i="81"/>
  <c r="E239" i="36" s="1"/>
  <c r="D25" i="81"/>
  <c r="E240" i="36" s="1"/>
  <c r="D24" i="81"/>
  <c r="E241" i="36" s="1"/>
  <c r="D18" i="89"/>
  <c r="H27" i="103"/>
  <c r="N27" i="103" s="1"/>
  <c r="J29" i="103"/>
  <c r="M29" i="103" s="1"/>
  <c r="D19" i="90"/>
  <c r="G19" i="90" s="1"/>
  <c r="G25" i="90" s="1"/>
  <c r="I17" i="103"/>
  <c r="I28" i="103"/>
  <c r="J39" i="103"/>
  <c r="D19" i="89"/>
  <c r="D18" i="92"/>
  <c r="J27" i="103"/>
  <c r="D18" i="105"/>
  <c r="D8" i="89"/>
  <c r="J40" i="103"/>
  <c r="D9" i="89"/>
  <c r="D19" i="91"/>
  <c r="D10" i="89"/>
  <c r="D16" i="88"/>
  <c r="F16" i="88" s="1"/>
  <c r="D9" i="112"/>
  <c r="D55" i="112" s="1"/>
  <c r="D41" i="102"/>
  <c r="D20" i="112"/>
  <c r="E20" i="112" s="1"/>
  <c r="D21" i="112"/>
  <c r="D22" i="112"/>
  <c r="D23" i="112"/>
  <c r="D16" i="112"/>
  <c r="D18" i="112"/>
  <c r="F18" i="112" s="1"/>
  <c r="E45" i="104"/>
  <c r="E50" i="104" s="1"/>
  <c r="E8" i="108"/>
  <c r="I39" i="103"/>
  <c r="B19" i="87"/>
  <c r="C19" i="87" s="1"/>
  <c r="E19" i="87" s="1"/>
  <c r="C21" i="87"/>
  <c r="C22" i="87"/>
  <c r="F9" i="108"/>
  <c r="I27" i="103"/>
  <c r="L32" i="104"/>
  <c r="L34" i="104" s="1"/>
  <c r="C23" i="87"/>
  <c r="E23" i="87" s="1"/>
  <c r="I40" i="103"/>
  <c r="E6" i="96"/>
  <c r="E23" i="96" s="1"/>
  <c r="D23" i="90"/>
  <c r="D22" i="101"/>
  <c r="F44" i="104"/>
  <c r="F49" i="104" s="1"/>
  <c r="D18" i="91"/>
  <c r="D16" i="105"/>
  <c r="H33" i="106"/>
  <c r="R44" i="104"/>
  <c r="D9" i="93"/>
  <c r="I32" i="106"/>
  <c r="D8" i="93"/>
  <c r="D18" i="90"/>
  <c r="D24" i="90" s="1"/>
  <c r="D8" i="91"/>
  <c r="D11" i="93"/>
  <c r="O31" i="104"/>
  <c r="O35" i="104" s="1"/>
  <c r="D7" i="91"/>
  <c r="D9" i="91"/>
  <c r="D12" i="93"/>
  <c r="H19" i="103"/>
  <c r="N19" i="103" s="1"/>
  <c r="D10" i="91"/>
  <c r="D14" i="93"/>
  <c r="E14" i="93" s="1"/>
  <c r="D5" i="97"/>
  <c r="F5" i="97" s="1"/>
  <c r="D13" i="91"/>
  <c r="D15" i="93"/>
  <c r="E15" i="93" s="1"/>
  <c r="D15" i="97"/>
  <c r="D18" i="110"/>
  <c r="E18" i="110" s="1"/>
  <c r="D14" i="91"/>
  <c r="D16" i="93"/>
  <c r="F16" i="93" s="1"/>
  <c r="D16" i="97"/>
  <c r="G16" i="97" s="1"/>
  <c r="D10" i="93"/>
  <c r="F8" i="93" s="1"/>
  <c r="D17" i="93"/>
  <c r="F17" i="93" s="1"/>
  <c r="D24" i="96"/>
  <c r="D17" i="97"/>
  <c r="F17" i="97" s="1"/>
  <c r="D15" i="91"/>
  <c r="E15" i="91" s="1"/>
  <c r="D13" i="110"/>
  <c r="H35" i="103"/>
  <c r="Q35" i="103" s="1"/>
  <c r="D21" i="110"/>
  <c r="N36" i="82"/>
  <c r="L36" i="82"/>
  <c r="C36" i="82"/>
  <c r="J36" i="82"/>
  <c r="K36" i="82"/>
  <c r="I36" i="82"/>
  <c r="F36" i="82"/>
  <c r="G36" i="82"/>
  <c r="H36" i="82"/>
  <c r="D36" i="82"/>
  <c r="E36" i="82"/>
  <c r="M36" i="82"/>
  <c r="M48" i="82"/>
  <c r="D48" i="82"/>
  <c r="L48" i="82"/>
  <c r="C48" i="82"/>
  <c r="E48" i="82"/>
  <c r="N48" i="82"/>
  <c r="J48" i="82"/>
  <c r="K48" i="82"/>
  <c r="I48" i="82"/>
  <c r="F48" i="82"/>
  <c r="G48" i="82"/>
  <c r="H48" i="82"/>
  <c r="E7" i="100"/>
  <c r="L34" i="82"/>
  <c r="C34" i="82"/>
  <c r="J34" i="82"/>
  <c r="K34" i="82"/>
  <c r="I34" i="82"/>
  <c r="F34" i="82"/>
  <c r="G34" i="82"/>
  <c r="H34" i="82"/>
  <c r="D34" i="82"/>
  <c r="E34" i="82"/>
  <c r="M34" i="82"/>
  <c r="N34" i="82"/>
  <c r="N32" i="82"/>
  <c r="L32" i="82"/>
  <c r="C32" i="82"/>
  <c r="J32" i="82"/>
  <c r="K32" i="82"/>
  <c r="I32" i="82"/>
  <c r="F32" i="82"/>
  <c r="G32" i="82"/>
  <c r="H32" i="82"/>
  <c r="D32" i="82"/>
  <c r="E32" i="82"/>
  <c r="M32" i="82"/>
  <c r="E12" i="98"/>
  <c r="H27" i="82"/>
  <c r="I27" i="82"/>
  <c r="N27" i="82"/>
  <c r="M27" i="82"/>
  <c r="J27" i="82"/>
  <c r="L27" i="82"/>
  <c r="K27" i="82"/>
  <c r="P25" i="82"/>
  <c r="C25" i="82" s="1"/>
  <c r="H25" i="82"/>
  <c r="K25" i="82"/>
  <c r="J25" i="82"/>
  <c r="I25" i="82"/>
  <c r="F29" i="82"/>
  <c r="P29" i="82"/>
  <c r="E29" i="82" s="1"/>
  <c r="K29" i="82"/>
  <c r="J29" i="82"/>
  <c r="I29" i="82"/>
  <c r="H29" i="82"/>
  <c r="G29" i="82"/>
  <c r="E35" i="82"/>
  <c r="N35" i="82"/>
  <c r="M35" i="82"/>
  <c r="H51" i="82"/>
  <c r="G51" i="82"/>
  <c r="F51" i="82"/>
  <c r="F47" i="82"/>
  <c r="N47" i="82"/>
  <c r="M47" i="82"/>
  <c r="Q26" i="82"/>
  <c r="E26" i="82" s="1"/>
  <c r="N26" i="82"/>
  <c r="I26" i="82"/>
  <c r="M24" i="82"/>
  <c r="N24" i="82"/>
  <c r="K24" i="82"/>
  <c r="J24" i="82"/>
  <c r="I24" i="82"/>
  <c r="H24" i="82"/>
  <c r="G24" i="82"/>
  <c r="F24" i="82"/>
  <c r="E24" i="82"/>
  <c r="E14" i="97"/>
  <c r="F14" i="97"/>
  <c r="C33" i="82"/>
  <c r="L33" i="82"/>
  <c r="K33" i="82"/>
  <c r="D33" i="82"/>
  <c r="M33" i="82"/>
  <c r="N33" i="82"/>
  <c r="N30" i="82"/>
  <c r="M30" i="82"/>
  <c r="L30" i="82"/>
  <c r="K30" i="82"/>
  <c r="J30" i="82"/>
  <c r="I30" i="82"/>
  <c r="H30" i="82"/>
  <c r="G30" i="82"/>
  <c r="F30" i="82"/>
  <c r="D30" i="82"/>
  <c r="C30" i="82"/>
  <c r="E30" i="82"/>
  <c r="F38" i="82"/>
  <c r="M38" i="82"/>
  <c r="N38" i="82"/>
  <c r="L38" i="82"/>
  <c r="E38" i="82"/>
  <c r="D38" i="82"/>
  <c r="C38" i="82"/>
  <c r="F19" i="92"/>
  <c r="D6" i="97"/>
  <c r="F14" i="99"/>
  <c r="D24" i="100"/>
  <c r="I30" i="106"/>
  <c r="I35" i="106" s="1"/>
  <c r="E16" i="108"/>
  <c r="U46" i="104"/>
  <c r="U48" i="104" s="1"/>
  <c r="U44" i="104"/>
  <c r="U49" i="104" s="1"/>
  <c r="F45" i="82"/>
  <c r="C40" i="82"/>
  <c r="H30" i="106"/>
  <c r="H35" i="106" s="1"/>
  <c r="E45" i="82"/>
  <c r="D8" i="92"/>
  <c r="D7" i="97"/>
  <c r="G20" i="98"/>
  <c r="D20" i="100"/>
  <c r="G20" i="100" s="1"/>
  <c r="G26" i="100" s="1"/>
  <c r="D10" i="102"/>
  <c r="F10" i="102" s="1"/>
  <c r="F46" i="102" s="1"/>
  <c r="V46" i="104"/>
  <c r="V48" i="104" s="1"/>
  <c r="V44" i="104"/>
  <c r="V49" i="104" s="1"/>
  <c r="L31" i="104"/>
  <c r="L35" i="104" s="1"/>
  <c r="M31" i="82"/>
  <c r="G45" i="82"/>
  <c r="L32" i="106"/>
  <c r="D8" i="97"/>
  <c r="F15" i="99"/>
  <c r="D17" i="102"/>
  <c r="E17" i="102" s="1"/>
  <c r="B45" i="104"/>
  <c r="I45" i="82"/>
  <c r="K46" i="82"/>
  <c r="M46" i="82"/>
  <c r="F18" i="95"/>
  <c r="D9" i="97"/>
  <c r="D16" i="99"/>
  <c r="G16" i="99" s="1"/>
  <c r="G22" i="99" s="1"/>
  <c r="D18" i="102"/>
  <c r="F18" i="102" s="1"/>
  <c r="D12" i="105"/>
  <c r="C21" i="111"/>
  <c r="E21" i="111" s="1"/>
  <c r="D31" i="82"/>
  <c r="K45" i="82"/>
  <c r="D9" i="92"/>
  <c r="D12" i="97"/>
  <c r="F12" i="97" s="1"/>
  <c r="E9" i="98"/>
  <c r="D28" i="98"/>
  <c r="D17" i="99"/>
  <c r="E16" i="100"/>
  <c r="D24" i="102"/>
  <c r="F24" i="102" s="1"/>
  <c r="D18" i="109"/>
  <c r="F18" i="109" s="1"/>
  <c r="E31" i="82"/>
  <c r="J45" i="82"/>
  <c r="F40" i="82"/>
  <c r="D10" i="92"/>
  <c r="F19" i="95"/>
  <c r="D13" i="97"/>
  <c r="F13" i="97" s="1"/>
  <c r="D18" i="101"/>
  <c r="D24" i="101" s="1"/>
  <c r="D13" i="105"/>
  <c r="C45" i="82"/>
  <c r="H40" i="82"/>
  <c r="D41" i="82"/>
  <c r="D19" i="100"/>
  <c r="G19" i="100" s="1"/>
  <c r="G25" i="100" s="1"/>
  <c r="D14" i="105"/>
  <c r="I30" i="103"/>
  <c r="O30" i="103" s="1"/>
  <c r="L45" i="82"/>
  <c r="G40" i="82"/>
  <c r="F41" i="82"/>
  <c r="N45" i="82"/>
  <c r="I40" i="82"/>
  <c r="E18" i="100"/>
  <c r="I35" i="103"/>
  <c r="I33" i="106"/>
  <c r="F10" i="107"/>
  <c r="C47" i="111"/>
  <c r="R45" i="104"/>
  <c r="M45" i="82"/>
  <c r="J40" i="82"/>
  <c r="N40" i="82"/>
  <c r="E16" i="101"/>
  <c r="F46" i="82"/>
  <c r="C4" i="83"/>
  <c r="C46" i="82"/>
  <c r="G46" i="82"/>
  <c r="E46" i="82"/>
  <c r="G33" i="106"/>
  <c r="H46" i="82"/>
  <c r="D46" i="82"/>
  <c r="J32" i="106"/>
  <c r="I46" i="82"/>
  <c r="L46" i="82"/>
  <c r="H37" i="82"/>
  <c r="D19" i="107"/>
  <c r="G30" i="106"/>
  <c r="G35" i="106" s="1"/>
  <c r="K32" i="106"/>
  <c r="H32" i="106"/>
  <c r="J46" i="82"/>
  <c r="C38" i="87"/>
  <c r="E38" i="87" s="1"/>
  <c r="D45" i="82"/>
  <c r="G37" i="82"/>
  <c r="M39" i="82"/>
  <c r="L39" i="82"/>
  <c r="J39" i="82"/>
  <c r="K39" i="82"/>
  <c r="I39" i="82"/>
  <c r="G39" i="82"/>
  <c r="H39" i="82"/>
  <c r="D39" i="82"/>
  <c r="E39" i="82"/>
  <c r="N39" i="82"/>
  <c r="C39" i="82"/>
  <c r="F39" i="82"/>
  <c r="E14" i="96"/>
  <c r="C37" i="82"/>
  <c r="N37" i="82"/>
  <c r="D37" i="82"/>
  <c r="E37" i="82"/>
  <c r="F37" i="82"/>
  <c r="I37" i="82"/>
  <c r="K37" i="82"/>
  <c r="J37" i="82"/>
  <c r="L37" i="82"/>
  <c r="E6" i="95"/>
  <c r="D25" i="95"/>
  <c r="F14" i="95"/>
  <c r="D20" i="95"/>
  <c r="D26" i="95" s="1"/>
  <c r="I41" i="82"/>
  <c r="H41" i="82"/>
  <c r="M41" i="82"/>
  <c r="E41" i="82"/>
  <c r="G41" i="82"/>
  <c r="K41" i="82"/>
  <c r="J41" i="82"/>
  <c r="C41" i="82"/>
  <c r="L41" i="82"/>
  <c r="E17" i="94"/>
  <c r="D18" i="94"/>
  <c r="F12" i="94"/>
  <c r="E42" i="82"/>
  <c r="D42" i="82"/>
  <c r="F42" i="82"/>
  <c r="H42" i="82"/>
  <c r="G42" i="82"/>
  <c r="I42" i="82"/>
  <c r="K42" i="82"/>
  <c r="C42" i="82"/>
  <c r="L42" i="82"/>
  <c r="J42" i="82"/>
  <c r="N42" i="82"/>
  <c r="E40" i="82"/>
  <c r="D40" i="82"/>
  <c r="K40" i="82"/>
  <c r="M40" i="82"/>
  <c r="F22" i="92"/>
  <c r="F20" i="92"/>
  <c r="F44" i="82"/>
  <c r="D44" i="82"/>
  <c r="E44" i="82"/>
  <c r="M44" i="82"/>
  <c r="N44" i="82"/>
  <c r="L44" i="82"/>
  <c r="C44" i="82"/>
  <c r="J44" i="82"/>
  <c r="K44" i="82"/>
  <c r="I44" i="82"/>
  <c r="G44" i="82"/>
  <c r="H44" i="82"/>
  <c r="I43" i="82"/>
  <c r="D43" i="82"/>
  <c r="E43" i="82"/>
  <c r="M43" i="82"/>
  <c r="N43" i="82"/>
  <c r="L43" i="82"/>
  <c r="N31" i="82"/>
  <c r="K31" i="82"/>
  <c r="G31" i="82"/>
  <c r="F31" i="82"/>
  <c r="J31" i="82"/>
  <c r="H31" i="82"/>
  <c r="C31" i="82"/>
  <c r="I31" i="82"/>
  <c r="D35" i="112"/>
  <c r="G35" i="112" s="1"/>
  <c r="D15" i="105"/>
  <c r="D19" i="105"/>
  <c r="D39" i="102"/>
  <c r="G39" i="102" s="1"/>
  <c r="D20" i="102"/>
  <c r="E20" i="102" s="1"/>
  <c r="D28" i="102"/>
  <c r="G28" i="102" s="1"/>
  <c r="D17" i="88"/>
  <c r="F17" i="88" s="1"/>
  <c r="D48" i="87"/>
  <c r="D6" i="86"/>
  <c r="D27" i="86" s="1"/>
  <c r="B2" i="83"/>
  <c r="D19" i="83" s="1"/>
  <c r="D7" i="83"/>
  <c r="D26" i="83" s="1"/>
  <c r="C17" i="111"/>
  <c r="C20" i="111"/>
  <c r="D20" i="111" s="1"/>
  <c r="D27" i="110"/>
  <c r="G27" i="110" s="1"/>
  <c r="D31" i="110"/>
  <c r="F31" i="110" s="1"/>
  <c r="S10" i="104"/>
  <c r="B7" i="104"/>
  <c r="I7" i="104"/>
  <c r="F45" i="104"/>
  <c r="F50" i="104" s="1"/>
  <c r="I10" i="104"/>
  <c r="C8" i="104"/>
  <c r="U45" i="104"/>
  <c r="U50" i="104" s="1"/>
  <c r="V45" i="104"/>
  <c r="V50" i="104" s="1"/>
  <c r="S9" i="104"/>
  <c r="R10" i="104"/>
  <c r="C7" i="104"/>
  <c r="I8" i="104"/>
  <c r="B10" i="104"/>
  <c r="S8" i="104"/>
  <c r="C44" i="104"/>
  <c r="I9" i="104"/>
  <c r="I33" i="104"/>
  <c r="N34" i="103"/>
  <c r="Q34" i="103"/>
  <c r="N38" i="103"/>
  <c r="Q38" i="103"/>
  <c r="N29" i="103"/>
  <c r="Q37" i="103"/>
  <c r="H22" i="103"/>
  <c r="K22" i="103" s="1"/>
  <c r="H33" i="103"/>
  <c r="K33" i="103" s="1"/>
  <c r="J42" i="103"/>
  <c r="P42" i="103" s="1"/>
  <c r="I60" i="103" s="1"/>
  <c r="R16" i="103"/>
  <c r="I33" i="103"/>
  <c r="L33" i="103" s="1"/>
  <c r="L16" i="103"/>
  <c r="H28" i="103"/>
  <c r="Q28" i="103" s="1"/>
  <c r="D50" i="82"/>
  <c r="G50" i="82"/>
  <c r="C47" i="82"/>
  <c r="G38" i="82"/>
  <c r="C27" i="82"/>
  <c r="E33" i="82"/>
  <c r="G35" i="82"/>
  <c r="H38" i="82"/>
  <c r="G47" i="82"/>
  <c r="L50" i="82"/>
  <c r="M23" i="82"/>
  <c r="D27" i="82"/>
  <c r="F33" i="82"/>
  <c r="H35" i="82"/>
  <c r="I38" i="82"/>
  <c r="H47" i="82"/>
  <c r="J49" i="82"/>
  <c r="M50" i="82"/>
  <c r="C49" i="82"/>
  <c r="J51" i="82"/>
  <c r="H50" i="82"/>
  <c r="F35" i="82"/>
  <c r="I22" i="82"/>
  <c r="L23" i="82"/>
  <c r="L28" i="82"/>
  <c r="I49" i="82"/>
  <c r="N23" i="82"/>
  <c r="E27" i="82"/>
  <c r="G33" i="82"/>
  <c r="I35" i="82"/>
  <c r="J38" i="82"/>
  <c r="I47" i="82"/>
  <c r="K49" i="82"/>
  <c r="N50" i="82"/>
  <c r="C50" i="82"/>
  <c r="D23" i="82"/>
  <c r="E23" i="82"/>
  <c r="E50" i="82"/>
  <c r="I51" i="82"/>
  <c r="D49" i="82"/>
  <c r="E22" i="82"/>
  <c r="E49" i="82"/>
  <c r="I28" i="82"/>
  <c r="L22" i="82"/>
  <c r="M22" i="82"/>
  <c r="C24" i="82"/>
  <c r="F25" i="82"/>
  <c r="G26" i="82"/>
  <c r="G27" i="82"/>
  <c r="I33" i="82"/>
  <c r="K35" i="82"/>
  <c r="K47" i="82"/>
  <c r="M49" i="82"/>
  <c r="C51" i="82"/>
  <c r="F26" i="82"/>
  <c r="F27" i="82"/>
  <c r="H33" i="82"/>
  <c r="J35" i="82"/>
  <c r="K38" i="82"/>
  <c r="J47" i="82"/>
  <c r="L49" i="82"/>
  <c r="N22" i="82"/>
  <c r="D24" i="82"/>
  <c r="G25" i="82"/>
  <c r="J33" i="82"/>
  <c r="L35" i="82"/>
  <c r="L47" i="82"/>
  <c r="N49" i="82"/>
  <c r="D51" i="82"/>
  <c r="F50" i="82"/>
  <c r="C35" i="82"/>
  <c r="K51" i="82"/>
  <c r="I23" i="82"/>
  <c r="L24" i="82"/>
  <c r="C28" i="82"/>
  <c r="D35" i="82"/>
  <c r="D47" i="82"/>
  <c r="F49" i="82"/>
  <c r="I50" i="82"/>
  <c r="L51" i="82"/>
  <c r="E47" i="82"/>
  <c r="G49" i="82"/>
  <c r="J50" i="82"/>
  <c r="M51" i="82"/>
  <c r="E51" i="82"/>
  <c r="H49" i="82"/>
  <c r="G42" i="112"/>
  <c r="F42" i="112"/>
  <c r="F40" i="112"/>
  <c r="G40" i="112"/>
  <c r="E25" i="112"/>
  <c r="G26" i="112"/>
  <c r="F26" i="112"/>
  <c r="E26" i="112"/>
  <c r="G43" i="112"/>
  <c r="F43" i="112"/>
  <c r="G27" i="112"/>
  <c r="F27" i="112"/>
  <c r="E27" i="112"/>
  <c r="F44" i="112"/>
  <c r="G44" i="112"/>
  <c r="G37" i="112"/>
  <c r="F37" i="112"/>
  <c r="G39" i="112"/>
  <c r="F39" i="112"/>
  <c r="E19" i="112"/>
  <c r="F19" i="112"/>
  <c r="F28" i="112"/>
  <c r="G28" i="112"/>
  <c r="E28" i="112"/>
  <c r="G45" i="112"/>
  <c r="F45" i="112"/>
  <c r="G38" i="112"/>
  <c r="F38" i="112"/>
  <c r="G29" i="112"/>
  <c r="F29" i="112"/>
  <c r="E29" i="112"/>
  <c r="G46" i="112"/>
  <c r="F46" i="112"/>
  <c r="G30" i="112"/>
  <c r="F30" i="112"/>
  <c r="E30" i="112"/>
  <c r="G47" i="112"/>
  <c r="F47" i="112"/>
  <c r="G31" i="112"/>
  <c r="F31" i="112"/>
  <c r="E31" i="112"/>
  <c r="G48" i="112"/>
  <c r="F48" i="112"/>
  <c r="E32" i="112"/>
  <c r="G32" i="112"/>
  <c r="F32" i="112"/>
  <c r="G49" i="112"/>
  <c r="F49" i="112"/>
  <c r="F34" i="112"/>
  <c r="G34" i="112"/>
  <c r="E34" i="112"/>
  <c r="G50" i="112"/>
  <c r="F50" i="112"/>
  <c r="G51" i="112"/>
  <c r="F51" i="112"/>
  <c r="G36" i="112"/>
  <c r="F36" i="112"/>
  <c r="E17" i="112"/>
  <c r="D26" i="111"/>
  <c r="E26" i="111"/>
  <c r="D18" i="111"/>
  <c r="E18" i="111"/>
  <c r="E19" i="111"/>
  <c r="D19" i="111"/>
  <c r="E42" i="111"/>
  <c r="D42" i="111"/>
  <c r="F40" i="111"/>
  <c r="E40" i="111"/>
  <c r="D40" i="111"/>
  <c r="C39" i="111"/>
  <c r="C29" i="111"/>
  <c r="C41" i="111"/>
  <c r="C36" i="111"/>
  <c r="C27" i="111"/>
  <c r="C34" i="111"/>
  <c r="C46" i="111"/>
  <c r="C35" i="111"/>
  <c r="C22" i="111"/>
  <c r="C30" i="111"/>
  <c r="C31" i="111"/>
  <c r="E23" i="111"/>
  <c r="E48" i="111"/>
  <c r="C37" i="111"/>
  <c r="C33" i="111"/>
  <c r="F18" i="110"/>
  <c r="G34" i="110"/>
  <c r="F34" i="110"/>
  <c r="E34" i="110"/>
  <c r="D25" i="110"/>
  <c r="D29" i="110"/>
  <c r="D33" i="110"/>
  <c r="D19" i="110"/>
  <c r="D22" i="110"/>
  <c r="D11" i="110"/>
  <c r="E16" i="110"/>
  <c r="F16" i="110"/>
  <c r="D12" i="110"/>
  <c r="D17" i="110"/>
  <c r="D20" i="110"/>
  <c r="D26" i="110"/>
  <c r="D30" i="110"/>
  <c r="D10" i="110"/>
  <c r="D28" i="110"/>
  <c r="D32" i="110"/>
  <c r="D23" i="110"/>
  <c r="D9" i="109"/>
  <c r="D28" i="109"/>
  <c r="D19" i="109"/>
  <c r="D21" i="109"/>
  <c r="D11" i="109"/>
  <c r="D12" i="109"/>
  <c r="D31" i="109"/>
  <c r="D30" i="109"/>
  <c r="D25" i="109"/>
  <c r="D26" i="109"/>
  <c r="D20" i="109"/>
  <c r="E27" i="109"/>
  <c r="D16" i="109"/>
  <c r="D15" i="109"/>
  <c r="D23" i="109"/>
  <c r="D17" i="109"/>
  <c r="D10" i="109"/>
  <c r="D29" i="109"/>
  <c r="D24" i="109"/>
  <c r="F4" i="108"/>
  <c r="F7" i="108"/>
  <c r="F21" i="108" s="1"/>
  <c r="D21" i="108"/>
  <c r="E15" i="108"/>
  <c r="E6" i="108"/>
  <c r="E13" i="108"/>
  <c r="E12" i="108"/>
  <c r="E14" i="108"/>
  <c r="E11" i="107"/>
  <c r="F14" i="107"/>
  <c r="F9" i="107"/>
  <c r="E15" i="107"/>
  <c r="D18" i="107"/>
  <c r="D23" i="107" s="1"/>
  <c r="F11" i="107"/>
  <c r="E12" i="107"/>
  <c r="G32" i="106"/>
  <c r="D5" i="105"/>
  <c r="E5" i="105" s="1"/>
  <c r="B47" i="104"/>
  <c r="C47" i="104"/>
  <c r="C10" i="104"/>
  <c r="W42" i="104"/>
  <c r="W47" i="104" s="1"/>
  <c r="W51" i="104" s="1"/>
  <c r="R7" i="104"/>
  <c r="K31" i="104"/>
  <c r="K35" i="104" s="1"/>
  <c r="S47" i="104"/>
  <c r="C45" i="104"/>
  <c r="S45" i="104"/>
  <c r="S7" i="104"/>
  <c r="B9" i="104"/>
  <c r="B8" i="104"/>
  <c r="E44" i="104"/>
  <c r="E49" i="104" s="1"/>
  <c r="R8" i="104"/>
  <c r="O38" i="103"/>
  <c r="R38" i="103"/>
  <c r="L18" i="103"/>
  <c r="R18" i="103"/>
  <c r="O18" i="103"/>
  <c r="S22" i="103"/>
  <c r="P22" i="103"/>
  <c r="M22" i="103"/>
  <c r="Q24" i="103"/>
  <c r="N24" i="103"/>
  <c r="K24" i="103"/>
  <c r="Q25" i="103"/>
  <c r="N25" i="103"/>
  <c r="K25" i="103"/>
  <c r="R29" i="103"/>
  <c r="O29" i="103"/>
  <c r="L29" i="103"/>
  <c r="S20" i="103"/>
  <c r="P20" i="103"/>
  <c r="M20" i="103"/>
  <c r="R24" i="103"/>
  <c r="O24" i="103"/>
  <c r="L24" i="103"/>
  <c r="S30" i="103"/>
  <c r="P30" i="103"/>
  <c r="S24" i="103"/>
  <c r="P24" i="103"/>
  <c r="M24" i="103"/>
  <c r="N39" i="103"/>
  <c r="Q39" i="103"/>
  <c r="R39" i="103"/>
  <c r="O39" i="103"/>
  <c r="M33" i="103"/>
  <c r="S33" i="103"/>
  <c r="P33" i="103"/>
  <c r="S8" i="103"/>
  <c r="P8" i="103"/>
  <c r="M8" i="103"/>
  <c r="N16" i="103"/>
  <c r="Q16" i="103"/>
  <c r="K16" i="103"/>
  <c r="S28" i="103"/>
  <c r="P28" i="103"/>
  <c r="M28" i="103"/>
  <c r="R37" i="103"/>
  <c r="O37" i="103"/>
  <c r="P9" i="103"/>
  <c r="I21" i="103"/>
  <c r="I25" i="103"/>
  <c r="O34" i="103"/>
  <c r="Q9" i="103"/>
  <c r="J17" i="103"/>
  <c r="J21" i="103"/>
  <c r="J25" i="103"/>
  <c r="O33" i="103"/>
  <c r="H41" i="103"/>
  <c r="S9" i="103"/>
  <c r="H20" i="103"/>
  <c r="R34" i="103"/>
  <c r="J41" i="103"/>
  <c r="R33" i="103"/>
  <c r="R9" i="103"/>
  <c r="I41" i="103"/>
  <c r="I20" i="103"/>
  <c r="J16" i="103"/>
  <c r="Q29" i="103"/>
  <c r="P38" i="103"/>
  <c r="I19" i="103"/>
  <c r="I23" i="103"/>
  <c r="H40" i="103"/>
  <c r="J19" i="103"/>
  <c r="J23" i="103"/>
  <c r="P37" i="103"/>
  <c r="J35" i="103"/>
  <c r="H42" i="103"/>
  <c r="H23" i="103"/>
  <c r="K9" i="103"/>
  <c r="H18" i="103"/>
  <c r="J34" i="103"/>
  <c r="I42" i="103"/>
  <c r="K34" i="103"/>
  <c r="H8" i="103"/>
  <c r="I22" i="103"/>
  <c r="I8" i="103"/>
  <c r="M9" i="103"/>
  <c r="J18" i="103"/>
  <c r="L9" i="103"/>
  <c r="H17" i="103"/>
  <c r="H21" i="103"/>
  <c r="G36" i="102"/>
  <c r="F36" i="102"/>
  <c r="E36" i="102"/>
  <c r="G41" i="102"/>
  <c r="F41" i="102"/>
  <c r="E41" i="102"/>
  <c r="E10" i="102"/>
  <c r="E40" i="102"/>
  <c r="G40" i="102"/>
  <c r="F40" i="102"/>
  <c r="D19" i="102"/>
  <c r="E32" i="102"/>
  <c r="D25" i="102"/>
  <c r="D29" i="102"/>
  <c r="D35" i="102"/>
  <c r="D26" i="102"/>
  <c r="D30" i="102"/>
  <c r="D11" i="102"/>
  <c r="D21" i="102"/>
  <c r="D12" i="102"/>
  <c r="D13" i="102"/>
  <c r="D27" i="102"/>
  <c r="D31" i="102"/>
  <c r="F32" i="102"/>
  <c r="D14" i="102"/>
  <c r="D22" i="102"/>
  <c r="D37" i="102"/>
  <c r="F5" i="101"/>
  <c r="F15" i="101"/>
  <c r="F12" i="101"/>
  <c r="E13" i="101"/>
  <c r="D17" i="101"/>
  <c r="E12" i="101"/>
  <c r="E14" i="101"/>
  <c r="E17" i="100"/>
  <c r="E14" i="100"/>
  <c r="F14" i="100"/>
  <c r="E15" i="100"/>
  <c r="D21" i="99"/>
  <c r="F21" i="99"/>
  <c r="F12" i="99"/>
  <c r="E13" i="99"/>
  <c r="E22" i="99" s="1"/>
  <c r="E6" i="99"/>
  <c r="F19" i="98"/>
  <c r="E19" i="98"/>
  <c r="E8" i="98"/>
  <c r="F8" i="98"/>
  <c r="E18" i="98"/>
  <c r="F18" i="98"/>
  <c r="D24" i="98"/>
  <c r="E16" i="98"/>
  <c r="F16" i="98"/>
  <c r="F17" i="98"/>
  <c r="E17" i="98"/>
  <c r="E10" i="98"/>
  <c r="F21" i="98"/>
  <c r="F22" i="98"/>
  <c r="F11" i="98"/>
  <c r="F28" i="98" s="1"/>
  <c r="D23" i="98"/>
  <c r="D29" i="98" s="1"/>
  <c r="F15" i="98"/>
  <c r="D23" i="96"/>
  <c r="F22" i="96"/>
  <c r="F17" i="96"/>
  <c r="E13" i="96"/>
  <c r="E16" i="96"/>
  <c r="C18" i="96"/>
  <c r="D18" i="96" s="1"/>
  <c r="F13" i="96"/>
  <c r="C19" i="96"/>
  <c r="D19" i="96" s="1"/>
  <c r="E15" i="96"/>
  <c r="F20" i="95"/>
  <c r="E15" i="95"/>
  <c r="E16" i="95"/>
  <c r="D21" i="95"/>
  <c r="E13" i="95"/>
  <c r="F13" i="95"/>
  <c r="F15" i="95"/>
  <c r="C20" i="95"/>
  <c r="E17" i="95"/>
  <c r="D23" i="94"/>
  <c r="E15" i="94"/>
  <c r="E16" i="94"/>
  <c r="E13" i="94"/>
  <c r="D19" i="94"/>
  <c r="E12" i="94"/>
  <c r="C18" i="94"/>
  <c r="E19" i="93"/>
  <c r="E18" i="93"/>
  <c r="C20" i="93"/>
  <c r="E24" i="92"/>
  <c r="E31" i="92" s="1"/>
  <c r="F23" i="92"/>
  <c r="E21" i="92"/>
  <c r="E16" i="92"/>
  <c r="E16" i="91"/>
  <c r="E17" i="91"/>
  <c r="E13" i="91"/>
  <c r="F13" i="91"/>
  <c r="F19" i="90"/>
  <c r="F25" i="90" s="1"/>
  <c r="D25" i="90"/>
  <c r="E6" i="90"/>
  <c r="E16" i="90"/>
  <c r="F6" i="90"/>
  <c r="E17" i="90"/>
  <c r="E13" i="90"/>
  <c r="F13" i="90"/>
  <c r="E14" i="90"/>
  <c r="F15" i="90"/>
  <c r="F16" i="89"/>
  <c r="E16" i="89"/>
  <c r="E13" i="89"/>
  <c r="F13" i="89"/>
  <c r="E17" i="89"/>
  <c r="D9" i="88"/>
  <c r="E18" i="88"/>
  <c r="E25" i="88" s="1"/>
  <c r="D10" i="88"/>
  <c r="D11" i="88"/>
  <c r="E14" i="88"/>
  <c r="F14" i="88"/>
  <c r="E15" i="88"/>
  <c r="E50" i="87"/>
  <c r="F50" i="87"/>
  <c r="E20" i="87"/>
  <c r="D20" i="87"/>
  <c r="E18" i="87"/>
  <c r="D18" i="87"/>
  <c r="D23" i="87"/>
  <c r="E37" i="87"/>
  <c r="F37" i="87"/>
  <c r="D37" i="87"/>
  <c r="D19" i="87"/>
  <c r="F49" i="87"/>
  <c r="E49" i="87"/>
  <c r="D49" i="87"/>
  <c r="E24" i="87"/>
  <c r="F24" i="87"/>
  <c r="F55" i="87" s="1"/>
  <c r="D27" i="87"/>
  <c r="E27" i="87"/>
  <c r="E41" i="87"/>
  <c r="F41" i="87"/>
  <c r="D41" i="87"/>
  <c r="D36" i="87"/>
  <c r="F36" i="87"/>
  <c r="E36" i="87"/>
  <c r="D28" i="87"/>
  <c r="D40" i="87"/>
  <c r="C30" i="87"/>
  <c r="F35" i="87"/>
  <c r="C31" i="87"/>
  <c r="E48" i="87"/>
  <c r="D35" i="87"/>
  <c r="C47" i="87"/>
  <c r="F47" i="87" s="1"/>
  <c r="C42" i="87"/>
  <c r="E32" i="87"/>
  <c r="C34" i="87"/>
  <c r="D43" i="87"/>
  <c r="E13" i="86"/>
  <c r="F13" i="86"/>
  <c r="G19" i="86"/>
  <c r="F19" i="86"/>
  <c r="G15" i="86"/>
  <c r="F15" i="86"/>
  <c r="G17" i="86"/>
  <c r="F17" i="86"/>
  <c r="F18" i="86"/>
  <c r="G18" i="86"/>
  <c r="G21" i="86"/>
  <c r="F21" i="86"/>
  <c r="D20" i="86"/>
  <c r="D7" i="86"/>
  <c r="F16" i="86"/>
  <c r="D8" i="86"/>
  <c r="D9" i="86"/>
  <c r="D10" i="86"/>
  <c r="E14" i="86"/>
  <c r="D14" i="85"/>
  <c r="E12" i="85"/>
  <c r="D13" i="85"/>
  <c r="F12" i="85"/>
  <c r="D14" i="84"/>
  <c r="D13" i="84"/>
  <c r="D19" i="84" s="1"/>
  <c r="F12" i="84"/>
  <c r="E12" i="84"/>
  <c r="E15" i="83"/>
  <c r="F15" i="83"/>
  <c r="G18" i="83"/>
  <c r="F18" i="83"/>
  <c r="D16" i="83"/>
  <c r="D8" i="83"/>
  <c r="D9" i="83"/>
  <c r="D10" i="83"/>
  <c r="D11" i="83"/>
  <c r="AE33" i="1"/>
  <c r="BD90" i="13"/>
  <c r="O90" i="59"/>
  <c r="BC90" i="13" s="1"/>
  <c r="K90" i="59"/>
  <c r="G90" i="59"/>
  <c r="O89" i="59"/>
  <c r="BC89" i="13" s="1"/>
  <c r="K89" i="59"/>
  <c r="G89" i="59"/>
  <c r="O88" i="59"/>
  <c r="BC88" i="13" s="1"/>
  <c r="K88" i="59"/>
  <c r="BB88" i="13" s="1"/>
  <c r="G88" i="59"/>
  <c r="BA88" i="13" s="1"/>
  <c r="BD86" i="13"/>
  <c r="BD85" i="13"/>
  <c r="BD83" i="13"/>
  <c r="BD82" i="13"/>
  <c r="BD81" i="13"/>
  <c r="BD78" i="13"/>
  <c r="BD77" i="13"/>
  <c r="O77" i="59"/>
  <c r="BC77" i="13" s="1"/>
  <c r="K77" i="59"/>
  <c r="BB77" i="13" s="1"/>
  <c r="G77" i="59"/>
  <c r="BA77" i="13" s="1"/>
  <c r="O76" i="59"/>
  <c r="K76" i="59"/>
  <c r="BB76" i="13" s="1"/>
  <c r="G76" i="59"/>
  <c r="BA76" i="13" s="1"/>
  <c r="O75" i="59"/>
  <c r="BC75" i="13" s="1"/>
  <c r="K75" i="59"/>
  <c r="G75" i="59"/>
  <c r="BA75" i="13" s="1"/>
  <c r="O74" i="59"/>
  <c r="BC74" i="13" s="1"/>
  <c r="K74" i="59"/>
  <c r="BB74" i="13" s="1"/>
  <c r="G74" i="59"/>
  <c r="BA74" i="13" s="1"/>
  <c r="O73" i="59"/>
  <c r="BC73" i="13" s="1"/>
  <c r="K73" i="59"/>
  <c r="G73" i="59"/>
  <c r="BA73" i="13" s="1"/>
  <c r="O71" i="59"/>
  <c r="BC71" i="13" s="1"/>
  <c r="K71" i="59"/>
  <c r="BB71" i="13" s="1"/>
  <c r="G71" i="59"/>
  <c r="BA71" i="13" s="1"/>
  <c r="BD70" i="13"/>
  <c r="O70" i="59"/>
  <c r="BC70" i="13" s="1"/>
  <c r="K70" i="59"/>
  <c r="BB70" i="13" s="1"/>
  <c r="G70" i="59"/>
  <c r="BA70" i="13" s="1"/>
  <c r="BD69" i="13"/>
  <c r="BD66" i="13"/>
  <c r="O66" i="59"/>
  <c r="BC66" i="13" s="1"/>
  <c r="K66" i="59"/>
  <c r="BB66" i="13" s="1"/>
  <c r="G66" i="59"/>
  <c r="BA66" i="13" s="1"/>
  <c r="BD65" i="13"/>
  <c r="O65" i="59"/>
  <c r="BC65" i="13" s="1"/>
  <c r="K65" i="59"/>
  <c r="G65" i="59"/>
  <c r="BA65" i="13" s="1"/>
  <c r="O64" i="59"/>
  <c r="K64" i="59"/>
  <c r="BB64" i="13" s="1"/>
  <c r="G64" i="59"/>
  <c r="BA64" i="13" s="1"/>
  <c r="BD63" i="13"/>
  <c r="O63" i="59"/>
  <c r="BC63" i="13" s="1"/>
  <c r="K63" i="59"/>
  <c r="BB63" i="13" s="1"/>
  <c r="G63" i="59"/>
  <c r="BA63" i="13" s="1"/>
  <c r="BD59" i="13"/>
  <c r="BD58" i="13"/>
  <c r="O57" i="59"/>
  <c r="BC57" i="13" s="1"/>
  <c r="K57" i="59"/>
  <c r="G57" i="59"/>
  <c r="BD47" i="13"/>
  <c r="BD46" i="13"/>
  <c r="BD45" i="13"/>
  <c r="BD42" i="13"/>
  <c r="BD36" i="13"/>
  <c r="BD30" i="13"/>
  <c r="BD29" i="13"/>
  <c r="O28" i="59"/>
  <c r="BC28" i="13" s="1"/>
  <c r="K28" i="59"/>
  <c r="G28" i="59"/>
  <c r="BD26" i="13"/>
  <c r="BD25" i="13"/>
  <c r="O25" i="59"/>
  <c r="BC25" i="13" s="1"/>
  <c r="K25" i="59"/>
  <c r="G25" i="59"/>
  <c r="BA25" i="13" s="1"/>
  <c r="BD19" i="13"/>
  <c r="BD18" i="13"/>
  <c r="O18" i="59"/>
  <c r="BC18" i="13" s="1"/>
  <c r="K18" i="59"/>
  <c r="G18" i="59"/>
  <c r="BA18" i="13" s="1"/>
  <c r="O17" i="59"/>
  <c r="BC17" i="13" s="1"/>
  <c r="K17" i="59"/>
  <c r="BB17" i="13" s="1"/>
  <c r="G17" i="59"/>
  <c r="O16" i="59"/>
  <c r="BC16" i="13" s="1"/>
  <c r="K16" i="59"/>
  <c r="G16" i="59"/>
  <c r="BA16" i="13" s="1"/>
  <c r="BD8" i="13"/>
  <c r="BD7" i="13"/>
  <c r="BD3" i="13"/>
  <c r="BD2" i="13" s="1"/>
  <c r="L1" i="59"/>
  <c r="BC3" i="13" s="1"/>
  <c r="BC2" i="13" s="1"/>
  <c r="H1" i="59"/>
  <c r="BB3" i="13" s="1"/>
  <c r="BB2" i="13" s="1"/>
  <c r="D1" i="59"/>
  <c r="K90" i="57"/>
  <c r="CF90" i="13" s="1"/>
  <c r="G90" i="57"/>
  <c r="CE90" i="13" s="1"/>
  <c r="K89" i="57"/>
  <c r="G89" i="57"/>
  <c r="K88" i="57"/>
  <c r="G88" i="57"/>
  <c r="CE88" i="13" s="1"/>
  <c r="K77" i="57"/>
  <c r="G77" i="57"/>
  <c r="K76" i="57"/>
  <c r="G76" i="57"/>
  <c r="CE76" i="13" s="1"/>
  <c r="K75" i="57"/>
  <c r="CF75" i="13" s="1"/>
  <c r="G75" i="57"/>
  <c r="CE75" i="13" s="1"/>
  <c r="K66" i="57"/>
  <c r="CF66" i="13" s="1"/>
  <c r="G66" i="57"/>
  <c r="CE66" i="13" s="1"/>
  <c r="K65" i="57"/>
  <c r="CF65" i="13" s="1"/>
  <c r="G65" i="57"/>
  <c r="K64" i="57"/>
  <c r="G64" i="57"/>
  <c r="K63" i="57"/>
  <c r="G63" i="57"/>
  <c r="CE63" i="13" s="1"/>
  <c r="K57" i="57"/>
  <c r="CF57" i="13" s="1"/>
  <c r="G57" i="57"/>
  <c r="CE57" i="13" s="1"/>
  <c r="K25" i="57"/>
  <c r="G25" i="57"/>
  <c r="K18" i="57"/>
  <c r="G18" i="57"/>
  <c r="CE18" i="13" s="1"/>
  <c r="K17" i="57"/>
  <c r="G17" i="57"/>
  <c r="K16" i="57"/>
  <c r="G16" i="57"/>
  <c r="CE16" i="13" s="1"/>
  <c r="H1" i="57"/>
  <c r="CF3" i="13" s="1"/>
  <c r="CF2" i="13" s="1"/>
  <c r="D1" i="57"/>
  <c r="CE3" i="13" s="1"/>
  <c r="CE2" i="13" s="1"/>
  <c r="K90" i="56"/>
  <c r="CD90" i="13" s="1"/>
  <c r="G90" i="56"/>
  <c r="CC90" i="13" s="1"/>
  <c r="K89" i="56"/>
  <c r="CD89" i="13" s="1"/>
  <c r="G89" i="56"/>
  <c r="K88" i="56"/>
  <c r="CD88" i="13" s="1"/>
  <c r="G88" i="56"/>
  <c r="CC88" i="13" s="1"/>
  <c r="K77" i="56"/>
  <c r="CD77" i="13" s="1"/>
  <c r="G77" i="56"/>
  <c r="CC77" i="13" s="1"/>
  <c r="K76" i="56"/>
  <c r="G76" i="56"/>
  <c r="CC76" i="13" s="1"/>
  <c r="K75" i="56"/>
  <c r="G75" i="56"/>
  <c r="K74" i="56"/>
  <c r="G74" i="56"/>
  <c r="CC74" i="13" s="1"/>
  <c r="K73" i="56"/>
  <c r="CD73" i="13" s="1"/>
  <c r="G73" i="56"/>
  <c r="CC73" i="13" s="1"/>
  <c r="K72" i="56"/>
  <c r="CD72" i="13" s="1"/>
  <c r="G72" i="56"/>
  <c r="CC72" i="13" s="1"/>
  <c r="K71" i="56"/>
  <c r="CD71" i="13" s="1"/>
  <c r="G71" i="56"/>
  <c r="CC71" i="13" s="1"/>
  <c r="K70" i="56"/>
  <c r="CD70" i="13" s="1"/>
  <c r="G70" i="56"/>
  <c r="CC70" i="13" s="1"/>
  <c r="K69" i="56"/>
  <c r="G69" i="56"/>
  <c r="K68" i="56"/>
  <c r="G68" i="56"/>
  <c r="CC68" i="13" s="1"/>
  <c r="K67" i="56"/>
  <c r="G67" i="56"/>
  <c r="K66" i="56"/>
  <c r="G66" i="56"/>
  <c r="CC66" i="13" s="1"/>
  <c r="K65" i="56"/>
  <c r="G65" i="56"/>
  <c r="CC65" i="13" s="1"/>
  <c r="K64" i="56"/>
  <c r="CD64" i="13" s="1"/>
  <c r="G64" i="56"/>
  <c r="CC64" i="13" s="1"/>
  <c r="K63" i="56"/>
  <c r="CD63" i="13" s="1"/>
  <c r="G63" i="56"/>
  <c r="CC63" i="13" s="1"/>
  <c r="K59" i="56"/>
  <c r="CD59" i="13" s="1"/>
  <c r="G59" i="56"/>
  <c r="CC59" i="13" s="1"/>
  <c r="K58" i="56"/>
  <c r="CD58" i="13" s="1"/>
  <c r="G58" i="56"/>
  <c r="CC58" i="13" s="1"/>
  <c r="K57" i="56"/>
  <c r="G57" i="56"/>
  <c r="CC57" i="13" s="1"/>
  <c r="K44" i="56"/>
  <c r="G44" i="56"/>
  <c r="K43" i="56"/>
  <c r="G43" i="56"/>
  <c r="CC43" i="13" s="1"/>
  <c r="K42" i="56"/>
  <c r="CD42" i="13" s="1"/>
  <c r="G42" i="56"/>
  <c r="CC42" i="13" s="1"/>
  <c r="K36" i="56"/>
  <c r="CD36" i="13" s="1"/>
  <c r="G36" i="56"/>
  <c r="CC36" i="13" s="1"/>
  <c r="K35" i="56"/>
  <c r="G35" i="56"/>
  <c r="K34" i="56"/>
  <c r="CD34" i="13" s="1"/>
  <c r="G34" i="56"/>
  <c r="CC34" i="13" s="1"/>
  <c r="K30" i="56"/>
  <c r="G30" i="56"/>
  <c r="CC30" i="13" s="1"/>
  <c r="K29" i="56"/>
  <c r="G29" i="56"/>
  <c r="CC29" i="13" s="1"/>
  <c r="K28" i="56"/>
  <c r="G28" i="56"/>
  <c r="K27" i="56"/>
  <c r="G27" i="56"/>
  <c r="CC27" i="13" s="1"/>
  <c r="K26" i="56"/>
  <c r="CD26" i="13" s="1"/>
  <c r="G26" i="56"/>
  <c r="CC26" i="13" s="1"/>
  <c r="K25" i="56"/>
  <c r="CD25" i="13" s="1"/>
  <c r="G25" i="56"/>
  <c r="CC25" i="13" s="1"/>
  <c r="K21" i="56"/>
  <c r="CD21" i="13" s="1"/>
  <c r="G21" i="56"/>
  <c r="CC21" i="13" s="1"/>
  <c r="K20" i="56"/>
  <c r="CD20" i="13" s="1"/>
  <c r="G20" i="56"/>
  <c r="CC20" i="13" s="1"/>
  <c r="K19" i="56"/>
  <c r="G19" i="56"/>
  <c r="CC19" i="13" s="1"/>
  <c r="K18" i="56"/>
  <c r="G18" i="56"/>
  <c r="CC18" i="13" s="1"/>
  <c r="K17" i="56"/>
  <c r="G17" i="56"/>
  <c r="K16" i="56"/>
  <c r="G16" i="56"/>
  <c r="CC16" i="13" s="1"/>
  <c r="K10" i="56"/>
  <c r="G10" i="56"/>
  <c r="CC10" i="13" s="1"/>
  <c r="K9" i="56"/>
  <c r="CD9" i="13" s="1"/>
  <c r="G9" i="56"/>
  <c r="CC9" i="13" s="1"/>
  <c r="K8" i="56"/>
  <c r="G8" i="56"/>
  <c r="K7" i="56"/>
  <c r="G7" i="56"/>
  <c r="CC7" i="13" s="1"/>
  <c r="K6" i="56"/>
  <c r="G6" i="56"/>
  <c r="K5" i="56"/>
  <c r="G5" i="56"/>
  <c r="CC5" i="13" s="1"/>
  <c r="H1" i="56"/>
  <c r="D1" i="56"/>
  <c r="G96" i="55"/>
  <c r="G95" i="55"/>
  <c r="CB95" i="13" s="1"/>
  <c r="G94" i="55"/>
  <c r="G90" i="55"/>
  <c r="CB90" i="13" s="1"/>
  <c r="G89" i="55"/>
  <c r="CB89" i="13" s="1"/>
  <c r="G88" i="55"/>
  <c r="CB88" i="13" s="1"/>
  <c r="G77" i="55"/>
  <c r="CB77" i="13" s="1"/>
  <c r="G76" i="55"/>
  <c r="CB76" i="13" s="1"/>
  <c r="G75" i="55"/>
  <c r="CB75" i="13" s="1"/>
  <c r="G68" i="55"/>
  <c r="CB68" i="13" s="1"/>
  <c r="G67" i="55"/>
  <c r="G66" i="55"/>
  <c r="CB66" i="13" s="1"/>
  <c r="G65" i="55"/>
  <c r="G64" i="55"/>
  <c r="CB64" i="13" s="1"/>
  <c r="G63" i="55"/>
  <c r="G59" i="55"/>
  <c r="CB59" i="13" s="1"/>
  <c r="G58" i="55"/>
  <c r="CB58" i="13" s="1"/>
  <c r="G57" i="55"/>
  <c r="CB57" i="13" s="1"/>
  <c r="G30" i="55"/>
  <c r="G29" i="55"/>
  <c r="CB29" i="13" s="1"/>
  <c r="G28" i="55"/>
  <c r="CB28" i="13" s="1"/>
  <c r="G27" i="55"/>
  <c r="CB27" i="13" s="1"/>
  <c r="G26" i="55"/>
  <c r="CB26" i="13" s="1"/>
  <c r="G25" i="55"/>
  <c r="G18" i="55"/>
  <c r="CB18" i="13" s="1"/>
  <c r="G17" i="55"/>
  <c r="CB17" i="13" s="1"/>
  <c r="G16" i="55"/>
  <c r="D1" i="55"/>
  <c r="O105" i="54"/>
  <c r="K105" i="54"/>
  <c r="G105" i="54"/>
  <c r="O104" i="54"/>
  <c r="CA104" i="13" s="1"/>
  <c r="K104" i="54"/>
  <c r="BZ104" i="13" s="1"/>
  <c r="G104" i="54"/>
  <c r="BY104" i="13" s="1"/>
  <c r="O103" i="54"/>
  <c r="K103" i="54"/>
  <c r="BZ103" i="13" s="1"/>
  <c r="G103" i="54"/>
  <c r="BY103" i="13" s="1"/>
  <c r="O102" i="54"/>
  <c r="CA102" i="13" s="1"/>
  <c r="K102" i="54"/>
  <c r="BZ102" i="13" s="1"/>
  <c r="G102" i="54"/>
  <c r="BY102" i="13" s="1"/>
  <c r="O101" i="54"/>
  <c r="CA101" i="13" s="1"/>
  <c r="K101" i="54"/>
  <c r="BZ101" i="13" s="1"/>
  <c r="G101" i="54"/>
  <c r="O100" i="54"/>
  <c r="CA100" i="13" s="1"/>
  <c r="K100" i="54"/>
  <c r="G100" i="54"/>
  <c r="O99" i="54"/>
  <c r="K99" i="54"/>
  <c r="BZ99" i="13" s="1"/>
  <c r="G99" i="54"/>
  <c r="O98" i="54"/>
  <c r="CA98" i="13" s="1"/>
  <c r="K98" i="54"/>
  <c r="BZ98" i="13" s="1"/>
  <c r="G98" i="54"/>
  <c r="BY98" i="13" s="1"/>
  <c r="O97" i="54"/>
  <c r="CA97" i="13" s="1"/>
  <c r="K97" i="54"/>
  <c r="BZ97" i="13" s="1"/>
  <c r="G97" i="54"/>
  <c r="BY97" i="13" s="1"/>
  <c r="O96" i="54"/>
  <c r="CA96" i="13" s="1"/>
  <c r="K96" i="54"/>
  <c r="BZ96" i="13" s="1"/>
  <c r="G96" i="54"/>
  <c r="BY96" i="13" s="1"/>
  <c r="O95" i="54"/>
  <c r="CA95" i="13" s="1"/>
  <c r="K95" i="54"/>
  <c r="G95" i="54"/>
  <c r="O94" i="54"/>
  <c r="CA94" i="13" s="1"/>
  <c r="K94" i="54"/>
  <c r="G94" i="54"/>
  <c r="O93" i="54"/>
  <c r="K93" i="54"/>
  <c r="G93" i="54"/>
  <c r="BY93" i="13" s="1"/>
  <c r="O92" i="54"/>
  <c r="CA92" i="13" s="1"/>
  <c r="K92" i="54"/>
  <c r="BZ92" i="13" s="1"/>
  <c r="G92" i="54"/>
  <c r="BY92" i="13" s="1"/>
  <c r="O91" i="54"/>
  <c r="CA91" i="13" s="1"/>
  <c r="K91" i="54"/>
  <c r="BZ91" i="13" s="1"/>
  <c r="G91" i="54"/>
  <c r="BY91" i="13" s="1"/>
  <c r="O90" i="54"/>
  <c r="CA90" i="13" s="1"/>
  <c r="K90" i="54"/>
  <c r="BZ90" i="13" s="1"/>
  <c r="G90" i="54"/>
  <c r="BY90" i="13" s="1"/>
  <c r="O89" i="54"/>
  <c r="K89" i="54"/>
  <c r="G89" i="54"/>
  <c r="O88" i="54"/>
  <c r="K88" i="54"/>
  <c r="G88" i="54"/>
  <c r="BY88" i="13" s="1"/>
  <c r="O77" i="54"/>
  <c r="CA77" i="13" s="1"/>
  <c r="K77" i="54"/>
  <c r="BZ77" i="13" s="1"/>
  <c r="G77" i="54"/>
  <c r="BY77" i="13" s="1"/>
  <c r="O76" i="54"/>
  <c r="CA76" i="13" s="1"/>
  <c r="K76" i="54"/>
  <c r="BZ76" i="13" s="1"/>
  <c r="G76" i="54"/>
  <c r="BY76" i="13" s="1"/>
  <c r="O75" i="54"/>
  <c r="CA75" i="13" s="1"/>
  <c r="K75" i="54"/>
  <c r="BZ75" i="13" s="1"/>
  <c r="G75" i="54"/>
  <c r="BY75" i="13" s="1"/>
  <c r="O65" i="54"/>
  <c r="K65" i="54"/>
  <c r="G65" i="54"/>
  <c r="O64" i="54"/>
  <c r="K64" i="54"/>
  <c r="G64" i="54"/>
  <c r="O63" i="54"/>
  <c r="CA63" i="13" s="1"/>
  <c r="K63" i="54"/>
  <c r="BZ63" i="13" s="1"/>
  <c r="G63" i="54"/>
  <c r="BY63" i="13" s="1"/>
  <c r="O62" i="54"/>
  <c r="CA62" i="13" s="1"/>
  <c r="K62" i="54"/>
  <c r="BZ62" i="13" s="1"/>
  <c r="G62" i="54"/>
  <c r="BY62" i="13" s="1"/>
  <c r="O61" i="54"/>
  <c r="CA61" i="13" s="1"/>
  <c r="K61" i="54"/>
  <c r="BZ61" i="13" s="1"/>
  <c r="G61" i="54"/>
  <c r="BY61" i="13" s="1"/>
  <c r="O60" i="54"/>
  <c r="CA60" i="13" s="1"/>
  <c r="K60" i="54"/>
  <c r="BZ60" i="13" s="1"/>
  <c r="G60" i="54"/>
  <c r="O59" i="54"/>
  <c r="CA59" i="13" s="1"/>
  <c r="K59" i="54"/>
  <c r="G59" i="54"/>
  <c r="O58" i="54"/>
  <c r="K58" i="54"/>
  <c r="BZ58" i="13" s="1"/>
  <c r="G58" i="54"/>
  <c r="O57" i="54"/>
  <c r="CA57" i="13" s="1"/>
  <c r="K57" i="54"/>
  <c r="BZ57" i="13" s="1"/>
  <c r="G57" i="54"/>
  <c r="BY57" i="13" s="1"/>
  <c r="O47" i="54"/>
  <c r="CA47" i="13" s="1"/>
  <c r="K47" i="54"/>
  <c r="G47" i="54"/>
  <c r="BY47" i="13" s="1"/>
  <c r="O46" i="54"/>
  <c r="CA46" i="13" s="1"/>
  <c r="K46" i="54"/>
  <c r="G46" i="54"/>
  <c r="O45" i="54"/>
  <c r="K45" i="54"/>
  <c r="BZ45" i="13" s="1"/>
  <c r="G45" i="54"/>
  <c r="O44" i="54"/>
  <c r="K44" i="54"/>
  <c r="G44" i="54"/>
  <c r="BY44" i="13" s="1"/>
  <c r="O43" i="54"/>
  <c r="K43" i="54"/>
  <c r="BZ43" i="13" s="1"/>
  <c r="G43" i="54"/>
  <c r="BY43" i="13" s="1"/>
  <c r="O42" i="54"/>
  <c r="CA42" i="13" s="1"/>
  <c r="K42" i="54"/>
  <c r="BZ42" i="13" s="1"/>
  <c r="G42" i="54"/>
  <c r="BY42" i="13" s="1"/>
  <c r="H40" i="54"/>
  <c r="K40" i="54" s="1"/>
  <c r="BZ40" i="13" s="1"/>
  <c r="D40" i="54"/>
  <c r="G40" i="54" s="1"/>
  <c r="BY40" i="13" s="1"/>
  <c r="H39" i="54"/>
  <c r="K39" i="54" s="1"/>
  <c r="D39" i="54"/>
  <c r="G39" i="54" s="1"/>
  <c r="BY39" i="13" s="1"/>
  <c r="H38" i="54"/>
  <c r="K38" i="54" s="1"/>
  <c r="D38" i="54"/>
  <c r="G38" i="54" s="1"/>
  <c r="BY38" i="13" s="1"/>
  <c r="O36" i="54"/>
  <c r="K36" i="54"/>
  <c r="G36" i="54"/>
  <c r="BY36" i="13" s="1"/>
  <c r="O35" i="54"/>
  <c r="K35" i="54"/>
  <c r="BZ35" i="13" s="1"/>
  <c r="G35" i="54"/>
  <c r="BY35" i="13" s="1"/>
  <c r="O34" i="54"/>
  <c r="CA34" i="13" s="1"/>
  <c r="K34" i="54"/>
  <c r="BZ34" i="13" s="1"/>
  <c r="G34" i="54"/>
  <c r="BY34" i="13" s="1"/>
  <c r="O30" i="54"/>
  <c r="K30" i="54"/>
  <c r="BZ30" i="13" s="1"/>
  <c r="G30" i="54"/>
  <c r="BY30" i="13" s="1"/>
  <c r="O29" i="54"/>
  <c r="K29" i="54"/>
  <c r="BZ29" i="13" s="1"/>
  <c r="G29" i="54"/>
  <c r="O28" i="54"/>
  <c r="CA28" i="13" s="1"/>
  <c r="K28" i="54"/>
  <c r="G28" i="54"/>
  <c r="O27" i="54"/>
  <c r="K27" i="54"/>
  <c r="BZ27" i="13" s="1"/>
  <c r="G27" i="54"/>
  <c r="O26" i="54"/>
  <c r="CA26" i="13" s="1"/>
  <c r="K26" i="54"/>
  <c r="BZ26" i="13" s="1"/>
  <c r="G26" i="54"/>
  <c r="BY26" i="13" s="1"/>
  <c r="O25" i="54"/>
  <c r="CA25" i="13" s="1"/>
  <c r="K25" i="54"/>
  <c r="G25" i="54"/>
  <c r="BY25" i="13" s="1"/>
  <c r="O21" i="54"/>
  <c r="CA21" i="13" s="1"/>
  <c r="K21" i="54"/>
  <c r="G21" i="54"/>
  <c r="O20" i="54"/>
  <c r="K20" i="54"/>
  <c r="BZ20" i="13" s="1"/>
  <c r="G20" i="54"/>
  <c r="O19" i="54"/>
  <c r="K19" i="54"/>
  <c r="G19" i="54"/>
  <c r="BY19" i="13" s="1"/>
  <c r="O18" i="54"/>
  <c r="CA18" i="13" s="1"/>
  <c r="K18" i="54"/>
  <c r="BZ18" i="13" s="1"/>
  <c r="G18" i="54"/>
  <c r="BY18" i="13" s="1"/>
  <c r="O17" i="54"/>
  <c r="CA17" i="13" s="1"/>
  <c r="K17" i="54"/>
  <c r="BZ17" i="13" s="1"/>
  <c r="G17" i="54"/>
  <c r="O16" i="54"/>
  <c r="CA16" i="13" s="1"/>
  <c r="K16" i="54"/>
  <c r="BZ16" i="13" s="1"/>
  <c r="G16" i="54"/>
  <c r="O14" i="54"/>
  <c r="K14" i="54"/>
  <c r="G14" i="54"/>
  <c r="O13" i="54"/>
  <c r="K13" i="54"/>
  <c r="G13" i="54"/>
  <c r="O12" i="54"/>
  <c r="CA12" i="13" s="1"/>
  <c r="K12" i="54"/>
  <c r="BZ12" i="13" s="1"/>
  <c r="G12" i="54"/>
  <c r="BY12" i="13" s="1"/>
  <c r="O10" i="54"/>
  <c r="CA10" i="13" s="1"/>
  <c r="K10" i="54"/>
  <c r="BZ10" i="13" s="1"/>
  <c r="G10" i="54"/>
  <c r="BY10" i="13" s="1"/>
  <c r="O9" i="54"/>
  <c r="CA9" i="13" s="1"/>
  <c r="K9" i="54"/>
  <c r="BZ9" i="13" s="1"/>
  <c r="G9" i="54"/>
  <c r="BY9" i="13" s="1"/>
  <c r="O8" i="54"/>
  <c r="K8" i="54"/>
  <c r="BZ8" i="13" s="1"/>
  <c r="G8" i="54"/>
  <c r="O7" i="54"/>
  <c r="K7" i="54"/>
  <c r="G7" i="54"/>
  <c r="O6" i="54"/>
  <c r="K6" i="54"/>
  <c r="BZ6" i="13" s="1"/>
  <c r="G6" i="54"/>
  <c r="BY6" i="13" s="1"/>
  <c r="O5" i="54"/>
  <c r="CA5" i="13" s="1"/>
  <c r="K5" i="54"/>
  <c r="BZ5" i="13" s="1"/>
  <c r="G5" i="54"/>
  <c r="BY5" i="13" s="1"/>
  <c r="L1" i="54"/>
  <c r="CA3" i="13" s="1"/>
  <c r="CA2" i="13" s="1"/>
  <c r="H1" i="54"/>
  <c r="D1" i="54"/>
  <c r="BY3" i="13" s="1"/>
  <c r="BY2" i="13" s="1"/>
  <c r="O96" i="67"/>
  <c r="CI96" i="13" s="1"/>
  <c r="K96" i="67"/>
  <c r="CH96" i="13" s="1"/>
  <c r="G96" i="67"/>
  <c r="O95" i="67"/>
  <c r="K95" i="67"/>
  <c r="CH95" i="13" s="1"/>
  <c r="G95" i="67"/>
  <c r="O94" i="67"/>
  <c r="CI94" i="13" s="1"/>
  <c r="K94" i="67"/>
  <c r="CH94" i="13" s="1"/>
  <c r="G94" i="67"/>
  <c r="CG94" i="13" s="1"/>
  <c r="O90" i="67"/>
  <c r="K90" i="67"/>
  <c r="CH90" i="13" s="1"/>
  <c r="G90" i="67"/>
  <c r="CG90" i="13" s="1"/>
  <c r="O89" i="67"/>
  <c r="CI89" i="13" s="1"/>
  <c r="K89" i="67"/>
  <c r="CH89" i="13" s="1"/>
  <c r="G89" i="67"/>
  <c r="O88" i="67"/>
  <c r="CI88" i="13" s="1"/>
  <c r="K88" i="67"/>
  <c r="CH88" i="13" s="1"/>
  <c r="G88" i="67"/>
  <c r="CG88" i="13" s="1"/>
  <c r="O77" i="67"/>
  <c r="K77" i="67"/>
  <c r="G77" i="67"/>
  <c r="CG77" i="13" s="1"/>
  <c r="O76" i="67"/>
  <c r="CI76" i="13" s="1"/>
  <c r="K76" i="67"/>
  <c r="G76" i="67"/>
  <c r="O75" i="67"/>
  <c r="CI75" i="13" s="1"/>
  <c r="K75" i="67"/>
  <c r="CH75" i="13" s="1"/>
  <c r="G75" i="67"/>
  <c r="CG75" i="13" s="1"/>
  <c r="O68" i="67"/>
  <c r="CI68" i="13" s="1"/>
  <c r="K68" i="67"/>
  <c r="CH68" i="13" s="1"/>
  <c r="G68" i="67"/>
  <c r="CG68" i="13" s="1"/>
  <c r="O67" i="67"/>
  <c r="CI67" i="13" s="1"/>
  <c r="K67" i="67"/>
  <c r="CH67" i="13" s="1"/>
  <c r="G67" i="67"/>
  <c r="CG67" i="13" s="1"/>
  <c r="O66" i="67"/>
  <c r="K66" i="67"/>
  <c r="CH66" i="13" s="1"/>
  <c r="G66" i="67"/>
  <c r="O65" i="67"/>
  <c r="K65" i="67"/>
  <c r="G65" i="67"/>
  <c r="O64" i="67"/>
  <c r="K64" i="67"/>
  <c r="CH64" i="13" s="1"/>
  <c r="G64" i="67"/>
  <c r="CG64" i="13" s="1"/>
  <c r="O63" i="67"/>
  <c r="CI63" i="13" s="1"/>
  <c r="K63" i="67"/>
  <c r="CH63" i="13" s="1"/>
  <c r="G63" i="67"/>
  <c r="CG63" i="13" s="1"/>
  <c r="O59" i="67"/>
  <c r="CI59" i="13" s="1"/>
  <c r="K59" i="67"/>
  <c r="CH59" i="13" s="1"/>
  <c r="G59" i="67"/>
  <c r="CG59" i="13" s="1"/>
  <c r="O58" i="67"/>
  <c r="CI58" i="13" s="1"/>
  <c r="K58" i="67"/>
  <c r="G58" i="67"/>
  <c r="O57" i="67"/>
  <c r="K57" i="67"/>
  <c r="CH57" i="13" s="1"/>
  <c r="G57" i="67"/>
  <c r="O30" i="67"/>
  <c r="K30" i="67"/>
  <c r="G30" i="67"/>
  <c r="CG30" i="13" s="1"/>
  <c r="O29" i="67"/>
  <c r="CI29" i="13" s="1"/>
  <c r="K29" i="67"/>
  <c r="CH29" i="13" s="1"/>
  <c r="G29" i="67"/>
  <c r="CG29" i="13" s="1"/>
  <c r="O28" i="67"/>
  <c r="K28" i="67"/>
  <c r="CH28" i="13" s="1"/>
  <c r="G28" i="67"/>
  <c r="CG28" i="13" s="1"/>
  <c r="O27" i="67"/>
  <c r="CI27" i="13" s="1"/>
  <c r="K27" i="67"/>
  <c r="G27" i="67"/>
  <c r="O26" i="67"/>
  <c r="K26" i="67"/>
  <c r="G26" i="67"/>
  <c r="CG26" i="13" s="1"/>
  <c r="O25" i="67"/>
  <c r="K25" i="67"/>
  <c r="G25" i="67"/>
  <c r="O18" i="67"/>
  <c r="CI18" i="13" s="1"/>
  <c r="K18" i="67"/>
  <c r="CH18" i="13" s="1"/>
  <c r="G18" i="67"/>
  <c r="CG18" i="13" s="1"/>
  <c r="O17" i="67"/>
  <c r="CI17" i="13" s="1"/>
  <c r="K17" i="67"/>
  <c r="CH17" i="13" s="1"/>
  <c r="G17" i="67"/>
  <c r="CG17" i="13" s="1"/>
  <c r="O16" i="67"/>
  <c r="CI16" i="13" s="1"/>
  <c r="K16" i="67"/>
  <c r="CH16" i="13" s="1"/>
  <c r="G16" i="67"/>
  <c r="CG16" i="13" s="1"/>
  <c r="G90" i="53"/>
  <c r="BX90" i="13" s="1"/>
  <c r="G89" i="53"/>
  <c r="BX89" i="13" s="1"/>
  <c r="G88" i="53"/>
  <c r="G77" i="53"/>
  <c r="BX77" i="13" s="1"/>
  <c r="G76" i="53"/>
  <c r="G75" i="53"/>
  <c r="G65" i="53"/>
  <c r="G64" i="53"/>
  <c r="BX64" i="13" s="1"/>
  <c r="G63" i="53"/>
  <c r="BX63" i="13" s="1"/>
  <c r="G59" i="53"/>
  <c r="BX59" i="13" s="1"/>
  <c r="G58" i="53"/>
  <c r="BX58" i="13" s="1"/>
  <c r="G57" i="53"/>
  <c r="BX57" i="13" s="1"/>
  <c r="G44" i="53"/>
  <c r="BX44" i="13" s="1"/>
  <c r="G43" i="53"/>
  <c r="G42" i="53"/>
  <c r="G36" i="53"/>
  <c r="BX36" i="13" s="1"/>
  <c r="G35" i="53"/>
  <c r="BX35" i="13" s="1"/>
  <c r="G34" i="53"/>
  <c r="G30" i="53"/>
  <c r="G29" i="53"/>
  <c r="G28" i="53"/>
  <c r="G27" i="53"/>
  <c r="G26" i="53"/>
  <c r="G25" i="53"/>
  <c r="BX25" i="13" s="1"/>
  <c r="G21" i="53"/>
  <c r="BX21" i="13" s="1"/>
  <c r="G20" i="53"/>
  <c r="BX20" i="13" s="1"/>
  <c r="G19" i="53"/>
  <c r="BX19" i="13" s="1"/>
  <c r="G18" i="53"/>
  <c r="BX18" i="13" s="1"/>
  <c r="G17" i="53"/>
  <c r="BX17" i="13" s="1"/>
  <c r="G16" i="53"/>
  <c r="F14" i="53"/>
  <c r="D14" i="53"/>
  <c r="F13" i="53"/>
  <c r="D13" i="53"/>
  <c r="F12" i="53"/>
  <c r="D12" i="53"/>
  <c r="G10" i="53"/>
  <c r="G9" i="53"/>
  <c r="G8" i="53"/>
  <c r="G7" i="53"/>
  <c r="BX7" i="13" s="1"/>
  <c r="G6" i="53"/>
  <c r="BX6" i="13" s="1"/>
  <c r="G5" i="53"/>
  <c r="BX5" i="13" s="1"/>
  <c r="D1" i="53"/>
  <c r="BX3" i="13" s="1"/>
  <c r="BX2" i="13" s="1"/>
  <c r="O105" i="52"/>
  <c r="BV105" i="13" s="1"/>
  <c r="O104" i="52"/>
  <c r="BV104" i="13" s="1"/>
  <c r="O103" i="52"/>
  <c r="BV103" i="13" s="1"/>
  <c r="O102" i="52"/>
  <c r="BV102" i="13" s="1"/>
  <c r="O101" i="52"/>
  <c r="BV101" i="13" s="1"/>
  <c r="O100" i="52"/>
  <c r="O99" i="52"/>
  <c r="BV99" i="13" s="1"/>
  <c r="O98" i="52"/>
  <c r="O97" i="52"/>
  <c r="BV97" i="13" s="1"/>
  <c r="O96" i="52"/>
  <c r="BV96" i="13" s="1"/>
  <c r="O95" i="52"/>
  <c r="O94" i="52"/>
  <c r="O93" i="52"/>
  <c r="BV93" i="13" s="1"/>
  <c r="O92" i="52"/>
  <c r="BV92" i="13" s="1"/>
  <c r="O91" i="52"/>
  <c r="BV91" i="13" s="1"/>
  <c r="S90" i="52"/>
  <c r="BW90" i="13" s="1"/>
  <c r="O90" i="52"/>
  <c r="BV90" i="13" s="1"/>
  <c r="K90" i="52"/>
  <c r="BU90" i="13" s="1"/>
  <c r="G90" i="52"/>
  <c r="BT90" i="13" s="1"/>
  <c r="S89" i="52"/>
  <c r="BW89" i="13" s="1"/>
  <c r="O89" i="52"/>
  <c r="BV89" i="13" s="1"/>
  <c r="K89" i="52"/>
  <c r="BU89" i="13" s="1"/>
  <c r="G89" i="52"/>
  <c r="S88" i="52"/>
  <c r="O88" i="52"/>
  <c r="BV88" i="13" s="1"/>
  <c r="K88" i="52"/>
  <c r="G88" i="52"/>
  <c r="S77" i="52"/>
  <c r="O77" i="52"/>
  <c r="BV77" i="13" s="1"/>
  <c r="K77" i="52"/>
  <c r="BU77" i="13" s="1"/>
  <c r="G77" i="52"/>
  <c r="BT77" i="13" s="1"/>
  <c r="S76" i="52"/>
  <c r="BW76" i="13" s="1"/>
  <c r="O76" i="52"/>
  <c r="BV76" i="13" s="1"/>
  <c r="K76" i="52"/>
  <c r="BU76" i="13" s="1"/>
  <c r="G76" i="52"/>
  <c r="S75" i="52"/>
  <c r="BW75" i="13" s="1"/>
  <c r="O75" i="52"/>
  <c r="K75" i="52"/>
  <c r="G75" i="52"/>
  <c r="S65" i="52"/>
  <c r="O65" i="52"/>
  <c r="BV65" i="13" s="1"/>
  <c r="K65" i="52"/>
  <c r="G65" i="52"/>
  <c r="S64" i="52"/>
  <c r="O64" i="52"/>
  <c r="BV64" i="13" s="1"/>
  <c r="K64" i="52"/>
  <c r="BU64" i="13" s="1"/>
  <c r="G64" i="52"/>
  <c r="BT64" i="13" s="1"/>
  <c r="S63" i="52"/>
  <c r="BW63" i="13" s="1"/>
  <c r="O63" i="52"/>
  <c r="BV63" i="13" s="1"/>
  <c r="K63" i="52"/>
  <c r="BU63" i="13" s="1"/>
  <c r="G63" i="52"/>
  <c r="BT63" i="13" s="1"/>
  <c r="O62" i="52"/>
  <c r="BV62" i="13" s="1"/>
  <c r="O61" i="52"/>
  <c r="BV61" i="13" s="1"/>
  <c r="O60" i="52"/>
  <c r="BV60" i="13" s="1"/>
  <c r="S59" i="52"/>
  <c r="O59" i="52"/>
  <c r="K59" i="52"/>
  <c r="G59" i="52"/>
  <c r="S58" i="52"/>
  <c r="O58" i="52"/>
  <c r="K58" i="52"/>
  <c r="BU58" i="13" s="1"/>
  <c r="G58" i="52"/>
  <c r="BT58" i="13" s="1"/>
  <c r="S57" i="52"/>
  <c r="BW57" i="13" s="1"/>
  <c r="O57" i="52"/>
  <c r="BV57" i="13" s="1"/>
  <c r="K57" i="52"/>
  <c r="BU57" i="13" s="1"/>
  <c r="G57" i="52"/>
  <c r="BT57" i="13" s="1"/>
  <c r="S47" i="52"/>
  <c r="K47" i="52"/>
  <c r="G47" i="52"/>
  <c r="BT47" i="13" s="1"/>
  <c r="S46" i="52"/>
  <c r="K46" i="52"/>
  <c r="G46" i="52"/>
  <c r="S45" i="52"/>
  <c r="BW45" i="13" s="1"/>
  <c r="K45" i="52"/>
  <c r="G45" i="52"/>
  <c r="BT45" i="13" s="1"/>
  <c r="S44" i="52"/>
  <c r="O44" i="52"/>
  <c r="K44" i="52"/>
  <c r="BU44" i="13" s="1"/>
  <c r="G44" i="52"/>
  <c r="BT44" i="13" s="1"/>
  <c r="S43" i="52"/>
  <c r="BW43" i="13" s="1"/>
  <c r="O43" i="52"/>
  <c r="BV43" i="13" s="1"/>
  <c r="K43" i="52"/>
  <c r="BU43" i="13" s="1"/>
  <c r="G43" i="52"/>
  <c r="BT43" i="13" s="1"/>
  <c r="S42" i="52"/>
  <c r="BW42" i="13" s="1"/>
  <c r="O42" i="52"/>
  <c r="BV42" i="13" s="1"/>
  <c r="K42" i="52"/>
  <c r="G42" i="52"/>
  <c r="BT42" i="13" s="1"/>
  <c r="S36" i="52"/>
  <c r="O36" i="52"/>
  <c r="BV36" i="13" s="1"/>
  <c r="K36" i="52"/>
  <c r="G36" i="52"/>
  <c r="S35" i="52"/>
  <c r="BW35" i="13" s="1"/>
  <c r="O35" i="52"/>
  <c r="BV35" i="13" s="1"/>
  <c r="K35" i="52"/>
  <c r="BU35" i="13" s="1"/>
  <c r="G35" i="52"/>
  <c r="BT35" i="13" s="1"/>
  <c r="S34" i="52"/>
  <c r="BW34" i="13" s="1"/>
  <c r="O34" i="52"/>
  <c r="BV34" i="13" s="1"/>
  <c r="K34" i="52"/>
  <c r="BU34" i="13" s="1"/>
  <c r="G34" i="52"/>
  <c r="BT34" i="13" s="1"/>
  <c r="S30" i="52"/>
  <c r="BW30" i="13" s="1"/>
  <c r="O30" i="52"/>
  <c r="K30" i="52"/>
  <c r="G30" i="52"/>
  <c r="S29" i="52"/>
  <c r="O29" i="52"/>
  <c r="BV29" i="13" s="1"/>
  <c r="K29" i="52"/>
  <c r="G29" i="52"/>
  <c r="S28" i="52"/>
  <c r="O28" i="52"/>
  <c r="K28" i="52"/>
  <c r="BU28" i="13" s="1"/>
  <c r="G28" i="52"/>
  <c r="BT28" i="13" s="1"/>
  <c r="S27" i="52"/>
  <c r="BW27" i="13" s="1"/>
  <c r="O27" i="52"/>
  <c r="K27" i="52"/>
  <c r="BU27" i="13" s="1"/>
  <c r="G27" i="52"/>
  <c r="S26" i="52"/>
  <c r="BW26" i="13" s="1"/>
  <c r="O26" i="52"/>
  <c r="BV26" i="13" s="1"/>
  <c r="K26" i="52"/>
  <c r="G26" i="52"/>
  <c r="S25" i="52"/>
  <c r="O25" i="52"/>
  <c r="BV25" i="13" s="1"/>
  <c r="K25" i="52"/>
  <c r="G25" i="52"/>
  <c r="O24" i="52"/>
  <c r="O23" i="52"/>
  <c r="O22" i="52"/>
  <c r="S21" i="52"/>
  <c r="BW21" i="13" s="1"/>
  <c r="O21" i="52"/>
  <c r="BV21" i="13" s="1"/>
  <c r="K21" i="52"/>
  <c r="BU21" i="13" s="1"/>
  <c r="G21" i="52"/>
  <c r="BT21" i="13" s="1"/>
  <c r="S20" i="52"/>
  <c r="O20" i="52"/>
  <c r="BV20" i="13" s="1"/>
  <c r="K20" i="52"/>
  <c r="G20" i="52"/>
  <c r="S19" i="52"/>
  <c r="O19" i="52"/>
  <c r="K19" i="52"/>
  <c r="BU19" i="13" s="1"/>
  <c r="G19" i="52"/>
  <c r="S18" i="52"/>
  <c r="O18" i="52"/>
  <c r="K18" i="52"/>
  <c r="BU18" i="13" s="1"/>
  <c r="G18" i="52"/>
  <c r="BT18" i="13" s="1"/>
  <c r="S17" i="52"/>
  <c r="BW17" i="13" s="1"/>
  <c r="O17" i="52"/>
  <c r="BV17" i="13" s="1"/>
  <c r="K17" i="52"/>
  <c r="BU17" i="13" s="1"/>
  <c r="G17" i="52"/>
  <c r="BT17" i="13" s="1"/>
  <c r="S16" i="52"/>
  <c r="BW16" i="13" s="1"/>
  <c r="O16" i="52"/>
  <c r="BV16" i="13" s="1"/>
  <c r="K16" i="52"/>
  <c r="BU16" i="13" s="1"/>
  <c r="G16" i="52"/>
  <c r="R14" i="52"/>
  <c r="P14" i="52"/>
  <c r="N14" i="52"/>
  <c r="O14" i="52" s="1"/>
  <c r="BV14" i="13" s="1"/>
  <c r="J14" i="52"/>
  <c r="H14" i="52"/>
  <c r="F14" i="52"/>
  <c r="D14" i="52"/>
  <c r="R13" i="52"/>
  <c r="P13" i="52"/>
  <c r="N13" i="52"/>
  <c r="O13" i="52" s="1"/>
  <c r="BV13" i="13" s="1"/>
  <c r="J13" i="52"/>
  <c r="H13" i="52"/>
  <c r="F13" i="52"/>
  <c r="D13" i="52"/>
  <c r="R12" i="52"/>
  <c r="P12" i="52"/>
  <c r="N12" i="52"/>
  <c r="O12" i="52" s="1"/>
  <c r="BV12" i="13" s="1"/>
  <c r="J12" i="52"/>
  <c r="H12" i="52"/>
  <c r="F12" i="52"/>
  <c r="D12" i="52"/>
  <c r="S10" i="52"/>
  <c r="O10" i="52"/>
  <c r="BV10" i="13" s="1"/>
  <c r="K10" i="52"/>
  <c r="BU10" i="13" s="1"/>
  <c r="G10" i="52"/>
  <c r="BT10" i="13" s="1"/>
  <c r="S9" i="52"/>
  <c r="BW9" i="13" s="1"/>
  <c r="O9" i="52"/>
  <c r="BV9" i="13" s="1"/>
  <c r="K9" i="52"/>
  <c r="G9" i="52"/>
  <c r="S8" i="52"/>
  <c r="O8" i="52"/>
  <c r="BV8" i="13" s="1"/>
  <c r="K8" i="52"/>
  <c r="G8" i="52"/>
  <c r="S7" i="52"/>
  <c r="O7" i="52"/>
  <c r="BV7" i="13" s="1"/>
  <c r="K7" i="52"/>
  <c r="G7" i="52"/>
  <c r="S6" i="52"/>
  <c r="O6" i="52"/>
  <c r="BV6" i="13" s="1"/>
  <c r="K6" i="52"/>
  <c r="BU6" i="13" s="1"/>
  <c r="G6" i="52"/>
  <c r="BT6" i="13" s="1"/>
  <c r="S5" i="52"/>
  <c r="BW5" i="13" s="1"/>
  <c r="O5" i="52"/>
  <c r="BV5" i="13" s="1"/>
  <c r="K5" i="52"/>
  <c r="G5" i="52"/>
  <c r="BT5" i="13" s="1"/>
  <c r="P1" i="52"/>
  <c r="BW3" i="13" s="1"/>
  <c r="BW2" i="13" s="1"/>
  <c r="L1" i="52"/>
  <c r="H1" i="52"/>
  <c r="D1" i="52"/>
  <c r="G90" i="51"/>
  <c r="BS90" i="13" s="1"/>
  <c r="G89" i="51"/>
  <c r="BS89" i="13" s="1"/>
  <c r="G88" i="51"/>
  <c r="BS88" i="13" s="1"/>
  <c r="G77" i="51"/>
  <c r="BS77" i="13" s="1"/>
  <c r="G76" i="51"/>
  <c r="BS76" i="13" s="1"/>
  <c r="G75" i="51"/>
  <c r="BS75" i="13" s="1"/>
  <c r="G66" i="51"/>
  <c r="BS66" i="13" s="1"/>
  <c r="G65" i="51"/>
  <c r="BS65" i="13" s="1"/>
  <c r="G64" i="51"/>
  <c r="G63" i="51"/>
  <c r="BS63" i="13" s="1"/>
  <c r="G57" i="51"/>
  <c r="G42" i="51"/>
  <c r="BS42" i="13" s="1"/>
  <c r="G34" i="51"/>
  <c r="BS34" i="13" s="1"/>
  <c r="G28" i="51"/>
  <c r="BS28" i="13" s="1"/>
  <c r="G25" i="51"/>
  <c r="G19" i="51"/>
  <c r="BS19" i="13" s="1"/>
  <c r="G18" i="51"/>
  <c r="G17" i="51"/>
  <c r="G16" i="51"/>
  <c r="BS16" i="13" s="1"/>
  <c r="G8" i="51"/>
  <c r="G5" i="51"/>
  <c r="BS5" i="13" s="1"/>
  <c r="BS3" i="13"/>
  <c r="BS2" i="13" s="1"/>
  <c r="O90" i="50"/>
  <c r="BR90" i="13" s="1"/>
  <c r="K90" i="50"/>
  <c r="BQ90" i="13" s="1"/>
  <c r="G90" i="50"/>
  <c r="O89" i="50"/>
  <c r="BR89" i="13" s="1"/>
  <c r="K89" i="50"/>
  <c r="BQ89" i="13" s="1"/>
  <c r="G89" i="50"/>
  <c r="BP89" i="13" s="1"/>
  <c r="O88" i="50"/>
  <c r="K88" i="50"/>
  <c r="G88" i="50"/>
  <c r="O77" i="50"/>
  <c r="BR77" i="13" s="1"/>
  <c r="K77" i="50"/>
  <c r="G77" i="50"/>
  <c r="O76" i="50"/>
  <c r="BR76" i="13" s="1"/>
  <c r="K76" i="50"/>
  <c r="BQ76" i="13" s="1"/>
  <c r="G76" i="50"/>
  <c r="BP76" i="13" s="1"/>
  <c r="O75" i="50"/>
  <c r="BR75" i="13" s="1"/>
  <c r="K75" i="50"/>
  <c r="BQ75" i="13" s="1"/>
  <c r="G75" i="50"/>
  <c r="BP75" i="13" s="1"/>
  <c r="O65" i="50"/>
  <c r="K65" i="50"/>
  <c r="BQ65" i="13" s="1"/>
  <c r="G65" i="50"/>
  <c r="BP65" i="13" s="1"/>
  <c r="O64" i="50"/>
  <c r="BR64" i="13" s="1"/>
  <c r="K64" i="50"/>
  <c r="BQ64" i="13" s="1"/>
  <c r="G64" i="50"/>
  <c r="BP64" i="13" s="1"/>
  <c r="O63" i="50"/>
  <c r="K63" i="50"/>
  <c r="BQ63" i="13" s="1"/>
  <c r="G63" i="50"/>
  <c r="O59" i="50"/>
  <c r="K59" i="50"/>
  <c r="G59" i="50"/>
  <c r="O58" i="50"/>
  <c r="BR58" i="13" s="1"/>
  <c r="K58" i="50"/>
  <c r="BQ58" i="13" s="1"/>
  <c r="G58" i="50"/>
  <c r="BP58" i="13" s="1"/>
  <c r="O57" i="50"/>
  <c r="BR57" i="13" s="1"/>
  <c r="K57" i="50"/>
  <c r="BQ57" i="13" s="1"/>
  <c r="G57" i="50"/>
  <c r="BP57" i="13" s="1"/>
  <c r="O44" i="50"/>
  <c r="BR44" i="13" s="1"/>
  <c r="K44" i="50"/>
  <c r="BQ44" i="13" s="1"/>
  <c r="G44" i="50"/>
  <c r="BP44" i="13" s="1"/>
  <c r="O43" i="50"/>
  <c r="BR43" i="13" s="1"/>
  <c r="K43" i="50"/>
  <c r="G43" i="50"/>
  <c r="BP43" i="13" s="1"/>
  <c r="O42" i="50"/>
  <c r="K42" i="50"/>
  <c r="G42" i="50"/>
  <c r="O36" i="50"/>
  <c r="BR36" i="13" s="1"/>
  <c r="K36" i="50"/>
  <c r="BQ36" i="13" s="1"/>
  <c r="G36" i="50"/>
  <c r="BP36" i="13" s="1"/>
  <c r="O35" i="50"/>
  <c r="BR35" i="13" s="1"/>
  <c r="K35" i="50"/>
  <c r="BQ35" i="13" s="1"/>
  <c r="G35" i="50"/>
  <c r="O34" i="50"/>
  <c r="BR34" i="13" s="1"/>
  <c r="K34" i="50"/>
  <c r="BQ34" i="13" s="1"/>
  <c r="G34" i="50"/>
  <c r="O30" i="50"/>
  <c r="K30" i="50"/>
  <c r="G30" i="50"/>
  <c r="O29" i="50"/>
  <c r="BR29" i="13" s="1"/>
  <c r="K29" i="50"/>
  <c r="G29" i="50"/>
  <c r="O28" i="50"/>
  <c r="K28" i="50"/>
  <c r="BQ28" i="13" s="1"/>
  <c r="G28" i="50"/>
  <c r="BP28" i="13" s="1"/>
  <c r="O27" i="50"/>
  <c r="BR27" i="13" s="1"/>
  <c r="K27" i="50"/>
  <c r="BQ27" i="13" s="1"/>
  <c r="G27" i="50"/>
  <c r="BP27" i="13" s="1"/>
  <c r="O26" i="50"/>
  <c r="K26" i="50"/>
  <c r="BQ26" i="13" s="1"/>
  <c r="G26" i="50"/>
  <c r="BP26" i="13" s="1"/>
  <c r="O25" i="50"/>
  <c r="BR25" i="13" s="1"/>
  <c r="K25" i="50"/>
  <c r="G25" i="50"/>
  <c r="O21" i="50"/>
  <c r="K21" i="50"/>
  <c r="BQ21" i="13" s="1"/>
  <c r="G21" i="50"/>
  <c r="O20" i="50"/>
  <c r="K20" i="50"/>
  <c r="G20" i="50"/>
  <c r="BP20" i="13" s="1"/>
  <c r="O19" i="50"/>
  <c r="BR19" i="13" s="1"/>
  <c r="K19" i="50"/>
  <c r="BQ19" i="13" s="1"/>
  <c r="G19" i="50"/>
  <c r="BP19" i="13" s="1"/>
  <c r="O18" i="50"/>
  <c r="BR18" i="13" s="1"/>
  <c r="K18" i="50"/>
  <c r="G18" i="50"/>
  <c r="BP18" i="13" s="1"/>
  <c r="O17" i="50"/>
  <c r="BR17" i="13" s="1"/>
  <c r="K17" i="50"/>
  <c r="BQ17" i="13" s="1"/>
  <c r="G17" i="50"/>
  <c r="O16" i="50"/>
  <c r="K16" i="50"/>
  <c r="G16" i="50"/>
  <c r="BP16" i="13" s="1"/>
  <c r="N14" i="50"/>
  <c r="L14" i="50"/>
  <c r="J14" i="50"/>
  <c r="H14" i="50"/>
  <c r="F14" i="50"/>
  <c r="D14" i="50"/>
  <c r="N13" i="50"/>
  <c r="L13" i="50"/>
  <c r="J13" i="50"/>
  <c r="H13" i="50"/>
  <c r="F13" i="50"/>
  <c r="D13" i="50"/>
  <c r="N12" i="50"/>
  <c r="L12" i="50"/>
  <c r="J12" i="50"/>
  <c r="H12" i="50"/>
  <c r="F12" i="50"/>
  <c r="D12" i="50"/>
  <c r="O10" i="50"/>
  <c r="K10" i="50"/>
  <c r="BQ10" i="13" s="1"/>
  <c r="G10" i="50"/>
  <c r="O9" i="50"/>
  <c r="BR9" i="13" s="1"/>
  <c r="K9" i="50"/>
  <c r="BQ9" i="13" s="1"/>
  <c r="G9" i="50"/>
  <c r="BP9" i="13" s="1"/>
  <c r="O8" i="50"/>
  <c r="K8" i="50"/>
  <c r="BQ8" i="13" s="1"/>
  <c r="G8" i="50"/>
  <c r="O7" i="50"/>
  <c r="BR7" i="13" s="1"/>
  <c r="K7" i="50"/>
  <c r="G7" i="50"/>
  <c r="O6" i="50"/>
  <c r="K6" i="50"/>
  <c r="G6" i="50"/>
  <c r="O5" i="50"/>
  <c r="K5" i="50"/>
  <c r="G5" i="50"/>
  <c r="BP5" i="13" s="1"/>
  <c r="L1" i="50"/>
  <c r="BR3" i="13" s="1"/>
  <c r="BR2" i="13" s="1"/>
  <c r="H1" i="50"/>
  <c r="BQ3" i="13" s="1"/>
  <c r="BQ2" i="13" s="1"/>
  <c r="D1" i="50"/>
  <c r="BP3" i="13" s="1"/>
  <c r="BP2" i="13" s="1"/>
  <c r="K102" i="49"/>
  <c r="BO102" i="13" s="1"/>
  <c r="G102" i="49"/>
  <c r="BN102" i="13" s="1"/>
  <c r="K101" i="49"/>
  <c r="BO101" i="13" s="1"/>
  <c r="G101" i="49"/>
  <c r="K100" i="49"/>
  <c r="BO100" i="13" s="1"/>
  <c r="G100" i="49"/>
  <c r="BN100" i="13" s="1"/>
  <c r="K99" i="49"/>
  <c r="G99" i="49"/>
  <c r="K98" i="49"/>
  <c r="G98" i="49"/>
  <c r="K97" i="49"/>
  <c r="G97" i="49"/>
  <c r="K90" i="49"/>
  <c r="BO90" i="13" s="1"/>
  <c r="G90" i="49"/>
  <c r="BN90" i="13" s="1"/>
  <c r="K89" i="49"/>
  <c r="BO89" i="13" s="1"/>
  <c r="G89" i="49"/>
  <c r="BN89" i="13" s="1"/>
  <c r="K88" i="49"/>
  <c r="BO88" i="13" s="1"/>
  <c r="G88" i="49"/>
  <c r="BN88" i="13" s="1"/>
  <c r="K77" i="49"/>
  <c r="BO77" i="13" s="1"/>
  <c r="G77" i="49"/>
  <c r="BN77" i="13" s="1"/>
  <c r="K76" i="49"/>
  <c r="BO76" i="13" s="1"/>
  <c r="G76" i="49"/>
  <c r="BN76" i="13" s="1"/>
  <c r="K75" i="49"/>
  <c r="BO75" i="13" s="1"/>
  <c r="G75" i="49"/>
  <c r="K68" i="49"/>
  <c r="BO68" i="13" s="1"/>
  <c r="G68" i="49"/>
  <c r="BN68" i="13" s="1"/>
  <c r="K67" i="49"/>
  <c r="G67" i="49"/>
  <c r="BN67" i="13" s="1"/>
  <c r="K66" i="49"/>
  <c r="BO66" i="13" s="1"/>
  <c r="G66" i="49"/>
  <c r="BN66" i="13" s="1"/>
  <c r="K65" i="49"/>
  <c r="BO65" i="13" s="1"/>
  <c r="G65" i="49"/>
  <c r="BN65" i="13" s="1"/>
  <c r="K64" i="49"/>
  <c r="BO64" i="13" s="1"/>
  <c r="G64" i="49"/>
  <c r="K63" i="49"/>
  <c r="BO63" i="13" s="1"/>
  <c r="G63" i="49"/>
  <c r="K59" i="49"/>
  <c r="BO59" i="13" s="1"/>
  <c r="G59" i="49"/>
  <c r="BN59" i="13" s="1"/>
  <c r="K58" i="49"/>
  <c r="G58" i="49"/>
  <c r="K57" i="49"/>
  <c r="G57" i="49"/>
  <c r="K44" i="49"/>
  <c r="G44" i="49"/>
  <c r="K43" i="49"/>
  <c r="BO43" i="13" s="1"/>
  <c r="G43" i="49"/>
  <c r="BN43" i="13" s="1"/>
  <c r="K42" i="49"/>
  <c r="BO42" i="13" s="1"/>
  <c r="G42" i="49"/>
  <c r="BN42" i="13" s="1"/>
  <c r="K36" i="49"/>
  <c r="BO36" i="13" s="1"/>
  <c r="G36" i="49"/>
  <c r="K35" i="49"/>
  <c r="BO35" i="13" s="1"/>
  <c r="G35" i="49"/>
  <c r="K34" i="49"/>
  <c r="BO34" i="13" s="1"/>
  <c r="G34" i="49"/>
  <c r="K30" i="49"/>
  <c r="G30" i="49"/>
  <c r="K29" i="49"/>
  <c r="G29" i="49"/>
  <c r="K28" i="49"/>
  <c r="G28" i="49"/>
  <c r="K27" i="49"/>
  <c r="BO27" i="13" s="1"/>
  <c r="G27" i="49"/>
  <c r="BN27" i="13" s="1"/>
  <c r="K26" i="49"/>
  <c r="BO26" i="13" s="1"/>
  <c r="G26" i="49"/>
  <c r="BN26" i="13" s="1"/>
  <c r="K25" i="49"/>
  <c r="BO25" i="13" s="1"/>
  <c r="G25" i="49"/>
  <c r="K21" i="49"/>
  <c r="BO21" i="13" s="1"/>
  <c r="G21" i="49"/>
  <c r="BN21" i="13" s="1"/>
  <c r="K20" i="49"/>
  <c r="G20" i="49"/>
  <c r="K19" i="49"/>
  <c r="G19" i="49"/>
  <c r="K18" i="49"/>
  <c r="G18" i="49"/>
  <c r="K17" i="49"/>
  <c r="G17" i="49"/>
  <c r="K16" i="49"/>
  <c r="BO16" i="13" s="1"/>
  <c r="G16" i="49"/>
  <c r="BN16" i="13" s="1"/>
  <c r="K10" i="49"/>
  <c r="BO10" i="13" s="1"/>
  <c r="G10" i="49"/>
  <c r="BN10" i="13" s="1"/>
  <c r="K9" i="49"/>
  <c r="BO9" i="13" s="1"/>
  <c r="G9" i="49"/>
  <c r="K8" i="49"/>
  <c r="BO8" i="13" s="1"/>
  <c r="G8" i="49"/>
  <c r="BN8" i="13" s="1"/>
  <c r="K7" i="49"/>
  <c r="G7" i="49"/>
  <c r="K6" i="49"/>
  <c r="BO6" i="13" s="1"/>
  <c r="G6" i="49"/>
  <c r="K5" i="49"/>
  <c r="BO5" i="13" s="1"/>
  <c r="G5" i="49"/>
  <c r="H1" i="49"/>
  <c r="D1" i="49"/>
  <c r="K96" i="48"/>
  <c r="BM96" i="13" s="1"/>
  <c r="G96" i="48"/>
  <c r="BL96" i="13" s="1"/>
  <c r="K95" i="48"/>
  <c r="BM95" i="13" s="1"/>
  <c r="G95" i="48"/>
  <c r="BL95" i="13" s="1"/>
  <c r="K94" i="48"/>
  <c r="BM94" i="13" s="1"/>
  <c r="G94" i="48"/>
  <c r="K90" i="48"/>
  <c r="BM90" i="13" s="1"/>
  <c r="G90" i="48"/>
  <c r="BL90" i="13" s="1"/>
  <c r="K89" i="48"/>
  <c r="G89" i="48"/>
  <c r="BL89" i="13" s="1"/>
  <c r="K88" i="48"/>
  <c r="BM88" i="13" s="1"/>
  <c r="G88" i="48"/>
  <c r="K77" i="48"/>
  <c r="BM77" i="13" s="1"/>
  <c r="G77" i="48"/>
  <c r="K76" i="48"/>
  <c r="G76" i="48"/>
  <c r="K75" i="48"/>
  <c r="BM75" i="13" s="1"/>
  <c r="G75" i="48"/>
  <c r="BL75" i="13" s="1"/>
  <c r="K68" i="48"/>
  <c r="BM68" i="13" s="1"/>
  <c r="G68" i="48"/>
  <c r="BL68" i="13" s="1"/>
  <c r="K67" i="48"/>
  <c r="BM67" i="13" s="1"/>
  <c r="G67" i="48"/>
  <c r="K66" i="48"/>
  <c r="BM66" i="13" s="1"/>
  <c r="G66" i="48"/>
  <c r="BL66" i="13" s="1"/>
  <c r="K65" i="48"/>
  <c r="BM65" i="13" s="1"/>
  <c r="G65" i="48"/>
  <c r="BL65" i="13" s="1"/>
  <c r="K64" i="48"/>
  <c r="G64" i="48"/>
  <c r="K63" i="48"/>
  <c r="G63" i="48"/>
  <c r="BL63" i="13" s="1"/>
  <c r="K59" i="48"/>
  <c r="BM59" i="13" s="1"/>
  <c r="G59" i="48"/>
  <c r="BL59" i="13" s="1"/>
  <c r="K58" i="48"/>
  <c r="BM58" i="13" s="1"/>
  <c r="G58" i="48"/>
  <c r="BL58" i="13" s="1"/>
  <c r="K57" i="48"/>
  <c r="BM57" i="13" s="1"/>
  <c r="G57" i="48"/>
  <c r="BL57" i="13" s="1"/>
  <c r="K47" i="48"/>
  <c r="BM47" i="13" s="1"/>
  <c r="G47" i="48"/>
  <c r="K46" i="48"/>
  <c r="BM46" i="13" s="1"/>
  <c r="G46" i="48"/>
  <c r="K45" i="48"/>
  <c r="BM45" i="13" s="1"/>
  <c r="G45" i="48"/>
  <c r="K44" i="48"/>
  <c r="G44" i="48"/>
  <c r="K43" i="48"/>
  <c r="G43" i="48"/>
  <c r="K42" i="48"/>
  <c r="G42" i="48"/>
  <c r="K36" i="48"/>
  <c r="BM36" i="13" s="1"/>
  <c r="G36" i="48"/>
  <c r="BL36" i="13" s="1"/>
  <c r="K35" i="48"/>
  <c r="BM35" i="13" s="1"/>
  <c r="G35" i="48"/>
  <c r="BL35" i="13" s="1"/>
  <c r="K34" i="48"/>
  <c r="BM34" i="13" s="1"/>
  <c r="G34" i="48"/>
  <c r="K30" i="48"/>
  <c r="BM30" i="13" s="1"/>
  <c r="G30" i="48"/>
  <c r="K29" i="48"/>
  <c r="BM29" i="13" s="1"/>
  <c r="G29" i="48"/>
  <c r="K28" i="48"/>
  <c r="G28" i="48"/>
  <c r="K27" i="48"/>
  <c r="BM27" i="13" s="1"/>
  <c r="G27" i="48"/>
  <c r="K26" i="48"/>
  <c r="G26" i="48"/>
  <c r="K25" i="48"/>
  <c r="BM25" i="13" s="1"/>
  <c r="G25" i="48"/>
  <c r="BL25" i="13" s="1"/>
  <c r="K21" i="48"/>
  <c r="BM21" i="13" s="1"/>
  <c r="G21" i="48"/>
  <c r="BL21" i="13" s="1"/>
  <c r="K20" i="48"/>
  <c r="BM20" i="13" s="1"/>
  <c r="G20" i="48"/>
  <c r="K19" i="48"/>
  <c r="BM19" i="13" s="1"/>
  <c r="G19" i="48"/>
  <c r="BL19" i="13" s="1"/>
  <c r="K18" i="48"/>
  <c r="BM18" i="13" s="1"/>
  <c r="G18" i="48"/>
  <c r="K17" i="48"/>
  <c r="G17" i="48"/>
  <c r="K16" i="48"/>
  <c r="G16" i="48"/>
  <c r="J14" i="48"/>
  <c r="F14" i="48"/>
  <c r="J13" i="48"/>
  <c r="F13" i="48"/>
  <c r="J12" i="48"/>
  <c r="F12" i="48"/>
  <c r="K10" i="48"/>
  <c r="BM10" i="13" s="1"/>
  <c r="G10" i="48"/>
  <c r="K9" i="48"/>
  <c r="BM9" i="13" s="1"/>
  <c r="G9" i="48"/>
  <c r="K8" i="48"/>
  <c r="G8" i="48"/>
  <c r="K7" i="48"/>
  <c r="G7" i="48"/>
  <c r="K6" i="48"/>
  <c r="BM6" i="13" s="1"/>
  <c r="G6" i="48"/>
  <c r="K5" i="48"/>
  <c r="G5" i="48"/>
  <c r="H1" i="48"/>
  <c r="BM3" i="13" s="1"/>
  <c r="BM2" i="13" s="1"/>
  <c r="D1" i="48"/>
  <c r="BL3" i="13" s="1"/>
  <c r="BL2" i="13" s="1"/>
  <c r="K105" i="70"/>
  <c r="CU105" i="13" s="1"/>
  <c r="G105" i="70"/>
  <c r="CT105" i="13" s="1"/>
  <c r="K104" i="70"/>
  <c r="G104" i="70"/>
  <c r="CT104" i="13" s="1"/>
  <c r="K103" i="70"/>
  <c r="CU103" i="13" s="1"/>
  <c r="G103" i="70"/>
  <c r="CT103" i="13" s="1"/>
  <c r="K102" i="70"/>
  <c r="CU102" i="13" s="1"/>
  <c r="G102" i="70"/>
  <c r="K101" i="70"/>
  <c r="G101" i="70"/>
  <c r="K100" i="70"/>
  <c r="CU100" i="13" s="1"/>
  <c r="G100" i="70"/>
  <c r="K99" i="70"/>
  <c r="CU99" i="13" s="1"/>
  <c r="G99" i="70"/>
  <c r="K98" i="70"/>
  <c r="CU98" i="13" s="1"/>
  <c r="G98" i="70"/>
  <c r="CT98" i="13" s="1"/>
  <c r="K97" i="70"/>
  <c r="CU97" i="13" s="1"/>
  <c r="G97" i="70"/>
  <c r="CT97" i="13" s="1"/>
  <c r="K96" i="70"/>
  <c r="CU96" i="13" s="1"/>
  <c r="G96" i="70"/>
  <c r="CT96" i="13" s="1"/>
  <c r="K95" i="70"/>
  <c r="CU95" i="13" s="1"/>
  <c r="G95" i="70"/>
  <c r="CT95" i="13" s="1"/>
  <c r="K94" i="70"/>
  <c r="CU94" i="13" s="1"/>
  <c r="G94" i="70"/>
  <c r="CT94" i="13" s="1"/>
  <c r="K90" i="70"/>
  <c r="G90" i="70"/>
  <c r="K89" i="70"/>
  <c r="CU89" i="13" s="1"/>
  <c r="G89" i="70"/>
  <c r="K88" i="70"/>
  <c r="G88" i="70"/>
  <c r="K86" i="70"/>
  <c r="CU86" i="13" s="1"/>
  <c r="G86" i="70"/>
  <c r="CT86" i="13" s="1"/>
  <c r="K85" i="70"/>
  <c r="CU85" i="13" s="1"/>
  <c r="G85" i="70"/>
  <c r="CT85" i="13" s="1"/>
  <c r="K84" i="70"/>
  <c r="CU84" i="13" s="1"/>
  <c r="G84" i="70"/>
  <c r="K83" i="70"/>
  <c r="CU83" i="13" s="1"/>
  <c r="G83" i="70"/>
  <c r="K82" i="70"/>
  <c r="CU82" i="13" s="1"/>
  <c r="G82" i="70"/>
  <c r="CT82" i="13" s="1"/>
  <c r="K81" i="70"/>
  <c r="CU81" i="13" s="1"/>
  <c r="G81" i="70"/>
  <c r="K80" i="70"/>
  <c r="CU80" i="13" s="1"/>
  <c r="G80" i="70"/>
  <c r="K79" i="70"/>
  <c r="CU79" i="13" s="1"/>
  <c r="G79" i="70"/>
  <c r="CT79" i="13" s="1"/>
  <c r="K78" i="70"/>
  <c r="CU78" i="13" s="1"/>
  <c r="G78" i="70"/>
  <c r="CT78" i="13" s="1"/>
  <c r="K77" i="70"/>
  <c r="CU77" i="13" s="1"/>
  <c r="G77" i="70"/>
  <c r="CT77" i="13" s="1"/>
  <c r="K76" i="70"/>
  <c r="CU76" i="13" s="1"/>
  <c r="G76" i="70"/>
  <c r="K75" i="70"/>
  <c r="CU75" i="13" s="1"/>
  <c r="G75" i="70"/>
  <c r="K74" i="70"/>
  <c r="CU74" i="13" s="1"/>
  <c r="G74" i="70"/>
  <c r="CT74" i="13" s="1"/>
  <c r="K73" i="70"/>
  <c r="CU73" i="13" s="1"/>
  <c r="G73" i="70"/>
  <c r="K72" i="70"/>
  <c r="CU72" i="13" s="1"/>
  <c r="G72" i="70"/>
  <c r="CT72" i="13" s="1"/>
  <c r="K71" i="70"/>
  <c r="G71" i="70"/>
  <c r="CT71" i="13" s="1"/>
  <c r="K70" i="70"/>
  <c r="CU70" i="13" s="1"/>
  <c r="G70" i="70"/>
  <c r="K69" i="70"/>
  <c r="CU69" i="13" s="1"/>
  <c r="G69" i="70"/>
  <c r="CT69" i="13" s="1"/>
  <c r="K68" i="70"/>
  <c r="CU68" i="13" s="1"/>
  <c r="G68" i="70"/>
  <c r="CT68" i="13" s="1"/>
  <c r="K67" i="70"/>
  <c r="CU67" i="13" s="1"/>
  <c r="G67" i="70"/>
  <c r="CT67" i="13" s="1"/>
  <c r="K66" i="70"/>
  <c r="CU66" i="13" s="1"/>
  <c r="G66" i="70"/>
  <c r="CT66" i="13" s="1"/>
  <c r="K65" i="70"/>
  <c r="G65" i="70"/>
  <c r="K64" i="70"/>
  <c r="CU64" i="13" s="1"/>
  <c r="G64" i="70"/>
  <c r="K63" i="70"/>
  <c r="G63" i="70"/>
  <c r="K62" i="70"/>
  <c r="CU62" i="13" s="1"/>
  <c r="G62" i="70"/>
  <c r="CT62" i="13" s="1"/>
  <c r="K61" i="70"/>
  <c r="CU61" i="13" s="1"/>
  <c r="G61" i="70"/>
  <c r="CT61" i="13" s="1"/>
  <c r="K60" i="70"/>
  <c r="CU60" i="13" s="1"/>
  <c r="G60" i="70"/>
  <c r="K59" i="70"/>
  <c r="CU59" i="13" s="1"/>
  <c r="G59" i="70"/>
  <c r="K58" i="70"/>
  <c r="CU58" i="13" s="1"/>
  <c r="G58" i="70"/>
  <c r="CT58" i="13" s="1"/>
  <c r="K57" i="70"/>
  <c r="CU57" i="13" s="1"/>
  <c r="G57" i="70"/>
  <c r="K56" i="70"/>
  <c r="CU56" i="13" s="1"/>
  <c r="G56" i="70"/>
  <c r="CT56" i="13" s="1"/>
  <c r="K55" i="70"/>
  <c r="G55" i="70"/>
  <c r="CT55" i="13" s="1"/>
  <c r="K54" i="70"/>
  <c r="CU54" i="13" s="1"/>
  <c r="G54" i="70"/>
  <c r="CT54" i="13" s="1"/>
  <c r="K53" i="70"/>
  <c r="CU53" i="13" s="1"/>
  <c r="G53" i="70"/>
  <c r="CT53" i="13" s="1"/>
  <c r="K52" i="70"/>
  <c r="CU52" i="13" s="1"/>
  <c r="G52" i="70"/>
  <c r="K51" i="70"/>
  <c r="CU51" i="13" s="1"/>
  <c r="G51" i="70"/>
  <c r="K50" i="70"/>
  <c r="CU50" i="13" s="1"/>
  <c r="G50" i="70"/>
  <c r="CT50" i="13" s="1"/>
  <c r="K49" i="70"/>
  <c r="G49" i="70"/>
  <c r="K48" i="70"/>
  <c r="CU48" i="13" s="1"/>
  <c r="G48" i="70"/>
  <c r="K47" i="70"/>
  <c r="G47" i="70"/>
  <c r="CT47" i="13" s="1"/>
  <c r="K46" i="70"/>
  <c r="CU46" i="13" s="1"/>
  <c r="G46" i="70"/>
  <c r="K45" i="70"/>
  <c r="CU45" i="13" s="1"/>
  <c r="G45" i="70"/>
  <c r="CT45" i="13" s="1"/>
  <c r="K44" i="70"/>
  <c r="CU44" i="13" s="1"/>
  <c r="G44" i="70"/>
  <c r="K43" i="70"/>
  <c r="CU43" i="13" s="1"/>
  <c r="G43" i="70"/>
  <c r="CT43" i="13" s="1"/>
  <c r="K42" i="70"/>
  <c r="CU42" i="13" s="1"/>
  <c r="G42" i="70"/>
  <c r="K36" i="70"/>
  <c r="G36" i="70"/>
  <c r="K35" i="70"/>
  <c r="CU35" i="13" s="1"/>
  <c r="G35" i="70"/>
  <c r="K34" i="70"/>
  <c r="G34" i="70"/>
  <c r="K33" i="70"/>
  <c r="CU33" i="13" s="1"/>
  <c r="G33" i="70"/>
  <c r="CT33" i="13" s="1"/>
  <c r="K32" i="70"/>
  <c r="CU32" i="13" s="1"/>
  <c r="G32" i="70"/>
  <c r="CT32" i="13" s="1"/>
  <c r="K31" i="70"/>
  <c r="CU31" i="13" s="1"/>
  <c r="G31" i="70"/>
  <c r="K30" i="70"/>
  <c r="CU30" i="13" s="1"/>
  <c r="G30" i="70"/>
  <c r="CT30" i="13" s="1"/>
  <c r="K29" i="70"/>
  <c r="G29" i="70"/>
  <c r="K28" i="70"/>
  <c r="G28" i="70"/>
  <c r="K27" i="70"/>
  <c r="CU27" i="13" s="1"/>
  <c r="G27" i="70"/>
  <c r="K26" i="70"/>
  <c r="G26" i="70"/>
  <c r="K25" i="70"/>
  <c r="CU25" i="13" s="1"/>
  <c r="G25" i="70"/>
  <c r="CT25" i="13" s="1"/>
  <c r="K21" i="70"/>
  <c r="CU21" i="13" s="1"/>
  <c r="G21" i="70"/>
  <c r="CT21" i="13" s="1"/>
  <c r="K20" i="70"/>
  <c r="CU20" i="13" s="1"/>
  <c r="G20" i="70"/>
  <c r="K19" i="70"/>
  <c r="CU19" i="13" s="1"/>
  <c r="G19" i="70"/>
  <c r="CT19" i="13" s="1"/>
  <c r="K18" i="70"/>
  <c r="CU18" i="13" s="1"/>
  <c r="G18" i="70"/>
  <c r="K17" i="70"/>
  <c r="G17" i="70"/>
  <c r="K16" i="70"/>
  <c r="G16" i="70"/>
  <c r="K14" i="70"/>
  <c r="G14" i="70"/>
  <c r="K13" i="70"/>
  <c r="CU13" i="13" s="1"/>
  <c r="G13" i="70"/>
  <c r="CT13" i="13" s="1"/>
  <c r="K12" i="70"/>
  <c r="CU12" i="13" s="1"/>
  <c r="G12" i="70"/>
  <c r="CT12" i="13" s="1"/>
  <c r="S105" i="69"/>
  <c r="CS105" i="13" s="1"/>
  <c r="O105" i="69"/>
  <c r="CR105" i="13" s="1"/>
  <c r="K105" i="69"/>
  <c r="CQ105" i="13" s="1"/>
  <c r="G105" i="69"/>
  <c r="CP105" i="13" s="1"/>
  <c r="S104" i="69"/>
  <c r="CS104" i="13" s="1"/>
  <c r="O104" i="69"/>
  <c r="K104" i="69"/>
  <c r="CQ104" i="13" s="1"/>
  <c r="G104" i="69"/>
  <c r="S103" i="69"/>
  <c r="CS103" i="13" s="1"/>
  <c r="O103" i="69"/>
  <c r="CR103" i="13" s="1"/>
  <c r="K103" i="69"/>
  <c r="G103" i="69"/>
  <c r="S102" i="69"/>
  <c r="CS102" i="13" s="1"/>
  <c r="O102" i="69"/>
  <c r="CR102" i="13" s="1"/>
  <c r="K102" i="69"/>
  <c r="CQ102" i="13" s="1"/>
  <c r="G102" i="69"/>
  <c r="CP102" i="13" s="1"/>
  <c r="S101" i="69"/>
  <c r="CS101" i="13" s="1"/>
  <c r="O101" i="69"/>
  <c r="K101" i="69"/>
  <c r="CQ101" i="13" s="1"/>
  <c r="G101" i="69"/>
  <c r="CP101" i="13" s="1"/>
  <c r="S100" i="69"/>
  <c r="O100" i="69"/>
  <c r="K100" i="69"/>
  <c r="CQ100" i="13" s="1"/>
  <c r="G100" i="69"/>
  <c r="S99" i="69"/>
  <c r="CS99" i="13" s="1"/>
  <c r="O99" i="69"/>
  <c r="K99" i="69"/>
  <c r="CQ99" i="13" s="1"/>
  <c r="G99" i="69"/>
  <c r="CP99" i="13" s="1"/>
  <c r="S98" i="69"/>
  <c r="CS98" i="13" s="1"/>
  <c r="O98" i="69"/>
  <c r="CR98" i="13" s="1"/>
  <c r="K98" i="69"/>
  <c r="CQ98" i="13" s="1"/>
  <c r="G98" i="69"/>
  <c r="CP98" i="13" s="1"/>
  <c r="S97" i="69"/>
  <c r="CS97" i="13" s="1"/>
  <c r="O97" i="69"/>
  <c r="CR97" i="13" s="1"/>
  <c r="K97" i="69"/>
  <c r="CQ97" i="13" s="1"/>
  <c r="G97" i="69"/>
  <c r="CP97" i="13" s="1"/>
  <c r="S96" i="69"/>
  <c r="CS96" i="13" s="1"/>
  <c r="O96" i="69"/>
  <c r="K96" i="69"/>
  <c r="CQ96" i="13" s="1"/>
  <c r="G96" i="69"/>
  <c r="S95" i="69"/>
  <c r="CS95" i="13" s="1"/>
  <c r="O95" i="69"/>
  <c r="K95" i="69"/>
  <c r="CQ95" i="13" s="1"/>
  <c r="G95" i="69"/>
  <c r="S94" i="69"/>
  <c r="CS94" i="13" s="1"/>
  <c r="O94" i="69"/>
  <c r="CR94" i="13" s="1"/>
  <c r="K94" i="69"/>
  <c r="CQ94" i="13" s="1"/>
  <c r="G94" i="69"/>
  <c r="CP94" i="13" s="1"/>
  <c r="S93" i="69"/>
  <c r="CS93" i="13" s="1"/>
  <c r="O93" i="69"/>
  <c r="CR93" i="13" s="1"/>
  <c r="K93" i="69"/>
  <c r="CQ93" i="13" s="1"/>
  <c r="G93" i="69"/>
  <c r="CP93" i="13" s="1"/>
  <c r="S92" i="69"/>
  <c r="O92" i="69"/>
  <c r="CR92" i="13" s="1"/>
  <c r="K92" i="69"/>
  <c r="CQ92" i="13" s="1"/>
  <c r="G92" i="69"/>
  <c r="S91" i="69"/>
  <c r="CS91" i="13" s="1"/>
  <c r="O91" i="69"/>
  <c r="K91" i="69"/>
  <c r="G91" i="69"/>
  <c r="S90" i="69"/>
  <c r="CS90" i="13" s="1"/>
  <c r="O90" i="69"/>
  <c r="CR90" i="13" s="1"/>
  <c r="K90" i="69"/>
  <c r="CQ90" i="13" s="1"/>
  <c r="G90" i="69"/>
  <c r="CP90" i="13" s="1"/>
  <c r="S89" i="69"/>
  <c r="CS89" i="13" s="1"/>
  <c r="O89" i="69"/>
  <c r="CR89" i="13" s="1"/>
  <c r="K89" i="69"/>
  <c r="CQ89" i="13" s="1"/>
  <c r="G89" i="69"/>
  <c r="CP89" i="13" s="1"/>
  <c r="S88" i="69"/>
  <c r="CS88" i="13" s="1"/>
  <c r="O88" i="69"/>
  <c r="K88" i="69"/>
  <c r="CQ88" i="13" s="1"/>
  <c r="G88" i="69"/>
  <c r="S86" i="69"/>
  <c r="CS86" i="13" s="1"/>
  <c r="O86" i="69"/>
  <c r="K86" i="69"/>
  <c r="CQ86" i="13" s="1"/>
  <c r="G86" i="69"/>
  <c r="CP86" i="13" s="1"/>
  <c r="S85" i="69"/>
  <c r="CS85" i="13" s="1"/>
  <c r="O85" i="69"/>
  <c r="CR85" i="13" s="1"/>
  <c r="K85" i="69"/>
  <c r="CQ85" i="13" s="1"/>
  <c r="G85" i="69"/>
  <c r="CP85" i="13" s="1"/>
  <c r="S84" i="69"/>
  <c r="CS84" i="13" s="1"/>
  <c r="O84" i="69"/>
  <c r="CR84" i="13" s="1"/>
  <c r="K84" i="69"/>
  <c r="CQ84" i="13" s="1"/>
  <c r="G84" i="69"/>
  <c r="CP84" i="13" s="1"/>
  <c r="S83" i="69"/>
  <c r="CS83" i="13" s="1"/>
  <c r="O83" i="69"/>
  <c r="K83" i="69"/>
  <c r="G83" i="69"/>
  <c r="S82" i="69"/>
  <c r="O82" i="69"/>
  <c r="K82" i="69"/>
  <c r="CQ82" i="13" s="1"/>
  <c r="G82" i="69"/>
  <c r="S81" i="69"/>
  <c r="CS81" i="13" s="1"/>
  <c r="O81" i="69"/>
  <c r="CR81" i="13" s="1"/>
  <c r="K81" i="69"/>
  <c r="CQ81" i="13" s="1"/>
  <c r="G81" i="69"/>
  <c r="CP81" i="13" s="1"/>
  <c r="S80" i="69"/>
  <c r="CS80" i="13" s="1"/>
  <c r="O80" i="69"/>
  <c r="CR80" i="13" s="1"/>
  <c r="K80" i="69"/>
  <c r="CQ80" i="13" s="1"/>
  <c r="G80" i="69"/>
  <c r="CP80" i="13" s="1"/>
  <c r="S79" i="69"/>
  <c r="CS79" i="13" s="1"/>
  <c r="O79" i="69"/>
  <c r="K79" i="69"/>
  <c r="CQ79" i="13" s="1"/>
  <c r="G79" i="69"/>
  <c r="S78" i="69"/>
  <c r="CS78" i="13" s="1"/>
  <c r="O78" i="69"/>
  <c r="CR78" i="13" s="1"/>
  <c r="K78" i="69"/>
  <c r="CQ78" i="13" s="1"/>
  <c r="G78" i="69"/>
  <c r="CP78" i="13" s="1"/>
  <c r="S77" i="69"/>
  <c r="CS77" i="13" s="1"/>
  <c r="O77" i="69"/>
  <c r="CR77" i="13" s="1"/>
  <c r="K77" i="69"/>
  <c r="CQ77" i="13" s="1"/>
  <c r="G77" i="69"/>
  <c r="CP77" i="13" s="1"/>
  <c r="S76" i="69"/>
  <c r="CS76" i="13" s="1"/>
  <c r="O76" i="69"/>
  <c r="CR76" i="13" s="1"/>
  <c r="K76" i="69"/>
  <c r="CQ76" i="13" s="1"/>
  <c r="G76" i="69"/>
  <c r="CP76" i="13" s="1"/>
  <c r="S75" i="69"/>
  <c r="CS75" i="13" s="1"/>
  <c r="O75" i="69"/>
  <c r="CR75" i="13" s="1"/>
  <c r="K75" i="69"/>
  <c r="G75" i="69"/>
  <c r="S74" i="69"/>
  <c r="O74" i="69"/>
  <c r="CR74" i="13" s="1"/>
  <c r="K74" i="69"/>
  <c r="G74" i="69"/>
  <c r="S73" i="69"/>
  <c r="CS73" i="13" s="1"/>
  <c r="O73" i="69"/>
  <c r="CR73" i="13" s="1"/>
  <c r="K73" i="69"/>
  <c r="CQ73" i="13" s="1"/>
  <c r="G73" i="69"/>
  <c r="CP73" i="13" s="1"/>
  <c r="S72" i="69"/>
  <c r="CS72" i="13" s="1"/>
  <c r="O72" i="69"/>
  <c r="K72" i="69"/>
  <c r="CQ72" i="13" s="1"/>
  <c r="G72" i="69"/>
  <c r="S71" i="69"/>
  <c r="CS71" i="13" s="1"/>
  <c r="O71" i="69"/>
  <c r="K71" i="69"/>
  <c r="G71" i="69"/>
  <c r="S70" i="69"/>
  <c r="CS70" i="13" s="1"/>
  <c r="O70" i="69"/>
  <c r="K70" i="69"/>
  <c r="G70" i="69"/>
  <c r="S69" i="69"/>
  <c r="CS69" i="13" s="1"/>
  <c r="O69" i="69"/>
  <c r="CR69" i="13" s="1"/>
  <c r="K69" i="69"/>
  <c r="CQ69" i="13" s="1"/>
  <c r="G69" i="69"/>
  <c r="CP69" i="13" s="1"/>
  <c r="S68" i="69"/>
  <c r="CS68" i="13" s="1"/>
  <c r="O68" i="69"/>
  <c r="CR68" i="13" s="1"/>
  <c r="K68" i="69"/>
  <c r="CQ68" i="13" s="1"/>
  <c r="G68" i="69"/>
  <c r="S67" i="69"/>
  <c r="CS67" i="13" s="1"/>
  <c r="O67" i="69"/>
  <c r="CR67" i="13" s="1"/>
  <c r="K67" i="69"/>
  <c r="CQ67" i="13" s="1"/>
  <c r="G67" i="69"/>
  <c r="S66" i="69"/>
  <c r="O66" i="69"/>
  <c r="CR66" i="13" s="1"/>
  <c r="K66" i="69"/>
  <c r="G66" i="69"/>
  <c r="S65" i="69"/>
  <c r="CS65" i="13" s="1"/>
  <c r="O65" i="69"/>
  <c r="CR65" i="13" s="1"/>
  <c r="K65" i="69"/>
  <c r="CQ65" i="13" s="1"/>
  <c r="G65" i="69"/>
  <c r="CP65" i="13" s="1"/>
  <c r="S64" i="69"/>
  <c r="CS64" i="13" s="1"/>
  <c r="O64" i="69"/>
  <c r="CR64" i="13" s="1"/>
  <c r="K64" i="69"/>
  <c r="G64" i="69"/>
  <c r="S63" i="69"/>
  <c r="O63" i="69"/>
  <c r="K63" i="69"/>
  <c r="CQ63" i="13" s="1"/>
  <c r="G63" i="69"/>
  <c r="S62" i="69"/>
  <c r="CS62" i="13" s="1"/>
  <c r="O62" i="69"/>
  <c r="K62" i="69"/>
  <c r="G62" i="69"/>
  <c r="CP62" i="13" s="1"/>
  <c r="S61" i="69"/>
  <c r="CS61" i="13" s="1"/>
  <c r="O61" i="69"/>
  <c r="CR61" i="13" s="1"/>
  <c r="K61" i="69"/>
  <c r="CQ61" i="13" s="1"/>
  <c r="G61" i="69"/>
  <c r="CP61" i="13" s="1"/>
  <c r="S60" i="69"/>
  <c r="CS60" i="13" s="1"/>
  <c r="O60" i="69"/>
  <c r="K60" i="69"/>
  <c r="CQ60" i="13" s="1"/>
  <c r="G60" i="69"/>
  <c r="S59" i="69"/>
  <c r="CS59" i="13" s="1"/>
  <c r="O59" i="69"/>
  <c r="CR59" i="13" s="1"/>
  <c r="K59" i="69"/>
  <c r="CQ59" i="13" s="1"/>
  <c r="G59" i="69"/>
  <c r="S58" i="69"/>
  <c r="CS58" i="13" s="1"/>
  <c r="O58" i="69"/>
  <c r="K58" i="69"/>
  <c r="G58" i="69"/>
  <c r="S57" i="69"/>
  <c r="CS57" i="13" s="1"/>
  <c r="O57" i="69"/>
  <c r="K57" i="69"/>
  <c r="CQ57" i="13" s="1"/>
  <c r="G57" i="69"/>
  <c r="CP57" i="13" s="1"/>
  <c r="S56" i="69"/>
  <c r="CS56" i="13" s="1"/>
  <c r="O56" i="69"/>
  <c r="K56" i="69"/>
  <c r="CQ56" i="13" s="1"/>
  <c r="G56" i="69"/>
  <c r="S55" i="69"/>
  <c r="CS55" i="13" s="1"/>
  <c r="O55" i="69"/>
  <c r="K55" i="69"/>
  <c r="G55" i="69"/>
  <c r="S54" i="69"/>
  <c r="CS54" i="13" s="1"/>
  <c r="O54" i="69"/>
  <c r="CR54" i="13" s="1"/>
  <c r="K54" i="69"/>
  <c r="G54" i="69"/>
  <c r="S53" i="69"/>
  <c r="CS53" i="13" s="1"/>
  <c r="O53" i="69"/>
  <c r="CR53" i="13" s="1"/>
  <c r="K53" i="69"/>
  <c r="CQ53" i="13" s="1"/>
  <c r="G53" i="69"/>
  <c r="CP53" i="13" s="1"/>
  <c r="S52" i="69"/>
  <c r="CS52" i="13" s="1"/>
  <c r="O52" i="69"/>
  <c r="CR52" i="13" s="1"/>
  <c r="K52" i="69"/>
  <c r="CQ52" i="13" s="1"/>
  <c r="G52" i="69"/>
  <c r="CP52" i="13" s="1"/>
  <c r="S51" i="69"/>
  <c r="CS51" i="13" s="1"/>
  <c r="O51" i="69"/>
  <c r="CR51" i="13" s="1"/>
  <c r="K51" i="69"/>
  <c r="CQ51" i="13" s="1"/>
  <c r="G51" i="69"/>
  <c r="S50" i="69"/>
  <c r="CS50" i="13" s="1"/>
  <c r="O50" i="69"/>
  <c r="K50" i="69"/>
  <c r="G50" i="69"/>
  <c r="S49" i="69"/>
  <c r="CS49" i="13" s="1"/>
  <c r="O49" i="69"/>
  <c r="CR49" i="13" s="1"/>
  <c r="K49" i="69"/>
  <c r="CQ49" i="13" s="1"/>
  <c r="G49" i="69"/>
  <c r="CP49" i="13" s="1"/>
  <c r="S48" i="69"/>
  <c r="CS48" i="13" s="1"/>
  <c r="O48" i="69"/>
  <c r="K48" i="69"/>
  <c r="CQ48" i="13" s="1"/>
  <c r="G48" i="69"/>
  <c r="CP48" i="13" s="1"/>
  <c r="S47" i="69"/>
  <c r="CS47" i="13" s="1"/>
  <c r="O47" i="69"/>
  <c r="CR47" i="13" s="1"/>
  <c r="K47" i="69"/>
  <c r="G47" i="69"/>
  <c r="S46" i="69"/>
  <c r="CS46" i="13" s="1"/>
  <c r="O46" i="69"/>
  <c r="K46" i="69"/>
  <c r="G46" i="69"/>
  <c r="CP46" i="13" s="1"/>
  <c r="S45" i="69"/>
  <c r="CS45" i="13" s="1"/>
  <c r="O45" i="69"/>
  <c r="CR45" i="13" s="1"/>
  <c r="K45" i="69"/>
  <c r="CQ45" i="13" s="1"/>
  <c r="G45" i="69"/>
  <c r="CP45" i="13" s="1"/>
  <c r="S44" i="69"/>
  <c r="CS44" i="13" s="1"/>
  <c r="O44" i="69"/>
  <c r="K44" i="69"/>
  <c r="CQ44" i="13" s="1"/>
  <c r="G44" i="69"/>
  <c r="CP44" i="13" s="1"/>
  <c r="S43" i="69"/>
  <c r="CS43" i="13" s="1"/>
  <c r="O43" i="69"/>
  <c r="K43" i="69"/>
  <c r="G43" i="69"/>
  <c r="S42" i="69"/>
  <c r="CS42" i="13" s="1"/>
  <c r="O42" i="69"/>
  <c r="K42" i="69"/>
  <c r="G42" i="69"/>
  <c r="S40" i="69"/>
  <c r="CS40" i="13" s="1"/>
  <c r="O40" i="69"/>
  <c r="CR40" i="13" s="1"/>
  <c r="K40" i="69"/>
  <c r="CQ40" i="13" s="1"/>
  <c r="G40" i="69"/>
  <c r="CP40" i="13" s="1"/>
  <c r="S39" i="69"/>
  <c r="CS39" i="13" s="1"/>
  <c r="O39" i="69"/>
  <c r="K39" i="69"/>
  <c r="G39" i="69"/>
  <c r="S38" i="69"/>
  <c r="CS38" i="13" s="1"/>
  <c r="O38" i="69"/>
  <c r="K38" i="69"/>
  <c r="CQ38" i="13" s="1"/>
  <c r="G38" i="69"/>
  <c r="S36" i="69"/>
  <c r="CS36" i="13" s="1"/>
  <c r="O36" i="69"/>
  <c r="K36" i="69"/>
  <c r="G36" i="69"/>
  <c r="S35" i="69"/>
  <c r="CS35" i="13" s="1"/>
  <c r="O35" i="69"/>
  <c r="CR35" i="13" s="1"/>
  <c r="K35" i="69"/>
  <c r="CQ35" i="13" s="1"/>
  <c r="G35" i="69"/>
  <c r="CP35" i="13" s="1"/>
  <c r="S34" i="69"/>
  <c r="CS34" i="13" s="1"/>
  <c r="O34" i="69"/>
  <c r="K34" i="69"/>
  <c r="G34" i="69"/>
  <c r="CP34" i="13" s="1"/>
  <c r="S33" i="69"/>
  <c r="CS33" i="13" s="1"/>
  <c r="O33" i="69"/>
  <c r="K33" i="69"/>
  <c r="G33" i="69"/>
  <c r="S32" i="69"/>
  <c r="CS32" i="13" s="1"/>
  <c r="O32" i="69"/>
  <c r="K32" i="69"/>
  <c r="G32" i="69"/>
  <c r="S31" i="69"/>
  <c r="CS31" i="13" s="1"/>
  <c r="O31" i="69"/>
  <c r="CR31" i="13" s="1"/>
  <c r="K31" i="69"/>
  <c r="CQ31" i="13" s="1"/>
  <c r="G31" i="69"/>
  <c r="CP31" i="13" s="1"/>
  <c r="S30" i="69"/>
  <c r="CS30" i="13" s="1"/>
  <c r="O30" i="69"/>
  <c r="K30" i="69"/>
  <c r="CQ30" i="13" s="1"/>
  <c r="G30" i="69"/>
  <c r="CP30" i="13" s="1"/>
  <c r="S29" i="69"/>
  <c r="CS29" i="13" s="1"/>
  <c r="O29" i="69"/>
  <c r="K29" i="69"/>
  <c r="G29" i="69"/>
  <c r="S28" i="69"/>
  <c r="CS28" i="13" s="1"/>
  <c r="O28" i="69"/>
  <c r="K28" i="69"/>
  <c r="G28" i="69"/>
  <c r="S27" i="69"/>
  <c r="CS27" i="13" s="1"/>
  <c r="O27" i="69"/>
  <c r="CR27" i="13" s="1"/>
  <c r="K27" i="69"/>
  <c r="CQ27" i="13" s="1"/>
  <c r="G27" i="69"/>
  <c r="CP27" i="13" s="1"/>
  <c r="S26" i="69"/>
  <c r="CS26" i="13" s="1"/>
  <c r="O26" i="69"/>
  <c r="K26" i="69"/>
  <c r="CQ26" i="13" s="1"/>
  <c r="G26" i="69"/>
  <c r="CP26" i="13" s="1"/>
  <c r="S25" i="69"/>
  <c r="CS25" i="13" s="1"/>
  <c r="O25" i="69"/>
  <c r="K25" i="69"/>
  <c r="CQ25" i="13" s="1"/>
  <c r="G25" i="69"/>
  <c r="S24" i="69"/>
  <c r="CS24" i="13" s="1"/>
  <c r="O24" i="69"/>
  <c r="K24" i="69"/>
  <c r="G24" i="69"/>
  <c r="S23" i="69"/>
  <c r="CS23" i="13" s="1"/>
  <c r="O23" i="69"/>
  <c r="CR23" i="13" s="1"/>
  <c r="K23" i="69"/>
  <c r="CQ23" i="13" s="1"/>
  <c r="G23" i="69"/>
  <c r="CP23" i="13" s="1"/>
  <c r="S22" i="69"/>
  <c r="CS22" i="13" s="1"/>
  <c r="O22" i="69"/>
  <c r="K22" i="69"/>
  <c r="CQ22" i="13" s="1"/>
  <c r="G22" i="69"/>
  <c r="S21" i="69"/>
  <c r="CS21" i="13" s="1"/>
  <c r="O21" i="69"/>
  <c r="K21" i="69"/>
  <c r="G21" i="69"/>
  <c r="S20" i="69"/>
  <c r="CS20" i="13" s="1"/>
  <c r="O20" i="69"/>
  <c r="K20" i="69"/>
  <c r="G20" i="69"/>
  <c r="S19" i="69"/>
  <c r="CS19" i="13" s="1"/>
  <c r="O19" i="69"/>
  <c r="CR19" i="13" s="1"/>
  <c r="K19" i="69"/>
  <c r="CQ19" i="13" s="1"/>
  <c r="G19" i="69"/>
  <c r="CP19" i="13" s="1"/>
  <c r="S18" i="69"/>
  <c r="CS18" i="13" s="1"/>
  <c r="O18" i="69"/>
  <c r="K18" i="69"/>
  <c r="CQ18" i="13" s="1"/>
  <c r="G18" i="69"/>
  <c r="CP18" i="13" s="1"/>
  <c r="S17" i="69"/>
  <c r="O17" i="69"/>
  <c r="K17" i="69"/>
  <c r="G17" i="69"/>
  <c r="S16" i="69"/>
  <c r="CS16" i="13" s="1"/>
  <c r="O16" i="69"/>
  <c r="K16" i="69"/>
  <c r="G16" i="69"/>
  <c r="S14" i="69"/>
  <c r="CS14" i="13" s="1"/>
  <c r="O14" i="69"/>
  <c r="CR14" i="13" s="1"/>
  <c r="K14" i="69"/>
  <c r="CQ14" i="13" s="1"/>
  <c r="G14" i="69"/>
  <c r="CP14" i="13" s="1"/>
  <c r="S13" i="69"/>
  <c r="CS13" i="13" s="1"/>
  <c r="O13" i="69"/>
  <c r="K13" i="69"/>
  <c r="CQ13" i="13" s="1"/>
  <c r="G13" i="69"/>
  <c r="CP13" i="13" s="1"/>
  <c r="S12" i="69"/>
  <c r="CS12" i="13" s="1"/>
  <c r="O12" i="69"/>
  <c r="K12" i="69"/>
  <c r="G12" i="69"/>
  <c r="S10" i="69"/>
  <c r="CS10" i="13" s="1"/>
  <c r="O10" i="69"/>
  <c r="K10" i="69"/>
  <c r="G10" i="69"/>
  <c r="S9" i="69"/>
  <c r="CS9" i="13" s="1"/>
  <c r="O9" i="69"/>
  <c r="CR9" i="13" s="1"/>
  <c r="K9" i="69"/>
  <c r="CQ9" i="13" s="1"/>
  <c r="G9" i="69"/>
  <c r="CP9" i="13" s="1"/>
  <c r="S8" i="69"/>
  <c r="CS8" i="13" s="1"/>
  <c r="O8" i="69"/>
  <c r="K8" i="69"/>
  <c r="CQ8" i="13" s="1"/>
  <c r="G8" i="69"/>
  <c r="S7" i="69"/>
  <c r="CS7" i="13" s="1"/>
  <c r="O7" i="69"/>
  <c r="K7" i="69"/>
  <c r="G7" i="69"/>
  <c r="S6" i="69"/>
  <c r="CS6" i="13" s="1"/>
  <c r="O6" i="69"/>
  <c r="K6" i="69"/>
  <c r="G6" i="69"/>
  <c r="S5" i="69"/>
  <c r="CS5" i="13" s="1"/>
  <c r="O5" i="69"/>
  <c r="CR5" i="13" s="1"/>
  <c r="K5" i="69"/>
  <c r="CQ5" i="13" s="1"/>
  <c r="G5" i="69"/>
  <c r="CP5" i="13" s="1"/>
  <c r="P1" i="69"/>
  <c r="CS3" i="13" s="1"/>
  <c r="CS2" i="13" s="1"/>
  <c r="L1" i="69"/>
  <c r="H1" i="69"/>
  <c r="CQ3" i="13" s="1"/>
  <c r="CQ2" i="13" s="1"/>
  <c r="D1" i="69"/>
  <c r="K105" i="47"/>
  <c r="BK105" i="13" s="1"/>
  <c r="G105" i="47"/>
  <c r="K104" i="47"/>
  <c r="BK104" i="13" s="1"/>
  <c r="G104" i="47"/>
  <c r="BJ104" i="13" s="1"/>
  <c r="K103" i="47"/>
  <c r="BK103" i="13" s="1"/>
  <c r="G103" i="47"/>
  <c r="K102" i="47"/>
  <c r="BK102" i="13" s="1"/>
  <c r="G102" i="47"/>
  <c r="K101" i="47"/>
  <c r="BK101" i="13" s="1"/>
  <c r="G101" i="47"/>
  <c r="BJ101" i="13" s="1"/>
  <c r="K100" i="47"/>
  <c r="BK100" i="13" s="1"/>
  <c r="G100" i="47"/>
  <c r="BJ100" i="13" s="1"/>
  <c r="K99" i="47"/>
  <c r="BK99" i="13" s="1"/>
  <c r="G99" i="47"/>
  <c r="BJ99" i="13" s="1"/>
  <c r="K98" i="47"/>
  <c r="BK98" i="13" s="1"/>
  <c r="G98" i="47"/>
  <c r="K97" i="47"/>
  <c r="BK97" i="13" s="1"/>
  <c r="G97" i="47"/>
  <c r="K96" i="47"/>
  <c r="BK96" i="13" s="1"/>
  <c r="G96" i="47"/>
  <c r="BJ96" i="13" s="1"/>
  <c r="K95" i="47"/>
  <c r="G95" i="47"/>
  <c r="BJ95" i="13" s="1"/>
  <c r="K94" i="47"/>
  <c r="BK94" i="13" s="1"/>
  <c r="G94" i="47"/>
  <c r="BJ94" i="13" s="1"/>
  <c r="K93" i="47"/>
  <c r="BK93" i="13" s="1"/>
  <c r="G93" i="47"/>
  <c r="BJ93" i="13" s="1"/>
  <c r="K92" i="47"/>
  <c r="BK92" i="13" s="1"/>
  <c r="G92" i="47"/>
  <c r="BJ92" i="13" s="1"/>
  <c r="K91" i="47"/>
  <c r="BK91" i="13" s="1"/>
  <c r="G91" i="47"/>
  <c r="BJ91" i="13" s="1"/>
  <c r="K90" i="47"/>
  <c r="BK90" i="13" s="1"/>
  <c r="G90" i="47"/>
  <c r="K89" i="47"/>
  <c r="BK89" i="13" s="1"/>
  <c r="G89" i="47"/>
  <c r="K88" i="47"/>
  <c r="BK88" i="13" s="1"/>
  <c r="G88" i="47"/>
  <c r="BJ88" i="13" s="1"/>
  <c r="K86" i="47"/>
  <c r="BK86" i="13" s="1"/>
  <c r="G86" i="47"/>
  <c r="BJ86" i="13" s="1"/>
  <c r="K85" i="47"/>
  <c r="G85" i="47"/>
  <c r="K84" i="47"/>
  <c r="BK84" i="13" s="1"/>
  <c r="G84" i="47"/>
  <c r="BJ84" i="13" s="1"/>
  <c r="K83" i="47"/>
  <c r="BK83" i="13" s="1"/>
  <c r="G83" i="47"/>
  <c r="BJ83" i="13" s="1"/>
  <c r="K82" i="47"/>
  <c r="BK82" i="13" s="1"/>
  <c r="G82" i="47"/>
  <c r="BJ82" i="13" s="1"/>
  <c r="K81" i="47"/>
  <c r="BK81" i="13" s="1"/>
  <c r="G81" i="47"/>
  <c r="BJ81" i="13" s="1"/>
  <c r="K80" i="47"/>
  <c r="BK80" i="13" s="1"/>
  <c r="G80" i="47"/>
  <c r="K79" i="47"/>
  <c r="BK79" i="13" s="1"/>
  <c r="G79" i="47"/>
  <c r="BJ79" i="13" s="1"/>
  <c r="K78" i="47"/>
  <c r="BK78" i="13" s="1"/>
  <c r="G78" i="47"/>
  <c r="BJ78" i="13" s="1"/>
  <c r="K77" i="47"/>
  <c r="G77" i="47"/>
  <c r="K76" i="47"/>
  <c r="G76" i="47"/>
  <c r="BJ76" i="13" s="1"/>
  <c r="K75" i="47"/>
  <c r="BK75" i="13" s="1"/>
  <c r="G75" i="47"/>
  <c r="BJ75" i="13" s="1"/>
  <c r="K74" i="47"/>
  <c r="BK74" i="13" s="1"/>
  <c r="G74" i="47"/>
  <c r="BJ74" i="13" s="1"/>
  <c r="K73" i="47"/>
  <c r="BK73" i="13" s="1"/>
  <c r="G73" i="47"/>
  <c r="K72" i="47"/>
  <c r="BK72" i="13" s="1"/>
  <c r="G72" i="47"/>
  <c r="BJ72" i="13" s="1"/>
  <c r="K71" i="47"/>
  <c r="G71" i="47"/>
  <c r="BJ71" i="13" s="1"/>
  <c r="K70" i="47"/>
  <c r="BK70" i="13" s="1"/>
  <c r="G70" i="47"/>
  <c r="K69" i="47"/>
  <c r="G69" i="47"/>
  <c r="K68" i="47"/>
  <c r="BK68" i="13" s="1"/>
  <c r="G68" i="47"/>
  <c r="BJ68" i="13" s="1"/>
  <c r="K67" i="47"/>
  <c r="BK67" i="13" s="1"/>
  <c r="G67" i="47"/>
  <c r="BJ67" i="13" s="1"/>
  <c r="K66" i="47"/>
  <c r="BK66" i="13" s="1"/>
  <c r="G66" i="47"/>
  <c r="BJ66" i="13" s="1"/>
  <c r="K65" i="47"/>
  <c r="BK65" i="13" s="1"/>
  <c r="G65" i="47"/>
  <c r="BJ65" i="13" s="1"/>
  <c r="K64" i="47"/>
  <c r="BK64" i="13" s="1"/>
  <c r="G64" i="47"/>
  <c r="BJ64" i="13" s="1"/>
  <c r="K63" i="47"/>
  <c r="G63" i="47"/>
  <c r="K62" i="47"/>
  <c r="BK62" i="13" s="1"/>
  <c r="G62" i="47"/>
  <c r="BJ62" i="13" s="1"/>
  <c r="K61" i="47"/>
  <c r="G61" i="47"/>
  <c r="K60" i="47"/>
  <c r="BK60" i="13" s="1"/>
  <c r="G60" i="47"/>
  <c r="BJ60" i="13" s="1"/>
  <c r="K59" i="47"/>
  <c r="BK59" i="13" s="1"/>
  <c r="G59" i="47"/>
  <c r="BJ59" i="13" s="1"/>
  <c r="K58" i="47"/>
  <c r="BK58" i="13" s="1"/>
  <c r="G58" i="47"/>
  <c r="BJ58" i="13" s="1"/>
  <c r="K57" i="47"/>
  <c r="BK57" i="13" s="1"/>
  <c r="G57" i="47"/>
  <c r="BJ57" i="13" s="1"/>
  <c r="K56" i="47"/>
  <c r="BK56" i="13" s="1"/>
  <c r="G56" i="47"/>
  <c r="BJ56" i="13" s="1"/>
  <c r="K55" i="47"/>
  <c r="G55" i="47"/>
  <c r="BJ55" i="13" s="1"/>
  <c r="K54" i="47"/>
  <c r="BK54" i="13" s="1"/>
  <c r="G54" i="47"/>
  <c r="K53" i="47"/>
  <c r="G53" i="47"/>
  <c r="K52" i="47"/>
  <c r="BK52" i="13" s="1"/>
  <c r="G52" i="47"/>
  <c r="BJ52" i="13" s="1"/>
  <c r="K51" i="47"/>
  <c r="BK51" i="13" s="1"/>
  <c r="G51" i="47"/>
  <c r="BJ51" i="13" s="1"/>
  <c r="K50" i="47"/>
  <c r="BK50" i="13" s="1"/>
  <c r="G50" i="47"/>
  <c r="BJ50" i="13" s="1"/>
  <c r="K49" i="47"/>
  <c r="BK49" i="13" s="1"/>
  <c r="G49" i="47"/>
  <c r="BJ49" i="13" s="1"/>
  <c r="K48" i="47"/>
  <c r="BK48" i="13" s="1"/>
  <c r="G48" i="47"/>
  <c r="K47" i="47"/>
  <c r="BK47" i="13" s="1"/>
  <c r="G47" i="47"/>
  <c r="BJ47" i="13" s="1"/>
  <c r="K46" i="47"/>
  <c r="BK46" i="13" s="1"/>
  <c r="G46" i="47"/>
  <c r="K45" i="47"/>
  <c r="G45" i="47"/>
  <c r="BJ45" i="13" s="1"/>
  <c r="K44" i="47"/>
  <c r="BK44" i="13" s="1"/>
  <c r="G44" i="47"/>
  <c r="BJ44" i="13" s="1"/>
  <c r="K43" i="47"/>
  <c r="BK43" i="13" s="1"/>
  <c r="G43" i="47"/>
  <c r="BJ43" i="13" s="1"/>
  <c r="K42" i="47"/>
  <c r="BK42" i="13" s="1"/>
  <c r="G42" i="47"/>
  <c r="BJ42" i="13" s="1"/>
  <c r="K40" i="47"/>
  <c r="BK40" i="13" s="1"/>
  <c r="G40" i="47"/>
  <c r="K39" i="47"/>
  <c r="BK39" i="13" s="1"/>
  <c r="G39" i="47"/>
  <c r="BJ39" i="13" s="1"/>
  <c r="K38" i="47"/>
  <c r="G38" i="47"/>
  <c r="K36" i="47"/>
  <c r="G36" i="47"/>
  <c r="K35" i="47"/>
  <c r="G35" i="47"/>
  <c r="K34" i="47"/>
  <c r="BK34" i="13" s="1"/>
  <c r="G34" i="47"/>
  <c r="BJ34" i="13" s="1"/>
  <c r="K33" i="47"/>
  <c r="BK33" i="13" s="1"/>
  <c r="G33" i="47"/>
  <c r="BJ33" i="13" s="1"/>
  <c r="K32" i="47"/>
  <c r="BK32" i="13" s="1"/>
  <c r="G32" i="47"/>
  <c r="BJ32" i="13" s="1"/>
  <c r="K31" i="47"/>
  <c r="BK31" i="13" s="1"/>
  <c r="G31" i="47"/>
  <c r="K30" i="47"/>
  <c r="BK30" i="13" s="1"/>
  <c r="G30" i="47"/>
  <c r="K29" i="47"/>
  <c r="G29" i="47"/>
  <c r="BJ29" i="13" s="1"/>
  <c r="K28" i="47"/>
  <c r="BK28" i="13" s="1"/>
  <c r="G28" i="47"/>
  <c r="K27" i="47"/>
  <c r="G27" i="47"/>
  <c r="K26" i="47"/>
  <c r="BK26" i="13" s="1"/>
  <c r="G26" i="47"/>
  <c r="BJ26" i="13" s="1"/>
  <c r="K25" i="47"/>
  <c r="BK25" i="13" s="1"/>
  <c r="G25" i="47"/>
  <c r="BJ25" i="13" s="1"/>
  <c r="K24" i="47"/>
  <c r="BK24" i="13" s="1"/>
  <c r="G24" i="47"/>
  <c r="BJ24" i="13" s="1"/>
  <c r="K23" i="47"/>
  <c r="BK23" i="13" s="1"/>
  <c r="G23" i="47"/>
  <c r="BJ23" i="13" s="1"/>
  <c r="K22" i="47"/>
  <c r="G22" i="47"/>
  <c r="K21" i="47"/>
  <c r="G21" i="47"/>
  <c r="BJ21" i="13" s="1"/>
  <c r="K20" i="47"/>
  <c r="BK20" i="13" s="1"/>
  <c r="G20" i="47"/>
  <c r="K19" i="47"/>
  <c r="G19" i="47"/>
  <c r="K18" i="47"/>
  <c r="BK18" i="13" s="1"/>
  <c r="G18" i="47"/>
  <c r="BJ18" i="13" s="1"/>
  <c r="K17" i="47"/>
  <c r="BK17" i="13" s="1"/>
  <c r="G17" i="47"/>
  <c r="BJ17" i="13" s="1"/>
  <c r="K16" i="47"/>
  <c r="BK16" i="13" s="1"/>
  <c r="G16" i="47"/>
  <c r="BJ16" i="13" s="1"/>
  <c r="K14" i="47"/>
  <c r="BK14" i="13" s="1"/>
  <c r="G14" i="47"/>
  <c r="K13" i="47"/>
  <c r="BK13" i="13" s="1"/>
  <c r="G13" i="47"/>
  <c r="K12" i="47"/>
  <c r="G12" i="47"/>
  <c r="BJ12" i="13" s="1"/>
  <c r="K10" i="47"/>
  <c r="G10" i="47"/>
  <c r="K9" i="47"/>
  <c r="G9" i="47"/>
  <c r="K8" i="47"/>
  <c r="BK8" i="13" s="1"/>
  <c r="G8" i="47"/>
  <c r="K7" i="47"/>
  <c r="BK7" i="13" s="1"/>
  <c r="G7" i="47"/>
  <c r="BJ7" i="13" s="1"/>
  <c r="K6" i="47"/>
  <c r="BK6" i="13" s="1"/>
  <c r="G6" i="47"/>
  <c r="BJ6" i="13" s="1"/>
  <c r="K5" i="47"/>
  <c r="BK5" i="13" s="1"/>
  <c r="G5" i="47"/>
  <c r="H1" i="47"/>
  <c r="BK3" i="13" s="1"/>
  <c r="BK2" i="13" s="1"/>
  <c r="D1" i="47"/>
  <c r="W90" i="46"/>
  <c r="BI90" i="13" s="1"/>
  <c r="S90" i="46"/>
  <c r="O90" i="46"/>
  <c r="BG90" i="13" s="1"/>
  <c r="K90" i="46"/>
  <c r="BF90" i="13" s="1"/>
  <c r="G90" i="46"/>
  <c r="W89" i="46"/>
  <c r="S89" i="46"/>
  <c r="BH89" i="13" s="1"/>
  <c r="O89" i="46"/>
  <c r="BG89" i="13" s="1"/>
  <c r="K89" i="46"/>
  <c r="BF89" i="13" s="1"/>
  <c r="G89" i="46"/>
  <c r="BE89" i="13" s="1"/>
  <c r="W88" i="46"/>
  <c r="BI88" i="13" s="1"/>
  <c r="S88" i="46"/>
  <c r="BH88" i="13" s="1"/>
  <c r="O88" i="46"/>
  <c r="BG88" i="13" s="1"/>
  <c r="K88" i="46"/>
  <c r="G88" i="46"/>
  <c r="BE88" i="13" s="1"/>
  <c r="W77" i="46"/>
  <c r="BI77" i="13" s="1"/>
  <c r="S77" i="46"/>
  <c r="O77" i="46"/>
  <c r="K77" i="46"/>
  <c r="BF77" i="13" s="1"/>
  <c r="G77" i="46"/>
  <c r="W76" i="46"/>
  <c r="S76" i="46"/>
  <c r="O76" i="46"/>
  <c r="BG76" i="13" s="1"/>
  <c r="K76" i="46"/>
  <c r="BF76" i="13" s="1"/>
  <c r="G76" i="46"/>
  <c r="BE76" i="13" s="1"/>
  <c r="W75" i="46"/>
  <c r="BI75" i="13" s="1"/>
  <c r="S75" i="46"/>
  <c r="BH75" i="13" s="1"/>
  <c r="O75" i="46"/>
  <c r="K75" i="46"/>
  <c r="BF75" i="13" s="1"/>
  <c r="G75" i="46"/>
  <c r="W68" i="46"/>
  <c r="S68" i="46"/>
  <c r="BH68" i="13" s="1"/>
  <c r="O68" i="46"/>
  <c r="BG68" i="13" s="1"/>
  <c r="K68" i="46"/>
  <c r="G68" i="46"/>
  <c r="BE68" i="13" s="1"/>
  <c r="W67" i="46"/>
  <c r="BI67" i="13" s="1"/>
  <c r="S67" i="46"/>
  <c r="O67" i="46"/>
  <c r="K67" i="46"/>
  <c r="BF67" i="13" s="1"/>
  <c r="G67" i="46"/>
  <c r="BE67" i="13" s="1"/>
  <c r="W66" i="46"/>
  <c r="BI66" i="13" s="1"/>
  <c r="S66" i="46"/>
  <c r="BH66" i="13" s="1"/>
  <c r="O66" i="46"/>
  <c r="BG66" i="13" s="1"/>
  <c r="K66" i="46"/>
  <c r="BF66" i="13" s="1"/>
  <c r="G66" i="46"/>
  <c r="BE66" i="13" s="1"/>
  <c r="W65" i="46"/>
  <c r="S65" i="46"/>
  <c r="BH65" i="13" s="1"/>
  <c r="O65" i="46"/>
  <c r="K65" i="46"/>
  <c r="G65" i="46"/>
  <c r="W64" i="46"/>
  <c r="BI64" i="13" s="1"/>
  <c r="S64" i="46"/>
  <c r="O64" i="46"/>
  <c r="K64" i="46"/>
  <c r="G64" i="46"/>
  <c r="BE64" i="13" s="1"/>
  <c r="W63" i="46"/>
  <c r="BI63" i="13" s="1"/>
  <c r="S63" i="46"/>
  <c r="BH63" i="13" s="1"/>
  <c r="O63" i="46"/>
  <c r="BG63" i="13" s="1"/>
  <c r="K63" i="46"/>
  <c r="BF63" i="13" s="1"/>
  <c r="G63" i="46"/>
  <c r="W59" i="46"/>
  <c r="BI59" i="13" s="1"/>
  <c r="S59" i="46"/>
  <c r="BH59" i="13" s="1"/>
  <c r="O59" i="46"/>
  <c r="BG59" i="13" s="1"/>
  <c r="K59" i="46"/>
  <c r="G59" i="46"/>
  <c r="W58" i="46"/>
  <c r="S58" i="46"/>
  <c r="O58" i="46"/>
  <c r="BG58" i="13" s="1"/>
  <c r="K58" i="46"/>
  <c r="BF58" i="13" s="1"/>
  <c r="G58" i="46"/>
  <c r="BE58" i="13" s="1"/>
  <c r="W57" i="46"/>
  <c r="BI57" i="13" s="1"/>
  <c r="S57" i="46"/>
  <c r="BH57" i="13" s="1"/>
  <c r="O57" i="46"/>
  <c r="BG57" i="13" s="1"/>
  <c r="K57" i="46"/>
  <c r="BF57" i="13" s="1"/>
  <c r="G57" i="46"/>
  <c r="BE57" i="13" s="1"/>
  <c r="W53" i="46"/>
  <c r="S53" i="46"/>
  <c r="BH53" i="13" s="1"/>
  <c r="O53" i="46"/>
  <c r="K53" i="46"/>
  <c r="BF53" i="13" s="1"/>
  <c r="G53" i="46"/>
  <c r="BE53" i="13" s="1"/>
  <c r="W52" i="46"/>
  <c r="S52" i="46"/>
  <c r="O52" i="46"/>
  <c r="BG52" i="13" s="1"/>
  <c r="K52" i="46"/>
  <c r="G52" i="46"/>
  <c r="W51" i="46"/>
  <c r="S51" i="46"/>
  <c r="BH51" i="13" s="1"/>
  <c r="O51" i="46"/>
  <c r="BG51" i="13" s="1"/>
  <c r="K51" i="46"/>
  <c r="BF51" i="13" s="1"/>
  <c r="G51" i="46"/>
  <c r="BE51" i="13" s="1"/>
  <c r="W50" i="46"/>
  <c r="BI50" i="13" s="1"/>
  <c r="S50" i="46"/>
  <c r="O50" i="46"/>
  <c r="BG50" i="13" s="1"/>
  <c r="K50" i="46"/>
  <c r="BF50" i="13" s="1"/>
  <c r="G50" i="46"/>
  <c r="BE50" i="13" s="1"/>
  <c r="W49" i="46"/>
  <c r="S49" i="46"/>
  <c r="BH49" i="13" s="1"/>
  <c r="O49" i="46"/>
  <c r="K49" i="46"/>
  <c r="BF49" i="13" s="1"/>
  <c r="G49" i="46"/>
  <c r="BE49" i="13" s="1"/>
  <c r="W48" i="46"/>
  <c r="S48" i="46"/>
  <c r="O48" i="46"/>
  <c r="BG48" i="13" s="1"/>
  <c r="K48" i="46"/>
  <c r="BF48" i="13" s="1"/>
  <c r="G48" i="46"/>
  <c r="BE48" i="13" s="1"/>
  <c r="W47" i="46"/>
  <c r="BI47" i="13" s="1"/>
  <c r="S47" i="46"/>
  <c r="BH47" i="13" s="1"/>
  <c r="O47" i="46"/>
  <c r="K47" i="46"/>
  <c r="BF47" i="13" s="1"/>
  <c r="G47" i="46"/>
  <c r="BE47" i="13" s="1"/>
  <c r="W46" i="46"/>
  <c r="S46" i="46"/>
  <c r="O46" i="46"/>
  <c r="K46" i="46"/>
  <c r="G46" i="46"/>
  <c r="W45" i="46"/>
  <c r="S45" i="46"/>
  <c r="O45" i="46"/>
  <c r="K45" i="46"/>
  <c r="BF45" i="13" s="1"/>
  <c r="G45" i="46"/>
  <c r="BE45" i="13" s="1"/>
  <c r="W44" i="46"/>
  <c r="BI44" i="13" s="1"/>
  <c r="S44" i="46"/>
  <c r="BH44" i="13" s="1"/>
  <c r="O44" i="46"/>
  <c r="BG44" i="13" s="1"/>
  <c r="K44" i="46"/>
  <c r="G44" i="46"/>
  <c r="BE44" i="13" s="1"/>
  <c r="W43" i="46"/>
  <c r="BI43" i="13" s="1"/>
  <c r="S43" i="46"/>
  <c r="BH43" i="13" s="1"/>
  <c r="O43" i="46"/>
  <c r="K43" i="46"/>
  <c r="G43" i="46"/>
  <c r="W42" i="46"/>
  <c r="S42" i="46"/>
  <c r="O42" i="46"/>
  <c r="BG42" i="13" s="1"/>
  <c r="K42" i="46"/>
  <c r="BF42" i="13" s="1"/>
  <c r="G42" i="46"/>
  <c r="BE42" i="13" s="1"/>
  <c r="W36" i="46"/>
  <c r="BI36" i="13" s="1"/>
  <c r="S36" i="46"/>
  <c r="BH36" i="13" s="1"/>
  <c r="O36" i="46"/>
  <c r="BG36" i="13" s="1"/>
  <c r="K36" i="46"/>
  <c r="BF36" i="13" s="1"/>
  <c r="G36" i="46"/>
  <c r="W35" i="46"/>
  <c r="BI35" i="13" s="1"/>
  <c r="S35" i="46"/>
  <c r="BH35" i="13" s="1"/>
  <c r="O35" i="46"/>
  <c r="BG35" i="13" s="1"/>
  <c r="K35" i="46"/>
  <c r="G35" i="46"/>
  <c r="W34" i="46"/>
  <c r="S34" i="46"/>
  <c r="O34" i="46"/>
  <c r="K34" i="46"/>
  <c r="G34" i="46"/>
  <c r="W30" i="46"/>
  <c r="BI30" i="13" s="1"/>
  <c r="S30" i="46"/>
  <c r="BH30" i="13" s="1"/>
  <c r="O30" i="46"/>
  <c r="BG30" i="13" s="1"/>
  <c r="K30" i="46"/>
  <c r="BF30" i="13" s="1"/>
  <c r="W29" i="46"/>
  <c r="BI29" i="13" s="1"/>
  <c r="S29" i="46"/>
  <c r="O29" i="46"/>
  <c r="BG29" i="13" s="1"/>
  <c r="K29" i="46"/>
  <c r="BF29" i="13" s="1"/>
  <c r="W28" i="46"/>
  <c r="S28" i="46"/>
  <c r="O28" i="46"/>
  <c r="K28" i="46"/>
  <c r="W27" i="46"/>
  <c r="BI27" i="13" s="1"/>
  <c r="S27" i="46"/>
  <c r="O27" i="46"/>
  <c r="K27" i="46"/>
  <c r="G27" i="46"/>
  <c r="BE27" i="13" s="1"/>
  <c r="W26" i="46"/>
  <c r="BI26" i="13" s="1"/>
  <c r="S26" i="46"/>
  <c r="BH26" i="13" s="1"/>
  <c r="O26" i="46"/>
  <c r="BG26" i="13" s="1"/>
  <c r="K26" i="46"/>
  <c r="BF26" i="13" s="1"/>
  <c r="G26" i="46"/>
  <c r="W25" i="46"/>
  <c r="BI25" i="13" s="1"/>
  <c r="S25" i="46"/>
  <c r="O25" i="46"/>
  <c r="BG25" i="13" s="1"/>
  <c r="K25" i="46"/>
  <c r="G25" i="46"/>
  <c r="W21" i="46"/>
  <c r="S21" i="46"/>
  <c r="BH21" i="13" s="1"/>
  <c r="O21" i="46"/>
  <c r="K21" i="46"/>
  <c r="G21" i="46"/>
  <c r="W20" i="46"/>
  <c r="BI20" i="13" s="1"/>
  <c r="S20" i="46"/>
  <c r="BH20" i="13" s="1"/>
  <c r="O20" i="46"/>
  <c r="BG20" i="13" s="1"/>
  <c r="K20" i="46"/>
  <c r="BF20" i="13" s="1"/>
  <c r="G20" i="46"/>
  <c r="BE20" i="13" s="1"/>
  <c r="W19" i="46"/>
  <c r="S19" i="46"/>
  <c r="BH19" i="13" s="1"/>
  <c r="O19" i="46"/>
  <c r="BG19" i="13" s="1"/>
  <c r="K19" i="46"/>
  <c r="BF19" i="13" s="1"/>
  <c r="G19" i="46"/>
  <c r="W18" i="46"/>
  <c r="S18" i="46"/>
  <c r="O18" i="46"/>
  <c r="BG18" i="13" s="1"/>
  <c r="K18" i="46"/>
  <c r="G18" i="46"/>
  <c r="W17" i="46"/>
  <c r="S17" i="46"/>
  <c r="BH17" i="13" s="1"/>
  <c r="O17" i="46"/>
  <c r="BG17" i="13" s="1"/>
  <c r="K17" i="46"/>
  <c r="BF17" i="13" s="1"/>
  <c r="G17" i="46"/>
  <c r="BE17" i="13" s="1"/>
  <c r="W16" i="46"/>
  <c r="BI16" i="13" s="1"/>
  <c r="S16" i="46"/>
  <c r="O16" i="46"/>
  <c r="BG16" i="13" s="1"/>
  <c r="K16" i="46"/>
  <c r="G16" i="46"/>
  <c r="BE16" i="13" s="1"/>
  <c r="V14" i="46"/>
  <c r="T14" i="46"/>
  <c r="R14" i="46"/>
  <c r="P14" i="46"/>
  <c r="N14" i="46"/>
  <c r="L14" i="46"/>
  <c r="J14" i="46"/>
  <c r="H14" i="46"/>
  <c r="D14" i="46"/>
  <c r="V13" i="46"/>
  <c r="T13" i="46"/>
  <c r="R13" i="46"/>
  <c r="P13" i="46"/>
  <c r="N13" i="46"/>
  <c r="L13" i="46"/>
  <c r="J13" i="46"/>
  <c r="H13" i="46"/>
  <c r="D13" i="46"/>
  <c r="V12" i="46"/>
  <c r="T12" i="46"/>
  <c r="R12" i="46"/>
  <c r="P12" i="46"/>
  <c r="N12" i="46"/>
  <c r="L12" i="46"/>
  <c r="J12" i="46"/>
  <c r="H12" i="46"/>
  <c r="D12" i="46"/>
  <c r="W10" i="46"/>
  <c r="BI10" i="13" s="1"/>
  <c r="S10" i="46"/>
  <c r="O10" i="46"/>
  <c r="BG10" i="13" s="1"/>
  <c r="K10" i="46"/>
  <c r="BF10" i="13" s="1"/>
  <c r="G10" i="46"/>
  <c r="BE10" i="13" s="1"/>
  <c r="W9" i="46"/>
  <c r="S9" i="46"/>
  <c r="O9" i="46"/>
  <c r="K9" i="46"/>
  <c r="BF9" i="13" s="1"/>
  <c r="G9" i="46"/>
  <c r="W8" i="46"/>
  <c r="S8" i="46"/>
  <c r="O8" i="46"/>
  <c r="BG8" i="13" s="1"/>
  <c r="K8" i="46"/>
  <c r="BF8" i="13" s="1"/>
  <c r="G8" i="46"/>
  <c r="BE8" i="13" s="1"/>
  <c r="W7" i="46"/>
  <c r="BI7" i="13" s="1"/>
  <c r="S7" i="46"/>
  <c r="BH7" i="13" s="1"/>
  <c r="O7" i="46"/>
  <c r="K7" i="46"/>
  <c r="BF7" i="13" s="1"/>
  <c r="G7" i="46"/>
  <c r="BE7" i="13" s="1"/>
  <c r="W6" i="46"/>
  <c r="BI6" i="13" s="1"/>
  <c r="S6" i="46"/>
  <c r="O6" i="46"/>
  <c r="K6" i="46"/>
  <c r="G6" i="46"/>
  <c r="BE6" i="13" s="1"/>
  <c r="W5" i="46"/>
  <c r="S5" i="46"/>
  <c r="O5" i="46"/>
  <c r="K5" i="46"/>
  <c r="BF5" i="13" s="1"/>
  <c r="G5" i="46"/>
  <c r="T1" i="46"/>
  <c r="BI3" i="13" s="1"/>
  <c r="BI2" i="13" s="1"/>
  <c r="P1" i="46"/>
  <c r="BH3" i="13" s="1"/>
  <c r="BH2" i="13" s="1"/>
  <c r="L1" i="46"/>
  <c r="BG3" i="13" s="1"/>
  <c r="BG2" i="13" s="1"/>
  <c r="H1" i="46"/>
  <c r="D1" i="46"/>
  <c r="BE3" i="13" s="1"/>
  <c r="BE2" i="13" s="1"/>
  <c r="W90" i="18"/>
  <c r="S90" i="18"/>
  <c r="Y90" i="13" s="1"/>
  <c r="O90" i="18"/>
  <c r="K90" i="18"/>
  <c r="G90" i="18"/>
  <c r="W89" i="18"/>
  <c r="Z89" i="13" s="1"/>
  <c r="S89" i="18"/>
  <c r="O89" i="18"/>
  <c r="X89" i="13" s="1"/>
  <c r="K89" i="18"/>
  <c r="W89" i="13" s="1"/>
  <c r="G89" i="18"/>
  <c r="V89" i="13" s="1"/>
  <c r="W88" i="18"/>
  <c r="Z88" i="13" s="1"/>
  <c r="S88" i="18"/>
  <c r="Y88" i="13" s="1"/>
  <c r="O88" i="18"/>
  <c r="X88" i="13" s="1"/>
  <c r="K88" i="18"/>
  <c r="W88" i="13" s="1"/>
  <c r="G88" i="18"/>
  <c r="V88" i="13" s="1"/>
  <c r="W77" i="18"/>
  <c r="Z77" i="13" s="1"/>
  <c r="S77" i="18"/>
  <c r="O77" i="18"/>
  <c r="X77" i="13" s="1"/>
  <c r="K77" i="18"/>
  <c r="W77" i="13" s="1"/>
  <c r="G77" i="18"/>
  <c r="V77" i="13" s="1"/>
  <c r="W76" i="18"/>
  <c r="S76" i="18"/>
  <c r="Y76" i="13" s="1"/>
  <c r="O76" i="18"/>
  <c r="K76" i="18"/>
  <c r="G76" i="18"/>
  <c r="W75" i="18"/>
  <c r="Z75" i="13" s="1"/>
  <c r="S75" i="18"/>
  <c r="Y75" i="13" s="1"/>
  <c r="O75" i="18"/>
  <c r="X75" i="13" s="1"/>
  <c r="K75" i="18"/>
  <c r="W75" i="13" s="1"/>
  <c r="G75" i="18"/>
  <c r="V75" i="13" s="1"/>
  <c r="W74" i="18"/>
  <c r="Z74" i="13" s="1"/>
  <c r="S74" i="18"/>
  <c r="Y74" i="13" s="1"/>
  <c r="O74" i="18"/>
  <c r="X74" i="13" s="1"/>
  <c r="K74" i="18"/>
  <c r="W74" i="13" s="1"/>
  <c r="G74" i="18"/>
  <c r="W73" i="18"/>
  <c r="Z73" i="13" s="1"/>
  <c r="S73" i="18"/>
  <c r="O73" i="18"/>
  <c r="X73" i="13" s="1"/>
  <c r="K73" i="18"/>
  <c r="G73" i="18"/>
  <c r="V73" i="13" s="1"/>
  <c r="W72" i="18"/>
  <c r="S72" i="18"/>
  <c r="Y72" i="13" s="1"/>
  <c r="O72" i="18"/>
  <c r="X72" i="13" s="1"/>
  <c r="K72" i="18"/>
  <c r="W72" i="13" s="1"/>
  <c r="G72" i="18"/>
  <c r="V72" i="13" s="1"/>
  <c r="W59" i="18"/>
  <c r="Z59" i="13" s="1"/>
  <c r="S59" i="18"/>
  <c r="O59" i="18"/>
  <c r="X59" i="13" s="1"/>
  <c r="K59" i="18"/>
  <c r="W59" i="13" s="1"/>
  <c r="G59" i="18"/>
  <c r="V59" i="13" s="1"/>
  <c r="W58" i="18"/>
  <c r="S58" i="18"/>
  <c r="O58" i="18"/>
  <c r="K58" i="18"/>
  <c r="W58" i="13" s="1"/>
  <c r="G58" i="18"/>
  <c r="W57" i="18"/>
  <c r="S57" i="18"/>
  <c r="O57" i="18"/>
  <c r="X57" i="13" s="1"/>
  <c r="K57" i="18"/>
  <c r="W57" i="13" s="1"/>
  <c r="G57" i="18"/>
  <c r="V57" i="13" s="1"/>
  <c r="W44" i="18"/>
  <c r="Z44" i="13" s="1"/>
  <c r="S44" i="18"/>
  <c r="Y44" i="13" s="1"/>
  <c r="O44" i="18"/>
  <c r="K44" i="18"/>
  <c r="W44" i="13" s="1"/>
  <c r="G44" i="18"/>
  <c r="V44" i="13" s="1"/>
  <c r="W43" i="18"/>
  <c r="S43" i="18"/>
  <c r="O43" i="18"/>
  <c r="K43" i="18"/>
  <c r="G43" i="18"/>
  <c r="W42" i="18"/>
  <c r="S42" i="18"/>
  <c r="O42" i="18"/>
  <c r="K42" i="18"/>
  <c r="W42" i="13" s="1"/>
  <c r="G42" i="18"/>
  <c r="V42" i="13" s="1"/>
  <c r="W36" i="18"/>
  <c r="Z36" i="13" s="1"/>
  <c r="S36" i="18"/>
  <c r="Y36" i="13" s="1"/>
  <c r="O36" i="18"/>
  <c r="X36" i="13" s="1"/>
  <c r="K36" i="18"/>
  <c r="G36" i="18"/>
  <c r="V36" i="13" s="1"/>
  <c r="W35" i="18"/>
  <c r="S35" i="18"/>
  <c r="Y35" i="13" s="1"/>
  <c r="O35" i="18"/>
  <c r="K35" i="18"/>
  <c r="W35" i="13" s="1"/>
  <c r="G35" i="18"/>
  <c r="W34" i="18"/>
  <c r="Z34" i="13" s="1"/>
  <c r="S34" i="18"/>
  <c r="O34" i="18"/>
  <c r="K34" i="18"/>
  <c r="G34" i="18"/>
  <c r="V34" i="13" s="1"/>
  <c r="W21" i="18"/>
  <c r="S21" i="18"/>
  <c r="Y21" i="13" s="1"/>
  <c r="O21" i="18"/>
  <c r="X21" i="13" s="1"/>
  <c r="K21" i="18"/>
  <c r="W21" i="13" s="1"/>
  <c r="G21" i="18"/>
  <c r="W20" i="18"/>
  <c r="Z20" i="13" s="1"/>
  <c r="S20" i="18"/>
  <c r="O20" i="18"/>
  <c r="K20" i="18"/>
  <c r="G20" i="18"/>
  <c r="W19" i="18"/>
  <c r="S19" i="18"/>
  <c r="Y19" i="13" s="1"/>
  <c r="O19" i="18"/>
  <c r="K19" i="18"/>
  <c r="G19" i="18"/>
  <c r="W18" i="18"/>
  <c r="Z18" i="13" s="1"/>
  <c r="S18" i="18"/>
  <c r="Y18" i="13" s="1"/>
  <c r="O18" i="18"/>
  <c r="X18" i="13" s="1"/>
  <c r="K18" i="18"/>
  <c r="W18" i="13" s="1"/>
  <c r="G18" i="18"/>
  <c r="V18" i="13" s="1"/>
  <c r="W17" i="18"/>
  <c r="S17" i="18"/>
  <c r="Y17" i="13" s="1"/>
  <c r="O17" i="18"/>
  <c r="X17" i="13" s="1"/>
  <c r="K17" i="18"/>
  <c r="W17" i="13" s="1"/>
  <c r="G17" i="18"/>
  <c r="W16" i="18"/>
  <c r="S16" i="18"/>
  <c r="O16" i="18"/>
  <c r="X16" i="13" s="1"/>
  <c r="K16" i="18"/>
  <c r="G16" i="18"/>
  <c r="W14" i="18"/>
  <c r="S14" i="18"/>
  <c r="Y14" i="13" s="1"/>
  <c r="O14" i="18"/>
  <c r="X14" i="13" s="1"/>
  <c r="K14" i="18"/>
  <c r="W14" i="13" s="1"/>
  <c r="G14" i="18"/>
  <c r="V14" i="13" s="1"/>
  <c r="W13" i="18"/>
  <c r="Z13" i="13" s="1"/>
  <c r="S13" i="18"/>
  <c r="O13" i="18"/>
  <c r="X13" i="13" s="1"/>
  <c r="K13" i="18"/>
  <c r="G13" i="18"/>
  <c r="V13" i="13" s="1"/>
  <c r="W12" i="18"/>
  <c r="S12" i="18"/>
  <c r="O12" i="18"/>
  <c r="K12" i="18"/>
  <c r="W12" i="13" s="1"/>
  <c r="G12" i="18"/>
  <c r="T1" i="18"/>
  <c r="P1" i="18"/>
  <c r="L1" i="18"/>
  <c r="X3" i="13" s="1"/>
  <c r="X2" i="13" s="1"/>
  <c r="H1" i="18"/>
  <c r="D1" i="18"/>
  <c r="V3" i="13" s="1"/>
  <c r="V2" i="13" s="1"/>
  <c r="AA90" i="68"/>
  <c r="CO90" i="13" s="1"/>
  <c r="W90" i="68"/>
  <c r="CN90" i="13" s="1"/>
  <c r="S90" i="68"/>
  <c r="CM90" i="13" s="1"/>
  <c r="O90" i="68"/>
  <c r="CL90" i="13" s="1"/>
  <c r="K90" i="68"/>
  <c r="G90" i="68"/>
  <c r="CJ90" i="13" s="1"/>
  <c r="AA89" i="68"/>
  <c r="CO89" i="13" s="1"/>
  <c r="W89" i="68"/>
  <c r="CN89" i="13" s="1"/>
  <c r="S89" i="68"/>
  <c r="O89" i="68"/>
  <c r="CL89" i="13" s="1"/>
  <c r="K89" i="68"/>
  <c r="CK89" i="13" s="1"/>
  <c r="G89" i="68"/>
  <c r="CJ89" i="13" s="1"/>
  <c r="AA88" i="68"/>
  <c r="W88" i="68"/>
  <c r="CN88" i="13" s="1"/>
  <c r="S88" i="68"/>
  <c r="CM88" i="13" s="1"/>
  <c r="O88" i="68"/>
  <c r="CL88" i="13" s="1"/>
  <c r="K88" i="68"/>
  <c r="CK88" i="13" s="1"/>
  <c r="G88" i="68"/>
  <c r="CJ88" i="13" s="1"/>
  <c r="AA86" i="68"/>
  <c r="CO86" i="13" s="1"/>
  <c r="W86" i="68"/>
  <c r="CN86" i="13" s="1"/>
  <c r="S86" i="68"/>
  <c r="O86" i="68"/>
  <c r="CL86" i="13" s="1"/>
  <c r="K86" i="68"/>
  <c r="G86" i="68"/>
  <c r="AA85" i="68"/>
  <c r="W85" i="68"/>
  <c r="CN85" i="13" s="1"/>
  <c r="S85" i="68"/>
  <c r="O85" i="68"/>
  <c r="CL85" i="13" s="1"/>
  <c r="K85" i="68"/>
  <c r="G85" i="68"/>
  <c r="CJ85" i="13" s="1"/>
  <c r="AA84" i="68"/>
  <c r="CO84" i="13" s="1"/>
  <c r="W84" i="68"/>
  <c r="CN84" i="13" s="1"/>
  <c r="S84" i="68"/>
  <c r="CM84" i="13" s="1"/>
  <c r="O84" i="68"/>
  <c r="CL84" i="13" s="1"/>
  <c r="K84" i="68"/>
  <c r="CK84" i="13" s="1"/>
  <c r="G84" i="68"/>
  <c r="CJ84" i="13" s="1"/>
  <c r="AA83" i="68"/>
  <c r="W83" i="68"/>
  <c r="CN83" i="13" s="1"/>
  <c r="S83" i="68"/>
  <c r="CM83" i="13" s="1"/>
  <c r="O83" i="68"/>
  <c r="CL83" i="13" s="1"/>
  <c r="K83" i="68"/>
  <c r="G83" i="68"/>
  <c r="CJ83" i="13" s="1"/>
  <c r="AA82" i="68"/>
  <c r="CO82" i="13" s="1"/>
  <c r="W82" i="68"/>
  <c r="CN82" i="13" s="1"/>
  <c r="S82" i="68"/>
  <c r="O82" i="68"/>
  <c r="CL82" i="13" s="1"/>
  <c r="K82" i="68"/>
  <c r="CK82" i="13" s="1"/>
  <c r="G82" i="68"/>
  <c r="CJ82" i="13" s="1"/>
  <c r="AA81" i="68"/>
  <c r="CO81" i="13" s="1"/>
  <c r="W81" i="68"/>
  <c r="CN81" i="13" s="1"/>
  <c r="S81" i="68"/>
  <c r="O81" i="68"/>
  <c r="CL81" i="13" s="1"/>
  <c r="K81" i="68"/>
  <c r="CK81" i="13" s="1"/>
  <c r="G81" i="68"/>
  <c r="AA80" i="68"/>
  <c r="CO80" i="13" s="1"/>
  <c r="W80" i="68"/>
  <c r="CN80" i="13" s="1"/>
  <c r="S80" i="68"/>
  <c r="O80" i="68"/>
  <c r="K80" i="68"/>
  <c r="CK80" i="13" s="1"/>
  <c r="G80" i="68"/>
  <c r="AA79" i="68"/>
  <c r="CO79" i="13" s="1"/>
  <c r="W79" i="68"/>
  <c r="CN79" i="13" s="1"/>
  <c r="S79" i="68"/>
  <c r="CM79" i="13" s="1"/>
  <c r="O79" i="68"/>
  <c r="CL79" i="13" s="1"/>
  <c r="K79" i="68"/>
  <c r="CK79" i="13" s="1"/>
  <c r="G79" i="68"/>
  <c r="CJ79" i="13" s="1"/>
  <c r="AA78" i="68"/>
  <c r="W78" i="68"/>
  <c r="CN78" i="13" s="1"/>
  <c r="S78" i="68"/>
  <c r="O78" i="68"/>
  <c r="CL78" i="13" s="1"/>
  <c r="K78" i="68"/>
  <c r="CK78" i="13" s="1"/>
  <c r="G78" i="68"/>
  <c r="CJ78" i="13" s="1"/>
  <c r="AA77" i="68"/>
  <c r="W77" i="68"/>
  <c r="CN77" i="13" s="1"/>
  <c r="S77" i="68"/>
  <c r="CM77" i="13" s="1"/>
  <c r="O77" i="68"/>
  <c r="CL77" i="13" s="1"/>
  <c r="K77" i="68"/>
  <c r="G77" i="68"/>
  <c r="CJ77" i="13" s="1"/>
  <c r="AA76" i="68"/>
  <c r="CO76" i="13" s="1"/>
  <c r="W76" i="68"/>
  <c r="CN76" i="13" s="1"/>
  <c r="S76" i="68"/>
  <c r="CM76" i="13" s="1"/>
  <c r="O76" i="68"/>
  <c r="CL76" i="13" s="1"/>
  <c r="K76" i="68"/>
  <c r="CK76" i="13" s="1"/>
  <c r="G76" i="68"/>
  <c r="CJ76" i="13" s="1"/>
  <c r="AA75" i="68"/>
  <c r="CO75" i="13" s="1"/>
  <c r="W75" i="68"/>
  <c r="CN75" i="13" s="1"/>
  <c r="S75" i="68"/>
  <c r="CM75" i="13" s="1"/>
  <c r="O75" i="68"/>
  <c r="K75" i="68"/>
  <c r="G75" i="68"/>
  <c r="AA74" i="68"/>
  <c r="W74" i="68"/>
  <c r="S74" i="68"/>
  <c r="O74" i="68"/>
  <c r="CL74" i="13" s="1"/>
  <c r="K74" i="68"/>
  <c r="CK74" i="13" s="1"/>
  <c r="G74" i="68"/>
  <c r="CJ74" i="13" s="1"/>
  <c r="AA73" i="68"/>
  <c r="CO73" i="13" s="1"/>
  <c r="W73" i="68"/>
  <c r="CN73" i="13" s="1"/>
  <c r="S73" i="68"/>
  <c r="CM73" i="13" s="1"/>
  <c r="O73" i="68"/>
  <c r="CL73" i="13" s="1"/>
  <c r="K73" i="68"/>
  <c r="CK73" i="13" s="1"/>
  <c r="G73" i="68"/>
  <c r="CJ73" i="13" s="1"/>
  <c r="AA72" i="68"/>
  <c r="CO72" i="13" s="1"/>
  <c r="W72" i="68"/>
  <c r="CN72" i="13" s="1"/>
  <c r="S72" i="68"/>
  <c r="O72" i="68"/>
  <c r="K72" i="68"/>
  <c r="CK72" i="13" s="1"/>
  <c r="G72" i="68"/>
  <c r="AA71" i="68"/>
  <c r="W71" i="68"/>
  <c r="CN71" i="13" s="1"/>
  <c r="S71" i="68"/>
  <c r="CM71" i="13" s="1"/>
  <c r="O71" i="68"/>
  <c r="CL71" i="13" s="1"/>
  <c r="K71" i="68"/>
  <c r="CK71" i="13" s="1"/>
  <c r="G71" i="68"/>
  <c r="CJ71" i="13" s="1"/>
  <c r="AA70" i="68"/>
  <c r="CO70" i="13" s="1"/>
  <c r="W70" i="68"/>
  <c r="CN70" i="13" s="1"/>
  <c r="S70" i="68"/>
  <c r="CM70" i="13" s="1"/>
  <c r="O70" i="68"/>
  <c r="CL70" i="13" s="1"/>
  <c r="K70" i="68"/>
  <c r="G70" i="68"/>
  <c r="CJ70" i="13" s="1"/>
  <c r="AA69" i="68"/>
  <c r="W69" i="68"/>
  <c r="CN69" i="13" s="1"/>
  <c r="S69" i="68"/>
  <c r="O69" i="68"/>
  <c r="CL69" i="13" s="1"/>
  <c r="K69" i="68"/>
  <c r="CK69" i="13" s="1"/>
  <c r="G69" i="68"/>
  <c r="CJ69" i="13" s="1"/>
  <c r="AA68" i="68"/>
  <c r="CO68" i="13" s="1"/>
  <c r="W68" i="68"/>
  <c r="CN68" i="13" s="1"/>
  <c r="S68" i="68"/>
  <c r="CM68" i="13" s="1"/>
  <c r="O68" i="68"/>
  <c r="CL68" i="13" s="1"/>
  <c r="K68" i="68"/>
  <c r="G68" i="68"/>
  <c r="CJ68" i="13" s="1"/>
  <c r="AA67" i="68"/>
  <c r="CO67" i="13" s="1"/>
  <c r="W67" i="68"/>
  <c r="S67" i="68"/>
  <c r="O67" i="68"/>
  <c r="K67" i="68"/>
  <c r="G67" i="68"/>
  <c r="AA66" i="68"/>
  <c r="CO66" i="13" s="1"/>
  <c r="W66" i="68"/>
  <c r="CN66" i="13" s="1"/>
  <c r="S66" i="68"/>
  <c r="O66" i="68"/>
  <c r="CL66" i="13" s="1"/>
  <c r="K66" i="68"/>
  <c r="CK66" i="13" s="1"/>
  <c r="G66" i="68"/>
  <c r="CJ66" i="13" s="1"/>
  <c r="AA65" i="68"/>
  <c r="CO65" i="13" s="1"/>
  <c r="W65" i="68"/>
  <c r="CN65" i="13" s="1"/>
  <c r="S65" i="68"/>
  <c r="CM65" i="13" s="1"/>
  <c r="O65" i="68"/>
  <c r="CL65" i="13" s="1"/>
  <c r="K65" i="68"/>
  <c r="G65" i="68"/>
  <c r="CJ65" i="13" s="1"/>
  <c r="AA64" i="68"/>
  <c r="CO64" i="13" s="1"/>
  <c r="W64" i="68"/>
  <c r="CN64" i="13" s="1"/>
  <c r="S64" i="68"/>
  <c r="O64" i="68"/>
  <c r="CL64" i="13" s="1"/>
  <c r="K64" i="68"/>
  <c r="G64" i="68"/>
  <c r="AA63" i="68"/>
  <c r="CO63" i="13" s="1"/>
  <c r="W63" i="68"/>
  <c r="CN63" i="13" s="1"/>
  <c r="S63" i="68"/>
  <c r="CM63" i="13" s="1"/>
  <c r="O63" i="68"/>
  <c r="CL63" i="13" s="1"/>
  <c r="K63" i="68"/>
  <c r="CK63" i="13" s="1"/>
  <c r="G63" i="68"/>
  <c r="CJ63" i="13" s="1"/>
  <c r="AA59" i="68"/>
  <c r="CO59" i="13" s="1"/>
  <c r="W59" i="68"/>
  <c r="CN59" i="13" s="1"/>
  <c r="S59" i="68"/>
  <c r="O59" i="68"/>
  <c r="K59" i="68"/>
  <c r="G59" i="68"/>
  <c r="CJ59" i="13" s="1"/>
  <c r="AA58" i="68"/>
  <c r="W58" i="68"/>
  <c r="CN58" i="13" s="1"/>
  <c r="S58" i="68"/>
  <c r="O58" i="68"/>
  <c r="K58" i="68"/>
  <c r="G58" i="68"/>
  <c r="CJ58" i="13" s="1"/>
  <c r="AA57" i="68"/>
  <c r="CO57" i="13" s="1"/>
  <c r="W57" i="68"/>
  <c r="CN57" i="13" s="1"/>
  <c r="S57" i="68"/>
  <c r="CM57" i="13" s="1"/>
  <c r="O57" i="68"/>
  <c r="CL57" i="13" s="1"/>
  <c r="K57" i="68"/>
  <c r="CK57" i="13" s="1"/>
  <c r="G57" i="68"/>
  <c r="CJ57" i="13" s="1"/>
  <c r="AA56" i="68"/>
  <c r="W56" i="68"/>
  <c r="CN56" i="13" s="1"/>
  <c r="S56" i="68"/>
  <c r="CM56" i="13" s="1"/>
  <c r="O56" i="68"/>
  <c r="CL56" i="13" s="1"/>
  <c r="K56" i="68"/>
  <c r="G56" i="68"/>
  <c r="CJ56" i="13" s="1"/>
  <c r="AA55" i="68"/>
  <c r="W55" i="68"/>
  <c r="CN55" i="13" s="1"/>
  <c r="S55" i="68"/>
  <c r="O55" i="68"/>
  <c r="CL55" i="13" s="1"/>
  <c r="K55" i="68"/>
  <c r="CK55" i="13" s="1"/>
  <c r="G55" i="68"/>
  <c r="CJ55" i="13" s="1"/>
  <c r="AA54" i="68"/>
  <c r="CO54" i="13" s="1"/>
  <c r="W54" i="68"/>
  <c r="CN54" i="13" s="1"/>
  <c r="S54" i="68"/>
  <c r="O54" i="68"/>
  <c r="CL54" i="13" s="1"/>
  <c r="K54" i="68"/>
  <c r="G54" i="68"/>
  <c r="AA53" i="68"/>
  <c r="W53" i="68"/>
  <c r="CN53" i="13" s="1"/>
  <c r="S53" i="68"/>
  <c r="O53" i="68"/>
  <c r="K53" i="68"/>
  <c r="G53" i="68"/>
  <c r="AA52" i="68"/>
  <c r="W52" i="68"/>
  <c r="CN52" i="13" s="1"/>
  <c r="S52" i="68"/>
  <c r="CM52" i="13" s="1"/>
  <c r="O52" i="68"/>
  <c r="CL52" i="13" s="1"/>
  <c r="K52" i="68"/>
  <c r="CK52" i="13" s="1"/>
  <c r="G52" i="68"/>
  <c r="CJ52" i="13" s="1"/>
  <c r="AA51" i="68"/>
  <c r="CO51" i="13" s="1"/>
  <c r="W51" i="68"/>
  <c r="CN51" i="13" s="1"/>
  <c r="S51" i="68"/>
  <c r="CM51" i="13" s="1"/>
  <c r="O51" i="68"/>
  <c r="CL51" i="13" s="1"/>
  <c r="K51" i="68"/>
  <c r="G51" i="68"/>
  <c r="CJ51" i="13" s="1"/>
  <c r="AA50" i="68"/>
  <c r="W50" i="68"/>
  <c r="S50" i="68"/>
  <c r="CM50" i="13" s="1"/>
  <c r="O50" i="68"/>
  <c r="CL50" i="13" s="1"/>
  <c r="K50" i="68"/>
  <c r="CK50" i="13" s="1"/>
  <c r="G50" i="68"/>
  <c r="CJ50" i="13" s="1"/>
  <c r="AA49" i="68"/>
  <c r="CO49" i="13" s="1"/>
  <c r="W49" i="68"/>
  <c r="CN49" i="13" s="1"/>
  <c r="S49" i="68"/>
  <c r="CM49" i="13" s="1"/>
  <c r="O49" i="68"/>
  <c r="CL49" i="13" s="1"/>
  <c r="K49" i="68"/>
  <c r="CK49" i="13" s="1"/>
  <c r="G49" i="68"/>
  <c r="CJ49" i="13" s="1"/>
  <c r="AA48" i="68"/>
  <c r="W48" i="68"/>
  <c r="CN48" i="13" s="1"/>
  <c r="S48" i="68"/>
  <c r="O48" i="68"/>
  <c r="K48" i="68"/>
  <c r="G48" i="68"/>
  <c r="CJ48" i="13" s="1"/>
  <c r="AA47" i="68"/>
  <c r="W47" i="68"/>
  <c r="S47" i="68"/>
  <c r="O47" i="68"/>
  <c r="CL47" i="13" s="1"/>
  <c r="K47" i="68"/>
  <c r="CK47" i="13" s="1"/>
  <c r="G47" i="68"/>
  <c r="CJ47" i="13" s="1"/>
  <c r="AA46" i="68"/>
  <c r="CO46" i="13" s="1"/>
  <c r="W46" i="68"/>
  <c r="CN46" i="13" s="1"/>
  <c r="S46" i="68"/>
  <c r="O46" i="68"/>
  <c r="CL46" i="13" s="1"/>
  <c r="K46" i="68"/>
  <c r="CK46" i="13" s="1"/>
  <c r="G46" i="68"/>
  <c r="CJ46" i="13" s="1"/>
  <c r="AA45" i="68"/>
  <c r="W45" i="68"/>
  <c r="S45" i="68"/>
  <c r="O45" i="68"/>
  <c r="CL45" i="13" s="1"/>
  <c r="K45" i="68"/>
  <c r="G45" i="68"/>
  <c r="AA44" i="68"/>
  <c r="CO44" i="13" s="1"/>
  <c r="W44" i="68"/>
  <c r="CN44" i="13" s="1"/>
  <c r="S44" i="68"/>
  <c r="CM44" i="13" s="1"/>
  <c r="O44" i="68"/>
  <c r="CL44" i="13" s="1"/>
  <c r="K44" i="68"/>
  <c r="CK44" i="13" s="1"/>
  <c r="G44" i="68"/>
  <c r="CJ44" i="13" s="1"/>
  <c r="AA43" i="68"/>
  <c r="W43" i="68"/>
  <c r="CN43" i="13" s="1"/>
  <c r="S43" i="68"/>
  <c r="CM43" i="13" s="1"/>
  <c r="O43" i="68"/>
  <c r="CL43" i="13" s="1"/>
  <c r="K43" i="68"/>
  <c r="G43" i="68"/>
  <c r="AA42" i="68"/>
  <c r="W42" i="68"/>
  <c r="S42" i="68"/>
  <c r="O42" i="68"/>
  <c r="CL42" i="13" s="1"/>
  <c r="K42" i="68"/>
  <c r="CK42" i="13" s="1"/>
  <c r="G42" i="68"/>
  <c r="CJ42" i="13" s="1"/>
  <c r="AA36" i="68"/>
  <c r="CO36" i="13" s="1"/>
  <c r="W36" i="68"/>
  <c r="CN36" i="13" s="1"/>
  <c r="S36" i="68"/>
  <c r="CM36" i="13" s="1"/>
  <c r="O36" i="68"/>
  <c r="CL36" i="13" s="1"/>
  <c r="K36" i="68"/>
  <c r="G36" i="68"/>
  <c r="CJ36" i="13" s="1"/>
  <c r="AA35" i="68"/>
  <c r="CO35" i="13" s="1"/>
  <c r="W35" i="68"/>
  <c r="CN35" i="13" s="1"/>
  <c r="S35" i="68"/>
  <c r="O35" i="68"/>
  <c r="K35" i="68"/>
  <c r="G35" i="68"/>
  <c r="CJ35" i="13" s="1"/>
  <c r="AA34" i="68"/>
  <c r="W34" i="68"/>
  <c r="S34" i="68"/>
  <c r="O34" i="68"/>
  <c r="CL34" i="13" s="1"/>
  <c r="K34" i="68"/>
  <c r="CK34" i="13" s="1"/>
  <c r="G34" i="68"/>
  <c r="CJ34" i="13" s="1"/>
  <c r="AA30" i="68"/>
  <c r="CO30" i="13" s="1"/>
  <c r="W30" i="68"/>
  <c r="CN30" i="13" s="1"/>
  <c r="S30" i="68"/>
  <c r="O30" i="68"/>
  <c r="CL30" i="13" s="1"/>
  <c r="K30" i="68"/>
  <c r="G30" i="68"/>
  <c r="AA29" i="68"/>
  <c r="W29" i="68"/>
  <c r="S29" i="68"/>
  <c r="O29" i="68"/>
  <c r="CL29" i="13" s="1"/>
  <c r="K29" i="68"/>
  <c r="G29" i="68"/>
  <c r="AA28" i="68"/>
  <c r="W28" i="68"/>
  <c r="CN28" i="13" s="1"/>
  <c r="S28" i="68"/>
  <c r="CM28" i="13" s="1"/>
  <c r="O28" i="68"/>
  <c r="K28" i="68"/>
  <c r="CK28" i="13" s="1"/>
  <c r="G28" i="68"/>
  <c r="CJ28" i="13" s="1"/>
  <c r="AA21" i="68"/>
  <c r="W21" i="68"/>
  <c r="CN21" i="13" s="1"/>
  <c r="S21" i="68"/>
  <c r="CM21" i="13" s="1"/>
  <c r="O21" i="68"/>
  <c r="K21" i="68"/>
  <c r="G21" i="68"/>
  <c r="CJ21" i="13" s="1"/>
  <c r="AA20" i="68"/>
  <c r="W20" i="68"/>
  <c r="CN20" i="13" s="1"/>
  <c r="S20" i="68"/>
  <c r="O20" i="68"/>
  <c r="K20" i="68"/>
  <c r="G20" i="68"/>
  <c r="CJ20" i="13" s="1"/>
  <c r="AA19" i="68"/>
  <c r="CO19" i="13" s="1"/>
  <c r="W19" i="68"/>
  <c r="CN19" i="13" s="1"/>
  <c r="S19" i="68"/>
  <c r="CM19" i="13" s="1"/>
  <c r="O19" i="68"/>
  <c r="CL19" i="13" s="1"/>
  <c r="K19" i="68"/>
  <c r="G19" i="68"/>
  <c r="CJ19" i="13" s="1"/>
  <c r="AA18" i="68"/>
  <c r="CO18" i="13" s="1"/>
  <c r="W18" i="68"/>
  <c r="CN18" i="13" s="1"/>
  <c r="S18" i="68"/>
  <c r="O18" i="68"/>
  <c r="K18" i="68"/>
  <c r="G18" i="68"/>
  <c r="CJ18" i="13" s="1"/>
  <c r="AA17" i="68"/>
  <c r="W17" i="68"/>
  <c r="S17" i="68"/>
  <c r="O17" i="68"/>
  <c r="CL17" i="13" s="1"/>
  <c r="K17" i="68"/>
  <c r="CK17" i="13" s="1"/>
  <c r="G17" i="68"/>
  <c r="CJ17" i="13" s="1"/>
  <c r="AA16" i="68"/>
  <c r="CO16" i="13" s="1"/>
  <c r="W16" i="68"/>
  <c r="CN16" i="13" s="1"/>
  <c r="S16" i="68"/>
  <c r="O16" i="68"/>
  <c r="CL16" i="13" s="1"/>
  <c r="K16" i="68"/>
  <c r="G16" i="68"/>
  <c r="X14" i="68"/>
  <c r="T14" i="68"/>
  <c r="P14" i="68"/>
  <c r="L14" i="68"/>
  <c r="H14" i="68"/>
  <c r="D14" i="68"/>
  <c r="X13" i="68"/>
  <c r="T13" i="68"/>
  <c r="P13" i="68"/>
  <c r="L13" i="68"/>
  <c r="H13" i="68"/>
  <c r="D13" i="68"/>
  <c r="X12" i="68"/>
  <c r="T12" i="68"/>
  <c r="P12" i="68"/>
  <c r="L12" i="68"/>
  <c r="H12" i="68"/>
  <c r="D12" i="68"/>
  <c r="AA10" i="68"/>
  <c r="W10" i="68"/>
  <c r="S10" i="68"/>
  <c r="O10" i="68"/>
  <c r="K10" i="68"/>
  <c r="G10" i="68"/>
  <c r="CJ10" i="13" s="1"/>
  <c r="AA9" i="68"/>
  <c r="CO9" i="13" s="1"/>
  <c r="W9" i="68"/>
  <c r="CN9" i="13" s="1"/>
  <c r="S9" i="68"/>
  <c r="CM9" i="13" s="1"/>
  <c r="O9" i="68"/>
  <c r="CL9" i="13" s="1"/>
  <c r="K9" i="68"/>
  <c r="G9" i="68"/>
  <c r="CJ9" i="13" s="1"/>
  <c r="AA8" i="68"/>
  <c r="W8" i="68"/>
  <c r="S8" i="68"/>
  <c r="O8" i="68"/>
  <c r="CL8" i="13" s="1"/>
  <c r="K8" i="68"/>
  <c r="G8" i="68"/>
  <c r="CJ8" i="13" s="1"/>
  <c r="AA7" i="68"/>
  <c r="W7" i="68"/>
  <c r="S7" i="68"/>
  <c r="O7" i="68"/>
  <c r="CL7" i="13" s="1"/>
  <c r="K7" i="68"/>
  <c r="CK7" i="13" s="1"/>
  <c r="G7" i="68"/>
  <c r="CJ7" i="13" s="1"/>
  <c r="AA6" i="68"/>
  <c r="CO6" i="13" s="1"/>
  <c r="W6" i="68"/>
  <c r="CN6" i="13" s="1"/>
  <c r="S6" i="68"/>
  <c r="O6" i="68"/>
  <c r="CL6" i="13" s="1"/>
  <c r="K6" i="68"/>
  <c r="G6" i="68"/>
  <c r="CJ6" i="13" s="1"/>
  <c r="AA5" i="68"/>
  <c r="W5" i="68"/>
  <c r="S5" i="68"/>
  <c r="O5" i="68"/>
  <c r="CL5" i="13" s="1"/>
  <c r="K5" i="68"/>
  <c r="G5" i="68"/>
  <c r="X1" i="68"/>
  <c r="T1" i="68"/>
  <c r="CN3" i="13" s="1"/>
  <c r="CN2" i="13" s="1"/>
  <c r="P1" i="68"/>
  <c r="CM3" i="13" s="1"/>
  <c r="CM2" i="13" s="1"/>
  <c r="L1" i="68"/>
  <c r="CL3" i="13" s="1"/>
  <c r="CL2" i="13" s="1"/>
  <c r="H1" i="68"/>
  <c r="CK3" i="13" s="1"/>
  <c r="CK2" i="13" s="1"/>
  <c r="D1" i="68"/>
  <c r="CJ3" i="13" s="1"/>
  <c r="CJ2" i="13" s="1"/>
  <c r="O90" i="45"/>
  <c r="AZ90" i="13" s="1"/>
  <c r="K90" i="45"/>
  <c r="AY90" i="13" s="1"/>
  <c r="G90" i="45"/>
  <c r="AX90" i="13" s="1"/>
  <c r="O89" i="45"/>
  <c r="AZ89" i="13" s="1"/>
  <c r="K89" i="45"/>
  <c r="AY89" i="13" s="1"/>
  <c r="G89" i="45"/>
  <c r="AX89" i="13" s="1"/>
  <c r="O88" i="45"/>
  <c r="K88" i="45"/>
  <c r="G88" i="45"/>
  <c r="O77" i="45"/>
  <c r="AZ77" i="13" s="1"/>
  <c r="K77" i="45"/>
  <c r="G77" i="45"/>
  <c r="AX77" i="13" s="1"/>
  <c r="O76" i="45"/>
  <c r="AZ76" i="13" s="1"/>
  <c r="K76" i="45"/>
  <c r="AY76" i="13" s="1"/>
  <c r="G76" i="45"/>
  <c r="AX76" i="13" s="1"/>
  <c r="O75" i="45"/>
  <c r="AZ75" i="13" s="1"/>
  <c r="K75" i="45"/>
  <c r="G75" i="45"/>
  <c r="AX75" i="13" s="1"/>
  <c r="O74" i="45"/>
  <c r="AZ74" i="13" s="1"/>
  <c r="K74" i="45"/>
  <c r="AY74" i="13" s="1"/>
  <c r="G74" i="45"/>
  <c r="AX74" i="13" s="1"/>
  <c r="O73" i="45"/>
  <c r="K73" i="45"/>
  <c r="G73" i="45"/>
  <c r="AX73" i="13" s="1"/>
  <c r="O72" i="45"/>
  <c r="AZ72" i="13" s="1"/>
  <c r="K72" i="45"/>
  <c r="G72" i="45"/>
  <c r="O71" i="45"/>
  <c r="AZ71" i="13" s="1"/>
  <c r="K71" i="45"/>
  <c r="AY71" i="13" s="1"/>
  <c r="G71" i="45"/>
  <c r="AX71" i="13" s="1"/>
  <c r="O70" i="45"/>
  <c r="AZ70" i="13" s="1"/>
  <c r="K70" i="45"/>
  <c r="AY70" i="13" s="1"/>
  <c r="G70" i="45"/>
  <c r="O69" i="45"/>
  <c r="AZ69" i="13" s="1"/>
  <c r="K69" i="45"/>
  <c r="G69" i="45"/>
  <c r="AX69" i="13" s="1"/>
  <c r="O68" i="45"/>
  <c r="AZ68" i="13" s="1"/>
  <c r="K68" i="45"/>
  <c r="G68" i="45"/>
  <c r="O67" i="45"/>
  <c r="AZ67" i="13" s="1"/>
  <c r="K67" i="45"/>
  <c r="AY67" i="13" s="1"/>
  <c r="G67" i="45"/>
  <c r="AX67" i="13" s="1"/>
  <c r="O66" i="45"/>
  <c r="K66" i="45"/>
  <c r="AY66" i="13" s="1"/>
  <c r="G66" i="45"/>
  <c r="AX66" i="13" s="1"/>
  <c r="O65" i="45"/>
  <c r="AZ65" i="13" s="1"/>
  <c r="K65" i="45"/>
  <c r="AY65" i="13" s="1"/>
  <c r="G65" i="45"/>
  <c r="AX65" i="13" s="1"/>
  <c r="O64" i="45"/>
  <c r="K64" i="45"/>
  <c r="AY64" i="13" s="1"/>
  <c r="G64" i="45"/>
  <c r="AX64" i="13" s="1"/>
  <c r="O63" i="45"/>
  <c r="AZ63" i="13" s="1"/>
  <c r="K63" i="45"/>
  <c r="AY63" i="13" s="1"/>
  <c r="G63" i="45"/>
  <c r="O59" i="45"/>
  <c r="K59" i="45"/>
  <c r="AY59" i="13" s="1"/>
  <c r="G59" i="45"/>
  <c r="O58" i="45"/>
  <c r="K58" i="45"/>
  <c r="G58" i="45"/>
  <c r="AX58" i="13" s="1"/>
  <c r="O57" i="45"/>
  <c r="AZ57" i="13" s="1"/>
  <c r="K57" i="45"/>
  <c r="AY57" i="13" s="1"/>
  <c r="G57" i="45"/>
  <c r="AX57" i="13" s="1"/>
  <c r="O56" i="45"/>
  <c r="AZ56" i="13" s="1"/>
  <c r="K56" i="45"/>
  <c r="G56" i="45"/>
  <c r="AX56" i="13" s="1"/>
  <c r="O55" i="45"/>
  <c r="K55" i="45"/>
  <c r="AY55" i="13" s="1"/>
  <c r="G55" i="45"/>
  <c r="AX55" i="13" s="1"/>
  <c r="O54" i="45"/>
  <c r="AZ54" i="13" s="1"/>
  <c r="K54" i="45"/>
  <c r="G54" i="45"/>
  <c r="O53" i="45"/>
  <c r="K53" i="45"/>
  <c r="AY53" i="13" s="1"/>
  <c r="G53" i="45"/>
  <c r="AX53" i="13" s="1"/>
  <c r="O52" i="45"/>
  <c r="AZ52" i="13" s="1"/>
  <c r="K52" i="45"/>
  <c r="AY52" i="13" s="1"/>
  <c r="G52" i="45"/>
  <c r="AX52" i="13" s="1"/>
  <c r="O51" i="45"/>
  <c r="AZ51" i="13" s="1"/>
  <c r="K51" i="45"/>
  <c r="AY51" i="13" s="1"/>
  <c r="G51" i="45"/>
  <c r="AX51" i="13" s="1"/>
  <c r="O50" i="45"/>
  <c r="AZ50" i="13" s="1"/>
  <c r="K50" i="45"/>
  <c r="G50" i="45"/>
  <c r="AX50" i="13" s="1"/>
  <c r="O49" i="45"/>
  <c r="K49" i="45"/>
  <c r="AY49" i="13" s="1"/>
  <c r="G49" i="45"/>
  <c r="O48" i="45"/>
  <c r="AZ48" i="13" s="1"/>
  <c r="K48" i="45"/>
  <c r="G48" i="45"/>
  <c r="O47" i="45"/>
  <c r="K47" i="45"/>
  <c r="AY47" i="13" s="1"/>
  <c r="G47" i="45"/>
  <c r="AX47" i="13" s="1"/>
  <c r="O46" i="45"/>
  <c r="AZ46" i="13" s="1"/>
  <c r="K46" i="45"/>
  <c r="AY46" i="13" s="1"/>
  <c r="G46" i="45"/>
  <c r="AX46" i="13" s="1"/>
  <c r="O45" i="45"/>
  <c r="K45" i="45"/>
  <c r="AY45" i="13" s="1"/>
  <c r="G45" i="45"/>
  <c r="AX45" i="13" s="1"/>
  <c r="O44" i="45"/>
  <c r="AZ44" i="13" s="1"/>
  <c r="K44" i="45"/>
  <c r="G44" i="45"/>
  <c r="AX44" i="13" s="1"/>
  <c r="O43" i="45"/>
  <c r="K43" i="45"/>
  <c r="AY43" i="13" s="1"/>
  <c r="G43" i="45"/>
  <c r="O42" i="45"/>
  <c r="K42" i="45"/>
  <c r="G42" i="45"/>
  <c r="AX42" i="13" s="1"/>
  <c r="O36" i="45"/>
  <c r="AZ36" i="13" s="1"/>
  <c r="K36" i="45"/>
  <c r="AY36" i="13" s="1"/>
  <c r="G36" i="45"/>
  <c r="AX36" i="13" s="1"/>
  <c r="O35" i="45"/>
  <c r="AZ35" i="13" s="1"/>
  <c r="K35" i="45"/>
  <c r="G35" i="45"/>
  <c r="AX35" i="13" s="1"/>
  <c r="O34" i="45"/>
  <c r="AZ34" i="13" s="1"/>
  <c r="K34" i="45"/>
  <c r="AY34" i="13" s="1"/>
  <c r="G34" i="45"/>
  <c r="AX34" i="13" s="1"/>
  <c r="O30" i="45"/>
  <c r="K30" i="45"/>
  <c r="G30" i="45"/>
  <c r="AX30" i="13" s="1"/>
  <c r="O29" i="45"/>
  <c r="K29" i="45"/>
  <c r="G29" i="45"/>
  <c r="O28" i="45"/>
  <c r="AZ28" i="13" s="1"/>
  <c r="K28" i="45"/>
  <c r="AY28" i="13" s="1"/>
  <c r="G28" i="45"/>
  <c r="AX28" i="13" s="1"/>
  <c r="O21" i="45"/>
  <c r="AZ21" i="13" s="1"/>
  <c r="K21" i="45"/>
  <c r="AY21" i="13" s="1"/>
  <c r="G21" i="45"/>
  <c r="O20" i="45"/>
  <c r="AZ20" i="13" s="1"/>
  <c r="K20" i="45"/>
  <c r="AY20" i="13" s="1"/>
  <c r="G20" i="45"/>
  <c r="AX20" i="13" s="1"/>
  <c r="O19" i="45"/>
  <c r="K19" i="45"/>
  <c r="G19" i="45"/>
  <c r="O18" i="45"/>
  <c r="K18" i="45"/>
  <c r="G18" i="45"/>
  <c r="O17" i="45"/>
  <c r="K17" i="45"/>
  <c r="AY17" i="13" s="1"/>
  <c r="G17" i="45"/>
  <c r="AX17" i="13" s="1"/>
  <c r="O16" i="45"/>
  <c r="AZ16" i="13" s="1"/>
  <c r="K16" i="45"/>
  <c r="AY16" i="13" s="1"/>
  <c r="G16" i="45"/>
  <c r="AX16" i="13" s="1"/>
  <c r="L14" i="45"/>
  <c r="H14" i="45"/>
  <c r="D14" i="45"/>
  <c r="L13" i="45"/>
  <c r="H13" i="45"/>
  <c r="D13" i="45"/>
  <c r="L12" i="45"/>
  <c r="H12" i="45"/>
  <c r="D12" i="45"/>
  <c r="O10" i="45"/>
  <c r="K10" i="45"/>
  <c r="G10" i="45"/>
  <c r="AX10" i="13" s="1"/>
  <c r="O9" i="45"/>
  <c r="AZ9" i="13" s="1"/>
  <c r="K9" i="45"/>
  <c r="G9" i="45"/>
  <c r="AX9" i="13" s="1"/>
  <c r="O8" i="45"/>
  <c r="AZ8" i="13" s="1"/>
  <c r="K8" i="45"/>
  <c r="G8" i="45"/>
  <c r="AX8" i="13" s="1"/>
  <c r="O7" i="45"/>
  <c r="AZ7" i="13" s="1"/>
  <c r="K7" i="45"/>
  <c r="G7" i="45"/>
  <c r="O6" i="45"/>
  <c r="K6" i="45"/>
  <c r="G6" i="45"/>
  <c r="AX6" i="13" s="1"/>
  <c r="O5" i="45"/>
  <c r="K5" i="45"/>
  <c r="G5" i="45"/>
  <c r="L1" i="45"/>
  <c r="AZ3" i="13" s="1"/>
  <c r="AZ2" i="13" s="1"/>
  <c r="H1" i="45"/>
  <c r="AY3" i="13" s="1"/>
  <c r="AY2" i="13" s="1"/>
  <c r="D1" i="45"/>
  <c r="S102" i="30"/>
  <c r="AW102" i="13" s="1"/>
  <c r="O102" i="30"/>
  <c r="AV102" i="13" s="1"/>
  <c r="K102" i="30"/>
  <c r="AU102" i="13" s="1"/>
  <c r="G102" i="30"/>
  <c r="AT102" i="13" s="1"/>
  <c r="S101" i="30"/>
  <c r="AW101" i="13" s="1"/>
  <c r="O101" i="30"/>
  <c r="AV101" i="13" s="1"/>
  <c r="K101" i="30"/>
  <c r="AU101" i="13" s="1"/>
  <c r="G101" i="30"/>
  <c r="S100" i="30"/>
  <c r="O100" i="30"/>
  <c r="AV100" i="13" s="1"/>
  <c r="K100" i="30"/>
  <c r="AU100" i="13" s="1"/>
  <c r="G100" i="30"/>
  <c r="AT100" i="13" s="1"/>
  <c r="S99" i="30"/>
  <c r="O99" i="30"/>
  <c r="AV99" i="13" s="1"/>
  <c r="K99" i="30"/>
  <c r="AU99" i="13" s="1"/>
  <c r="G99" i="30"/>
  <c r="AT99" i="13" s="1"/>
  <c r="S98" i="30"/>
  <c r="AW98" i="13" s="1"/>
  <c r="O98" i="30"/>
  <c r="AV98" i="13" s="1"/>
  <c r="K98" i="30"/>
  <c r="AU98" i="13" s="1"/>
  <c r="G98" i="30"/>
  <c r="AT98" i="13" s="1"/>
  <c r="S97" i="30"/>
  <c r="O97" i="30"/>
  <c r="AV97" i="13" s="1"/>
  <c r="K97" i="30"/>
  <c r="AU97" i="13" s="1"/>
  <c r="G97" i="30"/>
  <c r="AT97" i="13" s="1"/>
  <c r="S96" i="30"/>
  <c r="O96" i="30"/>
  <c r="AV96" i="13" s="1"/>
  <c r="K96" i="30"/>
  <c r="G96" i="30"/>
  <c r="AT96" i="13" s="1"/>
  <c r="S95" i="30"/>
  <c r="AW95" i="13" s="1"/>
  <c r="O95" i="30"/>
  <c r="AV95" i="13" s="1"/>
  <c r="K95" i="30"/>
  <c r="AU95" i="13" s="1"/>
  <c r="G95" i="30"/>
  <c r="AT95" i="13" s="1"/>
  <c r="S94" i="30"/>
  <c r="AW94" i="13" s="1"/>
  <c r="O94" i="30"/>
  <c r="AV94" i="13" s="1"/>
  <c r="K94" i="30"/>
  <c r="AU94" i="13" s="1"/>
  <c r="G94" i="30"/>
  <c r="AT94" i="13" s="1"/>
  <c r="S90" i="30"/>
  <c r="AW90" i="13" s="1"/>
  <c r="O90" i="30"/>
  <c r="AV90" i="13" s="1"/>
  <c r="K90" i="30"/>
  <c r="G90" i="30"/>
  <c r="AT90" i="13" s="1"/>
  <c r="S89" i="30"/>
  <c r="O89" i="30"/>
  <c r="AV89" i="13" s="1"/>
  <c r="K89" i="30"/>
  <c r="G89" i="30"/>
  <c r="AT89" i="13" s="1"/>
  <c r="S88" i="30"/>
  <c r="O88" i="30"/>
  <c r="AV88" i="13" s="1"/>
  <c r="K88" i="30"/>
  <c r="AU88" i="13" s="1"/>
  <c r="G88" i="30"/>
  <c r="AT88" i="13" s="1"/>
  <c r="S77" i="30"/>
  <c r="AW77" i="13" s="1"/>
  <c r="O77" i="30"/>
  <c r="AV77" i="13" s="1"/>
  <c r="K77" i="30"/>
  <c r="AU77" i="13" s="1"/>
  <c r="G77" i="30"/>
  <c r="AT77" i="13" s="1"/>
  <c r="S76" i="30"/>
  <c r="AW76" i="13" s="1"/>
  <c r="O76" i="30"/>
  <c r="AV76" i="13" s="1"/>
  <c r="K76" i="30"/>
  <c r="G76" i="30"/>
  <c r="AT76" i="13" s="1"/>
  <c r="S75" i="30"/>
  <c r="O75" i="30"/>
  <c r="AV75" i="13" s="1"/>
  <c r="K75" i="30"/>
  <c r="AU75" i="13" s="1"/>
  <c r="G75" i="30"/>
  <c r="AT75" i="13" s="1"/>
  <c r="S68" i="30"/>
  <c r="O68" i="30"/>
  <c r="AV68" i="13" s="1"/>
  <c r="K68" i="30"/>
  <c r="AU68" i="13" s="1"/>
  <c r="G68" i="30"/>
  <c r="AT68" i="13" s="1"/>
  <c r="S67" i="30"/>
  <c r="AW67" i="13" s="1"/>
  <c r="O67" i="30"/>
  <c r="AV67" i="13" s="1"/>
  <c r="K67" i="30"/>
  <c r="AU67" i="13" s="1"/>
  <c r="G67" i="30"/>
  <c r="AT67" i="13" s="1"/>
  <c r="S66" i="30"/>
  <c r="O66" i="30"/>
  <c r="AV66" i="13" s="1"/>
  <c r="K66" i="30"/>
  <c r="AU66" i="13" s="1"/>
  <c r="G66" i="30"/>
  <c r="S65" i="30"/>
  <c r="O65" i="30"/>
  <c r="AV65" i="13" s="1"/>
  <c r="K65" i="30"/>
  <c r="AU65" i="13" s="1"/>
  <c r="G65" i="30"/>
  <c r="S64" i="30"/>
  <c r="O64" i="30"/>
  <c r="AV64" i="13" s="1"/>
  <c r="K64" i="30"/>
  <c r="AU64" i="13" s="1"/>
  <c r="G64" i="30"/>
  <c r="AT64" i="13" s="1"/>
  <c r="S63" i="30"/>
  <c r="AW63" i="13" s="1"/>
  <c r="O63" i="30"/>
  <c r="AV63" i="13" s="1"/>
  <c r="K63" i="30"/>
  <c r="G63" i="30"/>
  <c r="AT63" i="13" s="1"/>
  <c r="S56" i="30"/>
  <c r="AW56" i="13" s="1"/>
  <c r="O56" i="30"/>
  <c r="AV56" i="13" s="1"/>
  <c r="K56" i="30"/>
  <c r="G56" i="30"/>
  <c r="S55" i="30"/>
  <c r="O55" i="30"/>
  <c r="AV55" i="13" s="1"/>
  <c r="K55" i="30"/>
  <c r="G55" i="30"/>
  <c r="S54" i="30"/>
  <c r="AW54" i="13" s="1"/>
  <c r="O54" i="30"/>
  <c r="AV54" i="13" s="1"/>
  <c r="K54" i="30"/>
  <c r="AU54" i="13" s="1"/>
  <c r="G54" i="30"/>
  <c r="AT54" i="13" s="1"/>
  <c r="S30" i="30"/>
  <c r="AW30" i="13" s="1"/>
  <c r="O30" i="30"/>
  <c r="AV30" i="13" s="1"/>
  <c r="K30" i="30"/>
  <c r="G30" i="30"/>
  <c r="AT30" i="13" s="1"/>
  <c r="S29" i="30"/>
  <c r="AW29" i="13" s="1"/>
  <c r="O29" i="30"/>
  <c r="AV29" i="13" s="1"/>
  <c r="K29" i="30"/>
  <c r="G29" i="30"/>
  <c r="S28" i="30"/>
  <c r="O28" i="30"/>
  <c r="AV28" i="13" s="1"/>
  <c r="K28" i="30"/>
  <c r="G28" i="30"/>
  <c r="S27" i="30"/>
  <c r="O27" i="30"/>
  <c r="AV27" i="13" s="1"/>
  <c r="K27" i="30"/>
  <c r="AU27" i="13" s="1"/>
  <c r="G27" i="30"/>
  <c r="AT27" i="13" s="1"/>
  <c r="S26" i="30"/>
  <c r="AW26" i="13" s="1"/>
  <c r="O26" i="30"/>
  <c r="AV26" i="13" s="1"/>
  <c r="K26" i="30"/>
  <c r="G26" i="30"/>
  <c r="AT26" i="13" s="1"/>
  <c r="S25" i="30"/>
  <c r="AW25" i="13" s="1"/>
  <c r="O25" i="30"/>
  <c r="AV25" i="13" s="1"/>
  <c r="K25" i="30"/>
  <c r="G25" i="30"/>
  <c r="S18" i="30"/>
  <c r="O18" i="30"/>
  <c r="K18" i="30"/>
  <c r="G18" i="30"/>
  <c r="S17" i="30"/>
  <c r="O17" i="30"/>
  <c r="AV17" i="13" s="1"/>
  <c r="K17" i="30"/>
  <c r="AU17" i="13" s="1"/>
  <c r="G17" i="30"/>
  <c r="AT17" i="13" s="1"/>
  <c r="S16" i="30"/>
  <c r="AW16" i="13" s="1"/>
  <c r="O16" i="30"/>
  <c r="AV16" i="13" s="1"/>
  <c r="K16" i="30"/>
  <c r="G16" i="30"/>
  <c r="AT16" i="13" s="1"/>
  <c r="S90" i="29"/>
  <c r="AS90" i="13" s="1"/>
  <c r="O90" i="29"/>
  <c r="AR90" i="13" s="1"/>
  <c r="K90" i="29"/>
  <c r="AQ90" i="13" s="1"/>
  <c r="G90" i="29"/>
  <c r="S89" i="29"/>
  <c r="O89" i="29"/>
  <c r="AR89" i="13" s="1"/>
  <c r="K89" i="29"/>
  <c r="AQ89" i="13" s="1"/>
  <c r="G89" i="29"/>
  <c r="S88" i="29"/>
  <c r="AS88" i="13" s="1"/>
  <c r="O88" i="29"/>
  <c r="AR88" i="13" s="1"/>
  <c r="K88" i="29"/>
  <c r="AQ88" i="13" s="1"/>
  <c r="G88" i="29"/>
  <c r="AP88" i="13" s="1"/>
  <c r="S86" i="29"/>
  <c r="AS86" i="13" s="1"/>
  <c r="O86" i="29"/>
  <c r="AR86" i="13" s="1"/>
  <c r="K86" i="29"/>
  <c r="G86" i="29"/>
  <c r="AP86" i="13" s="1"/>
  <c r="S85" i="29"/>
  <c r="AS85" i="13" s="1"/>
  <c r="O85" i="29"/>
  <c r="AR85" i="13" s="1"/>
  <c r="K85" i="29"/>
  <c r="AQ85" i="13" s="1"/>
  <c r="G85" i="29"/>
  <c r="AP85" i="13" s="1"/>
  <c r="S84" i="29"/>
  <c r="O84" i="29"/>
  <c r="AR84" i="13" s="1"/>
  <c r="K84" i="29"/>
  <c r="G84" i="29"/>
  <c r="S83" i="29"/>
  <c r="O83" i="29"/>
  <c r="AR83" i="13" s="1"/>
  <c r="K83" i="29"/>
  <c r="AQ83" i="13" s="1"/>
  <c r="G83" i="29"/>
  <c r="AP83" i="13" s="1"/>
  <c r="S82" i="29"/>
  <c r="AS82" i="13" s="1"/>
  <c r="O82" i="29"/>
  <c r="AR82" i="13" s="1"/>
  <c r="K82" i="29"/>
  <c r="G82" i="29"/>
  <c r="AP82" i="13" s="1"/>
  <c r="S81" i="29"/>
  <c r="O81" i="29"/>
  <c r="K81" i="29"/>
  <c r="AQ81" i="13" s="1"/>
  <c r="G81" i="29"/>
  <c r="S80" i="29"/>
  <c r="O80" i="29"/>
  <c r="AR80" i="13" s="1"/>
  <c r="K80" i="29"/>
  <c r="AQ80" i="13" s="1"/>
  <c r="G80" i="29"/>
  <c r="AP80" i="13" s="1"/>
  <c r="S79" i="29"/>
  <c r="O79" i="29"/>
  <c r="AR79" i="13" s="1"/>
  <c r="K79" i="29"/>
  <c r="AQ79" i="13" s="1"/>
  <c r="G79" i="29"/>
  <c r="AP79" i="13" s="1"/>
  <c r="S78" i="29"/>
  <c r="AS78" i="13" s="1"/>
  <c r="O78" i="29"/>
  <c r="AR78" i="13" s="1"/>
  <c r="K78" i="29"/>
  <c r="G78" i="29"/>
  <c r="AP78" i="13" s="1"/>
  <c r="S77" i="29"/>
  <c r="O77" i="29"/>
  <c r="AR77" i="13" s="1"/>
  <c r="K77" i="29"/>
  <c r="AQ77" i="13" s="1"/>
  <c r="G77" i="29"/>
  <c r="S76" i="29"/>
  <c r="O76" i="29"/>
  <c r="AR76" i="13" s="1"/>
  <c r="K76" i="29"/>
  <c r="G76" i="29"/>
  <c r="S75" i="29"/>
  <c r="AS75" i="13" s="1"/>
  <c r="O75" i="29"/>
  <c r="AR75" i="13" s="1"/>
  <c r="K75" i="29"/>
  <c r="AQ75" i="13" s="1"/>
  <c r="G75" i="29"/>
  <c r="AP75" i="13" s="1"/>
  <c r="S68" i="29"/>
  <c r="AS68" i="13" s="1"/>
  <c r="O68" i="29"/>
  <c r="AR68" i="13" s="1"/>
  <c r="K68" i="29"/>
  <c r="AQ68" i="13" s="1"/>
  <c r="G68" i="29"/>
  <c r="AP68" i="13" s="1"/>
  <c r="S67" i="29"/>
  <c r="AS67" i="13" s="1"/>
  <c r="O67" i="29"/>
  <c r="AR67" i="13" s="1"/>
  <c r="K67" i="29"/>
  <c r="G67" i="29"/>
  <c r="S66" i="29"/>
  <c r="O66" i="29"/>
  <c r="AR66" i="13" s="1"/>
  <c r="K66" i="29"/>
  <c r="AQ66" i="13" s="1"/>
  <c r="G66" i="29"/>
  <c r="AP66" i="13" s="1"/>
  <c r="S65" i="29"/>
  <c r="AS65" i="13" s="1"/>
  <c r="O65" i="29"/>
  <c r="AR65" i="13" s="1"/>
  <c r="K65" i="29"/>
  <c r="AQ65" i="13" s="1"/>
  <c r="G65" i="29"/>
  <c r="AP65" i="13" s="1"/>
  <c r="S64" i="29"/>
  <c r="AS64" i="13" s="1"/>
  <c r="O64" i="29"/>
  <c r="AR64" i="13" s="1"/>
  <c r="K64" i="29"/>
  <c r="G64" i="29"/>
  <c r="AP64" i="13" s="1"/>
  <c r="S63" i="29"/>
  <c r="AS63" i="13" s="1"/>
  <c r="O63" i="29"/>
  <c r="AR63" i="13" s="1"/>
  <c r="K63" i="29"/>
  <c r="AQ63" i="13" s="1"/>
  <c r="G63" i="29"/>
  <c r="S59" i="29"/>
  <c r="O59" i="29"/>
  <c r="AR59" i="13" s="1"/>
  <c r="K59" i="29"/>
  <c r="G59" i="29"/>
  <c r="S58" i="29"/>
  <c r="O58" i="29"/>
  <c r="AR58" i="13" s="1"/>
  <c r="K58" i="29"/>
  <c r="AQ58" i="13" s="1"/>
  <c r="G58" i="29"/>
  <c r="AP58" i="13" s="1"/>
  <c r="S57" i="29"/>
  <c r="AS57" i="13" s="1"/>
  <c r="O57" i="29"/>
  <c r="AR57" i="13" s="1"/>
  <c r="K57" i="29"/>
  <c r="G57" i="29"/>
  <c r="AP57" i="13" s="1"/>
  <c r="S56" i="29"/>
  <c r="AS56" i="13" s="1"/>
  <c r="O56" i="29"/>
  <c r="AR56" i="13" s="1"/>
  <c r="K56" i="29"/>
  <c r="G56" i="29"/>
  <c r="AP56" i="13" s="1"/>
  <c r="S55" i="29"/>
  <c r="O55" i="29"/>
  <c r="AR55" i="13" s="1"/>
  <c r="K55" i="29"/>
  <c r="G55" i="29"/>
  <c r="AP55" i="13" s="1"/>
  <c r="S54" i="29"/>
  <c r="AS54" i="13" s="1"/>
  <c r="O54" i="29"/>
  <c r="AR54" i="13" s="1"/>
  <c r="K54" i="29"/>
  <c r="AQ54" i="13" s="1"/>
  <c r="G54" i="29"/>
  <c r="AP54" i="13" s="1"/>
  <c r="S53" i="29"/>
  <c r="AS53" i="13" s="1"/>
  <c r="O53" i="29"/>
  <c r="AR53" i="13" s="1"/>
  <c r="K53" i="29"/>
  <c r="G53" i="29"/>
  <c r="AP53" i="13" s="1"/>
  <c r="S52" i="29"/>
  <c r="O52" i="29"/>
  <c r="AR52" i="13" s="1"/>
  <c r="K52" i="29"/>
  <c r="AQ52" i="13" s="1"/>
  <c r="G52" i="29"/>
  <c r="AP52" i="13" s="1"/>
  <c r="S51" i="29"/>
  <c r="O51" i="29"/>
  <c r="AR51" i="13" s="1"/>
  <c r="K51" i="29"/>
  <c r="G51" i="29"/>
  <c r="S50" i="29"/>
  <c r="AS50" i="13" s="1"/>
  <c r="O50" i="29"/>
  <c r="AR50" i="13" s="1"/>
  <c r="K50" i="29"/>
  <c r="AQ50" i="13" s="1"/>
  <c r="G50" i="29"/>
  <c r="AP50" i="13" s="1"/>
  <c r="S49" i="29"/>
  <c r="AS49" i="13" s="1"/>
  <c r="O49" i="29"/>
  <c r="AR49" i="13" s="1"/>
  <c r="K49" i="29"/>
  <c r="G49" i="29"/>
  <c r="AP49" i="13" s="1"/>
  <c r="S48" i="29"/>
  <c r="AS48" i="13" s="1"/>
  <c r="O48" i="29"/>
  <c r="AR48" i="13" s="1"/>
  <c r="K48" i="29"/>
  <c r="AQ48" i="13" s="1"/>
  <c r="G48" i="29"/>
  <c r="S47" i="29"/>
  <c r="O47" i="29"/>
  <c r="AR47" i="13" s="1"/>
  <c r="K47" i="29"/>
  <c r="AQ47" i="13" s="1"/>
  <c r="G47" i="29"/>
  <c r="AP47" i="13" s="1"/>
  <c r="S46" i="29"/>
  <c r="AS46" i="13" s="1"/>
  <c r="O46" i="29"/>
  <c r="AR46" i="13" s="1"/>
  <c r="K46" i="29"/>
  <c r="AQ46" i="13" s="1"/>
  <c r="G46" i="29"/>
  <c r="AP46" i="13" s="1"/>
  <c r="S45" i="29"/>
  <c r="AS45" i="13" s="1"/>
  <c r="O45" i="29"/>
  <c r="AR45" i="13" s="1"/>
  <c r="K45" i="29"/>
  <c r="AQ45" i="13" s="1"/>
  <c r="G45" i="29"/>
  <c r="AP45" i="13" s="1"/>
  <c r="S44" i="29"/>
  <c r="AS44" i="13" s="1"/>
  <c r="O44" i="29"/>
  <c r="AR44" i="13" s="1"/>
  <c r="K44" i="29"/>
  <c r="AQ44" i="13" s="1"/>
  <c r="G44" i="29"/>
  <c r="S43" i="29"/>
  <c r="O43" i="29"/>
  <c r="AR43" i="13" s="1"/>
  <c r="K43" i="29"/>
  <c r="G43" i="29"/>
  <c r="S42" i="29"/>
  <c r="O42" i="29"/>
  <c r="AR42" i="13" s="1"/>
  <c r="K42" i="29"/>
  <c r="AQ42" i="13" s="1"/>
  <c r="G42" i="29"/>
  <c r="AP42" i="13" s="1"/>
  <c r="S30" i="29"/>
  <c r="AS30" i="13" s="1"/>
  <c r="O30" i="29"/>
  <c r="AR30" i="13" s="1"/>
  <c r="K30" i="29"/>
  <c r="G30" i="29"/>
  <c r="AP30" i="13" s="1"/>
  <c r="S29" i="29"/>
  <c r="O29" i="29"/>
  <c r="AR29" i="13" s="1"/>
  <c r="K29" i="29"/>
  <c r="G29" i="29"/>
  <c r="S28" i="29"/>
  <c r="O28" i="29"/>
  <c r="AR28" i="13" s="1"/>
  <c r="K28" i="29"/>
  <c r="G28" i="29"/>
  <c r="S27" i="29"/>
  <c r="O27" i="29"/>
  <c r="AR27" i="13" s="1"/>
  <c r="K27" i="29"/>
  <c r="AQ27" i="13" s="1"/>
  <c r="G27" i="29"/>
  <c r="AP27" i="13" s="1"/>
  <c r="S26" i="29"/>
  <c r="AS26" i="13" s="1"/>
  <c r="O26" i="29"/>
  <c r="AR26" i="13" s="1"/>
  <c r="K26" i="29"/>
  <c r="G26" i="29"/>
  <c r="AP26" i="13" s="1"/>
  <c r="S25" i="29"/>
  <c r="AS25" i="13" s="1"/>
  <c r="O25" i="29"/>
  <c r="AR25" i="13" s="1"/>
  <c r="K25" i="29"/>
  <c r="G25" i="29"/>
  <c r="AP25" i="13" s="1"/>
  <c r="S21" i="29"/>
  <c r="O21" i="29"/>
  <c r="AR21" i="13" s="1"/>
  <c r="K21" i="29"/>
  <c r="G21" i="29"/>
  <c r="S20" i="29"/>
  <c r="O20" i="29"/>
  <c r="AR20" i="13" s="1"/>
  <c r="K20" i="29"/>
  <c r="AQ20" i="13" s="1"/>
  <c r="G20" i="29"/>
  <c r="AP20" i="13" s="1"/>
  <c r="S19" i="29"/>
  <c r="AS19" i="13" s="1"/>
  <c r="O19" i="29"/>
  <c r="AR19" i="13" s="1"/>
  <c r="K19" i="29"/>
  <c r="G19" i="29"/>
  <c r="AP19" i="13" s="1"/>
  <c r="S18" i="29"/>
  <c r="O18" i="29"/>
  <c r="K18" i="29"/>
  <c r="G18" i="29"/>
  <c r="S17" i="29"/>
  <c r="O17" i="29"/>
  <c r="AR17" i="13" s="1"/>
  <c r="K17" i="29"/>
  <c r="G17" i="29"/>
  <c r="S16" i="29"/>
  <c r="O16" i="29"/>
  <c r="AR16" i="13" s="1"/>
  <c r="K16" i="29"/>
  <c r="AQ16" i="13" s="1"/>
  <c r="G16" i="29"/>
  <c r="AP16" i="13" s="1"/>
  <c r="K94" i="15"/>
  <c r="N94" i="13" s="1"/>
  <c r="G94" i="15"/>
  <c r="M94" i="13" s="1"/>
  <c r="K90" i="15"/>
  <c r="N90" i="13" s="1"/>
  <c r="G90" i="15"/>
  <c r="M90" i="13" s="1"/>
  <c r="K89" i="15"/>
  <c r="G89" i="15"/>
  <c r="M89" i="13" s="1"/>
  <c r="K88" i="15"/>
  <c r="N88" i="13" s="1"/>
  <c r="G88" i="15"/>
  <c r="M88" i="13" s="1"/>
  <c r="K77" i="15"/>
  <c r="N77" i="13" s="1"/>
  <c r="G77" i="15"/>
  <c r="M77" i="13" s="1"/>
  <c r="K76" i="15"/>
  <c r="N76" i="13" s="1"/>
  <c r="G76" i="15"/>
  <c r="M76" i="13" s="1"/>
  <c r="K75" i="15"/>
  <c r="N75" i="13" s="1"/>
  <c r="G75" i="15"/>
  <c r="M75" i="13" s="1"/>
  <c r="K66" i="15"/>
  <c r="N66" i="13" s="1"/>
  <c r="G66" i="15"/>
  <c r="K65" i="15"/>
  <c r="G65" i="15"/>
  <c r="M65" i="13" s="1"/>
  <c r="K64" i="15"/>
  <c r="G64" i="15"/>
  <c r="K63" i="15"/>
  <c r="G63" i="15"/>
  <c r="M63" i="13" s="1"/>
  <c r="K57" i="15"/>
  <c r="N57" i="13" s="1"/>
  <c r="G57" i="15"/>
  <c r="M57" i="13" s="1"/>
  <c r="D38" i="15"/>
  <c r="K28" i="15"/>
  <c r="N28" i="13" s="1"/>
  <c r="G28" i="15"/>
  <c r="M28" i="13" s="1"/>
  <c r="K25" i="15"/>
  <c r="G25" i="15"/>
  <c r="M25" i="13" s="1"/>
  <c r="K18" i="15"/>
  <c r="G18" i="15"/>
  <c r="K17" i="15"/>
  <c r="G17" i="15"/>
  <c r="M17" i="13" s="1"/>
  <c r="K16" i="15"/>
  <c r="N16" i="13" s="1"/>
  <c r="G16" i="15"/>
  <c r="W105" i="19"/>
  <c r="S105" i="19"/>
  <c r="AD105" i="13" s="1"/>
  <c r="O105" i="19"/>
  <c r="AC105" i="13" s="1"/>
  <c r="K105" i="19"/>
  <c r="AB105" i="13" s="1"/>
  <c r="G105" i="19"/>
  <c r="AA105" i="13" s="1"/>
  <c r="W104" i="19"/>
  <c r="AE104" i="13" s="1"/>
  <c r="S104" i="19"/>
  <c r="AD104" i="13" s="1"/>
  <c r="O104" i="19"/>
  <c r="AC104" i="13" s="1"/>
  <c r="K104" i="19"/>
  <c r="AB104" i="13" s="1"/>
  <c r="G104" i="19"/>
  <c r="AA104" i="13" s="1"/>
  <c r="W103" i="19"/>
  <c r="S103" i="19"/>
  <c r="AD103" i="13" s="1"/>
  <c r="O103" i="19"/>
  <c r="K103" i="19"/>
  <c r="AB103" i="13" s="1"/>
  <c r="G103" i="19"/>
  <c r="AA103" i="13" s="1"/>
  <c r="W102" i="19"/>
  <c r="AE102" i="13" s="1"/>
  <c r="S102" i="19"/>
  <c r="AD102" i="13" s="1"/>
  <c r="O102" i="19"/>
  <c r="AC102" i="13" s="1"/>
  <c r="K102" i="19"/>
  <c r="AB102" i="13" s="1"/>
  <c r="G102" i="19"/>
  <c r="AA102" i="13" s="1"/>
  <c r="W101" i="19"/>
  <c r="AE101" i="13" s="1"/>
  <c r="S101" i="19"/>
  <c r="AD101" i="13" s="1"/>
  <c r="O101" i="19"/>
  <c r="AC101" i="13" s="1"/>
  <c r="K101" i="19"/>
  <c r="AB101" i="13" s="1"/>
  <c r="G101" i="19"/>
  <c r="AA101" i="13" s="1"/>
  <c r="W100" i="19"/>
  <c r="AE100" i="13" s="1"/>
  <c r="S100" i="19"/>
  <c r="O100" i="19"/>
  <c r="K100" i="19"/>
  <c r="G100" i="19"/>
  <c r="AA100" i="13" s="1"/>
  <c r="W99" i="19"/>
  <c r="AE99" i="13" s="1"/>
  <c r="S99" i="19"/>
  <c r="AD99" i="13" s="1"/>
  <c r="O99" i="19"/>
  <c r="K99" i="19"/>
  <c r="AB99" i="13" s="1"/>
  <c r="G99" i="19"/>
  <c r="AA99" i="13" s="1"/>
  <c r="W98" i="19"/>
  <c r="AE98" i="13" s="1"/>
  <c r="S98" i="19"/>
  <c r="AD98" i="13" s="1"/>
  <c r="O98" i="19"/>
  <c r="AC98" i="13" s="1"/>
  <c r="K98" i="19"/>
  <c r="G98" i="19"/>
  <c r="AA98" i="13" s="1"/>
  <c r="W97" i="19"/>
  <c r="S97" i="19"/>
  <c r="AD97" i="13" s="1"/>
  <c r="O97" i="19"/>
  <c r="AC97" i="13" s="1"/>
  <c r="K97" i="19"/>
  <c r="AB97" i="13" s="1"/>
  <c r="G97" i="19"/>
  <c r="W90" i="19"/>
  <c r="AE90" i="13" s="1"/>
  <c r="S90" i="19"/>
  <c r="AD90" i="13" s="1"/>
  <c r="O90" i="19"/>
  <c r="AC90" i="13" s="1"/>
  <c r="K90" i="19"/>
  <c r="AB90" i="13" s="1"/>
  <c r="G90" i="19"/>
  <c r="AA90" i="13" s="1"/>
  <c r="W89" i="19"/>
  <c r="AE89" i="13" s="1"/>
  <c r="S89" i="19"/>
  <c r="AD89" i="13" s="1"/>
  <c r="O89" i="19"/>
  <c r="AC89" i="13" s="1"/>
  <c r="K89" i="19"/>
  <c r="AB89" i="13" s="1"/>
  <c r="G89" i="19"/>
  <c r="AA89" i="13" s="1"/>
  <c r="W88" i="19"/>
  <c r="AE88" i="13" s="1"/>
  <c r="S88" i="19"/>
  <c r="O88" i="19"/>
  <c r="AC88" i="13" s="1"/>
  <c r="K88" i="19"/>
  <c r="G88" i="19"/>
  <c r="W77" i="19"/>
  <c r="S77" i="19"/>
  <c r="AD77" i="13" s="1"/>
  <c r="O77" i="19"/>
  <c r="AC77" i="13" s="1"/>
  <c r="K77" i="19"/>
  <c r="G77" i="19"/>
  <c r="W76" i="19"/>
  <c r="AE76" i="13" s="1"/>
  <c r="S76" i="19"/>
  <c r="AD76" i="13" s="1"/>
  <c r="O76" i="19"/>
  <c r="AC76" i="13" s="1"/>
  <c r="K76" i="19"/>
  <c r="AB76" i="13" s="1"/>
  <c r="G76" i="19"/>
  <c r="AA76" i="13" s="1"/>
  <c r="W75" i="19"/>
  <c r="S75" i="19"/>
  <c r="AD75" i="13" s="1"/>
  <c r="O75" i="19"/>
  <c r="AC75" i="13" s="1"/>
  <c r="K75" i="19"/>
  <c r="AB75" i="13" s="1"/>
  <c r="G75" i="19"/>
  <c r="AA75" i="13" s="1"/>
  <c r="W74" i="19"/>
  <c r="AE74" i="13" s="1"/>
  <c r="S74" i="19"/>
  <c r="O74" i="19"/>
  <c r="AC74" i="13" s="1"/>
  <c r="K74" i="19"/>
  <c r="G74" i="19"/>
  <c r="W73" i="19"/>
  <c r="AE73" i="13" s="1"/>
  <c r="S73" i="19"/>
  <c r="AD73" i="13" s="1"/>
  <c r="O73" i="19"/>
  <c r="AC73" i="13" s="1"/>
  <c r="K73" i="19"/>
  <c r="AB73" i="13" s="1"/>
  <c r="G73" i="19"/>
  <c r="AA73" i="13" s="1"/>
  <c r="W72" i="19"/>
  <c r="AE72" i="13" s="1"/>
  <c r="S72" i="19"/>
  <c r="AD72" i="13" s="1"/>
  <c r="O72" i="19"/>
  <c r="AC72" i="13" s="1"/>
  <c r="K72" i="19"/>
  <c r="AB72" i="13" s="1"/>
  <c r="G72" i="19"/>
  <c r="AA72" i="13" s="1"/>
  <c r="W71" i="19"/>
  <c r="S71" i="19"/>
  <c r="AD71" i="13" s="1"/>
  <c r="O71" i="19"/>
  <c r="K71" i="19"/>
  <c r="AB71" i="13" s="1"/>
  <c r="G71" i="19"/>
  <c r="W70" i="19"/>
  <c r="S70" i="19"/>
  <c r="O70" i="19"/>
  <c r="AC70" i="13" s="1"/>
  <c r="K70" i="19"/>
  <c r="AB70" i="13" s="1"/>
  <c r="G70" i="19"/>
  <c r="AA70" i="13" s="1"/>
  <c r="W69" i="19"/>
  <c r="AE69" i="13" s="1"/>
  <c r="S69" i="19"/>
  <c r="AD69" i="13" s="1"/>
  <c r="O69" i="19"/>
  <c r="AC69" i="13" s="1"/>
  <c r="K69" i="19"/>
  <c r="AB69" i="13" s="1"/>
  <c r="G69" i="19"/>
  <c r="AA69" i="13" s="1"/>
  <c r="W68" i="19"/>
  <c r="AE68" i="13" s="1"/>
  <c r="S68" i="19"/>
  <c r="AD68" i="13" s="1"/>
  <c r="O68" i="19"/>
  <c r="K68" i="19"/>
  <c r="G68" i="19"/>
  <c r="AA68" i="13" s="1"/>
  <c r="W67" i="19"/>
  <c r="AE67" i="13" s="1"/>
  <c r="S67" i="19"/>
  <c r="AD67" i="13" s="1"/>
  <c r="O67" i="19"/>
  <c r="AC67" i="13" s="1"/>
  <c r="K67" i="19"/>
  <c r="AB67" i="13" s="1"/>
  <c r="G67" i="19"/>
  <c r="AA67" i="13" s="1"/>
  <c r="W66" i="19"/>
  <c r="AE66" i="13" s="1"/>
  <c r="S66" i="19"/>
  <c r="AD66" i="13" s="1"/>
  <c r="O66" i="19"/>
  <c r="AC66" i="13" s="1"/>
  <c r="K66" i="19"/>
  <c r="G66" i="19"/>
  <c r="AA66" i="13" s="1"/>
  <c r="W65" i="19"/>
  <c r="S65" i="19"/>
  <c r="AD65" i="13" s="1"/>
  <c r="O65" i="19"/>
  <c r="AC65" i="13" s="1"/>
  <c r="K65" i="19"/>
  <c r="G65" i="19"/>
  <c r="W64" i="19"/>
  <c r="AE64" i="13" s="1"/>
  <c r="S64" i="19"/>
  <c r="O64" i="19"/>
  <c r="K64" i="19"/>
  <c r="AB64" i="13" s="1"/>
  <c r="G64" i="19"/>
  <c r="AA64" i="13" s="1"/>
  <c r="W63" i="19"/>
  <c r="AE63" i="13" s="1"/>
  <c r="S63" i="19"/>
  <c r="AD63" i="13" s="1"/>
  <c r="O63" i="19"/>
  <c r="AC63" i="13" s="1"/>
  <c r="K63" i="19"/>
  <c r="AB63" i="13" s="1"/>
  <c r="G63" i="19"/>
  <c r="AA63" i="13" s="1"/>
  <c r="W59" i="19"/>
  <c r="AE59" i="13" s="1"/>
  <c r="S59" i="19"/>
  <c r="AD59" i="13" s="1"/>
  <c r="O59" i="19"/>
  <c r="AC59" i="13" s="1"/>
  <c r="K59" i="19"/>
  <c r="AB59" i="13" s="1"/>
  <c r="G59" i="19"/>
  <c r="AA59" i="13" s="1"/>
  <c r="W58" i="19"/>
  <c r="S58" i="19"/>
  <c r="O58" i="19"/>
  <c r="K58" i="19"/>
  <c r="AB58" i="13" s="1"/>
  <c r="G58" i="19"/>
  <c r="AA58" i="13" s="1"/>
  <c r="W57" i="19"/>
  <c r="AE57" i="13" s="1"/>
  <c r="S57" i="19"/>
  <c r="AD57" i="13" s="1"/>
  <c r="O57" i="19"/>
  <c r="AC57" i="13" s="1"/>
  <c r="K57" i="19"/>
  <c r="AB57" i="13" s="1"/>
  <c r="G57" i="19"/>
  <c r="AA57" i="13" s="1"/>
  <c r="W44" i="19"/>
  <c r="S44" i="19"/>
  <c r="AD44" i="13" s="1"/>
  <c r="O44" i="19"/>
  <c r="AC44" i="13" s="1"/>
  <c r="K44" i="19"/>
  <c r="AB44" i="13" s="1"/>
  <c r="G44" i="19"/>
  <c r="W43" i="19"/>
  <c r="AE43" i="13" s="1"/>
  <c r="S43" i="19"/>
  <c r="O43" i="19"/>
  <c r="AC43" i="13" s="1"/>
  <c r="K43" i="19"/>
  <c r="AB43" i="13" s="1"/>
  <c r="G43" i="19"/>
  <c r="W42" i="19"/>
  <c r="S42" i="19"/>
  <c r="AD42" i="13" s="1"/>
  <c r="O42" i="19"/>
  <c r="AC42" i="13" s="1"/>
  <c r="K42" i="19"/>
  <c r="AB42" i="13" s="1"/>
  <c r="G42" i="19"/>
  <c r="AA42" i="13" s="1"/>
  <c r="W36" i="19"/>
  <c r="AE36" i="13" s="1"/>
  <c r="S36" i="19"/>
  <c r="O36" i="19"/>
  <c r="AC36" i="13" s="1"/>
  <c r="K36" i="19"/>
  <c r="AB36" i="13" s="1"/>
  <c r="G36" i="19"/>
  <c r="AA36" i="13" s="1"/>
  <c r="W35" i="19"/>
  <c r="S35" i="19"/>
  <c r="O35" i="19"/>
  <c r="K35" i="19"/>
  <c r="G35" i="19"/>
  <c r="W34" i="19"/>
  <c r="AE34" i="13" s="1"/>
  <c r="S34" i="19"/>
  <c r="O34" i="19"/>
  <c r="K34" i="19"/>
  <c r="AB34" i="13" s="1"/>
  <c r="G34" i="19"/>
  <c r="AA34" i="13" s="1"/>
  <c r="W30" i="19"/>
  <c r="AE30" i="13" s="1"/>
  <c r="S30" i="19"/>
  <c r="AD30" i="13" s="1"/>
  <c r="O30" i="19"/>
  <c r="AC30" i="13" s="1"/>
  <c r="K30" i="19"/>
  <c r="AB30" i="13" s="1"/>
  <c r="G30" i="19"/>
  <c r="W29" i="19"/>
  <c r="AE29" i="13" s="1"/>
  <c r="S29" i="19"/>
  <c r="O29" i="19"/>
  <c r="K29" i="19"/>
  <c r="G29" i="19"/>
  <c r="AA29" i="13" s="1"/>
  <c r="W28" i="19"/>
  <c r="S28" i="19"/>
  <c r="O28" i="19"/>
  <c r="K28" i="19"/>
  <c r="AB28" i="13" s="1"/>
  <c r="G28" i="19"/>
  <c r="AA28" i="13" s="1"/>
  <c r="W27" i="19"/>
  <c r="AE27" i="13" s="1"/>
  <c r="S27" i="19"/>
  <c r="AD27" i="13" s="1"/>
  <c r="O27" i="19"/>
  <c r="AC27" i="13" s="1"/>
  <c r="K27" i="19"/>
  <c r="G27" i="19"/>
  <c r="AA27" i="13" s="1"/>
  <c r="W26" i="19"/>
  <c r="S26" i="19"/>
  <c r="AD26" i="13" s="1"/>
  <c r="O26" i="19"/>
  <c r="K26" i="19"/>
  <c r="AB26" i="13" s="1"/>
  <c r="G26" i="19"/>
  <c r="W25" i="19"/>
  <c r="AE25" i="13" s="1"/>
  <c r="S25" i="19"/>
  <c r="O25" i="19"/>
  <c r="K25" i="19"/>
  <c r="G25" i="19"/>
  <c r="AA25" i="13" s="1"/>
  <c r="W21" i="19"/>
  <c r="AE21" i="13" s="1"/>
  <c r="S21" i="19"/>
  <c r="AD21" i="13" s="1"/>
  <c r="O21" i="19"/>
  <c r="AC21" i="13" s="1"/>
  <c r="K21" i="19"/>
  <c r="AB21" i="13" s="1"/>
  <c r="G21" i="19"/>
  <c r="W20" i="19"/>
  <c r="AE20" i="13" s="1"/>
  <c r="S20" i="19"/>
  <c r="AD20" i="13" s="1"/>
  <c r="O20" i="19"/>
  <c r="K20" i="19"/>
  <c r="G20" i="19"/>
  <c r="W19" i="19"/>
  <c r="S19" i="19"/>
  <c r="AD19" i="13" s="1"/>
  <c r="O19" i="19"/>
  <c r="K19" i="19"/>
  <c r="AB19" i="13" s="1"/>
  <c r="G19" i="19"/>
  <c r="W18" i="19"/>
  <c r="AE18" i="13" s="1"/>
  <c r="S18" i="19"/>
  <c r="AD18" i="13" s="1"/>
  <c r="O18" i="19"/>
  <c r="AC18" i="13" s="1"/>
  <c r="K18" i="19"/>
  <c r="AB18" i="13" s="1"/>
  <c r="G18" i="19"/>
  <c r="AA18" i="13" s="1"/>
  <c r="W17" i="19"/>
  <c r="S17" i="19"/>
  <c r="AD17" i="13" s="1"/>
  <c r="O17" i="19"/>
  <c r="AC17" i="13" s="1"/>
  <c r="K17" i="19"/>
  <c r="AB17" i="13" s="1"/>
  <c r="G17" i="19"/>
  <c r="W16" i="19"/>
  <c r="S16" i="19"/>
  <c r="O16" i="19"/>
  <c r="AC16" i="13" s="1"/>
  <c r="K16" i="19"/>
  <c r="G16" i="19"/>
  <c r="T14" i="19"/>
  <c r="P14" i="19"/>
  <c r="L14" i="19"/>
  <c r="H14" i="19"/>
  <c r="D14" i="19"/>
  <c r="T13" i="19"/>
  <c r="P13" i="19"/>
  <c r="L13" i="19"/>
  <c r="H13" i="19"/>
  <c r="D13" i="19"/>
  <c r="T12" i="19"/>
  <c r="P12" i="19"/>
  <c r="L12" i="19"/>
  <c r="H12" i="19"/>
  <c r="D12" i="19"/>
  <c r="W10" i="19"/>
  <c r="S10" i="19"/>
  <c r="O10" i="19"/>
  <c r="AC10" i="13" s="1"/>
  <c r="K10" i="19"/>
  <c r="AB10" i="13" s="1"/>
  <c r="G10" i="19"/>
  <c r="AA10" i="13" s="1"/>
  <c r="W9" i="19"/>
  <c r="AE9" i="13" s="1"/>
  <c r="S9" i="19"/>
  <c r="AD9" i="13" s="1"/>
  <c r="O9" i="19"/>
  <c r="K9" i="19"/>
  <c r="AB9" i="13" s="1"/>
  <c r="G9" i="19"/>
  <c r="AA9" i="13" s="1"/>
  <c r="W8" i="19"/>
  <c r="S8" i="19"/>
  <c r="O8" i="19"/>
  <c r="AC8" i="13" s="1"/>
  <c r="K8" i="19"/>
  <c r="G8" i="19"/>
  <c r="AA8" i="13" s="1"/>
  <c r="W7" i="19"/>
  <c r="S7" i="19"/>
  <c r="O7" i="19"/>
  <c r="K7" i="19"/>
  <c r="AB7" i="13" s="1"/>
  <c r="G7" i="19"/>
  <c r="AA7" i="13" s="1"/>
  <c r="W6" i="19"/>
  <c r="AE6" i="13" s="1"/>
  <c r="S6" i="19"/>
  <c r="AD6" i="13" s="1"/>
  <c r="O6" i="19"/>
  <c r="AC6" i="13" s="1"/>
  <c r="K6" i="19"/>
  <c r="G6" i="19"/>
  <c r="AA6" i="13" s="1"/>
  <c r="W5" i="19"/>
  <c r="AE5" i="13" s="1"/>
  <c r="S5" i="19"/>
  <c r="O5" i="19"/>
  <c r="K5" i="19"/>
  <c r="G5" i="19"/>
  <c r="O90" i="38"/>
  <c r="AO90" i="13" s="1"/>
  <c r="K90" i="38"/>
  <c r="AN90" i="13" s="1"/>
  <c r="G90" i="38"/>
  <c r="AM90" i="13" s="1"/>
  <c r="O89" i="38"/>
  <c r="K89" i="38"/>
  <c r="AN89" i="13" s="1"/>
  <c r="G89" i="38"/>
  <c r="AM89" i="13" s="1"/>
  <c r="O88" i="38"/>
  <c r="AO88" i="13" s="1"/>
  <c r="K88" i="38"/>
  <c r="AN88" i="13" s="1"/>
  <c r="G88" i="38"/>
  <c r="AM88" i="13" s="1"/>
  <c r="O77" i="38"/>
  <c r="AO77" i="13" s="1"/>
  <c r="K77" i="38"/>
  <c r="AN77" i="13" s="1"/>
  <c r="G77" i="38"/>
  <c r="O76" i="38"/>
  <c r="AO76" i="13" s="1"/>
  <c r="K76" i="38"/>
  <c r="AN76" i="13" s="1"/>
  <c r="G76" i="38"/>
  <c r="O75" i="38"/>
  <c r="K75" i="38"/>
  <c r="G75" i="38"/>
  <c r="AM75" i="13" s="1"/>
  <c r="O74" i="38"/>
  <c r="AO74" i="13" s="1"/>
  <c r="K74" i="38"/>
  <c r="AN74" i="13" s="1"/>
  <c r="G74" i="38"/>
  <c r="AM74" i="13" s="1"/>
  <c r="O73" i="38"/>
  <c r="AO73" i="13" s="1"/>
  <c r="K73" i="38"/>
  <c r="AN73" i="13" s="1"/>
  <c r="G73" i="38"/>
  <c r="AM73" i="13" s="1"/>
  <c r="O72" i="38"/>
  <c r="AO72" i="13" s="1"/>
  <c r="K72" i="38"/>
  <c r="G72" i="38"/>
  <c r="AM72" i="13" s="1"/>
  <c r="O71" i="38"/>
  <c r="K71" i="38"/>
  <c r="AN71" i="13" s="1"/>
  <c r="G71" i="38"/>
  <c r="AM71" i="13" s="1"/>
  <c r="O70" i="38"/>
  <c r="K70" i="38"/>
  <c r="G70" i="38"/>
  <c r="AM70" i="13" s="1"/>
  <c r="O69" i="38"/>
  <c r="AO69" i="13" s="1"/>
  <c r="K69" i="38"/>
  <c r="G69" i="38"/>
  <c r="O68" i="38"/>
  <c r="AO68" i="13" s="1"/>
  <c r="K68" i="38"/>
  <c r="AN68" i="13" s="1"/>
  <c r="G68" i="38"/>
  <c r="AM68" i="13" s="1"/>
  <c r="O67" i="38"/>
  <c r="AO67" i="13" s="1"/>
  <c r="K67" i="38"/>
  <c r="AN67" i="13" s="1"/>
  <c r="G67" i="38"/>
  <c r="AM67" i="13" s="1"/>
  <c r="O66" i="38"/>
  <c r="AO66" i="13" s="1"/>
  <c r="K66" i="38"/>
  <c r="AN66" i="13" s="1"/>
  <c r="G66" i="38"/>
  <c r="AM66" i="13" s="1"/>
  <c r="O65" i="38"/>
  <c r="AO65" i="13" s="1"/>
  <c r="K65" i="38"/>
  <c r="AN65" i="13" s="1"/>
  <c r="G65" i="38"/>
  <c r="O64" i="38"/>
  <c r="AO64" i="13" s="1"/>
  <c r="K64" i="38"/>
  <c r="G64" i="38"/>
  <c r="O63" i="38"/>
  <c r="K63" i="38"/>
  <c r="AN63" i="13" s="1"/>
  <c r="G63" i="38"/>
  <c r="AM63" i="13" s="1"/>
  <c r="L30" i="38"/>
  <c r="H30" i="38"/>
  <c r="D30" i="38"/>
  <c r="L29" i="38"/>
  <c r="H29" i="38"/>
  <c r="D29" i="38"/>
  <c r="L28" i="38"/>
  <c r="H28" i="38"/>
  <c r="D28" i="38"/>
  <c r="O18" i="38"/>
  <c r="K18" i="38"/>
  <c r="G18" i="38"/>
  <c r="O17" i="38"/>
  <c r="K17" i="38"/>
  <c r="G17" i="38"/>
  <c r="AM17" i="13" s="1"/>
  <c r="O16" i="38"/>
  <c r="AO16" i="13" s="1"/>
  <c r="K16" i="38"/>
  <c r="AN16" i="13" s="1"/>
  <c r="G16" i="38"/>
  <c r="AM16" i="13" s="1"/>
  <c r="K90" i="80"/>
  <c r="AL90" i="13" s="1"/>
  <c r="G90" i="80"/>
  <c r="AK90" i="13" s="1"/>
  <c r="K89" i="80"/>
  <c r="AL89" i="13" s="1"/>
  <c r="G89" i="80"/>
  <c r="AK89" i="13" s="1"/>
  <c r="K88" i="80"/>
  <c r="AL88" i="13" s="1"/>
  <c r="G88" i="80"/>
  <c r="AK88" i="13" s="1"/>
  <c r="K77" i="80"/>
  <c r="AL77" i="13" s="1"/>
  <c r="G77" i="80"/>
  <c r="AK77" i="13" s="1"/>
  <c r="K76" i="80"/>
  <c r="AL76" i="13" s="1"/>
  <c r="G76" i="80"/>
  <c r="AK76" i="13" s="1"/>
  <c r="K75" i="80"/>
  <c r="AL75" i="13" s="1"/>
  <c r="G75" i="80"/>
  <c r="AK75" i="13" s="1"/>
  <c r="K74" i="80"/>
  <c r="AL74" i="13" s="1"/>
  <c r="G74" i="80"/>
  <c r="AK74" i="13" s="1"/>
  <c r="K73" i="80"/>
  <c r="AL73" i="13" s="1"/>
  <c r="G73" i="80"/>
  <c r="AK73" i="13" s="1"/>
  <c r="K72" i="80"/>
  <c r="AL72" i="13" s="1"/>
  <c r="G72" i="80"/>
  <c r="AK72" i="13" s="1"/>
  <c r="K71" i="80"/>
  <c r="AL71" i="13" s="1"/>
  <c r="G71" i="80"/>
  <c r="AK71" i="13" s="1"/>
  <c r="K70" i="80"/>
  <c r="AL70" i="13" s="1"/>
  <c r="G70" i="80"/>
  <c r="AK70" i="13" s="1"/>
  <c r="K69" i="80"/>
  <c r="AL69" i="13" s="1"/>
  <c r="G69" i="80"/>
  <c r="AK69" i="13" s="1"/>
  <c r="K68" i="80"/>
  <c r="AL68" i="13" s="1"/>
  <c r="G68" i="80"/>
  <c r="AK68" i="13" s="1"/>
  <c r="K67" i="80"/>
  <c r="AL67" i="13" s="1"/>
  <c r="G67" i="80"/>
  <c r="AK67" i="13" s="1"/>
  <c r="K66" i="80"/>
  <c r="AL66" i="13" s="1"/>
  <c r="G66" i="80"/>
  <c r="AK66" i="13" s="1"/>
  <c r="K65" i="80"/>
  <c r="AL65" i="13" s="1"/>
  <c r="G65" i="80"/>
  <c r="AK65" i="13" s="1"/>
  <c r="K64" i="80"/>
  <c r="AL64" i="13" s="1"/>
  <c r="G64" i="80"/>
  <c r="AK64" i="13" s="1"/>
  <c r="K63" i="80"/>
  <c r="AL63" i="13" s="1"/>
  <c r="G63" i="80"/>
  <c r="AK63" i="13" s="1"/>
  <c r="H30" i="80"/>
  <c r="D30" i="80"/>
  <c r="H29" i="80"/>
  <c r="D29" i="80"/>
  <c r="H28" i="80"/>
  <c r="D28" i="80"/>
  <c r="K18" i="80"/>
  <c r="AL18" i="13" s="1"/>
  <c r="G18" i="80"/>
  <c r="AK18" i="13" s="1"/>
  <c r="K17" i="80"/>
  <c r="AL17" i="13" s="1"/>
  <c r="G17" i="80"/>
  <c r="AK17" i="13" s="1"/>
  <c r="K16" i="80"/>
  <c r="AL16" i="13" s="1"/>
  <c r="G16" i="80"/>
  <c r="AK16" i="13" s="1"/>
  <c r="O105" i="21"/>
  <c r="AJ105" i="13" s="1"/>
  <c r="K105" i="21"/>
  <c r="AI105" i="13" s="1"/>
  <c r="G105" i="21"/>
  <c r="AH105" i="13" s="1"/>
  <c r="O104" i="21"/>
  <c r="K104" i="21"/>
  <c r="AI104" i="13" s="1"/>
  <c r="G104" i="21"/>
  <c r="AH104" i="13" s="1"/>
  <c r="O103" i="21"/>
  <c r="K103" i="21"/>
  <c r="G103" i="21"/>
  <c r="AH103" i="13" s="1"/>
  <c r="O102" i="21"/>
  <c r="AJ102" i="13" s="1"/>
  <c r="K102" i="21"/>
  <c r="AI102" i="13" s="1"/>
  <c r="G102" i="21"/>
  <c r="AH102" i="13" s="1"/>
  <c r="O101" i="21"/>
  <c r="AJ101" i="13" s="1"/>
  <c r="K101" i="21"/>
  <c r="AI101" i="13" s="1"/>
  <c r="G101" i="21"/>
  <c r="AH101" i="13" s="1"/>
  <c r="O100" i="21"/>
  <c r="AJ100" i="13" s="1"/>
  <c r="K100" i="21"/>
  <c r="AI100" i="13" s="1"/>
  <c r="G100" i="21"/>
  <c r="O99" i="21"/>
  <c r="AJ99" i="13" s="1"/>
  <c r="K99" i="21"/>
  <c r="AI99" i="13" s="1"/>
  <c r="G99" i="21"/>
  <c r="AH99" i="13" s="1"/>
  <c r="O98" i="21"/>
  <c r="AJ98" i="13" s="1"/>
  <c r="K98" i="21"/>
  <c r="AI98" i="13" s="1"/>
  <c r="G98" i="21"/>
  <c r="O97" i="21"/>
  <c r="AJ97" i="13" s="1"/>
  <c r="K97" i="21"/>
  <c r="AI97" i="13" s="1"/>
  <c r="G97" i="21"/>
  <c r="AH97" i="13" s="1"/>
  <c r="O96" i="21"/>
  <c r="AJ96" i="13" s="1"/>
  <c r="K96" i="21"/>
  <c r="AI96" i="13" s="1"/>
  <c r="G96" i="21"/>
  <c r="AH96" i="13" s="1"/>
  <c r="O95" i="21"/>
  <c r="AJ95" i="13" s="1"/>
  <c r="K95" i="21"/>
  <c r="AI95" i="13" s="1"/>
  <c r="G95" i="21"/>
  <c r="AH95" i="13" s="1"/>
  <c r="O94" i="21"/>
  <c r="AJ94" i="13" s="1"/>
  <c r="K94" i="21"/>
  <c r="AI94" i="13" s="1"/>
  <c r="G94" i="21"/>
  <c r="AH94" i="13" s="1"/>
  <c r="O93" i="21"/>
  <c r="AJ93" i="13" s="1"/>
  <c r="K93" i="21"/>
  <c r="AI93" i="13" s="1"/>
  <c r="G93" i="21"/>
  <c r="AH93" i="13" s="1"/>
  <c r="O92" i="21"/>
  <c r="K92" i="21"/>
  <c r="AI92" i="13" s="1"/>
  <c r="G92" i="21"/>
  <c r="AH92" i="13" s="1"/>
  <c r="O91" i="21"/>
  <c r="AJ91" i="13" s="1"/>
  <c r="K91" i="21"/>
  <c r="AI91" i="13" s="1"/>
  <c r="G91" i="21"/>
  <c r="AH91" i="13" s="1"/>
  <c r="O90" i="21"/>
  <c r="AJ90" i="13" s="1"/>
  <c r="K90" i="21"/>
  <c r="AI90" i="13" s="1"/>
  <c r="G90" i="21"/>
  <c r="AH90" i="13" s="1"/>
  <c r="O89" i="21"/>
  <c r="AJ89" i="13" s="1"/>
  <c r="K89" i="21"/>
  <c r="G89" i="21"/>
  <c r="AH89" i="13" s="1"/>
  <c r="O88" i="21"/>
  <c r="AJ88" i="13" s="1"/>
  <c r="K88" i="21"/>
  <c r="AI88" i="13" s="1"/>
  <c r="G88" i="21"/>
  <c r="AH88" i="13" s="1"/>
  <c r="O77" i="21"/>
  <c r="K77" i="21"/>
  <c r="G77" i="21"/>
  <c r="AH77" i="13" s="1"/>
  <c r="O76" i="21"/>
  <c r="AJ76" i="13" s="1"/>
  <c r="K76" i="21"/>
  <c r="AI76" i="13" s="1"/>
  <c r="G76" i="21"/>
  <c r="O75" i="21"/>
  <c r="AJ75" i="13" s="1"/>
  <c r="K75" i="21"/>
  <c r="AI75" i="13" s="1"/>
  <c r="G75" i="21"/>
  <c r="AH75" i="13" s="1"/>
  <c r="O65" i="21"/>
  <c r="AJ65" i="13" s="1"/>
  <c r="K65" i="21"/>
  <c r="AI65" i="13" s="1"/>
  <c r="G65" i="21"/>
  <c r="AH65" i="13" s="1"/>
  <c r="O64" i="21"/>
  <c r="AJ64" i="13" s="1"/>
  <c r="K64" i="21"/>
  <c r="G64" i="21"/>
  <c r="AH64" i="13" s="1"/>
  <c r="O63" i="21"/>
  <c r="AJ63" i="13" s="1"/>
  <c r="K63" i="21"/>
  <c r="G63" i="21"/>
  <c r="O62" i="21"/>
  <c r="AJ62" i="13" s="1"/>
  <c r="K62" i="21"/>
  <c r="G62" i="21"/>
  <c r="AH62" i="13" s="1"/>
  <c r="O61" i="21"/>
  <c r="K61" i="21"/>
  <c r="AI61" i="13" s="1"/>
  <c r="G61" i="21"/>
  <c r="AH61" i="13" s="1"/>
  <c r="O60" i="21"/>
  <c r="AJ60" i="13" s="1"/>
  <c r="K60" i="21"/>
  <c r="AI60" i="13" s="1"/>
  <c r="G60" i="21"/>
  <c r="AH60" i="13" s="1"/>
  <c r="O59" i="21"/>
  <c r="AJ59" i="13" s="1"/>
  <c r="K59" i="21"/>
  <c r="AI59" i="13" s="1"/>
  <c r="G59" i="21"/>
  <c r="AH59" i="13" s="1"/>
  <c r="O58" i="21"/>
  <c r="AJ58" i="13" s="1"/>
  <c r="K58" i="21"/>
  <c r="AI58" i="13" s="1"/>
  <c r="G58" i="21"/>
  <c r="O57" i="21"/>
  <c r="K57" i="21"/>
  <c r="AI57" i="13" s="1"/>
  <c r="G57" i="21"/>
  <c r="O44" i="21"/>
  <c r="K44" i="21"/>
  <c r="G44" i="21"/>
  <c r="O43" i="21"/>
  <c r="AJ43" i="13" s="1"/>
  <c r="K43" i="21"/>
  <c r="AI43" i="13" s="1"/>
  <c r="G43" i="21"/>
  <c r="AH43" i="13" s="1"/>
  <c r="O42" i="21"/>
  <c r="AJ42" i="13" s="1"/>
  <c r="K42" i="21"/>
  <c r="AI42" i="13" s="1"/>
  <c r="G42" i="21"/>
  <c r="AH42" i="13" s="1"/>
  <c r="O36" i="21"/>
  <c r="AJ36" i="13" s="1"/>
  <c r="K36" i="21"/>
  <c r="AI36" i="13" s="1"/>
  <c r="G36" i="21"/>
  <c r="AH36" i="13" s="1"/>
  <c r="O35" i="21"/>
  <c r="K35" i="21"/>
  <c r="G35" i="21"/>
  <c r="O34" i="21"/>
  <c r="AJ34" i="13" s="1"/>
  <c r="K34" i="21"/>
  <c r="AI34" i="13" s="1"/>
  <c r="G34" i="21"/>
  <c r="O30" i="21"/>
  <c r="AJ30" i="13" s="1"/>
  <c r="K30" i="21"/>
  <c r="AI30" i="13" s="1"/>
  <c r="G30" i="21"/>
  <c r="AH30" i="13" s="1"/>
  <c r="O29" i="21"/>
  <c r="AJ29" i="13" s="1"/>
  <c r="K29" i="21"/>
  <c r="AI29" i="13" s="1"/>
  <c r="G29" i="21"/>
  <c r="O28" i="21"/>
  <c r="AJ28" i="13" s="1"/>
  <c r="K28" i="21"/>
  <c r="AI28" i="13" s="1"/>
  <c r="G28" i="21"/>
  <c r="O27" i="21"/>
  <c r="AJ27" i="13" s="1"/>
  <c r="K27" i="21"/>
  <c r="G27" i="21"/>
  <c r="O26" i="21"/>
  <c r="AJ26" i="13" s="1"/>
  <c r="K26" i="21"/>
  <c r="G26" i="21"/>
  <c r="O25" i="21"/>
  <c r="K25" i="21"/>
  <c r="AI25" i="13" s="1"/>
  <c r="G25" i="21"/>
  <c r="AH25" i="13" s="1"/>
  <c r="O21" i="21"/>
  <c r="AJ21" i="13" s="1"/>
  <c r="K21" i="21"/>
  <c r="AI21" i="13" s="1"/>
  <c r="G21" i="21"/>
  <c r="AH21" i="13" s="1"/>
  <c r="O20" i="21"/>
  <c r="K20" i="21"/>
  <c r="AI20" i="13" s="1"/>
  <c r="G20" i="21"/>
  <c r="AH20" i="13" s="1"/>
  <c r="O19" i="21"/>
  <c r="AJ19" i="13" s="1"/>
  <c r="K19" i="21"/>
  <c r="G19" i="21"/>
  <c r="O18" i="21"/>
  <c r="K18" i="21"/>
  <c r="AI18" i="13" s="1"/>
  <c r="G18" i="21"/>
  <c r="O17" i="21"/>
  <c r="K17" i="21"/>
  <c r="G17" i="21"/>
  <c r="O16" i="21"/>
  <c r="AJ16" i="13" s="1"/>
  <c r="K16" i="21"/>
  <c r="AI16" i="13" s="1"/>
  <c r="G16" i="21"/>
  <c r="AH16" i="13" s="1"/>
  <c r="O10" i="21"/>
  <c r="AJ10" i="13" s="1"/>
  <c r="K10" i="21"/>
  <c r="AI10" i="13" s="1"/>
  <c r="G10" i="21"/>
  <c r="AH10" i="13" s="1"/>
  <c r="O9" i="21"/>
  <c r="AJ9" i="13" s="1"/>
  <c r="K9" i="21"/>
  <c r="AI9" i="13" s="1"/>
  <c r="G9" i="21"/>
  <c r="O8" i="21"/>
  <c r="K8" i="21"/>
  <c r="G8" i="21"/>
  <c r="AH8" i="13" s="1"/>
  <c r="O7" i="21"/>
  <c r="AJ7" i="13" s="1"/>
  <c r="K7" i="21"/>
  <c r="G7" i="21"/>
  <c r="O6" i="21"/>
  <c r="AJ6" i="13" s="1"/>
  <c r="K6" i="21"/>
  <c r="AI6" i="13" s="1"/>
  <c r="G6" i="21"/>
  <c r="AH6" i="13" s="1"/>
  <c r="O5" i="21"/>
  <c r="AJ5" i="13" s="1"/>
  <c r="K5" i="21"/>
  <c r="AI5" i="13" s="1"/>
  <c r="G5" i="21"/>
  <c r="AH5" i="13" s="1"/>
  <c r="K99" i="20"/>
  <c r="AG99" i="13" s="1"/>
  <c r="G99" i="20"/>
  <c r="AF99" i="13" s="1"/>
  <c r="K98" i="20"/>
  <c r="AG98" i="13" s="1"/>
  <c r="G98" i="20"/>
  <c r="AF98" i="13" s="1"/>
  <c r="K97" i="20"/>
  <c r="G97" i="20"/>
  <c r="K96" i="20"/>
  <c r="AG96" i="13" s="1"/>
  <c r="G96" i="20"/>
  <c r="AF96" i="13" s="1"/>
  <c r="K95" i="20"/>
  <c r="AG95" i="13" s="1"/>
  <c r="G95" i="20"/>
  <c r="K94" i="20"/>
  <c r="AG94" i="13" s="1"/>
  <c r="G94" i="20"/>
  <c r="AF94" i="13" s="1"/>
  <c r="K93" i="20"/>
  <c r="AG93" i="13" s="1"/>
  <c r="G93" i="20"/>
  <c r="AF93" i="13" s="1"/>
  <c r="K92" i="20"/>
  <c r="AG92" i="13" s="1"/>
  <c r="G92" i="20"/>
  <c r="AF92" i="13" s="1"/>
  <c r="K91" i="20"/>
  <c r="AG91" i="13" s="1"/>
  <c r="G91" i="20"/>
  <c r="AF91" i="13" s="1"/>
  <c r="K90" i="20"/>
  <c r="AG90" i="13" s="1"/>
  <c r="G90" i="20"/>
  <c r="AF90" i="13" s="1"/>
  <c r="K89" i="20"/>
  <c r="G89" i="20"/>
  <c r="K88" i="20"/>
  <c r="G88" i="20"/>
  <c r="K77" i="20"/>
  <c r="AG77" i="13" s="1"/>
  <c r="G77" i="20"/>
  <c r="AF77" i="13" s="1"/>
  <c r="K76" i="20"/>
  <c r="AG76" i="13" s="1"/>
  <c r="G76" i="20"/>
  <c r="AF76" i="13" s="1"/>
  <c r="K75" i="20"/>
  <c r="AG75" i="13" s="1"/>
  <c r="G75" i="20"/>
  <c r="AF75" i="13" s="1"/>
  <c r="K74" i="20"/>
  <c r="AG74" i="13" s="1"/>
  <c r="G74" i="20"/>
  <c r="AF74" i="13" s="1"/>
  <c r="K73" i="20"/>
  <c r="AG73" i="13" s="1"/>
  <c r="G73" i="20"/>
  <c r="AF73" i="13" s="1"/>
  <c r="K72" i="20"/>
  <c r="AG72" i="13" s="1"/>
  <c r="G72" i="20"/>
  <c r="AF72" i="13" s="1"/>
  <c r="K71" i="20"/>
  <c r="AG71" i="13" s="1"/>
  <c r="G71" i="20"/>
  <c r="K70" i="20"/>
  <c r="AG70" i="13" s="1"/>
  <c r="G70" i="20"/>
  <c r="AF70" i="13" s="1"/>
  <c r="K69" i="20"/>
  <c r="G69" i="20"/>
  <c r="AF69" i="13" s="1"/>
  <c r="K68" i="20"/>
  <c r="AG68" i="13" s="1"/>
  <c r="G68" i="20"/>
  <c r="AF68" i="13" s="1"/>
  <c r="K67" i="20"/>
  <c r="AG67" i="13" s="1"/>
  <c r="G67" i="20"/>
  <c r="AF67" i="13" s="1"/>
  <c r="K66" i="20"/>
  <c r="AG66" i="13" s="1"/>
  <c r="G66" i="20"/>
  <c r="AF66" i="13" s="1"/>
  <c r="K65" i="20"/>
  <c r="AG65" i="13" s="1"/>
  <c r="G65" i="20"/>
  <c r="K64" i="20"/>
  <c r="AG64" i="13" s="1"/>
  <c r="G64" i="20"/>
  <c r="AF64" i="13" s="1"/>
  <c r="K63" i="20"/>
  <c r="AG63" i="13" s="1"/>
  <c r="G63" i="20"/>
  <c r="K59" i="20"/>
  <c r="AG59" i="13" s="1"/>
  <c r="G59" i="20"/>
  <c r="AF59" i="13" s="1"/>
  <c r="K58" i="20"/>
  <c r="G58" i="20"/>
  <c r="K57" i="20"/>
  <c r="AG57" i="13" s="1"/>
  <c r="G57" i="20"/>
  <c r="AF57" i="13" s="1"/>
  <c r="K53" i="20"/>
  <c r="AG53" i="13" s="1"/>
  <c r="G53" i="20"/>
  <c r="AF53" i="13" s="1"/>
  <c r="K52" i="20"/>
  <c r="AG52" i="13" s="1"/>
  <c r="G52" i="20"/>
  <c r="AF52" i="13" s="1"/>
  <c r="K51" i="20"/>
  <c r="AG51" i="13" s="1"/>
  <c r="G51" i="20"/>
  <c r="K47" i="20"/>
  <c r="AG47" i="13" s="1"/>
  <c r="G47" i="20"/>
  <c r="K46" i="20"/>
  <c r="AG46" i="13" s="1"/>
  <c r="G46" i="20"/>
  <c r="K45" i="20"/>
  <c r="AG45" i="13" s="1"/>
  <c r="G45" i="20"/>
  <c r="K40" i="20"/>
  <c r="AG40" i="13" s="1"/>
  <c r="G40" i="20"/>
  <c r="AF40" i="13" s="1"/>
  <c r="K39" i="20"/>
  <c r="AG39" i="13" s="1"/>
  <c r="G39" i="20"/>
  <c r="AF39" i="13" s="1"/>
  <c r="K38" i="20"/>
  <c r="AG38" i="13" s="1"/>
  <c r="G38" i="20"/>
  <c r="AF38" i="13" s="1"/>
  <c r="K36" i="20"/>
  <c r="AG36" i="13" s="1"/>
  <c r="G36" i="20"/>
  <c r="AF36" i="13" s="1"/>
  <c r="K35" i="20"/>
  <c r="AG35" i="13" s="1"/>
  <c r="G35" i="20"/>
  <c r="AF35" i="13" s="1"/>
  <c r="K34" i="20"/>
  <c r="AG34" i="13" s="1"/>
  <c r="G34" i="20"/>
  <c r="AF34" i="13" s="1"/>
  <c r="K30" i="20"/>
  <c r="G30" i="20"/>
  <c r="K29" i="20"/>
  <c r="AG29" i="13" s="1"/>
  <c r="G29" i="20"/>
  <c r="AF29" i="13" s="1"/>
  <c r="K28" i="20"/>
  <c r="G28" i="20"/>
  <c r="K24" i="20"/>
  <c r="AG24" i="13" s="1"/>
  <c r="G24" i="20"/>
  <c r="AF24" i="13" s="1"/>
  <c r="K23" i="20"/>
  <c r="AG23" i="13" s="1"/>
  <c r="G23" i="20"/>
  <c r="AF23" i="13" s="1"/>
  <c r="K22" i="20"/>
  <c r="AG22" i="13" s="1"/>
  <c r="G22" i="20"/>
  <c r="AF22" i="13" s="1"/>
  <c r="K21" i="20"/>
  <c r="AG21" i="13" s="1"/>
  <c r="G21" i="20"/>
  <c r="K20" i="20"/>
  <c r="AG20" i="13" s="1"/>
  <c r="G20" i="20"/>
  <c r="AF20" i="13" s="1"/>
  <c r="K19" i="20"/>
  <c r="G19" i="20"/>
  <c r="K18" i="20"/>
  <c r="AG18" i="13" s="1"/>
  <c r="K17" i="20"/>
  <c r="K16" i="20"/>
  <c r="K14" i="20"/>
  <c r="G14" i="20"/>
  <c r="AF14" i="13" s="1"/>
  <c r="K13" i="20"/>
  <c r="AG13" i="13" s="1"/>
  <c r="G13" i="20"/>
  <c r="AF13" i="13" s="1"/>
  <c r="K12" i="20"/>
  <c r="AG12" i="13" s="1"/>
  <c r="G12" i="20"/>
  <c r="AF12" i="13" s="1"/>
  <c r="K10" i="20"/>
  <c r="AG10" i="13" s="1"/>
  <c r="G10" i="20"/>
  <c r="AF10" i="13" s="1"/>
  <c r="K9" i="20"/>
  <c r="G9" i="20"/>
  <c r="AF9" i="13" s="1"/>
  <c r="K8" i="20"/>
  <c r="AG8" i="13" s="1"/>
  <c r="G8" i="20"/>
  <c r="K7" i="20"/>
  <c r="G7" i="20"/>
  <c r="AF7" i="13" s="1"/>
  <c r="K6" i="20"/>
  <c r="AG6" i="13" s="1"/>
  <c r="G6" i="20"/>
  <c r="K5" i="20"/>
  <c r="G5" i="20"/>
  <c r="AF5" i="13" s="1"/>
  <c r="S90" i="16"/>
  <c r="O90" i="16"/>
  <c r="K90" i="16"/>
  <c r="G90" i="16"/>
  <c r="S89" i="16"/>
  <c r="O89" i="16"/>
  <c r="K89" i="16"/>
  <c r="G89" i="16"/>
  <c r="S88" i="16"/>
  <c r="O88" i="16"/>
  <c r="K88" i="16"/>
  <c r="G88" i="16"/>
  <c r="S77" i="16"/>
  <c r="R77" i="13" s="1"/>
  <c r="O77" i="16"/>
  <c r="K77" i="16"/>
  <c r="P77" i="13" s="1"/>
  <c r="G77" i="16"/>
  <c r="O77" i="13" s="1"/>
  <c r="S76" i="16"/>
  <c r="R76" i="13" s="1"/>
  <c r="O76" i="16"/>
  <c r="Q76" i="13" s="1"/>
  <c r="K76" i="16"/>
  <c r="P76" i="13" s="1"/>
  <c r="G76" i="16"/>
  <c r="O76" i="13" s="1"/>
  <c r="S75" i="16"/>
  <c r="R75" i="13" s="1"/>
  <c r="O75" i="16"/>
  <c r="Q75" i="13" s="1"/>
  <c r="K75" i="16"/>
  <c r="G75" i="16"/>
  <c r="S59" i="16"/>
  <c r="R59" i="13" s="1"/>
  <c r="O59" i="16"/>
  <c r="Q59" i="13" s="1"/>
  <c r="K59" i="16"/>
  <c r="G59" i="16"/>
  <c r="O59" i="13" s="1"/>
  <c r="S58" i="16"/>
  <c r="O58" i="16"/>
  <c r="Q58" i="13" s="1"/>
  <c r="K58" i="16"/>
  <c r="G58" i="16"/>
  <c r="O58" i="13" s="1"/>
  <c r="S57" i="16"/>
  <c r="R57" i="13" s="1"/>
  <c r="O57" i="16"/>
  <c r="Q57" i="13" s="1"/>
  <c r="K57" i="16"/>
  <c r="P57" i="13" s="1"/>
  <c r="G57" i="16"/>
  <c r="O57" i="13" s="1"/>
  <c r="S44" i="16"/>
  <c r="O44" i="16"/>
  <c r="Q44" i="13" s="1"/>
  <c r="K44" i="16"/>
  <c r="P44" i="13" s="1"/>
  <c r="G44" i="16"/>
  <c r="O44" i="13" s="1"/>
  <c r="S43" i="16"/>
  <c r="O43" i="16"/>
  <c r="K43" i="16"/>
  <c r="G43" i="16"/>
  <c r="S42" i="16"/>
  <c r="O42" i="16"/>
  <c r="Q42" i="13" s="1"/>
  <c r="K42" i="16"/>
  <c r="P42" i="13" s="1"/>
  <c r="G42" i="16"/>
  <c r="O42" i="13" s="1"/>
  <c r="S30" i="16"/>
  <c r="R30" i="13" s="1"/>
  <c r="O30" i="16"/>
  <c r="Q30" i="13" s="1"/>
  <c r="K30" i="16"/>
  <c r="P30" i="13" s="1"/>
  <c r="G30" i="16"/>
  <c r="O30" i="13" s="1"/>
  <c r="S29" i="16"/>
  <c r="O29" i="16"/>
  <c r="Q29" i="13" s="1"/>
  <c r="K29" i="16"/>
  <c r="G29" i="16"/>
  <c r="O29" i="13" s="1"/>
  <c r="S28" i="16"/>
  <c r="R28" i="13" s="1"/>
  <c r="O28" i="16"/>
  <c r="K28" i="16"/>
  <c r="G28" i="16"/>
  <c r="O28" i="13" s="1"/>
  <c r="P27" i="16"/>
  <c r="S27" i="16" s="1"/>
  <c r="L27" i="16"/>
  <c r="O27" i="16" s="1"/>
  <c r="H27" i="16"/>
  <c r="K27" i="16" s="1"/>
  <c r="P27" i="13" s="1"/>
  <c r="D27" i="16"/>
  <c r="G27" i="16" s="1"/>
  <c r="O27" i="13" s="1"/>
  <c r="P26" i="16"/>
  <c r="S26" i="16" s="1"/>
  <c r="R26" i="13" s="1"/>
  <c r="L26" i="16"/>
  <c r="O26" i="16" s="1"/>
  <c r="Q26" i="13" s="1"/>
  <c r="H26" i="16"/>
  <c r="K26" i="16" s="1"/>
  <c r="P26" i="13" s="1"/>
  <c r="D26" i="16"/>
  <c r="G26" i="16" s="1"/>
  <c r="O26" i="13" s="1"/>
  <c r="P25" i="16"/>
  <c r="S25" i="16" s="1"/>
  <c r="R25" i="13" s="1"/>
  <c r="L25" i="16"/>
  <c r="O25" i="16" s="1"/>
  <c r="Q25" i="13" s="1"/>
  <c r="H25" i="16"/>
  <c r="K25" i="16" s="1"/>
  <c r="D25" i="16"/>
  <c r="G25" i="16" s="1"/>
  <c r="O25" i="13" s="1"/>
  <c r="S21" i="16"/>
  <c r="O21" i="16"/>
  <c r="K21" i="16"/>
  <c r="G21" i="16"/>
  <c r="S20" i="16"/>
  <c r="R20" i="13" s="1"/>
  <c r="O20" i="16"/>
  <c r="Q20" i="13" s="1"/>
  <c r="K20" i="16"/>
  <c r="P20" i="13" s="1"/>
  <c r="G20" i="16"/>
  <c r="O20" i="13" s="1"/>
  <c r="S19" i="16"/>
  <c r="R19" i="13" s="1"/>
  <c r="O19" i="16"/>
  <c r="Q19" i="13" s="1"/>
  <c r="K19" i="16"/>
  <c r="P19" i="13" s="1"/>
  <c r="G19" i="16"/>
  <c r="O19" i="13" s="1"/>
  <c r="S18" i="16"/>
  <c r="R18" i="13" s="1"/>
  <c r="O18" i="16"/>
  <c r="Q18" i="13" s="1"/>
  <c r="K18" i="16"/>
  <c r="G18" i="16"/>
  <c r="O18" i="13" s="1"/>
  <c r="S17" i="16"/>
  <c r="R17" i="13" s="1"/>
  <c r="O17" i="16"/>
  <c r="K17" i="16"/>
  <c r="G17" i="16"/>
  <c r="O17" i="13" s="1"/>
  <c r="S16" i="16"/>
  <c r="R16" i="13" s="1"/>
  <c r="O16" i="16"/>
  <c r="Q16" i="13" s="1"/>
  <c r="K16" i="16"/>
  <c r="P16" i="13" s="1"/>
  <c r="G16" i="16"/>
  <c r="O16" i="13" s="1"/>
  <c r="O105" i="17"/>
  <c r="U105" i="13" s="1"/>
  <c r="K105" i="17"/>
  <c r="T105" i="13" s="1"/>
  <c r="G105" i="17"/>
  <c r="S105" i="13" s="1"/>
  <c r="O104" i="17"/>
  <c r="U104" i="13" s="1"/>
  <c r="K104" i="17"/>
  <c r="G104" i="17"/>
  <c r="S104" i="13" s="1"/>
  <c r="O103" i="17"/>
  <c r="U103" i="13" s="1"/>
  <c r="K103" i="17"/>
  <c r="T103" i="13" s="1"/>
  <c r="G103" i="17"/>
  <c r="S103" i="13" s="1"/>
  <c r="O102" i="17"/>
  <c r="U102" i="13" s="1"/>
  <c r="K102" i="17"/>
  <c r="G102" i="17"/>
  <c r="S102" i="13" s="1"/>
  <c r="O101" i="17"/>
  <c r="U101" i="13" s="1"/>
  <c r="K101" i="17"/>
  <c r="T101" i="13" s="1"/>
  <c r="G101" i="17"/>
  <c r="S101" i="13" s="1"/>
  <c r="O100" i="17"/>
  <c r="U100" i="13" s="1"/>
  <c r="K100" i="17"/>
  <c r="T100" i="13" s="1"/>
  <c r="G100" i="17"/>
  <c r="S100" i="13" s="1"/>
  <c r="O99" i="17"/>
  <c r="U99" i="13" s="1"/>
  <c r="K99" i="17"/>
  <c r="T99" i="13" s="1"/>
  <c r="G99" i="17"/>
  <c r="O98" i="17"/>
  <c r="U98" i="13" s="1"/>
  <c r="K98" i="17"/>
  <c r="T98" i="13" s="1"/>
  <c r="G98" i="17"/>
  <c r="S98" i="13" s="1"/>
  <c r="O97" i="17"/>
  <c r="U97" i="13" s="1"/>
  <c r="K97" i="17"/>
  <c r="T97" i="13" s="1"/>
  <c r="G97" i="17"/>
  <c r="O96" i="17"/>
  <c r="U96" i="13" s="1"/>
  <c r="K96" i="17"/>
  <c r="T96" i="13" s="1"/>
  <c r="G96" i="17"/>
  <c r="S96" i="13" s="1"/>
  <c r="O95" i="17"/>
  <c r="U95" i="13" s="1"/>
  <c r="K95" i="17"/>
  <c r="T95" i="13" s="1"/>
  <c r="G95" i="17"/>
  <c r="S95" i="13" s="1"/>
  <c r="O94" i="17"/>
  <c r="U94" i="13" s="1"/>
  <c r="K94" i="17"/>
  <c r="T94" i="13" s="1"/>
  <c r="G94" i="17"/>
  <c r="S94" i="13" s="1"/>
  <c r="O93" i="17"/>
  <c r="U93" i="13" s="1"/>
  <c r="K93" i="17"/>
  <c r="T93" i="13" s="1"/>
  <c r="G93" i="17"/>
  <c r="O92" i="17"/>
  <c r="K92" i="17"/>
  <c r="T92" i="13" s="1"/>
  <c r="G92" i="17"/>
  <c r="S92" i="13" s="1"/>
  <c r="O91" i="17"/>
  <c r="K91" i="17"/>
  <c r="T91" i="13" s="1"/>
  <c r="G91" i="17"/>
  <c r="S91" i="13" s="1"/>
  <c r="O90" i="17"/>
  <c r="U90" i="13" s="1"/>
  <c r="K90" i="17"/>
  <c r="T90" i="13" s="1"/>
  <c r="G90" i="17"/>
  <c r="S90" i="13" s="1"/>
  <c r="O89" i="17"/>
  <c r="U89" i="13" s="1"/>
  <c r="K89" i="17"/>
  <c r="T89" i="13" s="1"/>
  <c r="G89" i="17"/>
  <c r="S89" i="13" s="1"/>
  <c r="O88" i="17"/>
  <c r="U88" i="13" s="1"/>
  <c r="K88" i="17"/>
  <c r="T88" i="13" s="1"/>
  <c r="G88" i="17"/>
  <c r="S88" i="13" s="1"/>
  <c r="O86" i="17"/>
  <c r="K86" i="17"/>
  <c r="T86" i="13" s="1"/>
  <c r="G86" i="17"/>
  <c r="S86" i="13" s="1"/>
  <c r="O85" i="17"/>
  <c r="U85" i="13" s="1"/>
  <c r="K85" i="17"/>
  <c r="G85" i="17"/>
  <c r="S85" i="13" s="1"/>
  <c r="O81" i="17"/>
  <c r="U81" i="13" s="1"/>
  <c r="K81" i="17"/>
  <c r="T81" i="13" s="1"/>
  <c r="G81" i="17"/>
  <c r="S81" i="13" s="1"/>
  <c r="O80" i="17"/>
  <c r="U80" i="13" s="1"/>
  <c r="K80" i="17"/>
  <c r="T80" i="13" s="1"/>
  <c r="G80" i="17"/>
  <c r="S80" i="13" s="1"/>
  <c r="O79" i="17"/>
  <c r="U79" i="13" s="1"/>
  <c r="K79" i="17"/>
  <c r="T79" i="13" s="1"/>
  <c r="G79" i="17"/>
  <c r="S79" i="13" s="1"/>
  <c r="O78" i="17"/>
  <c r="U78" i="13" s="1"/>
  <c r="K78" i="17"/>
  <c r="T78" i="13" s="1"/>
  <c r="G78" i="17"/>
  <c r="S78" i="13" s="1"/>
  <c r="O77" i="17"/>
  <c r="K77" i="17"/>
  <c r="G77" i="17"/>
  <c r="O76" i="17"/>
  <c r="U76" i="13" s="1"/>
  <c r="K76" i="17"/>
  <c r="T76" i="13" s="1"/>
  <c r="G76" i="17"/>
  <c r="S76" i="13" s="1"/>
  <c r="O75" i="17"/>
  <c r="U75" i="13" s="1"/>
  <c r="K75" i="17"/>
  <c r="T75" i="13" s="1"/>
  <c r="G75" i="17"/>
  <c r="S75" i="13" s="1"/>
  <c r="O74" i="17"/>
  <c r="U74" i="13" s="1"/>
  <c r="K74" i="17"/>
  <c r="T74" i="13" s="1"/>
  <c r="G74" i="17"/>
  <c r="O73" i="17"/>
  <c r="U73" i="13" s="1"/>
  <c r="K73" i="17"/>
  <c r="T73" i="13" s="1"/>
  <c r="G73" i="17"/>
  <c r="O72" i="17"/>
  <c r="U72" i="13" s="1"/>
  <c r="K72" i="17"/>
  <c r="G72" i="17"/>
  <c r="O71" i="17"/>
  <c r="K71" i="17"/>
  <c r="T71" i="13" s="1"/>
  <c r="G71" i="17"/>
  <c r="S71" i="13" s="1"/>
  <c r="O70" i="17"/>
  <c r="K70" i="17"/>
  <c r="T70" i="13" s="1"/>
  <c r="G70" i="17"/>
  <c r="S70" i="13" s="1"/>
  <c r="O69" i="17"/>
  <c r="U69" i="13" s="1"/>
  <c r="K69" i="17"/>
  <c r="T69" i="13" s="1"/>
  <c r="G69" i="17"/>
  <c r="S69" i="13" s="1"/>
  <c r="O68" i="17"/>
  <c r="U68" i="13" s="1"/>
  <c r="K68" i="17"/>
  <c r="T68" i="13" s="1"/>
  <c r="G68" i="17"/>
  <c r="S68" i="13" s="1"/>
  <c r="O67" i="17"/>
  <c r="K67" i="17"/>
  <c r="T67" i="13" s="1"/>
  <c r="G67" i="17"/>
  <c r="S67" i="13" s="1"/>
  <c r="O66" i="17"/>
  <c r="K66" i="17"/>
  <c r="G66" i="17"/>
  <c r="S66" i="13" s="1"/>
  <c r="O65" i="17"/>
  <c r="U65" i="13" s="1"/>
  <c r="K65" i="17"/>
  <c r="T65" i="13" s="1"/>
  <c r="G65" i="17"/>
  <c r="S65" i="13" s="1"/>
  <c r="O64" i="17"/>
  <c r="U64" i="13" s="1"/>
  <c r="K64" i="17"/>
  <c r="T64" i="13" s="1"/>
  <c r="G64" i="17"/>
  <c r="S64" i="13" s="1"/>
  <c r="O63" i="17"/>
  <c r="U63" i="13" s="1"/>
  <c r="K63" i="17"/>
  <c r="T63" i="13" s="1"/>
  <c r="G63" i="17"/>
  <c r="O59" i="17"/>
  <c r="K59" i="17"/>
  <c r="G59" i="17"/>
  <c r="O58" i="17"/>
  <c r="U58" i="13" s="1"/>
  <c r="K58" i="17"/>
  <c r="G58" i="17"/>
  <c r="O57" i="17"/>
  <c r="U57" i="13" s="1"/>
  <c r="K57" i="17"/>
  <c r="T57" i="13" s="1"/>
  <c r="G57" i="17"/>
  <c r="S57" i="13" s="1"/>
  <c r="O44" i="17"/>
  <c r="U44" i="13" s="1"/>
  <c r="K44" i="17"/>
  <c r="T44" i="13" s="1"/>
  <c r="G44" i="17"/>
  <c r="S44" i="13" s="1"/>
  <c r="O43" i="17"/>
  <c r="U43" i="13" s="1"/>
  <c r="K43" i="17"/>
  <c r="T43" i="13" s="1"/>
  <c r="G43" i="17"/>
  <c r="S43" i="13" s="1"/>
  <c r="O42" i="17"/>
  <c r="U42" i="13" s="1"/>
  <c r="K42" i="17"/>
  <c r="T42" i="13" s="1"/>
  <c r="G42" i="17"/>
  <c r="S42" i="13" s="1"/>
  <c r="O40" i="17"/>
  <c r="U40" i="13" s="1"/>
  <c r="K40" i="17"/>
  <c r="G40" i="17"/>
  <c r="O39" i="17"/>
  <c r="K39" i="17"/>
  <c r="G39" i="17"/>
  <c r="S39" i="13" s="1"/>
  <c r="O38" i="17"/>
  <c r="U38" i="13" s="1"/>
  <c r="K38" i="17"/>
  <c r="T38" i="13" s="1"/>
  <c r="G38" i="17"/>
  <c r="S38" i="13" s="1"/>
  <c r="O36" i="17"/>
  <c r="U36" i="13" s="1"/>
  <c r="K36" i="17"/>
  <c r="T36" i="13" s="1"/>
  <c r="G36" i="17"/>
  <c r="S36" i="13" s="1"/>
  <c r="O35" i="17"/>
  <c r="U35" i="13" s="1"/>
  <c r="K35" i="17"/>
  <c r="T35" i="13" s="1"/>
  <c r="G35" i="17"/>
  <c r="S35" i="13" s="1"/>
  <c r="O34" i="17"/>
  <c r="K34" i="17"/>
  <c r="T34" i="13" s="1"/>
  <c r="G34" i="17"/>
  <c r="S34" i="13" s="1"/>
  <c r="O30" i="17"/>
  <c r="K30" i="17"/>
  <c r="G30" i="17"/>
  <c r="S30" i="13" s="1"/>
  <c r="O29" i="17"/>
  <c r="U29" i="13" s="1"/>
  <c r="K29" i="17"/>
  <c r="T29" i="13" s="1"/>
  <c r="G29" i="17"/>
  <c r="S29" i="13" s="1"/>
  <c r="O28" i="17"/>
  <c r="U28" i="13" s="1"/>
  <c r="K28" i="17"/>
  <c r="T28" i="13" s="1"/>
  <c r="G28" i="17"/>
  <c r="S28" i="13" s="1"/>
  <c r="O27" i="17"/>
  <c r="U27" i="13" s="1"/>
  <c r="K27" i="17"/>
  <c r="T27" i="13" s="1"/>
  <c r="G27" i="17"/>
  <c r="S27" i="13" s="1"/>
  <c r="O26" i="17"/>
  <c r="U26" i="13" s="1"/>
  <c r="K26" i="17"/>
  <c r="G26" i="17"/>
  <c r="S26" i="13" s="1"/>
  <c r="O25" i="17"/>
  <c r="K25" i="17"/>
  <c r="G25" i="17"/>
  <c r="O21" i="17"/>
  <c r="K21" i="17"/>
  <c r="T21" i="13" s="1"/>
  <c r="G21" i="17"/>
  <c r="S21" i="13" s="1"/>
  <c r="O20" i="17"/>
  <c r="U20" i="13" s="1"/>
  <c r="K20" i="17"/>
  <c r="T20" i="13" s="1"/>
  <c r="G20" i="17"/>
  <c r="S20" i="13" s="1"/>
  <c r="O19" i="17"/>
  <c r="U19" i="13" s="1"/>
  <c r="K19" i="17"/>
  <c r="T19" i="13" s="1"/>
  <c r="G19" i="17"/>
  <c r="S19" i="13" s="1"/>
  <c r="O18" i="17"/>
  <c r="U18" i="13" s="1"/>
  <c r="K18" i="17"/>
  <c r="T18" i="13" s="1"/>
  <c r="G18" i="17"/>
  <c r="O17" i="17"/>
  <c r="U17" i="13" s="1"/>
  <c r="K17" i="17"/>
  <c r="G17" i="17"/>
  <c r="O16" i="17"/>
  <c r="K16" i="17"/>
  <c r="T16" i="13" s="1"/>
  <c r="G16" i="17"/>
  <c r="S16" i="13" s="1"/>
  <c r="O14" i="17"/>
  <c r="U14" i="13" s="1"/>
  <c r="K14" i="17"/>
  <c r="T14" i="13" s="1"/>
  <c r="G14" i="17"/>
  <c r="S14" i="13" s="1"/>
  <c r="O13" i="17"/>
  <c r="U13" i="13" s="1"/>
  <c r="K13" i="17"/>
  <c r="T13" i="13" s="1"/>
  <c r="G13" i="17"/>
  <c r="S13" i="13" s="1"/>
  <c r="O12" i="17"/>
  <c r="U12" i="13" s="1"/>
  <c r="K12" i="17"/>
  <c r="T12" i="13" s="1"/>
  <c r="G12" i="17"/>
  <c r="S12" i="13" s="1"/>
  <c r="O10" i="17"/>
  <c r="K10" i="17"/>
  <c r="T10" i="13" s="1"/>
  <c r="G10" i="17"/>
  <c r="O9" i="17"/>
  <c r="K9" i="17"/>
  <c r="G9" i="17"/>
  <c r="S9" i="13" s="1"/>
  <c r="O8" i="17"/>
  <c r="U8" i="13" s="1"/>
  <c r="K8" i="17"/>
  <c r="T8" i="13" s="1"/>
  <c r="G8" i="17"/>
  <c r="S8" i="13" s="1"/>
  <c r="O7" i="17"/>
  <c r="U7" i="13" s="1"/>
  <c r="K7" i="17"/>
  <c r="T7" i="13" s="1"/>
  <c r="G7" i="17"/>
  <c r="S7" i="13" s="1"/>
  <c r="O6" i="17"/>
  <c r="K6" i="17"/>
  <c r="T6" i="13" s="1"/>
  <c r="G6" i="17"/>
  <c r="S6" i="13" s="1"/>
  <c r="O5" i="17"/>
  <c r="U5" i="13" s="1"/>
  <c r="K5" i="17"/>
  <c r="G5" i="17"/>
  <c r="S5" i="13" s="1"/>
  <c r="I43" i="37"/>
  <c r="I45" i="37" s="1"/>
  <c r="H43" i="37"/>
  <c r="H45" i="37" s="1"/>
  <c r="G43" i="37"/>
  <c r="G45" i="37" s="1"/>
  <c r="F43" i="37"/>
  <c r="F45" i="37" s="1"/>
  <c r="E43" i="37"/>
  <c r="E45" i="37" s="1"/>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I97" i="14"/>
  <c r="AE97" i="14"/>
  <c r="K97" i="13" s="1"/>
  <c r="AA97" i="14"/>
  <c r="J97" i="13" s="1"/>
  <c r="W97" i="14"/>
  <c r="I97" i="13" s="1"/>
  <c r="S97" i="14"/>
  <c r="O97" i="14"/>
  <c r="G97" i="13" s="1"/>
  <c r="K97" i="14"/>
  <c r="F97" i="13" s="1"/>
  <c r="G97" i="14"/>
  <c r="E97" i="13" s="1"/>
  <c r="AI90" i="14"/>
  <c r="L90" i="13" s="1"/>
  <c r="AE90" i="14"/>
  <c r="K90" i="13" s="1"/>
  <c r="AA90" i="14"/>
  <c r="J90" i="13" s="1"/>
  <c r="W90" i="14"/>
  <c r="I90" i="13" s="1"/>
  <c r="S90" i="14"/>
  <c r="H90" i="13" s="1"/>
  <c r="O90" i="14"/>
  <c r="G90" i="13" s="1"/>
  <c r="K90" i="14"/>
  <c r="F90" i="13" s="1"/>
  <c r="G90" i="14"/>
  <c r="E90" i="13" s="1"/>
  <c r="AI89" i="14"/>
  <c r="AE89" i="14"/>
  <c r="K89" i="13" s="1"/>
  <c r="AA89" i="14"/>
  <c r="J89" i="13" s="1"/>
  <c r="W89" i="14"/>
  <c r="I89" i="13" s="1"/>
  <c r="S89" i="14"/>
  <c r="H89" i="13" s="1"/>
  <c r="O89" i="14"/>
  <c r="G89" i="13" s="1"/>
  <c r="K89" i="14"/>
  <c r="F89" i="13" s="1"/>
  <c r="G89" i="14"/>
  <c r="E89" i="13" s="1"/>
  <c r="AI88" i="14"/>
  <c r="L88" i="13" s="1"/>
  <c r="AE88" i="14"/>
  <c r="K88" i="13" s="1"/>
  <c r="AA88" i="14"/>
  <c r="J88" i="13" s="1"/>
  <c r="W88" i="14"/>
  <c r="I88" i="13" s="1"/>
  <c r="S88" i="14"/>
  <c r="H88" i="13" s="1"/>
  <c r="O88" i="14"/>
  <c r="G88" i="13" s="1"/>
  <c r="K88" i="14"/>
  <c r="F88" i="13" s="1"/>
  <c r="G88" i="14"/>
  <c r="E88" i="13" s="1"/>
  <c r="AI77" i="14"/>
  <c r="L77" i="13" s="1"/>
  <c r="AE77" i="14"/>
  <c r="K77" i="13" s="1"/>
  <c r="AA77" i="14"/>
  <c r="W77" i="14"/>
  <c r="I77" i="13" s="1"/>
  <c r="S77" i="14"/>
  <c r="H77" i="13" s="1"/>
  <c r="O77" i="14"/>
  <c r="G77" i="13" s="1"/>
  <c r="K77" i="14"/>
  <c r="F77" i="13" s="1"/>
  <c r="G77" i="14"/>
  <c r="E77" i="13" s="1"/>
  <c r="AI76" i="14"/>
  <c r="L76" i="13" s="1"/>
  <c r="AE76" i="14"/>
  <c r="K76" i="13" s="1"/>
  <c r="AA76" i="14"/>
  <c r="J76" i="13" s="1"/>
  <c r="W76" i="14"/>
  <c r="I76" i="13" s="1"/>
  <c r="S76" i="14"/>
  <c r="H76" i="13" s="1"/>
  <c r="O76" i="14"/>
  <c r="G76" i="13" s="1"/>
  <c r="K76" i="14"/>
  <c r="F76" i="13" s="1"/>
  <c r="G76" i="14"/>
  <c r="E76" i="13" s="1"/>
  <c r="AI75" i="14"/>
  <c r="AE75" i="14"/>
  <c r="K75" i="13" s="1"/>
  <c r="AA75" i="14"/>
  <c r="J75" i="13" s="1"/>
  <c r="W75" i="14"/>
  <c r="I75" i="13" s="1"/>
  <c r="S75" i="14"/>
  <c r="O75" i="14"/>
  <c r="G75" i="13" s="1"/>
  <c r="K75" i="14"/>
  <c r="F75" i="13" s="1"/>
  <c r="G75" i="14"/>
  <c r="E75" i="13" s="1"/>
  <c r="AI66" i="14"/>
  <c r="L66" i="13" s="1"/>
  <c r="AE66" i="14"/>
  <c r="K66" i="13" s="1"/>
  <c r="AA66" i="14"/>
  <c r="J66" i="13" s="1"/>
  <c r="W66" i="14"/>
  <c r="I66" i="13" s="1"/>
  <c r="S66" i="14"/>
  <c r="H66" i="13" s="1"/>
  <c r="O66" i="14"/>
  <c r="G66" i="13" s="1"/>
  <c r="K66" i="14"/>
  <c r="F66" i="13" s="1"/>
  <c r="G66" i="14"/>
  <c r="E66" i="13" s="1"/>
  <c r="AI63" i="14"/>
  <c r="AE63" i="14"/>
  <c r="K63" i="13" s="1"/>
  <c r="AA63" i="14"/>
  <c r="W63" i="14"/>
  <c r="S63" i="14"/>
  <c r="O63" i="14"/>
  <c r="G63" i="13" s="1"/>
  <c r="K63" i="14"/>
  <c r="F63" i="13" s="1"/>
  <c r="G63" i="14"/>
  <c r="E63" i="13" s="1"/>
  <c r="AI54" i="14"/>
  <c r="L54" i="13" s="1"/>
  <c r="AE54" i="14"/>
  <c r="K54" i="13" s="1"/>
  <c r="AA54" i="14"/>
  <c r="J54" i="13" s="1"/>
  <c r="W54" i="14"/>
  <c r="I54" i="13" s="1"/>
  <c r="S54" i="14"/>
  <c r="H54" i="13" s="1"/>
  <c r="O54" i="14"/>
  <c r="G54" i="13" s="1"/>
  <c r="K54" i="14"/>
  <c r="F54" i="13" s="1"/>
  <c r="D54" i="14"/>
  <c r="G54" i="14" s="1"/>
  <c r="E54" i="13" s="1"/>
  <c r="AI25" i="14"/>
  <c r="L25" i="13" s="1"/>
  <c r="AE25" i="14"/>
  <c r="AA25" i="14"/>
  <c r="J25" i="13" s="1"/>
  <c r="W25" i="14"/>
  <c r="I25" i="13" s="1"/>
  <c r="S25" i="14"/>
  <c r="H25" i="13" s="1"/>
  <c r="O25" i="14"/>
  <c r="G25" i="13" s="1"/>
  <c r="K25" i="14"/>
  <c r="F25" i="13" s="1"/>
  <c r="G25" i="14"/>
  <c r="E25" i="13" s="1"/>
  <c r="AI18" i="14"/>
  <c r="L18" i="13" s="1"/>
  <c r="AE18" i="14"/>
  <c r="K18" i="13" s="1"/>
  <c r="AA18" i="14"/>
  <c r="J18" i="13" s="1"/>
  <c r="W18" i="14"/>
  <c r="I18" i="13" s="1"/>
  <c r="S18" i="14"/>
  <c r="H18" i="13" s="1"/>
  <c r="O18" i="14"/>
  <c r="G18" i="13" s="1"/>
  <c r="K18" i="14"/>
  <c r="F18" i="13" s="1"/>
  <c r="G18" i="14"/>
  <c r="E18" i="13" s="1"/>
  <c r="AI17" i="14"/>
  <c r="AE17" i="14"/>
  <c r="K17" i="13" s="1"/>
  <c r="AA17" i="14"/>
  <c r="J17" i="13" s="1"/>
  <c r="W17" i="14"/>
  <c r="I17" i="13" s="1"/>
  <c r="S17" i="14"/>
  <c r="H17" i="13" s="1"/>
  <c r="O17" i="14"/>
  <c r="G17" i="13" s="1"/>
  <c r="K17" i="14"/>
  <c r="F17" i="13" s="1"/>
  <c r="G17" i="14"/>
  <c r="E17" i="13" s="1"/>
  <c r="AI16" i="14"/>
  <c r="L16" i="13" s="1"/>
  <c r="AE16" i="14"/>
  <c r="K16" i="13" s="1"/>
  <c r="AA16" i="14"/>
  <c r="J16" i="13" s="1"/>
  <c r="W16" i="14"/>
  <c r="I16" i="13" s="1"/>
  <c r="S16" i="14"/>
  <c r="H16" i="13" s="1"/>
  <c r="O16" i="14"/>
  <c r="G16" i="13" s="1"/>
  <c r="K16" i="14"/>
  <c r="F16" i="13" s="1"/>
  <c r="G16" i="14"/>
  <c r="E16" i="13" s="1"/>
  <c r="AI8" i="14"/>
  <c r="L8" i="13" s="1"/>
  <c r="AE8" i="14"/>
  <c r="AA8" i="14"/>
  <c r="J8" i="13" s="1"/>
  <c r="W8" i="14"/>
  <c r="I8" i="13" s="1"/>
  <c r="S8" i="14"/>
  <c r="O8" i="14"/>
  <c r="G8" i="13" s="1"/>
  <c r="K8" i="14"/>
  <c r="F8" i="13" s="1"/>
  <c r="G8" i="14"/>
  <c r="E8" i="13" s="1"/>
  <c r="AI5" i="14"/>
  <c r="L5" i="13" s="1"/>
  <c r="AE5" i="14"/>
  <c r="K5" i="13" s="1"/>
  <c r="AA5" i="14"/>
  <c r="J5" i="13" s="1"/>
  <c r="W5" i="14"/>
  <c r="S5" i="14"/>
  <c r="H5" i="13" s="1"/>
  <c r="O5" i="14"/>
  <c r="G5" i="13" s="1"/>
  <c r="K5" i="14"/>
  <c r="F5" i="13" s="1"/>
  <c r="G5" i="14"/>
  <c r="E5" i="13" s="1"/>
  <c r="CA105" i="13"/>
  <c r="BZ105" i="13"/>
  <c r="BY105" i="13"/>
  <c r="BJ105" i="13"/>
  <c r="AE105" i="13"/>
  <c r="R105" i="13"/>
  <c r="Q105" i="13"/>
  <c r="P105" i="13"/>
  <c r="O105" i="13"/>
  <c r="CU104" i="13"/>
  <c r="CR104" i="13"/>
  <c r="CP104" i="13"/>
  <c r="AJ104" i="13"/>
  <c r="T104" i="13"/>
  <c r="R104" i="13"/>
  <c r="Q104" i="13"/>
  <c r="P104" i="13"/>
  <c r="O104" i="13"/>
  <c r="CQ103" i="13"/>
  <c r="CP103" i="13"/>
  <c r="CA103" i="13"/>
  <c r="BJ103" i="13"/>
  <c r="AJ103" i="13"/>
  <c r="AI103" i="13"/>
  <c r="AE103" i="13"/>
  <c r="AC103" i="13"/>
  <c r="R103" i="13"/>
  <c r="Q103" i="13"/>
  <c r="P103" i="13"/>
  <c r="O103" i="13"/>
  <c r="CT102" i="13"/>
  <c r="BJ102" i="13"/>
  <c r="T102" i="13"/>
  <c r="R102" i="13"/>
  <c r="Q102" i="13"/>
  <c r="P102" i="13"/>
  <c r="O102" i="13"/>
  <c r="CU101" i="13"/>
  <c r="CT101" i="13"/>
  <c r="CR101" i="13"/>
  <c r="BY101" i="13"/>
  <c r="BN101" i="13"/>
  <c r="AT101" i="13"/>
  <c r="R101" i="13"/>
  <c r="Q101" i="13"/>
  <c r="P101" i="13"/>
  <c r="O101" i="13"/>
  <c r="CT100" i="13"/>
  <c r="CS100" i="13"/>
  <c r="CR100" i="13"/>
  <c r="CP100" i="13"/>
  <c r="BZ100" i="13"/>
  <c r="BY100" i="13"/>
  <c r="BV100" i="13"/>
  <c r="AW100" i="13"/>
  <c r="AH100" i="13"/>
  <c r="AD100" i="13"/>
  <c r="AC100" i="13"/>
  <c r="AB100" i="13"/>
  <c r="R100" i="13"/>
  <c r="Q100" i="13"/>
  <c r="P100" i="13"/>
  <c r="O100" i="13"/>
  <c r="CT99" i="13"/>
  <c r="CR99" i="13"/>
  <c r="CA99" i="13"/>
  <c r="BY99" i="13"/>
  <c r="BO99" i="13"/>
  <c r="BN99" i="13"/>
  <c r="AW99" i="13"/>
  <c r="AC99" i="13"/>
  <c r="S99" i="13"/>
  <c r="BV98" i="13"/>
  <c r="BO98" i="13"/>
  <c r="BN98" i="13"/>
  <c r="BJ98" i="13"/>
  <c r="AH98" i="13"/>
  <c r="AB98" i="13"/>
  <c r="BO97" i="13"/>
  <c r="BN97" i="13"/>
  <c r="BJ97" i="13"/>
  <c r="AW97" i="13"/>
  <c r="AG97" i="13"/>
  <c r="AF97" i="13"/>
  <c r="AE97" i="13"/>
  <c r="AA97" i="13"/>
  <c r="S97" i="13"/>
  <c r="L97" i="13"/>
  <c r="H97" i="13"/>
  <c r="CR96" i="13"/>
  <c r="CP96" i="13"/>
  <c r="CG96" i="13"/>
  <c r="CB96" i="13"/>
  <c r="AW96" i="13"/>
  <c r="AU96" i="13"/>
  <c r="CR95" i="13"/>
  <c r="CP95" i="13"/>
  <c r="CI95" i="13"/>
  <c r="CG95" i="13"/>
  <c r="BZ95" i="13"/>
  <c r="BY95" i="13"/>
  <c r="BV95" i="13"/>
  <c r="BK95" i="13"/>
  <c r="AF95" i="13"/>
  <c r="CB94" i="13"/>
  <c r="BZ94" i="13"/>
  <c r="BY94" i="13"/>
  <c r="BV94" i="13"/>
  <c r="BL94" i="13"/>
  <c r="CA93" i="13"/>
  <c r="BZ93" i="13"/>
  <c r="S93" i="13"/>
  <c r="CS92" i="13"/>
  <c r="CP92" i="13"/>
  <c r="AJ92" i="13"/>
  <c r="U92" i="13"/>
  <c r="CR91" i="13"/>
  <c r="CQ91" i="13"/>
  <c r="CP91" i="13"/>
  <c r="U91" i="13"/>
  <c r="CU90" i="13"/>
  <c r="CT90" i="13"/>
  <c r="CK90" i="13"/>
  <c r="CI90" i="13"/>
  <c r="BP90" i="13"/>
  <c r="BJ90" i="13"/>
  <c r="BH90" i="13"/>
  <c r="BE90" i="13"/>
  <c r="BB90" i="13"/>
  <c r="BA90" i="13"/>
  <c r="AU90" i="13"/>
  <c r="AP90" i="13"/>
  <c r="Z90" i="13"/>
  <c r="X90" i="13"/>
  <c r="W90" i="13"/>
  <c r="V90" i="13"/>
  <c r="CT89" i="13"/>
  <c r="CM89" i="13"/>
  <c r="CG89" i="13"/>
  <c r="CF89" i="13"/>
  <c r="CE89" i="13"/>
  <c r="CC89" i="13"/>
  <c r="CA89" i="13"/>
  <c r="BZ89" i="13"/>
  <c r="BY89" i="13"/>
  <c r="BT89" i="13"/>
  <c r="BM89" i="13"/>
  <c r="BJ89" i="13"/>
  <c r="BI89" i="13"/>
  <c r="BD89" i="13"/>
  <c r="BB89" i="13"/>
  <c r="BA89" i="13"/>
  <c r="AW89" i="13"/>
  <c r="AU89" i="13"/>
  <c r="AS89" i="13"/>
  <c r="AP89" i="13"/>
  <c r="AO89" i="13"/>
  <c r="AI89" i="13"/>
  <c r="AG89" i="13"/>
  <c r="AF89" i="13"/>
  <c r="Y89" i="13"/>
  <c r="N89" i="13"/>
  <c r="L89" i="13"/>
  <c r="CU88" i="13"/>
  <c r="CT88" i="13"/>
  <c r="CR88" i="13"/>
  <c r="CP88" i="13"/>
  <c r="CO88" i="13"/>
  <c r="CF88" i="13"/>
  <c r="CA88" i="13"/>
  <c r="BZ88" i="13"/>
  <c r="BX88" i="13"/>
  <c r="BW88" i="13"/>
  <c r="BU88" i="13"/>
  <c r="BT88" i="13"/>
  <c r="BR88" i="13"/>
  <c r="BQ88" i="13"/>
  <c r="BP88" i="13"/>
  <c r="BL88" i="13"/>
  <c r="BF88" i="13"/>
  <c r="BD88" i="13"/>
  <c r="AZ88" i="13"/>
  <c r="AY88" i="13"/>
  <c r="AX88" i="13"/>
  <c r="AW88" i="13"/>
  <c r="AG88" i="13"/>
  <c r="AF88" i="13"/>
  <c r="AD88" i="13"/>
  <c r="AB88" i="13"/>
  <c r="AA88" i="13"/>
  <c r="CR86" i="13"/>
  <c r="CM86" i="13"/>
  <c r="CK86" i="13"/>
  <c r="CJ86" i="13"/>
  <c r="AQ86" i="13"/>
  <c r="U86" i="13"/>
  <c r="CO85" i="13"/>
  <c r="CM85" i="13"/>
  <c r="CK85" i="13"/>
  <c r="BK85" i="13"/>
  <c r="BJ85" i="13"/>
  <c r="T85" i="13"/>
  <c r="CT84" i="13"/>
  <c r="BD84" i="13"/>
  <c r="AS84" i="13"/>
  <c r="AQ84" i="13"/>
  <c r="AP84" i="13"/>
  <c r="CT83" i="13"/>
  <c r="CR83" i="13"/>
  <c r="CQ83" i="13"/>
  <c r="CP83" i="13"/>
  <c r="CO83" i="13"/>
  <c r="CK83" i="13"/>
  <c r="AS83" i="13"/>
  <c r="CS82" i="13"/>
  <c r="CR82" i="13"/>
  <c r="CP82" i="13"/>
  <c r="CM82" i="13"/>
  <c r="AQ82" i="13"/>
  <c r="CT81" i="13"/>
  <c r="CM81" i="13"/>
  <c r="CJ81" i="13"/>
  <c r="AS81" i="13"/>
  <c r="AR81" i="13"/>
  <c r="AP81" i="13"/>
  <c r="CT80" i="13"/>
  <c r="CM80" i="13"/>
  <c r="CL80" i="13"/>
  <c r="CJ80" i="13"/>
  <c r="BJ80" i="13"/>
  <c r="BD80" i="13"/>
  <c r="AS80" i="13"/>
  <c r="CR79" i="13"/>
  <c r="CP79" i="13"/>
  <c r="BD79" i="13"/>
  <c r="AS79" i="13"/>
  <c r="CO78" i="13"/>
  <c r="CM78" i="13"/>
  <c r="AQ78" i="13"/>
  <c r="CO77" i="13"/>
  <c r="CK77" i="13"/>
  <c r="CI77" i="13"/>
  <c r="CH77" i="13"/>
  <c r="CF77" i="13"/>
  <c r="CE77" i="13"/>
  <c r="BW77" i="13"/>
  <c r="BQ77" i="13"/>
  <c r="BP77" i="13"/>
  <c r="BL77" i="13"/>
  <c r="BK77" i="13"/>
  <c r="BJ77" i="13"/>
  <c r="BH77" i="13"/>
  <c r="BG77" i="13"/>
  <c r="BE77" i="13"/>
  <c r="AY77" i="13"/>
  <c r="AS77" i="13"/>
  <c r="AP77" i="13"/>
  <c r="AM77" i="13"/>
  <c r="AJ77" i="13"/>
  <c r="AI77" i="13"/>
  <c r="AE77" i="13"/>
  <c r="AB77" i="13"/>
  <c r="AA77" i="13"/>
  <c r="Y77" i="13"/>
  <c r="U77" i="13"/>
  <c r="T77" i="13"/>
  <c r="S77" i="13"/>
  <c r="Q77" i="13"/>
  <c r="J77" i="13"/>
  <c r="CT76" i="13"/>
  <c r="CH76" i="13"/>
  <c r="CG76" i="13"/>
  <c r="CF76" i="13"/>
  <c r="CD76" i="13"/>
  <c r="BX76" i="13"/>
  <c r="BT76" i="13"/>
  <c r="BM76" i="13"/>
  <c r="BL76" i="13"/>
  <c r="BK76" i="13"/>
  <c r="BI76" i="13"/>
  <c r="BH76" i="13"/>
  <c r="BD76" i="13"/>
  <c r="BC76" i="13"/>
  <c r="AU76" i="13"/>
  <c r="AS76" i="13"/>
  <c r="AQ76" i="13"/>
  <c r="AP76" i="13"/>
  <c r="AM76" i="13"/>
  <c r="AH76" i="13"/>
  <c r="Z76" i="13"/>
  <c r="X76" i="13"/>
  <c r="W76" i="13"/>
  <c r="V76" i="13"/>
  <c r="CT75" i="13"/>
  <c r="CQ75" i="13"/>
  <c r="CP75" i="13"/>
  <c r="CL75" i="13"/>
  <c r="CK75" i="13"/>
  <c r="CJ75" i="13"/>
  <c r="CD75" i="13"/>
  <c r="CC75" i="13"/>
  <c r="BX75" i="13"/>
  <c r="BV75" i="13"/>
  <c r="BU75" i="13"/>
  <c r="BT75" i="13"/>
  <c r="BN75" i="13"/>
  <c r="BG75" i="13"/>
  <c r="BE75" i="13"/>
  <c r="BD75" i="13"/>
  <c r="BB75" i="13"/>
  <c r="AY75" i="13"/>
  <c r="AW75" i="13"/>
  <c r="AO75" i="13"/>
  <c r="AN75" i="13"/>
  <c r="AE75" i="13"/>
  <c r="P75" i="13"/>
  <c r="O75" i="13"/>
  <c r="L75" i="13"/>
  <c r="H75" i="13"/>
  <c r="CS74" i="13"/>
  <c r="CQ74" i="13"/>
  <c r="CP74" i="13"/>
  <c r="CO74" i="13"/>
  <c r="CN74" i="13"/>
  <c r="CM74" i="13"/>
  <c r="CD74" i="13"/>
  <c r="BD74" i="13"/>
  <c r="AD74" i="13"/>
  <c r="AB74" i="13"/>
  <c r="AA74" i="13"/>
  <c r="V74" i="13"/>
  <c r="S74" i="13"/>
  <c r="CT73" i="13"/>
  <c r="BJ73" i="13"/>
  <c r="BD73" i="13"/>
  <c r="BB73" i="13"/>
  <c r="AZ73" i="13"/>
  <c r="AY73" i="13"/>
  <c r="Y73" i="13"/>
  <c r="W73" i="13"/>
  <c r="S73" i="13"/>
  <c r="CR72" i="13"/>
  <c r="CP72" i="13"/>
  <c r="CM72" i="13"/>
  <c r="CL72" i="13"/>
  <c r="CJ72" i="13"/>
  <c r="BD72" i="13"/>
  <c r="AY72" i="13"/>
  <c r="AX72" i="13"/>
  <c r="AN72" i="13"/>
  <c r="Z72" i="13"/>
  <c r="T72" i="13"/>
  <c r="S72" i="13"/>
  <c r="CU71" i="13"/>
  <c r="CR71" i="13"/>
  <c r="CQ71" i="13"/>
  <c r="CP71" i="13"/>
  <c r="CO71" i="13"/>
  <c r="BK71" i="13"/>
  <c r="BD71" i="13"/>
  <c r="AO71" i="13"/>
  <c r="AF71" i="13"/>
  <c r="AE71" i="13"/>
  <c r="AC71" i="13"/>
  <c r="AA71" i="13"/>
  <c r="U71" i="13"/>
  <c r="CT70" i="13"/>
  <c r="CR70" i="13"/>
  <c r="CQ70" i="13"/>
  <c r="CP70" i="13"/>
  <c r="CK70" i="13"/>
  <c r="BJ70" i="13"/>
  <c r="AX70" i="13"/>
  <c r="AO70" i="13"/>
  <c r="AN70" i="13"/>
  <c r="AE70" i="13"/>
  <c r="AD70" i="13"/>
  <c r="U70" i="13"/>
  <c r="CO69" i="13"/>
  <c r="CM69" i="13"/>
  <c r="CD69" i="13"/>
  <c r="CC69" i="13"/>
  <c r="BK69" i="13"/>
  <c r="BJ69" i="13"/>
  <c r="AY69" i="13"/>
  <c r="AN69" i="13"/>
  <c r="AM69" i="13"/>
  <c r="AG69" i="13"/>
  <c r="CP68" i="13"/>
  <c r="CK68" i="13"/>
  <c r="CD68" i="13"/>
  <c r="BI68" i="13"/>
  <c r="BF68" i="13"/>
  <c r="BD68" i="13"/>
  <c r="AY68" i="13"/>
  <c r="AX68" i="13"/>
  <c r="AW68" i="13"/>
  <c r="AC68" i="13"/>
  <c r="AB68" i="13"/>
  <c r="CP67" i="13"/>
  <c r="CN67" i="13"/>
  <c r="CM67" i="13"/>
  <c r="CL67" i="13"/>
  <c r="CK67" i="13"/>
  <c r="CJ67" i="13"/>
  <c r="CD67" i="13"/>
  <c r="CC67" i="13"/>
  <c r="CB67" i="13"/>
  <c r="BO67" i="13"/>
  <c r="BL67" i="13"/>
  <c r="BH67" i="13"/>
  <c r="BG67" i="13"/>
  <c r="BD67" i="13"/>
  <c r="AQ67" i="13"/>
  <c r="AP67" i="13"/>
  <c r="U67" i="13"/>
  <c r="CS66" i="13"/>
  <c r="CQ66" i="13"/>
  <c r="CP66" i="13"/>
  <c r="CM66" i="13"/>
  <c r="CI66" i="13"/>
  <c r="CG66" i="13"/>
  <c r="CD66" i="13"/>
  <c r="AZ66" i="13"/>
  <c r="AW66" i="13"/>
  <c r="AT66" i="13"/>
  <c r="AS66" i="13"/>
  <c r="AB66" i="13"/>
  <c r="U66" i="13"/>
  <c r="T66" i="13"/>
  <c r="M66" i="13"/>
  <c r="CU65" i="13"/>
  <c r="CT65" i="13"/>
  <c r="CK65" i="13"/>
  <c r="CI65" i="13"/>
  <c r="CH65" i="13"/>
  <c r="CG65" i="13"/>
  <c r="CE65" i="13"/>
  <c r="CD65" i="13"/>
  <c r="CB65" i="13"/>
  <c r="CA65" i="13"/>
  <c r="BZ65" i="13"/>
  <c r="BY65" i="13"/>
  <c r="BX65" i="13"/>
  <c r="BW65" i="13"/>
  <c r="BU65" i="13"/>
  <c r="BT65" i="13"/>
  <c r="BR65" i="13"/>
  <c r="BI65" i="13"/>
  <c r="BG65" i="13"/>
  <c r="BF65" i="13"/>
  <c r="BE65" i="13"/>
  <c r="BB65" i="13"/>
  <c r="AW65" i="13"/>
  <c r="AT65" i="13"/>
  <c r="AM65" i="13"/>
  <c r="AF65" i="13"/>
  <c r="AE65" i="13"/>
  <c r="AB65" i="13"/>
  <c r="AA65" i="13"/>
  <c r="N65" i="13"/>
  <c r="CT64" i="13"/>
  <c r="CQ64" i="13"/>
  <c r="CP64" i="13"/>
  <c r="CM64" i="13"/>
  <c r="CK64" i="13"/>
  <c r="CJ64" i="13"/>
  <c r="CI64" i="13"/>
  <c r="CF64" i="13"/>
  <c r="CE64" i="13"/>
  <c r="CA64" i="13"/>
  <c r="BZ64" i="13"/>
  <c r="BY64" i="13"/>
  <c r="BW64" i="13"/>
  <c r="BS64" i="13"/>
  <c r="BN64" i="13"/>
  <c r="BM64" i="13"/>
  <c r="BL64" i="13"/>
  <c r="BH64" i="13"/>
  <c r="BG64" i="13"/>
  <c r="BF64" i="13"/>
  <c r="BD64" i="13"/>
  <c r="BC64" i="13"/>
  <c r="AZ64" i="13"/>
  <c r="AW64" i="13"/>
  <c r="AQ64" i="13"/>
  <c r="AN64" i="13"/>
  <c r="AM64" i="13"/>
  <c r="AI64" i="13"/>
  <c r="AD64" i="13"/>
  <c r="AC64" i="13"/>
  <c r="N64" i="13"/>
  <c r="M64" i="13"/>
  <c r="CU63" i="13"/>
  <c r="CT63" i="13"/>
  <c r="CS63" i="13"/>
  <c r="CR63" i="13"/>
  <c r="CP63" i="13"/>
  <c r="CF63" i="13"/>
  <c r="CB63" i="13"/>
  <c r="BR63" i="13"/>
  <c r="BP63" i="13"/>
  <c r="BN63" i="13"/>
  <c r="BM63" i="13"/>
  <c r="BK63" i="13"/>
  <c r="BJ63" i="13"/>
  <c r="BE63" i="13"/>
  <c r="AX63" i="13"/>
  <c r="AU63" i="13"/>
  <c r="AP63" i="13"/>
  <c r="AO63" i="13"/>
  <c r="AI63" i="13"/>
  <c r="AH63" i="13"/>
  <c r="AF63" i="13"/>
  <c r="S63" i="13"/>
  <c r="N63" i="13"/>
  <c r="L63" i="13"/>
  <c r="J63" i="13"/>
  <c r="I63" i="13"/>
  <c r="H63" i="13"/>
  <c r="CR62" i="13"/>
  <c r="CQ62" i="13"/>
  <c r="AI62" i="13"/>
  <c r="BK61" i="13"/>
  <c r="BJ61" i="13"/>
  <c r="AJ61" i="13"/>
  <c r="CT60" i="13"/>
  <c r="CR60" i="13"/>
  <c r="CP60" i="13"/>
  <c r="BY60" i="13"/>
  <c r="CT59" i="13"/>
  <c r="CP59" i="13"/>
  <c r="CM59" i="13"/>
  <c r="CL59" i="13"/>
  <c r="CK59" i="13"/>
  <c r="BZ59" i="13"/>
  <c r="BY59" i="13"/>
  <c r="BW59" i="13"/>
  <c r="BV59" i="13"/>
  <c r="BU59" i="13"/>
  <c r="BT59" i="13"/>
  <c r="BR59" i="13"/>
  <c r="BQ59" i="13"/>
  <c r="BP59" i="13"/>
  <c r="BF59" i="13"/>
  <c r="BE59" i="13"/>
  <c r="AZ59" i="13"/>
  <c r="AX59" i="13"/>
  <c r="AS59" i="13"/>
  <c r="AQ59" i="13"/>
  <c r="AP59" i="13"/>
  <c r="Y59" i="13"/>
  <c r="U59" i="13"/>
  <c r="T59" i="13"/>
  <c r="S59" i="13"/>
  <c r="P59" i="13"/>
  <c r="CR58" i="13"/>
  <c r="CQ58" i="13"/>
  <c r="CP58" i="13"/>
  <c r="CO58" i="13"/>
  <c r="CM58" i="13"/>
  <c r="CL58" i="13"/>
  <c r="CK58" i="13"/>
  <c r="CH58" i="13"/>
  <c r="CG58" i="13"/>
  <c r="CA58" i="13"/>
  <c r="BY58" i="13"/>
  <c r="BW58" i="13"/>
  <c r="BV58" i="13"/>
  <c r="BO58" i="13"/>
  <c r="BN58" i="13"/>
  <c r="BI58" i="13"/>
  <c r="BH58" i="13"/>
  <c r="AZ58" i="13"/>
  <c r="AY58" i="13"/>
  <c r="AS58" i="13"/>
  <c r="AH58" i="13"/>
  <c r="AG58" i="13"/>
  <c r="AF58" i="13"/>
  <c r="AE58" i="13"/>
  <c r="AD58" i="13"/>
  <c r="AC58" i="13"/>
  <c r="Z58" i="13"/>
  <c r="Y58" i="13"/>
  <c r="X58" i="13"/>
  <c r="V58" i="13"/>
  <c r="T58" i="13"/>
  <c r="S58" i="13"/>
  <c r="R58" i="13"/>
  <c r="P58" i="13"/>
  <c r="CT57" i="13"/>
  <c r="CR57" i="13"/>
  <c r="CI57" i="13"/>
  <c r="CG57" i="13"/>
  <c r="CD57" i="13"/>
  <c r="BS57" i="13"/>
  <c r="BO57" i="13"/>
  <c r="BN57" i="13"/>
  <c r="BD57" i="13"/>
  <c r="BB57" i="13"/>
  <c r="BA57" i="13"/>
  <c r="AQ57" i="13"/>
  <c r="AJ57" i="13"/>
  <c r="AH57" i="13"/>
  <c r="Z57" i="13"/>
  <c r="Y57" i="13"/>
  <c r="CR56" i="13"/>
  <c r="CP56" i="13"/>
  <c r="CO56" i="13"/>
  <c r="CK56" i="13"/>
  <c r="AY56" i="13"/>
  <c r="AU56" i="13"/>
  <c r="AT56" i="13"/>
  <c r="AQ56" i="13"/>
  <c r="CU55" i="13"/>
  <c r="CR55" i="13"/>
  <c r="CQ55" i="13"/>
  <c r="CP55" i="13"/>
  <c r="CO55" i="13"/>
  <c r="CM55" i="13"/>
  <c r="BK55" i="13"/>
  <c r="AZ55" i="13"/>
  <c r="AW55" i="13"/>
  <c r="AU55" i="13"/>
  <c r="AT55" i="13"/>
  <c r="AS55" i="13"/>
  <c r="AQ55" i="13"/>
  <c r="CQ54" i="13"/>
  <c r="CP54" i="13"/>
  <c r="CM54" i="13"/>
  <c r="CK54" i="13"/>
  <c r="CJ54" i="13"/>
  <c r="BJ54" i="13"/>
  <c r="AY54" i="13"/>
  <c r="AX54" i="13"/>
  <c r="CO53" i="13"/>
  <c r="CM53" i="13"/>
  <c r="CL53" i="13"/>
  <c r="CK53" i="13"/>
  <c r="CJ53" i="13"/>
  <c r="BK53" i="13"/>
  <c r="BJ53" i="13"/>
  <c r="BI53" i="13"/>
  <c r="BG53" i="13"/>
  <c r="AZ53" i="13"/>
  <c r="AQ53" i="13"/>
  <c r="CT52" i="13"/>
  <c r="CO52" i="13"/>
  <c r="BI52" i="13"/>
  <c r="BH52" i="13"/>
  <c r="BF52" i="13"/>
  <c r="BE52" i="13"/>
  <c r="AS52" i="13"/>
  <c r="CT51" i="13"/>
  <c r="CP51" i="13"/>
  <c r="CK51" i="13"/>
  <c r="BI51" i="13"/>
  <c r="AS51" i="13"/>
  <c r="AQ51" i="13"/>
  <c r="AP51" i="13"/>
  <c r="AF51" i="13"/>
  <c r="CR50" i="13"/>
  <c r="CQ50" i="13"/>
  <c r="CP50" i="13"/>
  <c r="CO50" i="13"/>
  <c r="CN50" i="13"/>
  <c r="BH50" i="13"/>
  <c r="AY50" i="13"/>
  <c r="CU49" i="13"/>
  <c r="CT49" i="13"/>
  <c r="BI49" i="13"/>
  <c r="BG49" i="13"/>
  <c r="AZ49" i="13"/>
  <c r="AX49" i="13"/>
  <c r="AQ49" i="13"/>
  <c r="CT48" i="13"/>
  <c r="CR48" i="13"/>
  <c r="CO48" i="13"/>
  <c r="CM48" i="13"/>
  <c r="CL48" i="13"/>
  <c r="CK48" i="13"/>
  <c r="BJ48" i="13"/>
  <c r="BI48" i="13"/>
  <c r="BH48" i="13"/>
  <c r="AY48" i="13"/>
  <c r="AX48" i="13"/>
  <c r="AP48" i="13"/>
  <c r="CU47" i="13"/>
  <c r="CQ47" i="13"/>
  <c r="CP47" i="13"/>
  <c r="CO47" i="13"/>
  <c r="CN47" i="13"/>
  <c r="CM47" i="13"/>
  <c r="BZ47" i="13"/>
  <c r="BW47" i="13"/>
  <c r="BU47" i="13"/>
  <c r="BL47" i="13"/>
  <c r="BG47" i="13"/>
  <c r="AZ47" i="13"/>
  <c r="AS47" i="13"/>
  <c r="AF47" i="13"/>
  <c r="CT46" i="13"/>
  <c r="CR46" i="13"/>
  <c r="CQ46" i="13"/>
  <c r="CM46" i="13"/>
  <c r="BZ46" i="13"/>
  <c r="BY46" i="13"/>
  <c r="BW46" i="13"/>
  <c r="BU46" i="13"/>
  <c r="BT46" i="13"/>
  <c r="BL46" i="13"/>
  <c r="BJ46" i="13"/>
  <c r="BI46" i="13"/>
  <c r="BH46" i="13"/>
  <c r="BG46" i="13"/>
  <c r="BF46" i="13"/>
  <c r="BE46" i="13"/>
  <c r="AF46" i="13"/>
  <c r="CO45" i="13"/>
  <c r="CN45" i="13"/>
  <c r="CM45" i="13"/>
  <c r="CK45" i="13"/>
  <c r="CJ45" i="13"/>
  <c r="CA45" i="13"/>
  <c r="BY45" i="13"/>
  <c r="BU45" i="13"/>
  <c r="BL45" i="13"/>
  <c r="BK45" i="13"/>
  <c r="BI45" i="13"/>
  <c r="BH45" i="13"/>
  <c r="BG45" i="13"/>
  <c r="AZ45" i="13"/>
  <c r="AF45" i="13"/>
  <c r="CT44" i="13"/>
  <c r="CR44" i="13"/>
  <c r="CD44" i="13"/>
  <c r="CC44" i="13"/>
  <c r="CA44" i="13"/>
  <c r="BZ44" i="13"/>
  <c r="BW44" i="13"/>
  <c r="BV44" i="13"/>
  <c r="BO44" i="13"/>
  <c r="BN44" i="13"/>
  <c r="BM44" i="13"/>
  <c r="BL44" i="13"/>
  <c r="BF44" i="13"/>
  <c r="BD44" i="13"/>
  <c r="AY44" i="13"/>
  <c r="AP44" i="13"/>
  <c r="AJ44" i="13"/>
  <c r="AI44" i="13"/>
  <c r="AH44" i="13"/>
  <c r="AE44" i="13"/>
  <c r="AA44" i="13"/>
  <c r="X44" i="13"/>
  <c r="R44" i="13"/>
  <c r="CR43" i="13"/>
  <c r="CQ43" i="13"/>
  <c r="CP43" i="13"/>
  <c r="CO43" i="13"/>
  <c r="CK43" i="13"/>
  <c r="CJ43" i="13"/>
  <c r="CD43" i="13"/>
  <c r="CA43" i="13"/>
  <c r="BX43" i="13"/>
  <c r="BQ43" i="13"/>
  <c r="BM43" i="13"/>
  <c r="BL43" i="13"/>
  <c r="BG43" i="13"/>
  <c r="BF43" i="13"/>
  <c r="BE43" i="13"/>
  <c r="BD43" i="13"/>
  <c r="AZ43" i="13"/>
  <c r="AX43" i="13"/>
  <c r="AS43" i="13"/>
  <c r="AQ43" i="13"/>
  <c r="AP43" i="13"/>
  <c r="AD43" i="13"/>
  <c r="AA43" i="13"/>
  <c r="Z43" i="13"/>
  <c r="Y43" i="13"/>
  <c r="X43" i="13"/>
  <c r="W43" i="13"/>
  <c r="V43" i="13"/>
  <c r="R43" i="13"/>
  <c r="Q43" i="13"/>
  <c r="P43" i="13"/>
  <c r="O43" i="13"/>
  <c r="CT42" i="13"/>
  <c r="CR42" i="13"/>
  <c r="CQ42" i="13"/>
  <c r="CP42" i="13"/>
  <c r="CO42" i="13"/>
  <c r="CN42" i="13"/>
  <c r="CM42" i="13"/>
  <c r="BX42" i="13"/>
  <c r="BU42" i="13"/>
  <c r="BR42" i="13"/>
  <c r="BQ42" i="13"/>
  <c r="BP42" i="13"/>
  <c r="BM42" i="13"/>
  <c r="BL42" i="13"/>
  <c r="BI42" i="13"/>
  <c r="BH42" i="13"/>
  <c r="AZ42" i="13"/>
  <c r="AY42" i="13"/>
  <c r="AS42" i="13"/>
  <c r="AE42" i="13"/>
  <c r="Z42" i="13"/>
  <c r="Y42" i="13"/>
  <c r="X42" i="13"/>
  <c r="R42" i="13"/>
  <c r="BJ40" i="13"/>
  <c r="T40" i="13"/>
  <c r="S40" i="13"/>
  <c r="CR39" i="13"/>
  <c r="CQ39" i="13"/>
  <c r="CP39" i="13"/>
  <c r="BZ39" i="13"/>
  <c r="U39" i="13"/>
  <c r="T39" i="13"/>
  <c r="CR38" i="13"/>
  <c r="CP38" i="13"/>
  <c r="BZ38" i="13"/>
  <c r="BK38" i="13"/>
  <c r="BJ38" i="13"/>
  <c r="CU36" i="13"/>
  <c r="CT36" i="13"/>
  <c r="CR36" i="13"/>
  <c r="CQ36" i="13"/>
  <c r="CP36" i="13"/>
  <c r="CK36" i="13"/>
  <c r="CA36" i="13"/>
  <c r="BZ36" i="13"/>
  <c r="BW36" i="13"/>
  <c r="BU36" i="13"/>
  <c r="BT36" i="13"/>
  <c r="BN36" i="13"/>
  <c r="BK36" i="13"/>
  <c r="BJ36" i="13"/>
  <c r="BE36" i="13"/>
  <c r="AD36" i="13"/>
  <c r="W36" i="13"/>
  <c r="CT35" i="13"/>
  <c r="CM35" i="13"/>
  <c r="CL35" i="13"/>
  <c r="CK35" i="13"/>
  <c r="CD35" i="13"/>
  <c r="CC35" i="13"/>
  <c r="CA35" i="13"/>
  <c r="BP35" i="13"/>
  <c r="BN35" i="13"/>
  <c r="BK35" i="13"/>
  <c r="BJ35" i="13"/>
  <c r="BF35" i="13"/>
  <c r="BE35" i="13"/>
  <c r="BD35" i="13"/>
  <c r="AY35" i="13"/>
  <c r="AJ35" i="13"/>
  <c r="AI35" i="13"/>
  <c r="AH35" i="13"/>
  <c r="AE35" i="13"/>
  <c r="AD35" i="13"/>
  <c r="AC35" i="13"/>
  <c r="AB35" i="13"/>
  <c r="AA35" i="13"/>
  <c r="Z35" i="13"/>
  <c r="X35" i="13"/>
  <c r="V35" i="13"/>
  <c r="CU34" i="13"/>
  <c r="CT34" i="13"/>
  <c r="CR34" i="13"/>
  <c r="CQ34" i="13"/>
  <c r="CO34" i="13"/>
  <c r="CN34" i="13"/>
  <c r="CM34" i="13"/>
  <c r="BX34" i="13"/>
  <c r="BP34" i="13"/>
  <c r="BN34" i="13"/>
  <c r="BL34" i="13"/>
  <c r="BI34" i="13"/>
  <c r="BH34" i="13"/>
  <c r="BG34" i="13"/>
  <c r="BF34" i="13"/>
  <c r="BE34" i="13"/>
  <c r="BD34" i="13"/>
  <c r="AH34" i="13"/>
  <c r="AD34" i="13"/>
  <c r="AC34" i="13"/>
  <c r="Y34" i="13"/>
  <c r="X34" i="13"/>
  <c r="W34" i="13"/>
  <c r="U34" i="13"/>
  <c r="CR33" i="13"/>
  <c r="CQ33" i="13"/>
  <c r="CP33" i="13"/>
  <c r="CR32" i="13"/>
  <c r="CQ32" i="13"/>
  <c r="CP32" i="13"/>
  <c r="CT31" i="13"/>
  <c r="BJ31" i="13"/>
  <c r="CR30" i="13"/>
  <c r="CM30" i="13"/>
  <c r="CK30" i="13"/>
  <c r="CJ30" i="13"/>
  <c r="CI30" i="13"/>
  <c r="CH30" i="13"/>
  <c r="CD30" i="13"/>
  <c r="CB30" i="13"/>
  <c r="CA30" i="13"/>
  <c r="BX30" i="13"/>
  <c r="BV30" i="13"/>
  <c r="BU30" i="13"/>
  <c r="BT30" i="13"/>
  <c r="BR30" i="13"/>
  <c r="BQ30" i="13"/>
  <c r="BP30" i="13"/>
  <c r="BO30" i="13"/>
  <c r="BN30" i="13"/>
  <c r="BL30" i="13"/>
  <c r="BJ30" i="13"/>
  <c r="AZ30" i="13"/>
  <c r="AY30" i="13"/>
  <c r="AU30" i="13"/>
  <c r="AQ30" i="13"/>
  <c r="AG30" i="13"/>
  <c r="AF30" i="13"/>
  <c r="AA30" i="13"/>
  <c r="U30" i="13"/>
  <c r="T30" i="13"/>
  <c r="CU29" i="13"/>
  <c r="CT29" i="13"/>
  <c r="CR29" i="13"/>
  <c r="CQ29" i="13"/>
  <c r="CP29" i="13"/>
  <c r="CO29" i="13"/>
  <c r="CN29" i="13"/>
  <c r="CM29" i="13"/>
  <c r="CK29" i="13"/>
  <c r="CJ29" i="13"/>
  <c r="CD29" i="13"/>
  <c r="CA29" i="13"/>
  <c r="BY29" i="13"/>
  <c r="BX29" i="13"/>
  <c r="BW29" i="13"/>
  <c r="BU29" i="13"/>
  <c r="BT29" i="13"/>
  <c r="BQ29" i="13"/>
  <c r="BP29" i="13"/>
  <c r="BO29" i="13"/>
  <c r="BN29" i="13"/>
  <c r="BL29" i="13"/>
  <c r="BK29" i="13"/>
  <c r="BH29" i="13"/>
  <c r="AZ29" i="13"/>
  <c r="AY29" i="13"/>
  <c r="AX29" i="13"/>
  <c r="AU29" i="13"/>
  <c r="AT29" i="13"/>
  <c r="AS29" i="13"/>
  <c r="AQ29" i="13"/>
  <c r="AP29" i="13"/>
  <c r="AH29" i="13"/>
  <c r="AD29" i="13"/>
  <c r="AC29" i="13"/>
  <c r="AB29" i="13"/>
  <c r="R29" i="13"/>
  <c r="P29" i="13"/>
  <c r="CU28" i="13"/>
  <c r="CT28" i="13"/>
  <c r="CR28" i="13"/>
  <c r="CQ28" i="13"/>
  <c r="CP28" i="13"/>
  <c r="CO28" i="13"/>
  <c r="CL28" i="13"/>
  <c r="CI28" i="13"/>
  <c r="CD28" i="13"/>
  <c r="CC28" i="13"/>
  <c r="BZ28" i="13"/>
  <c r="BY28" i="13"/>
  <c r="BX28" i="13"/>
  <c r="BW28" i="13"/>
  <c r="BV28" i="13"/>
  <c r="BR28" i="13"/>
  <c r="BO28" i="13"/>
  <c r="BN28" i="13"/>
  <c r="BM28" i="13"/>
  <c r="BL28" i="13"/>
  <c r="BJ28" i="13"/>
  <c r="BI28" i="13"/>
  <c r="BH28" i="13"/>
  <c r="BG28" i="13"/>
  <c r="BF28" i="13"/>
  <c r="BD28" i="13"/>
  <c r="BB28" i="13"/>
  <c r="BA28" i="13"/>
  <c r="AW28" i="13"/>
  <c r="AU28" i="13"/>
  <c r="AT28" i="13"/>
  <c r="AS28" i="13"/>
  <c r="AQ28" i="13"/>
  <c r="AP28" i="13"/>
  <c r="AH28" i="13"/>
  <c r="AG28" i="13"/>
  <c r="AF28" i="13"/>
  <c r="AE28" i="13"/>
  <c r="AD28" i="13"/>
  <c r="AC28" i="13"/>
  <c r="Q28" i="13"/>
  <c r="P28" i="13"/>
  <c r="CT27" i="13"/>
  <c r="CH27" i="13"/>
  <c r="CG27" i="13"/>
  <c r="CD27" i="13"/>
  <c r="CA27" i="13"/>
  <c r="BY27" i="13"/>
  <c r="BX27" i="13"/>
  <c r="BV27" i="13"/>
  <c r="BT27" i="13"/>
  <c r="BL27" i="13"/>
  <c r="BK27" i="13"/>
  <c r="BJ27" i="13"/>
  <c r="BH27" i="13"/>
  <c r="BG27" i="13"/>
  <c r="BF27" i="13"/>
  <c r="BD27" i="13"/>
  <c r="AW27" i="13"/>
  <c r="AS27" i="13"/>
  <c r="AI27" i="13"/>
  <c r="AH27" i="13"/>
  <c r="AB27" i="13"/>
  <c r="R27" i="13"/>
  <c r="Q27" i="13"/>
  <c r="CU26" i="13"/>
  <c r="CT26" i="13"/>
  <c r="CR26" i="13"/>
  <c r="CI26" i="13"/>
  <c r="CH26" i="13"/>
  <c r="BX26" i="13"/>
  <c r="BU26" i="13"/>
  <c r="BT26" i="13"/>
  <c r="BR26" i="13"/>
  <c r="BM26" i="13"/>
  <c r="BL26" i="13"/>
  <c r="BE26" i="13"/>
  <c r="AU26" i="13"/>
  <c r="AQ26" i="13"/>
  <c r="AI26" i="13"/>
  <c r="AH26" i="13"/>
  <c r="AE26" i="13"/>
  <c r="AC26" i="13"/>
  <c r="AA26" i="13"/>
  <c r="T26" i="13"/>
  <c r="CR25" i="13"/>
  <c r="CP25" i="13"/>
  <c r="CI25" i="13"/>
  <c r="CH25" i="13"/>
  <c r="CG25" i="13"/>
  <c r="CF25" i="13"/>
  <c r="CE25" i="13"/>
  <c r="CB25" i="13"/>
  <c r="BZ25" i="13"/>
  <c r="BW25" i="13"/>
  <c r="BU25" i="13"/>
  <c r="BT25" i="13"/>
  <c r="BS25" i="13"/>
  <c r="BQ25" i="13"/>
  <c r="BP25" i="13"/>
  <c r="BN25" i="13"/>
  <c r="BH25" i="13"/>
  <c r="BF25" i="13"/>
  <c r="BE25" i="13"/>
  <c r="BB25" i="13"/>
  <c r="AU25" i="13"/>
  <c r="AT25" i="13"/>
  <c r="AQ25" i="13"/>
  <c r="AJ25" i="13"/>
  <c r="AD25" i="13"/>
  <c r="AC25" i="13"/>
  <c r="AB25" i="13"/>
  <c r="U25" i="13"/>
  <c r="T25" i="13"/>
  <c r="S25" i="13"/>
  <c r="P25" i="13"/>
  <c r="N25" i="13"/>
  <c r="K25" i="13"/>
  <c r="CR24" i="13"/>
  <c r="CQ24" i="13"/>
  <c r="CP24" i="13"/>
  <c r="BV24" i="13"/>
  <c r="BV23" i="13"/>
  <c r="CR22" i="13"/>
  <c r="CP22" i="13"/>
  <c r="BV22" i="13"/>
  <c r="BK22" i="13"/>
  <c r="BJ22" i="13"/>
  <c r="CR21" i="13"/>
  <c r="CQ21" i="13"/>
  <c r="CP21" i="13"/>
  <c r="CO21" i="13"/>
  <c r="CL21" i="13"/>
  <c r="CK21" i="13"/>
  <c r="BZ21" i="13"/>
  <c r="BY21" i="13"/>
  <c r="BR21" i="13"/>
  <c r="BP21" i="13"/>
  <c r="BK21" i="13"/>
  <c r="BI21" i="13"/>
  <c r="BG21" i="13"/>
  <c r="BF21" i="13"/>
  <c r="BE21" i="13"/>
  <c r="BD21" i="13"/>
  <c r="AX21" i="13"/>
  <c r="AS21" i="13"/>
  <c r="AQ21" i="13"/>
  <c r="AP21" i="13"/>
  <c r="AF21" i="13"/>
  <c r="AA21" i="13"/>
  <c r="Z21" i="13"/>
  <c r="V21" i="13"/>
  <c r="U21" i="13"/>
  <c r="R21" i="13"/>
  <c r="Q21" i="13"/>
  <c r="P21" i="13"/>
  <c r="O21" i="13"/>
  <c r="CT20" i="13"/>
  <c r="CR20" i="13"/>
  <c r="CQ20" i="13"/>
  <c r="CP20" i="13"/>
  <c r="CO20" i="13"/>
  <c r="CM20" i="13"/>
  <c r="CL20" i="13"/>
  <c r="CK20" i="13"/>
  <c r="CA20" i="13"/>
  <c r="BY20" i="13"/>
  <c r="BW20" i="13"/>
  <c r="BU20" i="13"/>
  <c r="BT20" i="13"/>
  <c r="BR20" i="13"/>
  <c r="BQ20" i="13"/>
  <c r="BO20" i="13"/>
  <c r="BN20" i="13"/>
  <c r="BL20" i="13"/>
  <c r="BJ20" i="13"/>
  <c r="BD20" i="13"/>
  <c r="AS20" i="13"/>
  <c r="AJ20" i="13"/>
  <c r="AC20" i="13"/>
  <c r="AB20" i="13"/>
  <c r="AA20" i="13"/>
  <c r="Y20" i="13"/>
  <c r="X20" i="13"/>
  <c r="W20" i="13"/>
  <c r="V20" i="13"/>
  <c r="CK19" i="13"/>
  <c r="CD19" i="13"/>
  <c r="CA19" i="13"/>
  <c r="BZ19" i="13"/>
  <c r="BW19" i="13"/>
  <c r="BV19" i="13"/>
  <c r="BT19" i="13"/>
  <c r="BO19" i="13"/>
  <c r="BN19" i="13"/>
  <c r="BK19" i="13"/>
  <c r="BJ19" i="13"/>
  <c r="BI19" i="13"/>
  <c r="BE19" i="13"/>
  <c r="AZ19" i="13"/>
  <c r="AY19" i="13"/>
  <c r="AX19" i="13"/>
  <c r="AQ19" i="13"/>
  <c r="AI19" i="13"/>
  <c r="AH19" i="13"/>
  <c r="AG19" i="13"/>
  <c r="AF19" i="13"/>
  <c r="AE19" i="13"/>
  <c r="AC19" i="13"/>
  <c r="AA19" i="13"/>
  <c r="Z19" i="13"/>
  <c r="X19" i="13"/>
  <c r="W19" i="13"/>
  <c r="V19" i="13"/>
  <c r="CT18" i="13"/>
  <c r="CR18" i="13"/>
  <c r="CM18" i="13"/>
  <c r="CL18" i="13"/>
  <c r="CK18" i="13"/>
  <c r="CF18" i="13"/>
  <c r="CD18" i="13"/>
  <c r="BW18" i="13"/>
  <c r="BV18" i="13"/>
  <c r="BS18" i="13"/>
  <c r="BQ18" i="13"/>
  <c r="BO18" i="13"/>
  <c r="BN18" i="13"/>
  <c r="BL18" i="13"/>
  <c r="BI18" i="13"/>
  <c r="BH18" i="13"/>
  <c r="BF18" i="13"/>
  <c r="BE18" i="13"/>
  <c r="BB18" i="13"/>
  <c r="AZ18" i="13"/>
  <c r="AY18" i="13"/>
  <c r="AX18" i="13"/>
  <c r="AW18" i="13"/>
  <c r="AV18" i="13"/>
  <c r="AU18" i="13"/>
  <c r="AT18" i="13"/>
  <c r="AS18" i="13"/>
  <c r="AR18" i="13"/>
  <c r="AQ18" i="13"/>
  <c r="AP18" i="13"/>
  <c r="AO18" i="13"/>
  <c r="AN18" i="13"/>
  <c r="AM18" i="13"/>
  <c r="AJ18" i="13"/>
  <c r="AH18" i="13"/>
  <c r="S18" i="13"/>
  <c r="P18" i="13"/>
  <c r="N18" i="13"/>
  <c r="M18" i="13"/>
  <c r="CU17" i="13"/>
  <c r="CT17" i="13"/>
  <c r="CS17" i="13"/>
  <c r="CR17" i="13"/>
  <c r="CQ17" i="13"/>
  <c r="CP17" i="13"/>
  <c r="CO17" i="13"/>
  <c r="CN17" i="13"/>
  <c r="CM17" i="13"/>
  <c r="CF17" i="13"/>
  <c r="CE17" i="13"/>
  <c r="CD17" i="13"/>
  <c r="CC17" i="13"/>
  <c r="BY17" i="13"/>
  <c r="BS17" i="13"/>
  <c r="BP17" i="13"/>
  <c r="BO17" i="13"/>
  <c r="BN17" i="13"/>
  <c r="BM17" i="13"/>
  <c r="BL17" i="13"/>
  <c r="BI17" i="13"/>
  <c r="BD17" i="13"/>
  <c r="BA17" i="13"/>
  <c r="AZ17" i="13"/>
  <c r="AW17" i="13"/>
  <c r="AS17" i="13"/>
  <c r="AQ17" i="13"/>
  <c r="AP17" i="13"/>
  <c r="AO17" i="13"/>
  <c r="AN17" i="13"/>
  <c r="AJ17" i="13"/>
  <c r="AI17" i="13"/>
  <c r="AH17" i="13"/>
  <c r="AG17" i="13"/>
  <c r="AE17" i="13"/>
  <c r="AA17" i="13"/>
  <c r="Z17" i="13"/>
  <c r="V17" i="13"/>
  <c r="T17" i="13"/>
  <c r="S17" i="13"/>
  <c r="Q17" i="13"/>
  <c r="P17" i="13"/>
  <c r="N17" i="13"/>
  <c r="L17" i="13"/>
  <c r="CU16" i="13"/>
  <c r="CT16" i="13"/>
  <c r="CR16" i="13"/>
  <c r="CQ16" i="13"/>
  <c r="CP16" i="13"/>
  <c r="CM16" i="13"/>
  <c r="CK16" i="13"/>
  <c r="CJ16" i="13"/>
  <c r="CF16" i="13"/>
  <c r="CD16" i="13"/>
  <c r="CB16" i="13"/>
  <c r="BY16" i="13"/>
  <c r="BX16" i="13"/>
  <c r="BT16" i="13"/>
  <c r="BR16" i="13"/>
  <c r="BQ16" i="13"/>
  <c r="BM16" i="13"/>
  <c r="BL16" i="13"/>
  <c r="BH16" i="13"/>
  <c r="BF16" i="13"/>
  <c r="BD16" i="13"/>
  <c r="BB16" i="13"/>
  <c r="AU16" i="13"/>
  <c r="AS16" i="13"/>
  <c r="AG16" i="13"/>
  <c r="AE16" i="13"/>
  <c r="AD16" i="13"/>
  <c r="AB16" i="13"/>
  <c r="AA16" i="13"/>
  <c r="Z16" i="13"/>
  <c r="Y16" i="13"/>
  <c r="W16" i="13"/>
  <c r="V16" i="13"/>
  <c r="U16" i="13"/>
  <c r="M16" i="13"/>
  <c r="CU14" i="13"/>
  <c r="CT14" i="13"/>
  <c r="CA14" i="13"/>
  <c r="BZ14" i="13"/>
  <c r="BY14" i="13"/>
  <c r="BJ14" i="13"/>
  <c r="AG14" i="13"/>
  <c r="Z14" i="13"/>
  <c r="CR13" i="13"/>
  <c r="CA13" i="13"/>
  <c r="BZ13" i="13"/>
  <c r="BY13" i="13"/>
  <c r="BJ13" i="13"/>
  <c r="Y13" i="13"/>
  <c r="W13" i="13"/>
  <c r="CR12" i="13"/>
  <c r="CQ12" i="13"/>
  <c r="CP12" i="13"/>
  <c r="BK12" i="13"/>
  <c r="Z12" i="13"/>
  <c r="Y12" i="13"/>
  <c r="X12" i="13"/>
  <c r="V12" i="13"/>
  <c r="CR10" i="13"/>
  <c r="CQ10" i="13"/>
  <c r="CP10" i="13"/>
  <c r="CO10" i="13"/>
  <c r="CN10" i="13"/>
  <c r="CM10" i="13"/>
  <c r="CL10" i="13"/>
  <c r="CK10" i="13"/>
  <c r="CD10" i="13"/>
  <c r="BX10" i="13"/>
  <c r="BW10" i="13"/>
  <c r="BR10" i="13"/>
  <c r="BP10" i="13"/>
  <c r="BL10" i="13"/>
  <c r="BK10" i="13"/>
  <c r="BJ10" i="13"/>
  <c r="BH10" i="13"/>
  <c r="BD10" i="13"/>
  <c r="AZ10" i="13"/>
  <c r="AY10" i="13"/>
  <c r="AE10" i="13"/>
  <c r="AD10" i="13"/>
  <c r="U10" i="13"/>
  <c r="S10" i="13"/>
  <c r="CK9" i="13"/>
  <c r="BX9" i="13"/>
  <c r="BU9" i="13"/>
  <c r="BT9" i="13"/>
  <c r="BN9" i="13"/>
  <c r="BL9" i="13"/>
  <c r="BK9" i="13"/>
  <c r="BJ9" i="13"/>
  <c r="BI9" i="13"/>
  <c r="BH9" i="13"/>
  <c r="BG9" i="13"/>
  <c r="BE9" i="13"/>
  <c r="BD9" i="13"/>
  <c r="AY9" i="13"/>
  <c r="AH9" i="13"/>
  <c r="AG9" i="13"/>
  <c r="AC9" i="13"/>
  <c r="U9" i="13"/>
  <c r="T9" i="13"/>
  <c r="CR8" i="13"/>
  <c r="CP8" i="13"/>
  <c r="CO8" i="13"/>
  <c r="CN8" i="13"/>
  <c r="CM8" i="13"/>
  <c r="CK8" i="13"/>
  <c r="CD8" i="13"/>
  <c r="CC8" i="13"/>
  <c r="CA8" i="13"/>
  <c r="BY8" i="13"/>
  <c r="BX8" i="13"/>
  <c r="BW8" i="13"/>
  <c r="BU8" i="13"/>
  <c r="BT8" i="13"/>
  <c r="BS8" i="13"/>
  <c r="BR8" i="13"/>
  <c r="BP8" i="13"/>
  <c r="BM8" i="13"/>
  <c r="BL8" i="13"/>
  <c r="BJ8" i="13"/>
  <c r="BI8" i="13"/>
  <c r="BH8" i="13"/>
  <c r="AY8" i="13"/>
  <c r="AJ8" i="13"/>
  <c r="AI8" i="13"/>
  <c r="AF8" i="13"/>
  <c r="AE8" i="13"/>
  <c r="AD8" i="13"/>
  <c r="AB8" i="13"/>
  <c r="K8" i="13"/>
  <c r="H8" i="13"/>
  <c r="CR7" i="13"/>
  <c r="CQ7" i="13"/>
  <c r="CP7" i="13"/>
  <c r="CO7" i="13"/>
  <c r="CN7" i="13"/>
  <c r="CM7" i="13"/>
  <c r="CD7" i="13"/>
  <c r="CA7" i="13"/>
  <c r="BZ7" i="13"/>
  <c r="BY7" i="13"/>
  <c r="BW7" i="13"/>
  <c r="BU7" i="13"/>
  <c r="BT7" i="13"/>
  <c r="BQ7" i="13"/>
  <c r="BP7" i="13"/>
  <c r="BO7" i="13"/>
  <c r="BN7" i="13"/>
  <c r="BM7" i="13"/>
  <c r="BL7" i="13"/>
  <c r="BG7" i="13"/>
  <c r="AY7" i="13"/>
  <c r="AX7" i="13"/>
  <c r="AI7" i="13"/>
  <c r="AH7" i="13"/>
  <c r="AG7" i="13"/>
  <c r="AE7" i="13"/>
  <c r="AD7" i="13"/>
  <c r="AC7" i="13"/>
  <c r="CR6" i="13"/>
  <c r="CQ6" i="13"/>
  <c r="CP6" i="13"/>
  <c r="CM6" i="13"/>
  <c r="CK6" i="13"/>
  <c r="CD6" i="13"/>
  <c r="CC6" i="13"/>
  <c r="CA6" i="13"/>
  <c r="BW6" i="13"/>
  <c r="BR6" i="13"/>
  <c r="BQ6" i="13"/>
  <c r="BP6" i="13"/>
  <c r="BN6" i="13"/>
  <c r="BL6" i="13"/>
  <c r="BH6" i="13"/>
  <c r="BG6" i="13"/>
  <c r="BF6" i="13"/>
  <c r="BD6" i="13"/>
  <c r="AZ6" i="13"/>
  <c r="AY6" i="13"/>
  <c r="AF6" i="13"/>
  <c r="AB6" i="13"/>
  <c r="U6" i="13"/>
  <c r="CO5" i="13"/>
  <c r="CN5" i="13"/>
  <c r="CM5" i="13"/>
  <c r="CK5" i="13"/>
  <c r="CJ5" i="13"/>
  <c r="CD5" i="13"/>
  <c r="BU5" i="13"/>
  <c r="BR5" i="13"/>
  <c r="BQ5" i="13"/>
  <c r="BN5" i="13"/>
  <c r="BM5" i="13"/>
  <c r="BL5" i="13"/>
  <c r="BJ5" i="13"/>
  <c r="BI5" i="13"/>
  <c r="BH5" i="13"/>
  <c r="BG5" i="13"/>
  <c r="BE5" i="13"/>
  <c r="BD5" i="13"/>
  <c r="AZ5" i="13"/>
  <c r="AY5" i="13"/>
  <c r="AX5" i="13"/>
  <c r="AG5" i="13"/>
  <c r="AD5" i="13"/>
  <c r="AC5" i="13"/>
  <c r="AB5" i="13"/>
  <c r="AA5" i="13"/>
  <c r="T5" i="13"/>
  <c r="I5" i="13"/>
  <c r="CU3" i="13"/>
  <c r="CU2" i="13" s="1"/>
  <c r="CT3" i="13"/>
  <c r="CT2" i="13" s="1"/>
  <c r="CR3" i="13"/>
  <c r="CR2" i="13" s="1"/>
  <c r="CP3" i="13"/>
  <c r="CP2" i="13" s="1"/>
  <c r="CO3" i="13"/>
  <c r="CO2" i="13" s="1"/>
  <c r="CI3" i="13"/>
  <c r="CI2" i="13" s="1"/>
  <c r="CH3" i="13"/>
  <c r="CG3" i="13"/>
  <c r="CD3" i="13"/>
  <c r="CD2" i="13" s="1"/>
  <c r="CC3" i="13"/>
  <c r="CC2" i="13" s="1"/>
  <c r="CB3" i="13"/>
  <c r="CB2" i="13" s="1"/>
  <c r="BZ3" i="13"/>
  <c r="BZ2" i="13" s="1"/>
  <c r="BV3" i="13"/>
  <c r="BV2" i="13" s="1"/>
  <c r="BU3" i="13"/>
  <c r="BU2" i="13" s="1"/>
  <c r="BT3" i="13"/>
  <c r="BO3" i="13"/>
  <c r="BO2" i="13" s="1"/>
  <c r="BN3" i="13"/>
  <c r="BN2" i="13" s="1"/>
  <c r="BJ3" i="13"/>
  <c r="BJ2" i="13" s="1"/>
  <c r="BF3" i="13"/>
  <c r="BF2" i="13" s="1"/>
  <c r="BA3" i="13"/>
  <c r="BA2" i="13" s="1"/>
  <c r="AX3" i="13"/>
  <c r="AX2" i="13" s="1"/>
  <c r="AW3" i="13"/>
  <c r="AW2" i="13" s="1"/>
  <c r="AV3" i="13"/>
  <c r="AV2" i="13" s="1"/>
  <c r="AU3" i="13"/>
  <c r="AU2" i="13" s="1"/>
  <c r="AT3" i="13"/>
  <c r="AT2" i="13" s="1"/>
  <c r="AS3" i="13"/>
  <c r="AS2" i="13" s="1"/>
  <c r="AR3" i="13"/>
  <c r="AR2" i="13" s="1"/>
  <c r="AQ3" i="13"/>
  <c r="AQ2" i="13" s="1"/>
  <c r="AP3" i="13"/>
  <c r="AP2" i="13" s="1"/>
  <c r="AO3" i="13"/>
  <c r="AO2" i="13" s="1"/>
  <c r="AN3" i="13"/>
  <c r="AN2" i="13" s="1"/>
  <c r="AM3" i="13"/>
  <c r="AM2" i="13" s="1"/>
  <c r="AL3" i="13"/>
  <c r="AL2" i="13" s="1"/>
  <c r="AK3" i="13"/>
  <c r="AK2" i="13" s="1"/>
  <c r="AJ3" i="13"/>
  <c r="AJ2" i="13" s="1"/>
  <c r="AI3" i="13"/>
  <c r="AI2" i="13" s="1"/>
  <c r="AH3" i="13"/>
  <c r="AH2" i="13" s="1"/>
  <c r="AG3" i="13"/>
  <c r="AG2" i="13" s="1"/>
  <c r="AF3" i="13"/>
  <c r="AF2" i="13" s="1"/>
  <c r="AE3" i="13"/>
  <c r="AE2" i="13" s="1"/>
  <c r="AD3" i="13"/>
  <c r="AD2" i="13" s="1"/>
  <c r="AC3" i="13"/>
  <c r="AC2" i="13" s="1"/>
  <c r="AB3" i="13"/>
  <c r="AB2" i="13" s="1"/>
  <c r="AA3" i="13"/>
  <c r="AA2" i="13" s="1"/>
  <c r="Z3" i="13"/>
  <c r="Z2" i="13" s="1"/>
  <c r="Y3" i="13"/>
  <c r="Y2" i="13" s="1"/>
  <c r="W3" i="13"/>
  <c r="W2" i="13" s="1"/>
  <c r="U3" i="13"/>
  <c r="U2" i="13" s="1"/>
  <c r="T3" i="13"/>
  <c r="T2" i="13" s="1"/>
  <c r="S3" i="13"/>
  <c r="S2" i="13" s="1"/>
  <c r="R3" i="13"/>
  <c r="R2" i="13" s="1"/>
  <c r="Q3" i="13"/>
  <c r="Q2" i="13" s="1"/>
  <c r="P3" i="13"/>
  <c r="P2" i="13" s="1"/>
  <c r="O3" i="13"/>
  <c r="O2" i="13" s="1"/>
  <c r="CH2" i="13"/>
  <c r="CG2" i="13"/>
  <c r="BT2" i="13"/>
  <c r="N2" i="13"/>
  <c r="M2" i="13"/>
  <c r="L2" i="13"/>
  <c r="K2" i="13"/>
  <c r="J2" i="13"/>
  <c r="I2" i="13"/>
  <c r="H2" i="13"/>
  <c r="G2" i="13"/>
  <c r="F2" i="13"/>
  <c r="E2" i="13"/>
  <c r="ET41" i="12"/>
  <c r="EU41" i="12" s="1"/>
  <c r="ER41" i="12"/>
  <c r="ES41" i="12" s="1"/>
  <c r="EP41" i="12"/>
  <c r="EQ41" i="12" s="1"/>
  <c r="EN41" i="12"/>
  <c r="EO41" i="12" s="1"/>
  <c r="EL41" i="12"/>
  <c r="EM41" i="12" s="1"/>
  <c r="EJ41" i="12"/>
  <c r="EK41" i="12" s="1"/>
  <c r="EH41" i="12"/>
  <c r="EI41" i="12" s="1"/>
  <c r="EF41" i="12"/>
  <c r="EG41" i="12" s="1"/>
  <c r="ED41" i="12"/>
  <c r="EE41" i="12" s="1"/>
  <c r="EB41" i="12"/>
  <c r="EC41" i="12" s="1"/>
  <c r="DZ41" i="12"/>
  <c r="EA41" i="12" s="1"/>
  <c r="DX41" i="12"/>
  <c r="DY41" i="12" s="1"/>
  <c r="DV41" i="12"/>
  <c r="DW41" i="12" s="1"/>
  <c r="DT41" i="12"/>
  <c r="DU41" i="12" s="1"/>
  <c r="DR41" i="12"/>
  <c r="DS41" i="12" s="1"/>
  <c r="DP41" i="12"/>
  <c r="DQ41" i="12" s="1"/>
  <c r="DN41" i="12"/>
  <c r="DO41" i="12" s="1"/>
  <c r="DL41" i="12"/>
  <c r="DM41" i="12" s="1"/>
  <c r="DJ41" i="12"/>
  <c r="DK41" i="12" s="1"/>
  <c r="DH41" i="12"/>
  <c r="DI41" i="12" s="1"/>
  <c r="DD41" i="12"/>
  <c r="DE41" i="12" s="1"/>
  <c r="DB41" i="12"/>
  <c r="DC41" i="12" s="1"/>
  <c r="CZ41" i="12"/>
  <c r="DA41" i="12" s="1"/>
  <c r="CX41" i="12"/>
  <c r="CY41" i="12" s="1"/>
  <c r="CV41" i="12"/>
  <c r="CW41" i="12" s="1"/>
  <c r="CT41" i="12"/>
  <c r="CU41" i="12" s="1"/>
  <c r="CR41" i="12"/>
  <c r="CS41" i="12" s="1"/>
  <c r="CP41" i="12"/>
  <c r="CQ41" i="12" s="1"/>
  <c r="CN41" i="12"/>
  <c r="CO41" i="12" s="1"/>
  <c r="ET40" i="12"/>
  <c r="EU40" i="12" s="1"/>
  <c r="ER40" i="12"/>
  <c r="ES40" i="12" s="1"/>
  <c r="EP40" i="12"/>
  <c r="EQ40" i="12" s="1"/>
  <c r="EN40" i="12"/>
  <c r="EO40" i="12" s="1"/>
  <c r="EL40" i="12"/>
  <c r="EM40" i="12" s="1"/>
  <c r="EJ40" i="12"/>
  <c r="EK40" i="12" s="1"/>
  <c r="EH40" i="12"/>
  <c r="EI40" i="12" s="1"/>
  <c r="EF40" i="12"/>
  <c r="EG40" i="12" s="1"/>
  <c r="ED40" i="12"/>
  <c r="EE40" i="12" s="1"/>
  <c r="EB40" i="12"/>
  <c r="EC40" i="12" s="1"/>
  <c r="DZ40" i="12"/>
  <c r="EA40" i="12" s="1"/>
  <c r="DX40" i="12"/>
  <c r="DY40" i="12" s="1"/>
  <c r="DV40" i="12"/>
  <c r="DW40" i="12" s="1"/>
  <c r="DT40" i="12"/>
  <c r="DU40" i="12" s="1"/>
  <c r="DR40" i="12"/>
  <c r="DS40" i="12" s="1"/>
  <c r="DP40" i="12"/>
  <c r="DQ40" i="12" s="1"/>
  <c r="DN40" i="12"/>
  <c r="DO40" i="12" s="1"/>
  <c r="DL40" i="12"/>
  <c r="DM40" i="12" s="1"/>
  <c r="DJ40" i="12"/>
  <c r="DK40" i="12" s="1"/>
  <c r="DH40" i="12"/>
  <c r="DI40" i="12" s="1"/>
  <c r="DD40" i="12"/>
  <c r="DE40" i="12" s="1"/>
  <c r="DB40" i="12"/>
  <c r="DC40" i="12" s="1"/>
  <c r="CZ40" i="12"/>
  <c r="DA40" i="12" s="1"/>
  <c r="CX40" i="12"/>
  <c r="CY40" i="12" s="1"/>
  <c r="CV40" i="12"/>
  <c r="CW40" i="12" s="1"/>
  <c r="CT40" i="12"/>
  <c r="CU40" i="12" s="1"/>
  <c r="CR40" i="12"/>
  <c r="CS40" i="12" s="1"/>
  <c r="CP40" i="12"/>
  <c r="CQ40" i="12" s="1"/>
  <c r="CN40" i="12"/>
  <c r="CO40" i="12" s="1"/>
  <c r="ET39" i="12"/>
  <c r="EU39" i="12" s="1"/>
  <c r="ER39" i="12"/>
  <c r="ES39" i="12" s="1"/>
  <c r="EP39" i="12"/>
  <c r="EQ39" i="12" s="1"/>
  <c r="EN39" i="12"/>
  <c r="EO39" i="12" s="1"/>
  <c r="EL39" i="12"/>
  <c r="EM39" i="12" s="1"/>
  <c r="EJ39" i="12"/>
  <c r="EK39" i="12" s="1"/>
  <c r="EH39" i="12"/>
  <c r="EI39" i="12" s="1"/>
  <c r="EF39" i="12"/>
  <c r="EG39" i="12" s="1"/>
  <c r="ED39" i="12"/>
  <c r="EE39" i="12" s="1"/>
  <c r="EB39" i="12"/>
  <c r="EC39" i="12" s="1"/>
  <c r="DZ39" i="12"/>
  <c r="EA39" i="12" s="1"/>
  <c r="DX39" i="12"/>
  <c r="DY39" i="12" s="1"/>
  <c r="DV39" i="12"/>
  <c r="DW39" i="12" s="1"/>
  <c r="DT39" i="12"/>
  <c r="DU39" i="12" s="1"/>
  <c r="DR39" i="12"/>
  <c r="DS39" i="12" s="1"/>
  <c r="DP39" i="12"/>
  <c r="DQ39" i="12" s="1"/>
  <c r="DN39" i="12"/>
  <c r="DO39" i="12" s="1"/>
  <c r="DL39" i="12"/>
  <c r="DM39" i="12" s="1"/>
  <c r="DJ39" i="12"/>
  <c r="DK39" i="12" s="1"/>
  <c r="DH39" i="12"/>
  <c r="DI39" i="12" s="1"/>
  <c r="DD39" i="12"/>
  <c r="DE39" i="12" s="1"/>
  <c r="DB39" i="12"/>
  <c r="DC39" i="12" s="1"/>
  <c r="CZ39" i="12"/>
  <c r="DA39" i="12" s="1"/>
  <c r="CX39" i="12"/>
  <c r="CY39" i="12" s="1"/>
  <c r="CV39" i="12"/>
  <c r="CW39" i="12" s="1"/>
  <c r="CT39" i="12"/>
  <c r="CU39" i="12" s="1"/>
  <c r="CR39" i="12"/>
  <c r="CS39" i="12" s="1"/>
  <c r="CP39" i="12"/>
  <c r="CQ39" i="12" s="1"/>
  <c r="CN39" i="12"/>
  <c r="CO39" i="12" s="1"/>
  <c r="ET38" i="12"/>
  <c r="ER38" i="12"/>
  <c r="EP38" i="12"/>
  <c r="EN38" i="12"/>
  <c r="EL38" i="12"/>
  <c r="EJ38" i="12"/>
  <c r="EH38" i="12"/>
  <c r="EF38" i="12"/>
  <c r="ED38" i="12"/>
  <c r="EB38" i="12"/>
  <c r="DZ38" i="12"/>
  <c r="DX38" i="12"/>
  <c r="DV38" i="12"/>
  <c r="DT38" i="12"/>
  <c r="DR38" i="12"/>
  <c r="DP38" i="12"/>
  <c r="DN38" i="12"/>
  <c r="DL38" i="12"/>
  <c r="DJ38" i="12"/>
  <c r="DH38" i="12"/>
  <c r="DD38" i="12"/>
  <c r="DB38" i="12"/>
  <c r="CZ38" i="12"/>
  <c r="CX38" i="12"/>
  <c r="CV38" i="12"/>
  <c r="CT38" i="12"/>
  <c r="CR38" i="12"/>
  <c r="CP38" i="12"/>
  <c r="CN38" i="12"/>
  <c r="ET37" i="12"/>
  <c r="ER37" i="12"/>
  <c r="EP37" i="12"/>
  <c r="EN37" i="12"/>
  <c r="EL37" i="12"/>
  <c r="EJ37" i="12"/>
  <c r="EH37" i="12"/>
  <c r="EF37" i="12"/>
  <c r="ED37" i="12"/>
  <c r="EB37" i="12"/>
  <c r="DZ37" i="12"/>
  <c r="DX37" i="12"/>
  <c r="DV37" i="12"/>
  <c r="DT37" i="12"/>
  <c r="DR37" i="12"/>
  <c r="DP37" i="12"/>
  <c r="DN37" i="12"/>
  <c r="DL37" i="12"/>
  <c r="DJ37" i="12"/>
  <c r="DH37" i="12"/>
  <c r="DD37" i="12"/>
  <c r="DB37" i="12"/>
  <c r="CZ37" i="12"/>
  <c r="CX37" i="12"/>
  <c r="CV37" i="12"/>
  <c r="CT37" i="12"/>
  <c r="CR37" i="12"/>
  <c r="CP37" i="12"/>
  <c r="CN37" i="12"/>
  <c r="ET36" i="12"/>
  <c r="EU36" i="12" s="1"/>
  <c r="ER36" i="12"/>
  <c r="ES36" i="12" s="1"/>
  <c r="EP36" i="12"/>
  <c r="EQ36" i="12" s="1"/>
  <c r="EN36" i="12"/>
  <c r="EO36" i="12" s="1"/>
  <c r="EL36" i="12"/>
  <c r="EM36" i="12" s="1"/>
  <c r="EJ36" i="12"/>
  <c r="EK36" i="12" s="1"/>
  <c r="EH36" i="12"/>
  <c r="EI36" i="12" s="1"/>
  <c r="EF36" i="12"/>
  <c r="EG36" i="12" s="1"/>
  <c r="ED36" i="12"/>
  <c r="EE36" i="12" s="1"/>
  <c r="EB36" i="12"/>
  <c r="EC36" i="12" s="1"/>
  <c r="DZ36" i="12"/>
  <c r="EA36" i="12" s="1"/>
  <c r="DX36" i="12"/>
  <c r="DY36" i="12" s="1"/>
  <c r="DV36" i="12"/>
  <c r="DW36" i="12" s="1"/>
  <c r="DT36" i="12"/>
  <c r="DU36" i="12" s="1"/>
  <c r="DR36" i="12"/>
  <c r="DS36" i="12" s="1"/>
  <c r="DP36" i="12"/>
  <c r="DQ36" i="12" s="1"/>
  <c r="DN36" i="12"/>
  <c r="DO36" i="12" s="1"/>
  <c r="DL36" i="12"/>
  <c r="DM36" i="12" s="1"/>
  <c r="DJ36" i="12"/>
  <c r="DK36" i="12" s="1"/>
  <c r="DH36" i="12"/>
  <c r="DI36" i="12" s="1"/>
  <c r="DD36" i="12"/>
  <c r="DE36" i="12" s="1"/>
  <c r="DB36" i="12"/>
  <c r="DC36" i="12" s="1"/>
  <c r="CZ36" i="12"/>
  <c r="DA36" i="12" s="1"/>
  <c r="CX36" i="12"/>
  <c r="CY36" i="12" s="1"/>
  <c r="CV36" i="12"/>
  <c r="CW36" i="12" s="1"/>
  <c r="CT36" i="12"/>
  <c r="CU36" i="12" s="1"/>
  <c r="CR36" i="12"/>
  <c r="CS36" i="12" s="1"/>
  <c r="CP36" i="12"/>
  <c r="CQ36" i="12" s="1"/>
  <c r="CN36" i="12"/>
  <c r="CO36" i="12" s="1"/>
  <c r="ET34" i="12"/>
  <c r="EU34" i="12" s="1"/>
  <c r="ER34" i="12"/>
  <c r="ES34" i="12" s="1"/>
  <c r="EP34" i="12"/>
  <c r="EQ34" i="12" s="1"/>
  <c r="EN34" i="12"/>
  <c r="EO34" i="12" s="1"/>
  <c r="EL34" i="12"/>
  <c r="EM34" i="12" s="1"/>
  <c r="EJ34" i="12"/>
  <c r="EK34" i="12" s="1"/>
  <c r="EH34" i="12"/>
  <c r="EI34" i="12" s="1"/>
  <c r="EF34" i="12"/>
  <c r="EG34" i="12" s="1"/>
  <c r="ED34" i="12"/>
  <c r="EE34" i="12" s="1"/>
  <c r="EB34" i="12"/>
  <c r="EC34" i="12" s="1"/>
  <c r="DZ34" i="12"/>
  <c r="EA34" i="12" s="1"/>
  <c r="DX34" i="12"/>
  <c r="DY34" i="12" s="1"/>
  <c r="DV34" i="12"/>
  <c r="DW34" i="12" s="1"/>
  <c r="DT34" i="12"/>
  <c r="DU34" i="12" s="1"/>
  <c r="DR34" i="12"/>
  <c r="DS34" i="12" s="1"/>
  <c r="DP34" i="12"/>
  <c r="DQ34" i="12" s="1"/>
  <c r="DN34" i="12"/>
  <c r="DO34" i="12" s="1"/>
  <c r="DL34" i="12"/>
  <c r="DM34" i="12" s="1"/>
  <c r="DJ34" i="12"/>
  <c r="DK34" i="12" s="1"/>
  <c r="DH34" i="12"/>
  <c r="DI34" i="12" s="1"/>
  <c r="DD34" i="12"/>
  <c r="DE34" i="12" s="1"/>
  <c r="DB34" i="12"/>
  <c r="DC34" i="12" s="1"/>
  <c r="CZ34" i="12"/>
  <c r="DA34" i="12" s="1"/>
  <c r="CX34" i="12"/>
  <c r="CY34" i="12" s="1"/>
  <c r="CV34" i="12"/>
  <c r="CW34" i="12" s="1"/>
  <c r="CT34" i="12"/>
  <c r="CU34" i="12" s="1"/>
  <c r="CR34" i="12"/>
  <c r="CS34" i="12" s="1"/>
  <c r="CP34" i="12"/>
  <c r="CQ34" i="12" s="1"/>
  <c r="CN34" i="12"/>
  <c r="CO34" i="12" s="1"/>
  <c r="ET33" i="12"/>
  <c r="EU33" i="12" s="1"/>
  <c r="ER33" i="12"/>
  <c r="ES33" i="12" s="1"/>
  <c r="EP33" i="12"/>
  <c r="EQ33" i="12" s="1"/>
  <c r="EN33" i="12"/>
  <c r="EO33" i="12" s="1"/>
  <c r="EL33" i="12"/>
  <c r="EM33" i="12" s="1"/>
  <c r="EJ33" i="12"/>
  <c r="EK33" i="12" s="1"/>
  <c r="EH33" i="12"/>
  <c r="EI33" i="12" s="1"/>
  <c r="EF33" i="12"/>
  <c r="EG33" i="12" s="1"/>
  <c r="ED33" i="12"/>
  <c r="EE33" i="12" s="1"/>
  <c r="EB33" i="12"/>
  <c r="EC33" i="12" s="1"/>
  <c r="DZ33" i="12"/>
  <c r="EA33" i="12" s="1"/>
  <c r="DX33" i="12"/>
  <c r="DY33" i="12" s="1"/>
  <c r="DV33" i="12"/>
  <c r="DW33" i="12" s="1"/>
  <c r="DT33" i="12"/>
  <c r="DU33" i="12" s="1"/>
  <c r="DR33" i="12"/>
  <c r="DS33" i="12" s="1"/>
  <c r="DP33" i="12"/>
  <c r="DQ33" i="12" s="1"/>
  <c r="DN33" i="12"/>
  <c r="DO33" i="12" s="1"/>
  <c r="DL33" i="12"/>
  <c r="DM33" i="12" s="1"/>
  <c r="DJ33" i="12"/>
  <c r="DK33" i="12" s="1"/>
  <c r="DH33" i="12"/>
  <c r="DI33" i="12" s="1"/>
  <c r="DD33" i="12"/>
  <c r="DE33" i="12" s="1"/>
  <c r="DB33" i="12"/>
  <c r="DC33" i="12" s="1"/>
  <c r="CZ33" i="12"/>
  <c r="DA33" i="12" s="1"/>
  <c r="CX33" i="12"/>
  <c r="CY33" i="12" s="1"/>
  <c r="CV33" i="12"/>
  <c r="CW33" i="12" s="1"/>
  <c r="CT33" i="12"/>
  <c r="CU33" i="12" s="1"/>
  <c r="CR33" i="12"/>
  <c r="CS33" i="12" s="1"/>
  <c r="CP33" i="12"/>
  <c r="CQ33" i="12" s="1"/>
  <c r="CN33" i="12"/>
  <c r="CO33" i="12" s="1"/>
  <c r="ET32" i="12"/>
  <c r="EU32" i="12" s="1"/>
  <c r="ER32" i="12"/>
  <c r="ES32" i="12" s="1"/>
  <c r="EP32" i="12"/>
  <c r="EQ32" i="12" s="1"/>
  <c r="EN32" i="12"/>
  <c r="EO32" i="12" s="1"/>
  <c r="EL32" i="12"/>
  <c r="EM32" i="12" s="1"/>
  <c r="EJ32" i="12"/>
  <c r="EK32" i="12" s="1"/>
  <c r="EH32" i="12"/>
  <c r="EI32" i="12" s="1"/>
  <c r="EF32" i="12"/>
  <c r="EG32" i="12" s="1"/>
  <c r="ED32" i="12"/>
  <c r="EE32" i="12" s="1"/>
  <c r="EB32" i="12"/>
  <c r="EC32" i="12" s="1"/>
  <c r="DZ32" i="12"/>
  <c r="EA32" i="12" s="1"/>
  <c r="DX32" i="12"/>
  <c r="DY32" i="12" s="1"/>
  <c r="DV32" i="12"/>
  <c r="DW32" i="12" s="1"/>
  <c r="DT32" i="12"/>
  <c r="DU32" i="12" s="1"/>
  <c r="DR32" i="12"/>
  <c r="DS32" i="12" s="1"/>
  <c r="DP32" i="12"/>
  <c r="DQ32" i="12" s="1"/>
  <c r="DN32" i="12"/>
  <c r="DO32" i="12" s="1"/>
  <c r="DL32" i="12"/>
  <c r="DM32" i="12" s="1"/>
  <c r="DJ32" i="12"/>
  <c r="DK32" i="12" s="1"/>
  <c r="DH32" i="12"/>
  <c r="DI32" i="12" s="1"/>
  <c r="DD32" i="12"/>
  <c r="DE32" i="12" s="1"/>
  <c r="DB32" i="12"/>
  <c r="DC32" i="12" s="1"/>
  <c r="CZ32" i="12"/>
  <c r="DA32" i="12" s="1"/>
  <c r="CX32" i="12"/>
  <c r="CY32" i="12" s="1"/>
  <c r="CV32" i="12"/>
  <c r="CW32" i="12" s="1"/>
  <c r="CT32" i="12"/>
  <c r="CU32" i="12" s="1"/>
  <c r="CR32" i="12"/>
  <c r="CS32" i="12" s="1"/>
  <c r="CP32" i="12"/>
  <c r="CQ32" i="12" s="1"/>
  <c r="CN32" i="12"/>
  <c r="CO32" i="12" s="1"/>
  <c r="ET31" i="12"/>
  <c r="EU31" i="12" s="1"/>
  <c r="ER31" i="12"/>
  <c r="ES31" i="12" s="1"/>
  <c r="EP31" i="12"/>
  <c r="EQ31" i="12" s="1"/>
  <c r="EN31" i="12"/>
  <c r="EO31" i="12" s="1"/>
  <c r="EL31" i="12"/>
  <c r="EM31" i="12" s="1"/>
  <c r="EJ31" i="12"/>
  <c r="EK31" i="12" s="1"/>
  <c r="EH31" i="12"/>
  <c r="EI31" i="12" s="1"/>
  <c r="EF31" i="12"/>
  <c r="EG31" i="12" s="1"/>
  <c r="ED31" i="12"/>
  <c r="EE31" i="12" s="1"/>
  <c r="EB31" i="12"/>
  <c r="EC31" i="12" s="1"/>
  <c r="DZ31" i="12"/>
  <c r="EA31" i="12" s="1"/>
  <c r="DX31" i="12"/>
  <c r="DY31" i="12" s="1"/>
  <c r="DV31" i="12"/>
  <c r="DW31" i="12" s="1"/>
  <c r="DT31" i="12"/>
  <c r="DU31" i="12" s="1"/>
  <c r="DR31" i="12"/>
  <c r="DS31" i="12" s="1"/>
  <c r="DP31" i="12"/>
  <c r="DQ31" i="12" s="1"/>
  <c r="DN31" i="12"/>
  <c r="DO31" i="12" s="1"/>
  <c r="DL31" i="12"/>
  <c r="DM31" i="12" s="1"/>
  <c r="DJ31" i="12"/>
  <c r="DK31" i="12" s="1"/>
  <c r="DH31" i="12"/>
  <c r="DI31" i="12" s="1"/>
  <c r="DD31" i="12"/>
  <c r="DE31" i="12" s="1"/>
  <c r="DB31" i="12"/>
  <c r="DC31" i="12" s="1"/>
  <c r="CZ31" i="12"/>
  <c r="DA31" i="12" s="1"/>
  <c r="CX31" i="12"/>
  <c r="CY31" i="12" s="1"/>
  <c r="CV31" i="12"/>
  <c r="CW31" i="12" s="1"/>
  <c r="CT31" i="12"/>
  <c r="CU31" i="12" s="1"/>
  <c r="CR31" i="12"/>
  <c r="CS31" i="12" s="1"/>
  <c r="CP31" i="12"/>
  <c r="CQ31" i="12" s="1"/>
  <c r="CN31" i="12"/>
  <c r="CO31" i="12" s="1"/>
  <c r="ET30" i="12"/>
  <c r="ER30" i="12"/>
  <c r="EP30" i="12"/>
  <c r="EN30" i="12"/>
  <c r="EL30" i="12"/>
  <c r="EJ30" i="12"/>
  <c r="EH30" i="12"/>
  <c r="EF30" i="12"/>
  <c r="ED30" i="12"/>
  <c r="EB30" i="12"/>
  <c r="DZ30" i="12"/>
  <c r="DX30" i="12"/>
  <c r="DV30" i="12"/>
  <c r="DT30" i="12"/>
  <c r="DR30" i="12"/>
  <c r="DP30" i="12"/>
  <c r="DN30" i="12"/>
  <c r="DL30" i="12"/>
  <c r="DJ30" i="12"/>
  <c r="DH30" i="12"/>
  <c r="DD30" i="12"/>
  <c r="DB30" i="12"/>
  <c r="CZ30" i="12"/>
  <c r="CX30" i="12"/>
  <c r="CV30" i="12"/>
  <c r="CT30" i="12"/>
  <c r="CR30" i="12"/>
  <c r="CP30" i="12"/>
  <c r="CN30" i="12"/>
  <c r="ET29" i="12"/>
  <c r="ER29" i="12"/>
  <c r="EP29" i="12"/>
  <c r="EN29" i="12"/>
  <c r="EL29" i="12"/>
  <c r="EJ29" i="12"/>
  <c r="EH29" i="12"/>
  <c r="EF29" i="12"/>
  <c r="ED29" i="12"/>
  <c r="EB29" i="12"/>
  <c r="DZ29" i="12"/>
  <c r="DX29" i="12"/>
  <c r="DV29" i="12"/>
  <c r="DT29" i="12"/>
  <c r="DR29" i="12"/>
  <c r="DP29" i="12"/>
  <c r="DN29" i="12"/>
  <c r="DL29" i="12"/>
  <c r="DJ29" i="12"/>
  <c r="DH29" i="12"/>
  <c r="DD29" i="12"/>
  <c r="DB29" i="12"/>
  <c r="CZ29" i="12"/>
  <c r="CX29" i="12"/>
  <c r="CV29" i="12"/>
  <c r="CT29" i="12"/>
  <c r="CR29" i="12"/>
  <c r="CP29" i="12"/>
  <c r="CN29" i="12"/>
  <c r="ET28" i="12"/>
  <c r="ER28" i="12"/>
  <c r="EP28" i="12"/>
  <c r="EN28" i="12"/>
  <c r="EL28" i="12"/>
  <c r="EJ28" i="12"/>
  <c r="EH28" i="12"/>
  <c r="EF28" i="12"/>
  <c r="ED28" i="12"/>
  <c r="EB28" i="12"/>
  <c r="DZ28" i="12"/>
  <c r="DX28" i="12"/>
  <c r="DV28" i="12"/>
  <c r="DT28" i="12"/>
  <c r="DR28" i="12"/>
  <c r="DP28" i="12"/>
  <c r="DN28" i="12"/>
  <c r="DL28" i="12"/>
  <c r="DJ28" i="12"/>
  <c r="DH28" i="12"/>
  <c r="DD28" i="12"/>
  <c r="DB28" i="12"/>
  <c r="CZ28" i="12"/>
  <c r="CX28" i="12"/>
  <c r="CV28" i="12"/>
  <c r="CT28" i="12"/>
  <c r="CR28" i="12"/>
  <c r="CP28" i="12"/>
  <c r="CN28" i="12"/>
  <c r="ET27" i="12"/>
  <c r="ER27" i="12"/>
  <c r="EP27" i="12"/>
  <c r="EN27" i="12"/>
  <c r="EL27" i="12"/>
  <c r="EJ27" i="12"/>
  <c r="EH27" i="12"/>
  <c r="EF27" i="12"/>
  <c r="ED27" i="12"/>
  <c r="EB27" i="12"/>
  <c r="DZ27" i="12"/>
  <c r="DX27" i="12"/>
  <c r="DV27" i="12"/>
  <c r="DT27" i="12"/>
  <c r="DR27" i="12"/>
  <c r="DP27" i="12"/>
  <c r="DN27" i="12"/>
  <c r="DL27" i="12"/>
  <c r="DJ27" i="12"/>
  <c r="DH27" i="12"/>
  <c r="DD27" i="12"/>
  <c r="DB27" i="12"/>
  <c r="CZ27" i="12"/>
  <c r="CX27" i="12"/>
  <c r="CV27" i="12"/>
  <c r="CT27" i="12"/>
  <c r="CR27" i="12"/>
  <c r="CP27" i="12"/>
  <c r="CN27" i="12"/>
  <c r="ET26" i="12"/>
  <c r="ER26" i="12"/>
  <c r="EP26" i="12"/>
  <c r="EN26" i="12"/>
  <c r="EL26" i="12"/>
  <c r="EJ26" i="12"/>
  <c r="EH26" i="12"/>
  <c r="EF26" i="12"/>
  <c r="ED26" i="12"/>
  <c r="EB26" i="12"/>
  <c r="DZ26" i="12"/>
  <c r="DX26" i="12"/>
  <c r="DV26" i="12"/>
  <c r="DT26" i="12"/>
  <c r="DR26" i="12"/>
  <c r="DP26" i="12"/>
  <c r="DN26" i="12"/>
  <c r="DL26" i="12"/>
  <c r="DJ26" i="12"/>
  <c r="DH26" i="12"/>
  <c r="DD26" i="12"/>
  <c r="DB26" i="12"/>
  <c r="CZ26" i="12"/>
  <c r="CX26" i="12"/>
  <c r="CV26" i="12"/>
  <c r="CT26" i="12"/>
  <c r="CR26" i="12"/>
  <c r="CP26" i="12"/>
  <c r="CN26" i="12"/>
  <c r="ET25" i="12"/>
  <c r="EU25" i="12" s="1"/>
  <c r="ER25" i="12"/>
  <c r="ES25" i="12" s="1"/>
  <c r="EP25" i="12"/>
  <c r="EQ25" i="12" s="1"/>
  <c r="EN25" i="12"/>
  <c r="EO25" i="12" s="1"/>
  <c r="EL25" i="12"/>
  <c r="EM25" i="12" s="1"/>
  <c r="EJ25" i="12"/>
  <c r="EK25" i="12" s="1"/>
  <c r="EH25" i="12"/>
  <c r="EI25" i="12" s="1"/>
  <c r="EF25" i="12"/>
  <c r="EG25" i="12" s="1"/>
  <c r="ED25" i="12"/>
  <c r="EE25" i="12" s="1"/>
  <c r="EB25" i="12"/>
  <c r="EC25" i="12" s="1"/>
  <c r="DZ25" i="12"/>
  <c r="EA25" i="12" s="1"/>
  <c r="DX25" i="12"/>
  <c r="DY25" i="12" s="1"/>
  <c r="DV25" i="12"/>
  <c r="DW25" i="12" s="1"/>
  <c r="DT25" i="12"/>
  <c r="DU25" i="12" s="1"/>
  <c r="DR25" i="12"/>
  <c r="DS25" i="12" s="1"/>
  <c r="DP25" i="12"/>
  <c r="DQ25" i="12" s="1"/>
  <c r="DN25" i="12"/>
  <c r="DO25" i="12" s="1"/>
  <c r="DL25" i="12"/>
  <c r="DM25" i="12" s="1"/>
  <c r="DJ25" i="12"/>
  <c r="DK25" i="12" s="1"/>
  <c r="DH25" i="12"/>
  <c r="DI25" i="12" s="1"/>
  <c r="DD25" i="12"/>
  <c r="DE25" i="12" s="1"/>
  <c r="DB25" i="12"/>
  <c r="DC25" i="12" s="1"/>
  <c r="CZ25" i="12"/>
  <c r="DA25" i="12" s="1"/>
  <c r="CX25" i="12"/>
  <c r="CY25" i="12" s="1"/>
  <c r="CV25" i="12"/>
  <c r="CW25" i="12" s="1"/>
  <c r="CT25" i="12"/>
  <c r="CU25" i="12" s="1"/>
  <c r="CR25" i="12"/>
  <c r="CS25" i="12" s="1"/>
  <c r="CP25" i="12"/>
  <c r="CQ25" i="12" s="1"/>
  <c r="CN25" i="12"/>
  <c r="CO25" i="12" s="1"/>
  <c r="ET24" i="12"/>
  <c r="EU24" i="12" s="1"/>
  <c r="ER24" i="12"/>
  <c r="ES24" i="12" s="1"/>
  <c r="EP24" i="12"/>
  <c r="EQ24" i="12" s="1"/>
  <c r="EN24" i="12"/>
  <c r="EO24" i="12" s="1"/>
  <c r="EL24" i="12"/>
  <c r="EM24" i="12" s="1"/>
  <c r="EJ24" i="12"/>
  <c r="EK24" i="12" s="1"/>
  <c r="EH24" i="12"/>
  <c r="EI24" i="12" s="1"/>
  <c r="EF24" i="12"/>
  <c r="EG24" i="12" s="1"/>
  <c r="ED24" i="12"/>
  <c r="EE24" i="12" s="1"/>
  <c r="EB24" i="12"/>
  <c r="EC24" i="12" s="1"/>
  <c r="DZ24" i="12"/>
  <c r="EA24" i="12" s="1"/>
  <c r="DX24" i="12"/>
  <c r="DY24" i="12" s="1"/>
  <c r="DV24" i="12"/>
  <c r="DW24" i="12" s="1"/>
  <c r="DT24" i="12"/>
  <c r="DU24" i="12" s="1"/>
  <c r="DR24" i="12"/>
  <c r="DS24" i="12" s="1"/>
  <c r="DP24" i="12"/>
  <c r="DQ24" i="12" s="1"/>
  <c r="DN24" i="12"/>
  <c r="DO24" i="12" s="1"/>
  <c r="DL24" i="12"/>
  <c r="DM24" i="12" s="1"/>
  <c r="DJ24" i="12"/>
  <c r="DK24" i="12" s="1"/>
  <c r="DH24" i="12"/>
  <c r="DI24" i="12" s="1"/>
  <c r="DD24" i="12"/>
  <c r="DE24" i="12" s="1"/>
  <c r="DB24" i="12"/>
  <c r="DC24" i="12" s="1"/>
  <c r="CZ24" i="12"/>
  <c r="DA24" i="12" s="1"/>
  <c r="CX24" i="12"/>
  <c r="CY24" i="12" s="1"/>
  <c r="CV24" i="12"/>
  <c r="CW24" i="12" s="1"/>
  <c r="CT24" i="12"/>
  <c r="CU24" i="12" s="1"/>
  <c r="CR24" i="12"/>
  <c r="CS24" i="12" s="1"/>
  <c r="CP24" i="12"/>
  <c r="CQ24" i="12" s="1"/>
  <c r="CN24" i="12"/>
  <c r="CO24" i="12" s="1"/>
  <c r="ET23" i="12"/>
  <c r="EU23" i="12" s="1"/>
  <c r="ER23" i="12"/>
  <c r="ES23" i="12" s="1"/>
  <c r="EP23" i="12"/>
  <c r="EQ23" i="12" s="1"/>
  <c r="EN23" i="12"/>
  <c r="EO23" i="12" s="1"/>
  <c r="EL23" i="12"/>
  <c r="EM23" i="12" s="1"/>
  <c r="EJ23" i="12"/>
  <c r="EK23" i="12" s="1"/>
  <c r="EH23" i="12"/>
  <c r="EI23" i="12" s="1"/>
  <c r="EF23" i="12"/>
  <c r="EG23" i="12" s="1"/>
  <c r="ED23" i="12"/>
  <c r="EE23" i="12" s="1"/>
  <c r="EB23" i="12"/>
  <c r="EC23" i="12" s="1"/>
  <c r="DZ23" i="12"/>
  <c r="EA23" i="12" s="1"/>
  <c r="DX23" i="12"/>
  <c r="DY23" i="12" s="1"/>
  <c r="DV23" i="12"/>
  <c r="DW23" i="12" s="1"/>
  <c r="DT23" i="12"/>
  <c r="DU23" i="12" s="1"/>
  <c r="DR23" i="12"/>
  <c r="DS23" i="12" s="1"/>
  <c r="DP23" i="12"/>
  <c r="DQ23" i="12" s="1"/>
  <c r="DN23" i="12"/>
  <c r="DO23" i="12" s="1"/>
  <c r="DL23" i="12"/>
  <c r="DM23" i="12" s="1"/>
  <c r="DJ23" i="12"/>
  <c r="DK23" i="12" s="1"/>
  <c r="DH23" i="12"/>
  <c r="DI23" i="12" s="1"/>
  <c r="DD23" i="12"/>
  <c r="DE23" i="12" s="1"/>
  <c r="DB23" i="12"/>
  <c r="DC23" i="12" s="1"/>
  <c r="CZ23" i="12"/>
  <c r="DA23" i="12" s="1"/>
  <c r="CX23" i="12"/>
  <c r="CY23" i="12" s="1"/>
  <c r="CV23" i="12"/>
  <c r="CW23" i="12" s="1"/>
  <c r="CT23" i="12"/>
  <c r="CU23" i="12" s="1"/>
  <c r="CR23" i="12"/>
  <c r="CS23" i="12" s="1"/>
  <c r="CP23" i="12"/>
  <c r="CQ23" i="12" s="1"/>
  <c r="CN23" i="12"/>
  <c r="CO23" i="12" s="1"/>
  <c r="ET22" i="12"/>
  <c r="EU22" i="12" s="1"/>
  <c r="ER22" i="12"/>
  <c r="ES22" i="12" s="1"/>
  <c r="EP22" i="12"/>
  <c r="EQ22" i="12" s="1"/>
  <c r="EN22" i="12"/>
  <c r="EO22" i="12" s="1"/>
  <c r="EL22" i="12"/>
  <c r="EM22" i="12" s="1"/>
  <c r="EJ22" i="12"/>
  <c r="EK22" i="12" s="1"/>
  <c r="EH22" i="12"/>
  <c r="EI22" i="12" s="1"/>
  <c r="EF22" i="12"/>
  <c r="EG22" i="12" s="1"/>
  <c r="ED22" i="12"/>
  <c r="EE22" i="12" s="1"/>
  <c r="EB22" i="12"/>
  <c r="EC22" i="12" s="1"/>
  <c r="DZ22" i="12"/>
  <c r="EA22" i="12" s="1"/>
  <c r="DX22" i="12"/>
  <c r="DY22" i="12" s="1"/>
  <c r="DV22" i="12"/>
  <c r="DW22" i="12" s="1"/>
  <c r="DT22" i="12"/>
  <c r="DU22" i="12" s="1"/>
  <c r="DR22" i="12"/>
  <c r="DS22" i="12" s="1"/>
  <c r="DP22" i="12"/>
  <c r="DQ22" i="12" s="1"/>
  <c r="DN22" i="12"/>
  <c r="DO22" i="12" s="1"/>
  <c r="DL22" i="12"/>
  <c r="DM22" i="12" s="1"/>
  <c r="DJ22" i="12"/>
  <c r="DK22" i="12" s="1"/>
  <c r="DH22" i="12"/>
  <c r="DI22" i="12" s="1"/>
  <c r="DD22" i="12"/>
  <c r="DE22" i="12" s="1"/>
  <c r="DB22" i="12"/>
  <c r="DC22" i="12" s="1"/>
  <c r="CZ22" i="12"/>
  <c r="DA22" i="12" s="1"/>
  <c r="CX22" i="12"/>
  <c r="CY22" i="12" s="1"/>
  <c r="CV22" i="12"/>
  <c r="CW22" i="12" s="1"/>
  <c r="CT22" i="12"/>
  <c r="CU22" i="12" s="1"/>
  <c r="CR22" i="12"/>
  <c r="CS22" i="12" s="1"/>
  <c r="CP22" i="12"/>
  <c r="CQ22" i="12" s="1"/>
  <c r="CN22" i="12"/>
  <c r="CO22" i="12" s="1"/>
  <c r="ET21" i="12"/>
  <c r="ER21" i="12"/>
  <c r="EP21" i="12"/>
  <c r="EN21" i="12"/>
  <c r="EL21" i="12"/>
  <c r="EJ21" i="12"/>
  <c r="EH21" i="12"/>
  <c r="EF21" i="12"/>
  <c r="ED21" i="12"/>
  <c r="EB21" i="12"/>
  <c r="DZ21" i="12"/>
  <c r="DX21" i="12"/>
  <c r="DV21" i="12"/>
  <c r="DT21" i="12"/>
  <c r="DR21" i="12"/>
  <c r="DP21" i="12"/>
  <c r="DN21" i="12"/>
  <c r="DL21" i="12"/>
  <c r="DJ21" i="12"/>
  <c r="DH21" i="12"/>
  <c r="DD21" i="12"/>
  <c r="DB21" i="12"/>
  <c r="CZ21" i="12"/>
  <c r="CX21" i="12"/>
  <c r="CV21" i="12"/>
  <c r="CT21" i="12"/>
  <c r="CR21" i="12"/>
  <c r="CP21" i="12"/>
  <c r="CN21" i="12"/>
  <c r="ET20" i="12"/>
  <c r="ER20" i="12"/>
  <c r="EP20" i="12"/>
  <c r="EN20" i="12"/>
  <c r="EL20" i="12"/>
  <c r="EJ20" i="12"/>
  <c r="EH20" i="12"/>
  <c r="EF20" i="12"/>
  <c r="ED20" i="12"/>
  <c r="EB20" i="12"/>
  <c r="DZ20" i="12"/>
  <c r="DX20" i="12"/>
  <c r="DV20" i="12"/>
  <c r="DT20" i="12"/>
  <c r="DR20" i="12"/>
  <c r="DP20" i="12"/>
  <c r="DN20" i="12"/>
  <c r="DL20" i="12"/>
  <c r="DJ20" i="12"/>
  <c r="DH20" i="12"/>
  <c r="DD20" i="12"/>
  <c r="DB20" i="12"/>
  <c r="CZ20" i="12"/>
  <c r="CX20" i="12"/>
  <c r="CV20" i="12"/>
  <c r="CT20" i="12"/>
  <c r="CR20" i="12"/>
  <c r="CP20" i="12"/>
  <c r="CN20" i="12"/>
  <c r="ET18" i="12"/>
  <c r="EU18" i="12" s="1"/>
  <c r="ER18" i="12"/>
  <c r="ES18" i="12" s="1"/>
  <c r="EP18" i="12"/>
  <c r="EQ18" i="12" s="1"/>
  <c r="EN18" i="12"/>
  <c r="EO18" i="12" s="1"/>
  <c r="EL18" i="12"/>
  <c r="EM18" i="12" s="1"/>
  <c r="EJ18" i="12"/>
  <c r="EK18" i="12" s="1"/>
  <c r="EH18" i="12"/>
  <c r="EI18" i="12" s="1"/>
  <c r="EF18" i="12"/>
  <c r="EG18" i="12" s="1"/>
  <c r="ED18" i="12"/>
  <c r="EE18" i="12" s="1"/>
  <c r="EB18" i="12"/>
  <c r="EC18" i="12" s="1"/>
  <c r="DZ18" i="12"/>
  <c r="EA18" i="12" s="1"/>
  <c r="DX18" i="12"/>
  <c r="DY18" i="12" s="1"/>
  <c r="DV18" i="12"/>
  <c r="DW18" i="12" s="1"/>
  <c r="DT18" i="12"/>
  <c r="DU18" i="12" s="1"/>
  <c r="DR18" i="12"/>
  <c r="DS18" i="12" s="1"/>
  <c r="DP18" i="12"/>
  <c r="DQ18" i="12" s="1"/>
  <c r="DN18" i="12"/>
  <c r="DO18" i="12" s="1"/>
  <c r="DL18" i="12"/>
  <c r="DM18" i="12" s="1"/>
  <c r="DJ18" i="12"/>
  <c r="DK18" i="12" s="1"/>
  <c r="DH18" i="12"/>
  <c r="DI18" i="12" s="1"/>
  <c r="DD18" i="12"/>
  <c r="DE18" i="12" s="1"/>
  <c r="DB18" i="12"/>
  <c r="DC18" i="12" s="1"/>
  <c r="CZ18" i="12"/>
  <c r="DA18" i="12" s="1"/>
  <c r="CX18" i="12"/>
  <c r="CY18" i="12" s="1"/>
  <c r="CV18" i="12"/>
  <c r="CW18" i="12" s="1"/>
  <c r="CT18" i="12"/>
  <c r="CU18" i="12" s="1"/>
  <c r="CR18" i="12"/>
  <c r="CS18" i="12" s="1"/>
  <c r="CP18" i="12"/>
  <c r="CQ18" i="12" s="1"/>
  <c r="CN18" i="12"/>
  <c r="CO18" i="12" s="1"/>
  <c r="ET16" i="12"/>
  <c r="ER16" i="12"/>
  <c r="EP16" i="12"/>
  <c r="EN16" i="12"/>
  <c r="EL16" i="12"/>
  <c r="EJ16" i="12"/>
  <c r="EH16" i="12"/>
  <c r="EF16" i="12"/>
  <c r="ED16" i="12"/>
  <c r="EB16" i="12"/>
  <c r="DZ16" i="12"/>
  <c r="DX16" i="12"/>
  <c r="DV16" i="12"/>
  <c r="DT16" i="12"/>
  <c r="DR16" i="12"/>
  <c r="DP16" i="12"/>
  <c r="DN16" i="12"/>
  <c r="DL16" i="12"/>
  <c r="DJ16" i="12"/>
  <c r="DH16" i="12"/>
  <c r="DD16" i="12"/>
  <c r="DB16" i="12"/>
  <c r="CZ16" i="12"/>
  <c r="CX16" i="12"/>
  <c r="CV16" i="12"/>
  <c r="CT16" i="12"/>
  <c r="CR16" i="12"/>
  <c r="CP16" i="12"/>
  <c r="CN16" i="12"/>
  <c r="ET15" i="12"/>
  <c r="ER15" i="12"/>
  <c r="EP15" i="12"/>
  <c r="EN15" i="12"/>
  <c r="EL15" i="12"/>
  <c r="EJ15" i="12"/>
  <c r="EH15" i="12"/>
  <c r="EF15" i="12"/>
  <c r="ED15" i="12"/>
  <c r="EB15" i="12"/>
  <c r="DZ15" i="12"/>
  <c r="DX15" i="12"/>
  <c r="DV15" i="12"/>
  <c r="DT15" i="12"/>
  <c r="DR15" i="12"/>
  <c r="DP15" i="12"/>
  <c r="DN15" i="12"/>
  <c r="DL15" i="12"/>
  <c r="DJ15" i="12"/>
  <c r="DH15" i="12"/>
  <c r="DD15" i="12"/>
  <c r="DB15" i="12"/>
  <c r="CZ15" i="12"/>
  <c r="CX15" i="12"/>
  <c r="CV15" i="12"/>
  <c r="CT15" i="12"/>
  <c r="CR15" i="12"/>
  <c r="CP15" i="12"/>
  <c r="CN15" i="12"/>
  <c r="ET14" i="12"/>
  <c r="ER14" i="12"/>
  <c r="EP14" i="12"/>
  <c r="EN14" i="12"/>
  <c r="EL14" i="12"/>
  <c r="EJ14" i="12"/>
  <c r="EH14" i="12"/>
  <c r="EF14" i="12"/>
  <c r="ED14" i="12"/>
  <c r="EB14" i="12"/>
  <c r="DZ14" i="12"/>
  <c r="DX14" i="12"/>
  <c r="DV14" i="12"/>
  <c r="DT14" i="12"/>
  <c r="DR14" i="12"/>
  <c r="DP14" i="12"/>
  <c r="DN14" i="12"/>
  <c r="DL14" i="12"/>
  <c r="DJ14" i="12"/>
  <c r="DH14" i="12"/>
  <c r="DD14" i="12"/>
  <c r="DB14" i="12"/>
  <c r="CZ14" i="12"/>
  <c r="CX14" i="12"/>
  <c r="CV14" i="12"/>
  <c r="CT14" i="12"/>
  <c r="CR14" i="12"/>
  <c r="CP14" i="12"/>
  <c r="CN14" i="12"/>
  <c r="ET13" i="12"/>
  <c r="ER13" i="12"/>
  <c r="EP13" i="12"/>
  <c r="EN13" i="12"/>
  <c r="EL13" i="12"/>
  <c r="EJ13" i="12"/>
  <c r="EH13" i="12"/>
  <c r="EF13" i="12"/>
  <c r="ED13" i="12"/>
  <c r="EB13" i="12"/>
  <c r="DZ13" i="12"/>
  <c r="DX13" i="12"/>
  <c r="DV13" i="12"/>
  <c r="DT13" i="12"/>
  <c r="DR13" i="12"/>
  <c r="DP13" i="12"/>
  <c r="DN13" i="12"/>
  <c r="DL13" i="12"/>
  <c r="DJ13" i="12"/>
  <c r="DH13" i="12"/>
  <c r="DD13" i="12"/>
  <c r="DB13" i="12"/>
  <c r="CZ13" i="12"/>
  <c r="CX13" i="12"/>
  <c r="CV13" i="12"/>
  <c r="CT13" i="12"/>
  <c r="CR13" i="12"/>
  <c r="CP13" i="12"/>
  <c r="CN13" i="12"/>
  <c r="ET12" i="12"/>
  <c r="ER12" i="12"/>
  <c r="EP12" i="12"/>
  <c r="EN12" i="12"/>
  <c r="EL12" i="12"/>
  <c r="EJ12" i="12"/>
  <c r="EH12" i="12"/>
  <c r="EF12" i="12"/>
  <c r="ED12" i="12"/>
  <c r="EB12" i="12"/>
  <c r="DZ12" i="12"/>
  <c r="DX12" i="12"/>
  <c r="DV12" i="12"/>
  <c r="DT12" i="12"/>
  <c r="DR12" i="12"/>
  <c r="DP12" i="12"/>
  <c r="DN12" i="12"/>
  <c r="DL12" i="12"/>
  <c r="DJ12" i="12"/>
  <c r="DH12" i="12"/>
  <c r="DD12" i="12"/>
  <c r="DB12" i="12"/>
  <c r="CZ12" i="12"/>
  <c r="CX12" i="12"/>
  <c r="CV12" i="12"/>
  <c r="CT12" i="12"/>
  <c r="CR12" i="12"/>
  <c r="CP12" i="12"/>
  <c r="CN12" i="12"/>
  <c r="ET11" i="12"/>
  <c r="EU11" i="12" s="1"/>
  <c r="ER11" i="12"/>
  <c r="ES11" i="12" s="1"/>
  <c r="EP11" i="12"/>
  <c r="EQ11" i="12" s="1"/>
  <c r="EN11" i="12"/>
  <c r="EO11" i="12" s="1"/>
  <c r="EL11" i="12"/>
  <c r="EM11" i="12" s="1"/>
  <c r="EJ11" i="12"/>
  <c r="EK11" i="12" s="1"/>
  <c r="EH11" i="12"/>
  <c r="EI11" i="12" s="1"/>
  <c r="EF11" i="12"/>
  <c r="EG11" i="12" s="1"/>
  <c r="ED11" i="12"/>
  <c r="EE11" i="12" s="1"/>
  <c r="EB11" i="12"/>
  <c r="EC11" i="12" s="1"/>
  <c r="DZ11" i="12"/>
  <c r="EA11" i="12" s="1"/>
  <c r="DX11" i="12"/>
  <c r="DY11" i="12" s="1"/>
  <c r="DV11" i="12"/>
  <c r="DW11" i="12" s="1"/>
  <c r="DT11" i="12"/>
  <c r="DU11" i="12" s="1"/>
  <c r="DR11" i="12"/>
  <c r="DS11" i="12" s="1"/>
  <c r="DP11" i="12"/>
  <c r="DQ11" i="12" s="1"/>
  <c r="DN11" i="12"/>
  <c r="DO11" i="12" s="1"/>
  <c r="DL11" i="12"/>
  <c r="DM11" i="12" s="1"/>
  <c r="DJ11" i="12"/>
  <c r="DK11" i="12" s="1"/>
  <c r="DH11" i="12"/>
  <c r="DI11" i="12" s="1"/>
  <c r="DD11" i="12"/>
  <c r="DE11" i="12" s="1"/>
  <c r="DB11" i="12"/>
  <c r="DC11" i="12" s="1"/>
  <c r="CZ11" i="12"/>
  <c r="DA11" i="12" s="1"/>
  <c r="CX11" i="12"/>
  <c r="CY11" i="12" s="1"/>
  <c r="CV11" i="12"/>
  <c r="CW11" i="12" s="1"/>
  <c r="CT11" i="12"/>
  <c r="CU11" i="12" s="1"/>
  <c r="CR11" i="12"/>
  <c r="CS11" i="12" s="1"/>
  <c r="CP11" i="12"/>
  <c r="CQ11" i="12" s="1"/>
  <c r="CN11" i="12"/>
  <c r="CO11" i="12" s="1"/>
  <c r="ET10" i="12"/>
  <c r="ER10" i="12"/>
  <c r="EP10" i="12"/>
  <c r="EN10" i="12"/>
  <c r="EL10" i="12"/>
  <c r="EJ10" i="12"/>
  <c r="EH10" i="12"/>
  <c r="EF10" i="12"/>
  <c r="ED10" i="12"/>
  <c r="EB10" i="12"/>
  <c r="DZ10" i="12"/>
  <c r="DX10" i="12"/>
  <c r="DV10" i="12"/>
  <c r="DT10" i="12"/>
  <c r="DR10" i="12"/>
  <c r="DP10" i="12"/>
  <c r="DN10" i="12"/>
  <c r="DL10" i="12"/>
  <c r="DJ10" i="12"/>
  <c r="DH10" i="12"/>
  <c r="DD10" i="12"/>
  <c r="DB10" i="12"/>
  <c r="CZ10" i="12"/>
  <c r="CX10" i="12"/>
  <c r="CV10" i="12"/>
  <c r="CT10" i="12"/>
  <c r="CR10" i="12"/>
  <c r="CP10" i="12"/>
  <c r="CN10" i="12"/>
  <c r="ET8" i="12"/>
  <c r="ER8" i="12"/>
  <c r="EP8" i="12"/>
  <c r="EN8" i="12"/>
  <c r="EL8" i="12"/>
  <c r="EJ8" i="12"/>
  <c r="EH8" i="12"/>
  <c r="EF8" i="12"/>
  <c r="ED8" i="12"/>
  <c r="EB8" i="12"/>
  <c r="DZ8" i="12"/>
  <c r="DX8" i="12"/>
  <c r="DV8" i="12"/>
  <c r="DT8" i="12"/>
  <c r="DR8" i="12"/>
  <c r="DP8" i="12"/>
  <c r="DN8" i="12"/>
  <c r="DL8" i="12"/>
  <c r="DJ8" i="12"/>
  <c r="DH8" i="12"/>
  <c r="DD8" i="12"/>
  <c r="DB8" i="12"/>
  <c r="CZ8" i="12"/>
  <c r="CX8" i="12"/>
  <c r="CV8" i="12"/>
  <c r="CT8" i="12"/>
  <c r="CR8" i="12"/>
  <c r="CP8" i="12"/>
  <c r="CN8" i="12"/>
  <c r="ET6" i="12"/>
  <c r="ER6" i="12"/>
  <c r="EP6" i="12"/>
  <c r="EN6" i="12"/>
  <c r="EL6" i="12"/>
  <c r="EJ6" i="12"/>
  <c r="EH6" i="12"/>
  <c r="EF6" i="12"/>
  <c r="ED6" i="12"/>
  <c r="EB6" i="12"/>
  <c r="DZ6" i="12"/>
  <c r="DX6" i="12"/>
  <c r="DV6" i="12"/>
  <c r="DT6" i="12"/>
  <c r="DR6" i="12"/>
  <c r="DP6" i="12"/>
  <c r="DN6" i="12"/>
  <c r="DL6" i="12"/>
  <c r="DJ6" i="12"/>
  <c r="DH6" i="12"/>
  <c r="DD6" i="12"/>
  <c r="DB6" i="12"/>
  <c r="CZ6" i="12"/>
  <c r="CX6" i="12"/>
  <c r="CV6" i="12"/>
  <c r="CT6" i="12"/>
  <c r="CR6" i="12"/>
  <c r="CP6" i="12"/>
  <c r="CN6" i="12"/>
  <c r="ET5" i="12"/>
  <c r="ER5" i="12"/>
  <c r="EP5" i="12"/>
  <c r="EN5" i="12"/>
  <c r="EL5" i="12"/>
  <c r="EJ5" i="12"/>
  <c r="EH5" i="12"/>
  <c r="EF5" i="12"/>
  <c r="ED5" i="12"/>
  <c r="EB5" i="12"/>
  <c r="DZ5" i="12"/>
  <c r="DX5" i="12"/>
  <c r="DV5" i="12"/>
  <c r="DT5" i="12"/>
  <c r="DR5" i="12"/>
  <c r="DP5" i="12"/>
  <c r="DN5" i="12"/>
  <c r="DL5" i="12"/>
  <c r="DJ5" i="12"/>
  <c r="DH5" i="12"/>
  <c r="DD5" i="12"/>
  <c r="DB5" i="12"/>
  <c r="CZ5" i="12"/>
  <c r="CX5" i="12"/>
  <c r="CV5" i="12"/>
  <c r="CT5" i="12"/>
  <c r="CR5" i="12"/>
  <c r="CP5" i="12"/>
  <c r="CN5" i="12"/>
  <c r="ET4" i="12"/>
  <c r="ER4" i="12"/>
  <c r="EP4" i="12"/>
  <c r="EN4" i="12"/>
  <c r="EL4" i="12"/>
  <c r="EJ4" i="12"/>
  <c r="EH4" i="12"/>
  <c r="EF4" i="12"/>
  <c r="ED4" i="12"/>
  <c r="EB4" i="12"/>
  <c r="DZ4" i="12"/>
  <c r="DX4" i="12"/>
  <c r="DV4" i="12"/>
  <c r="DT4" i="12"/>
  <c r="DR4" i="12"/>
  <c r="DP4" i="12"/>
  <c r="DN4" i="12"/>
  <c r="DL4" i="12"/>
  <c r="DJ4" i="12"/>
  <c r="DH4" i="12"/>
  <c r="DB4" i="12"/>
  <c r="CZ4" i="12"/>
  <c r="CX4" i="12"/>
  <c r="CV4" i="12"/>
  <c r="CT4" i="12"/>
  <c r="CR4" i="12"/>
  <c r="CP4" i="12"/>
  <c r="CN4" i="12"/>
  <c r="F40" i="60"/>
  <c r="B103" i="13" s="1"/>
  <c r="F39" i="60"/>
  <c r="B100" i="13" s="1"/>
  <c r="F38" i="60"/>
  <c r="B97" i="13" s="1"/>
  <c r="F35" i="60"/>
  <c r="B88" i="13" s="1"/>
  <c r="F33" i="60"/>
  <c r="B84" i="13" s="1"/>
  <c r="F32" i="60"/>
  <c r="B81" i="13" s="1"/>
  <c r="F31" i="60"/>
  <c r="B78" i="13" s="1"/>
  <c r="F30" i="60"/>
  <c r="B75" i="13" s="1"/>
  <c r="F24" i="60"/>
  <c r="B57" i="13" s="1"/>
  <c r="F23" i="60"/>
  <c r="B54" i="13" s="1"/>
  <c r="F22" i="60"/>
  <c r="B51" i="13" s="1"/>
  <c r="F21" i="60"/>
  <c r="B48" i="13" s="1"/>
  <c r="F17" i="60"/>
  <c r="B38" i="13" s="1"/>
  <c r="F10" i="60"/>
  <c r="B19" i="13" s="1"/>
  <c r="P102" i="1"/>
  <c r="O102" i="1"/>
  <c r="P101" i="1"/>
  <c r="O101" i="1"/>
  <c r="P100" i="1"/>
  <c r="O100" i="1"/>
  <c r="P99" i="1"/>
  <c r="O99" i="1"/>
  <c r="P98" i="1"/>
  <c r="O98" i="1"/>
  <c r="P97" i="1"/>
  <c r="O97" i="1"/>
  <c r="P96" i="1"/>
  <c r="P95" i="1"/>
  <c r="P92" i="1"/>
  <c r="P91" i="1"/>
  <c r="O91" i="1"/>
  <c r="P90" i="1"/>
  <c r="P89" i="1"/>
  <c r="O89" i="1"/>
  <c r="P88" i="1"/>
  <c r="O88" i="1"/>
  <c r="P87" i="1"/>
  <c r="O87" i="1"/>
  <c r="P86" i="1"/>
  <c r="O86" i="1"/>
  <c r="P85" i="1"/>
  <c r="O85" i="1"/>
  <c r="P84" i="1"/>
  <c r="O84" i="1"/>
  <c r="P83" i="1"/>
  <c r="O83" i="1"/>
  <c r="P82" i="1"/>
  <c r="O82" i="1"/>
  <c r="P81" i="1"/>
  <c r="O81" i="1"/>
  <c r="P80" i="1"/>
  <c r="O80" i="1"/>
  <c r="P79" i="1"/>
  <c r="O79" i="1"/>
  <c r="P78" i="1"/>
  <c r="O78" i="1"/>
  <c r="P77" i="1"/>
  <c r="O77" i="1"/>
  <c r="AF76" i="1"/>
  <c r="AE76" i="1"/>
  <c r="P76" i="1"/>
  <c r="O76" i="1"/>
  <c r="AF75" i="1"/>
  <c r="AE75" i="1"/>
  <c r="P75" i="1"/>
  <c r="O75" i="1"/>
  <c r="AF74" i="1"/>
  <c r="AE74" i="1"/>
  <c r="P74" i="1"/>
  <c r="O74" i="1"/>
  <c r="AF73" i="1"/>
  <c r="AE73" i="1"/>
  <c r="P73" i="1"/>
  <c r="O73" i="1"/>
  <c r="AF72" i="1"/>
  <c r="AE72" i="1"/>
  <c r="P72" i="1"/>
  <c r="O72" i="1"/>
  <c r="AF71" i="1"/>
  <c r="AE71" i="1"/>
  <c r="P71" i="1"/>
  <c r="O71" i="1"/>
  <c r="AF70" i="1"/>
  <c r="AE70" i="1"/>
  <c r="P70" i="1"/>
  <c r="O70" i="1"/>
  <c r="AF69" i="1"/>
  <c r="AE69" i="1"/>
  <c r="P69" i="1"/>
  <c r="O69" i="1"/>
  <c r="AF68" i="1"/>
  <c r="AE68" i="1"/>
  <c r="P68" i="1"/>
  <c r="O68" i="1"/>
  <c r="AF67" i="1"/>
  <c r="AE67" i="1"/>
  <c r="P67" i="1"/>
  <c r="O67" i="1"/>
  <c r="AF66" i="1"/>
  <c r="AE66" i="1"/>
  <c r="P66" i="1"/>
  <c r="O66" i="1"/>
  <c r="AF65" i="1"/>
  <c r="AE65" i="1"/>
  <c r="P65" i="1"/>
  <c r="O65" i="1"/>
  <c r="AF64" i="1"/>
  <c r="AE64" i="1"/>
  <c r="P64" i="1"/>
  <c r="O64" i="1"/>
  <c r="AF63" i="1"/>
  <c r="AE63" i="1"/>
  <c r="P63" i="1"/>
  <c r="O63" i="1"/>
  <c r="AF62" i="1"/>
  <c r="AE62" i="1"/>
  <c r="P62" i="1"/>
  <c r="O62" i="1"/>
  <c r="AF61" i="1"/>
  <c r="AE61" i="1"/>
  <c r="P61" i="1"/>
  <c r="O61" i="1"/>
  <c r="P60" i="1"/>
  <c r="O60" i="1"/>
  <c r="P59" i="1"/>
  <c r="O59" i="1"/>
  <c r="P58" i="1"/>
  <c r="O58" i="1"/>
  <c r="P57" i="1"/>
  <c r="O57" i="1"/>
  <c r="P56" i="1"/>
  <c r="O56" i="1"/>
  <c r="P55" i="1"/>
  <c r="O55" i="1"/>
  <c r="P54" i="1"/>
  <c r="O54" i="1"/>
  <c r="AF53"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B40" i="1"/>
  <c r="P39" i="1"/>
  <c r="O39" i="1"/>
  <c r="B39" i="1"/>
  <c r="P38" i="1"/>
  <c r="O38" i="1"/>
  <c r="P37" i="1"/>
  <c r="O37" i="1"/>
  <c r="B37" i="1"/>
  <c r="P36" i="1"/>
  <c r="O36" i="1"/>
  <c r="B36" i="1"/>
  <c r="P35" i="1"/>
  <c r="O35" i="1"/>
  <c r="B35" i="1"/>
  <c r="P34" i="1"/>
  <c r="O34" i="1"/>
  <c r="B34" i="1"/>
  <c r="P33" i="1"/>
  <c r="O33" i="1"/>
  <c r="B33" i="1"/>
  <c r="AE32" i="1"/>
  <c r="P32" i="1"/>
  <c r="O32" i="1"/>
  <c r="B32" i="1"/>
  <c r="P31" i="1"/>
  <c r="O31" i="1"/>
  <c r="B31" i="1"/>
  <c r="AE30" i="1"/>
  <c r="P30" i="1"/>
  <c r="O30" i="1"/>
  <c r="B30" i="1"/>
  <c r="AE29" i="1"/>
  <c r="P29" i="1"/>
  <c r="O29" i="1"/>
  <c r="B29" i="1"/>
  <c r="AE28" i="1"/>
  <c r="P28" i="1"/>
  <c r="O28" i="1"/>
  <c r="B28" i="1"/>
  <c r="AE27" i="1"/>
  <c r="P27" i="1"/>
  <c r="O27" i="1"/>
  <c r="B27" i="1"/>
  <c r="P26" i="1"/>
  <c r="O26" i="1"/>
  <c r="B26" i="1"/>
  <c r="AE25" i="1"/>
  <c r="P25" i="1"/>
  <c r="O25" i="1"/>
  <c r="B25" i="1"/>
  <c r="AE24" i="1"/>
  <c r="P24" i="1"/>
  <c r="O24" i="1"/>
  <c r="B24" i="1"/>
  <c r="AE23" i="1"/>
  <c r="P23" i="1"/>
  <c r="O23" i="1"/>
  <c r="AE22" i="1"/>
  <c r="P22" i="1"/>
  <c r="O22" i="1"/>
  <c r="B22" i="1"/>
  <c r="AE21" i="1"/>
  <c r="P21" i="1"/>
  <c r="O21" i="1"/>
  <c r="B21" i="1"/>
  <c r="AE20" i="1"/>
  <c r="P20" i="1"/>
  <c r="O20" i="1"/>
  <c r="B20" i="1"/>
  <c r="AE19" i="1"/>
  <c r="P19" i="1"/>
  <c r="O19" i="1"/>
  <c r="B19" i="1"/>
  <c r="AE18" i="1"/>
  <c r="P18" i="1"/>
  <c r="O18" i="1"/>
  <c r="B18" i="1"/>
  <c r="AE17" i="1"/>
  <c r="P17" i="1"/>
  <c r="O17" i="1"/>
  <c r="B17" i="1"/>
  <c r="AE16" i="1"/>
  <c r="P16" i="1"/>
  <c r="O16" i="1"/>
  <c r="B16" i="1"/>
  <c r="AE15" i="1"/>
  <c r="P15" i="1"/>
  <c r="O15" i="1"/>
  <c r="B15" i="1"/>
  <c r="AE14" i="1"/>
  <c r="P14" i="1"/>
  <c r="O14" i="1"/>
  <c r="B14" i="1"/>
  <c r="AE13" i="1"/>
  <c r="P13" i="1"/>
  <c r="O13" i="1"/>
  <c r="B13" i="1"/>
  <c r="AE12" i="1"/>
  <c r="P12" i="1"/>
  <c r="O12" i="1"/>
  <c r="B12" i="1"/>
  <c r="AE11" i="1"/>
  <c r="P11" i="1"/>
  <c r="O11" i="1"/>
  <c r="B11" i="1"/>
  <c r="AE10" i="1"/>
  <c r="AE9" i="1"/>
  <c r="AE8" i="1"/>
  <c r="W8" i="1"/>
  <c r="AE7" i="1"/>
  <c r="AE6" i="1"/>
  <c r="F6" i="1"/>
  <c r="B1" i="12" s="1"/>
  <c r="AE5" i="1"/>
  <c r="W5" i="1"/>
  <c r="F5" i="1"/>
  <c r="B3" i="15" s="1"/>
  <c r="F4" i="1"/>
  <c r="F3" i="1"/>
  <c r="AE2" i="1"/>
  <c r="D27" i="1"/>
  <c r="H27" i="1"/>
  <c r="F27" i="1"/>
  <c r="F26" i="1"/>
  <c r="D26" i="1"/>
  <c r="H26" i="1"/>
  <c r="H25" i="1"/>
  <c r="F25" i="1"/>
  <c r="D25" i="1"/>
  <c r="H22" i="1"/>
  <c r="F22" i="1"/>
  <c r="D22" i="1"/>
  <c r="H18" i="1"/>
  <c r="F18" i="1"/>
  <c r="D18" i="1"/>
  <c r="H33" i="1"/>
  <c r="F33" i="1"/>
  <c r="D33" i="1"/>
  <c r="H32" i="1"/>
  <c r="F32" i="1"/>
  <c r="D32" i="1"/>
  <c r="H20" i="1"/>
  <c r="F20" i="1"/>
  <c r="D20" i="1"/>
  <c r="D16" i="1"/>
  <c r="F16" i="1"/>
  <c r="H16" i="1"/>
  <c r="F24" i="1"/>
  <c r="D24" i="1"/>
  <c r="H24" i="1"/>
  <c r="F23" i="1"/>
  <c r="H23" i="1"/>
  <c r="D23" i="1"/>
  <c r="D37" i="1"/>
  <c r="H37" i="1"/>
  <c r="F37" i="1"/>
  <c r="F29" i="1"/>
  <c r="D29" i="1"/>
  <c r="H29" i="1"/>
  <c r="D17" i="1"/>
  <c r="H17" i="1"/>
  <c r="F17" i="1"/>
  <c r="H21" i="1"/>
  <c r="F21" i="1"/>
  <c r="D21" i="1"/>
  <c r="D35" i="1"/>
  <c r="F35" i="1"/>
  <c r="H35" i="1"/>
  <c r="D36" i="1"/>
  <c r="H36" i="1"/>
  <c r="F36" i="1"/>
  <c r="H15" i="1"/>
  <c r="D15" i="1"/>
  <c r="F15" i="1"/>
  <c r="D31" i="1"/>
  <c r="F31" i="1"/>
  <c r="H31" i="1"/>
  <c r="H28" i="1"/>
  <c r="F28" i="1"/>
  <c r="D28" i="1"/>
  <c r="D30" i="1"/>
  <c r="H13" i="1"/>
  <c r="D13" i="1"/>
  <c r="H30" i="1"/>
  <c r="F13" i="1"/>
  <c r="F30" i="1"/>
  <c r="A4" i="37" a="1"/>
  <c r="H38" i="1"/>
  <c r="D38" i="1"/>
  <c r="F38" i="1"/>
  <c r="F11" i="1"/>
  <c r="DB2" i="12"/>
  <c r="DH2" i="12"/>
  <c r="DZ2" i="12"/>
  <c r="EJ2" i="12"/>
  <c r="DT3" i="13"/>
  <c r="DT2" i="12"/>
  <c r="DO3" i="13"/>
  <c r="DL2" i="12"/>
  <c r="CP2" i="12"/>
  <c r="AO2" i="12"/>
  <c r="F12" i="1"/>
  <c r="AI2" i="12"/>
  <c r="W2" i="12"/>
  <c r="CK2" i="12"/>
  <c r="D34" i="1"/>
  <c r="DU3" i="13"/>
  <c r="DY3" i="13"/>
  <c r="CN2" i="12"/>
  <c r="BJ2" i="12"/>
  <c r="DW3" i="13"/>
  <c r="DF3" i="13"/>
  <c r="F34" i="1"/>
  <c r="DV3" i="13"/>
  <c r="AH18" i="1"/>
  <c r="H2" i="12"/>
  <c r="ER2" i="12"/>
  <c r="CX3" i="13"/>
  <c r="CZ3" i="13"/>
  <c r="H34" i="1"/>
  <c r="DL3" i="13"/>
  <c r="N2" i="12"/>
  <c r="DA3" i="13"/>
  <c r="CR2" i="12"/>
  <c r="DH3" i="13"/>
  <c r="H40" i="1"/>
  <c r="D19" i="1"/>
  <c r="DK3" i="13"/>
  <c r="CU2" i="12"/>
  <c r="DE3" i="13"/>
  <c r="EH2" i="12"/>
  <c r="D12" i="1"/>
  <c r="CW3" i="13"/>
  <c r="H12" i="1"/>
  <c r="H39" i="1"/>
  <c r="DM3" i="13"/>
  <c r="D14" i="1"/>
  <c r="CZ2" i="12"/>
  <c r="CE2" i="12"/>
  <c r="DC3" i="13"/>
  <c r="AL2" i="12"/>
  <c r="E2" i="12"/>
  <c r="F14" i="1"/>
  <c r="DQ3" i="13"/>
  <c r="CV2" i="12"/>
  <c r="ET2" i="12"/>
  <c r="D11" i="1"/>
  <c r="EN2" i="12"/>
  <c r="BS2" i="12"/>
  <c r="F39" i="1"/>
  <c r="CO2" i="12"/>
  <c r="AR2" i="12"/>
  <c r="BG2" i="12"/>
  <c r="DB3" i="13"/>
  <c r="DS3" i="13"/>
  <c r="CT2" i="12"/>
  <c r="B2" i="12"/>
  <c r="DD3" i="13"/>
  <c r="CQ2" i="12"/>
  <c r="H11" i="1"/>
  <c r="ED2" i="12"/>
  <c r="BM2" i="12"/>
  <c r="BD2" i="12"/>
  <c r="DR3" i="13"/>
  <c r="AX2" i="12"/>
  <c r="EB2" i="12"/>
  <c r="H14" i="1"/>
  <c r="DN2" i="12"/>
  <c r="CX2" i="12"/>
  <c r="F19" i="1"/>
  <c r="BA2" i="12"/>
  <c r="EP2" i="12"/>
  <c r="DZ3" i="13"/>
  <c r="CY3" i="13"/>
  <c r="BY2" i="12"/>
  <c r="T2" i="12"/>
  <c r="DI3" i="13"/>
  <c r="DX2" i="12"/>
  <c r="AF2" i="12"/>
  <c r="AM18" i="1"/>
  <c r="BV2" i="12"/>
  <c r="Q2" i="12"/>
  <c r="CH2" i="12"/>
  <c r="DR2" i="12"/>
  <c r="DJ2" i="12"/>
  <c r="Z2" i="12"/>
  <c r="CB2" i="12"/>
  <c r="DJ3" i="13"/>
  <c r="DN3" i="13"/>
  <c r="K2" i="12"/>
  <c r="D39" i="1"/>
  <c r="DP3" i="13"/>
  <c r="AC2" i="12"/>
  <c r="DV2" i="12"/>
  <c r="F40" i="1"/>
  <c r="EL2" i="12"/>
  <c r="CS2" i="12"/>
  <c r="BP2" i="12"/>
  <c r="D40" i="1"/>
  <c r="DD2" i="12"/>
  <c r="AU2" i="12"/>
  <c r="DP2" i="12"/>
  <c r="H19" i="1"/>
  <c r="DX3" i="13"/>
  <c r="EF2" i="12"/>
  <c r="AE26" i="1" l="1"/>
  <c r="AE31" i="1"/>
  <c r="AG3" i="14"/>
  <c r="F3" i="14"/>
  <c r="D17" i="111"/>
  <c r="E17" i="111"/>
  <c r="G19" i="107"/>
  <c r="G24" i="107" s="1"/>
  <c r="D24" i="107"/>
  <c r="N30" i="103"/>
  <c r="Q30" i="103"/>
  <c r="F15" i="97"/>
  <c r="E15" i="97"/>
  <c r="O40" i="103"/>
  <c r="R40" i="103"/>
  <c r="J26" i="82"/>
  <c r="F17" i="92"/>
  <c r="H26" i="82"/>
  <c r="F25" i="112"/>
  <c r="Q27" i="103"/>
  <c r="E9" i="112"/>
  <c r="E55" i="112" s="1"/>
  <c r="C22" i="82" s="1"/>
  <c r="K27" i="103"/>
  <c r="F20" i="112"/>
  <c r="F9" i="112"/>
  <c r="F55" i="112" s="1"/>
  <c r="D22" i="82" s="1"/>
  <c r="P29" i="103"/>
  <c r="F15" i="92"/>
  <c r="E16" i="93"/>
  <c r="S29" i="103"/>
  <c r="E20" i="111"/>
  <c r="F14" i="89"/>
  <c r="D25" i="82"/>
  <c r="L26" i="82"/>
  <c r="EV25" i="12"/>
  <c r="EX25" i="12"/>
  <c r="EW25" i="12"/>
  <c r="EX18" i="12"/>
  <c r="EW18" i="12"/>
  <c r="EV18" i="12"/>
  <c r="EX36" i="12"/>
  <c r="EW36" i="12"/>
  <c r="EV36" i="12"/>
  <c r="EW24" i="12"/>
  <c r="EV24" i="12"/>
  <c r="EX24" i="12"/>
  <c r="EX41" i="12"/>
  <c r="EW41" i="12"/>
  <c r="EV41" i="12"/>
  <c r="EV23" i="12"/>
  <c r="EX23" i="12"/>
  <c r="EW23" i="12"/>
  <c r="EV32" i="12"/>
  <c r="EX32" i="12"/>
  <c r="EW32" i="12"/>
  <c r="EX31" i="12"/>
  <c r="EW31" i="12"/>
  <c r="EV31" i="12"/>
  <c r="EX34" i="12"/>
  <c r="EW34" i="12"/>
  <c r="EV34" i="12"/>
  <c r="EX33" i="12"/>
  <c r="EW33" i="12"/>
  <c r="EV33" i="12"/>
  <c r="EW11" i="12"/>
  <c r="EV11" i="12"/>
  <c r="EX11" i="12"/>
  <c r="EV40" i="12"/>
  <c r="EX40" i="12"/>
  <c r="EW40" i="12"/>
  <c r="EX22" i="12"/>
  <c r="EW22" i="12"/>
  <c r="EV22" i="12"/>
  <c r="EW39" i="12"/>
  <c r="EX39" i="12"/>
  <c r="EV39" i="12"/>
  <c r="S27" i="103"/>
  <c r="P27" i="103"/>
  <c r="M27" i="103"/>
  <c r="E16" i="112"/>
  <c r="F16" i="112"/>
  <c r="E5" i="97"/>
  <c r="D27" i="81"/>
  <c r="D28" i="81" s="1"/>
  <c r="F14" i="93"/>
  <c r="D21" i="111"/>
  <c r="E18" i="92"/>
  <c r="F18" i="92"/>
  <c r="G18" i="94"/>
  <c r="G24" i="94" s="1"/>
  <c r="F18" i="94"/>
  <c r="F24" i="94" s="1"/>
  <c r="Q19" i="103"/>
  <c r="R27" i="103"/>
  <c r="O27" i="103"/>
  <c r="L27" i="103"/>
  <c r="E16" i="88"/>
  <c r="F19" i="89"/>
  <c r="E19" i="89"/>
  <c r="S39" i="103"/>
  <c r="P39" i="103"/>
  <c r="F22" i="112"/>
  <c r="E22" i="112"/>
  <c r="F6" i="89"/>
  <c r="D25" i="89"/>
  <c r="F21" i="110"/>
  <c r="E21" i="110"/>
  <c r="F13" i="110"/>
  <c r="E13" i="110"/>
  <c r="F47" i="111"/>
  <c r="E47" i="111"/>
  <c r="F23" i="112"/>
  <c r="E23" i="112"/>
  <c r="O28" i="103"/>
  <c r="R28" i="103"/>
  <c r="L28" i="103"/>
  <c r="K19" i="103"/>
  <c r="E13" i="97"/>
  <c r="D20" i="90"/>
  <c r="D26" i="90" s="1"/>
  <c r="F18" i="90"/>
  <c r="F24" i="90" s="1"/>
  <c r="G18" i="90"/>
  <c r="G24" i="90" s="1"/>
  <c r="F18" i="89"/>
  <c r="D20" i="89"/>
  <c r="D26" i="89" s="1"/>
  <c r="D21" i="89"/>
  <c r="G21" i="89" s="1"/>
  <c r="G27" i="89" s="1"/>
  <c r="K43" i="82" s="1"/>
  <c r="E18" i="89"/>
  <c r="E6" i="89"/>
  <c r="R35" i="103"/>
  <c r="O35" i="103"/>
  <c r="F21" i="112"/>
  <c r="E21" i="112"/>
  <c r="L17" i="103"/>
  <c r="R17" i="103"/>
  <c r="O17" i="103"/>
  <c r="D19" i="101"/>
  <c r="D25" i="101" s="1"/>
  <c r="E22" i="87"/>
  <c r="D22" i="87"/>
  <c r="F19" i="91"/>
  <c r="E19" i="91"/>
  <c r="D21" i="87"/>
  <c r="E21" i="87"/>
  <c r="E55" i="87" s="1"/>
  <c r="P40" i="103"/>
  <c r="S40" i="103"/>
  <c r="K26" i="82"/>
  <c r="F2" i="1"/>
  <c r="C29" i="82"/>
  <c r="E18" i="112"/>
  <c r="D22" i="99"/>
  <c r="F16" i="99"/>
  <c r="F22" i="99" s="1"/>
  <c r="E18" i="102"/>
  <c r="D11" i="105"/>
  <c r="E11" i="105" s="1"/>
  <c r="D18" i="99"/>
  <c r="D24" i="99" s="1"/>
  <c r="D20" i="91"/>
  <c r="D21" i="91" s="1"/>
  <c r="F21" i="91" s="1"/>
  <c r="F27" i="91" s="1"/>
  <c r="E31" i="110"/>
  <c r="D26" i="82"/>
  <c r="F27" i="110"/>
  <c r="C26" i="82"/>
  <c r="E27" i="110"/>
  <c r="N35" i="103"/>
  <c r="E19" i="101"/>
  <c r="E25" i="101" s="1"/>
  <c r="E17" i="93"/>
  <c r="E26" i="93" s="1"/>
  <c r="G17" i="99"/>
  <c r="G23" i="99" s="1"/>
  <c r="M25" i="82"/>
  <c r="D26" i="92"/>
  <c r="G26" i="92" s="1"/>
  <c r="G32" i="92" s="1"/>
  <c r="D19" i="88"/>
  <c r="D25" i="88" s="1"/>
  <c r="E8" i="93"/>
  <c r="N25" i="82"/>
  <c r="N52" i="82" s="1"/>
  <c r="E14" i="91"/>
  <c r="F14" i="91"/>
  <c r="E24" i="102"/>
  <c r="E25" i="82"/>
  <c r="E52" i="82" s="1"/>
  <c r="S42" i="103"/>
  <c r="J60" i="103" s="1"/>
  <c r="L25" i="82"/>
  <c r="D19" i="97"/>
  <c r="D25" i="97" s="1"/>
  <c r="E17" i="88"/>
  <c r="N22" i="103"/>
  <c r="D38" i="87"/>
  <c r="D20" i="88"/>
  <c r="G20" i="88" s="1"/>
  <c r="G26" i="88" s="1"/>
  <c r="F16" i="97"/>
  <c r="D46" i="102"/>
  <c r="E18" i="109"/>
  <c r="G17" i="97"/>
  <c r="E6" i="91"/>
  <c r="E25" i="91" s="1"/>
  <c r="F6" i="91"/>
  <c r="F25" i="91" s="1"/>
  <c r="E18" i="91"/>
  <c r="F18" i="91"/>
  <c r="F15" i="93"/>
  <c r="Q22" i="103"/>
  <c r="D47" i="111"/>
  <c r="F18" i="101"/>
  <c r="F24" i="101" s="1"/>
  <c r="G18" i="101"/>
  <c r="G24" i="101" s="1"/>
  <c r="F19" i="100"/>
  <c r="F25" i="100" s="1"/>
  <c r="D26" i="100"/>
  <c r="F20" i="100"/>
  <c r="F26" i="100" s="1"/>
  <c r="E21" i="100"/>
  <c r="E27" i="100" s="1"/>
  <c r="E28" i="98"/>
  <c r="F8" i="92"/>
  <c r="F30" i="92" s="1"/>
  <c r="E8" i="92"/>
  <c r="E30" i="92" s="1"/>
  <c r="D29" i="82"/>
  <c r="M29" i="82"/>
  <c r="D18" i="97"/>
  <c r="D30" i="92"/>
  <c r="E25" i="100"/>
  <c r="R30" i="103"/>
  <c r="D21" i="100"/>
  <c r="D27" i="100" s="1"/>
  <c r="F38" i="87"/>
  <c r="D25" i="92"/>
  <c r="D25" i="100"/>
  <c r="D23" i="97"/>
  <c r="F17" i="99"/>
  <c r="F23" i="99" s="1"/>
  <c r="D23" i="99"/>
  <c r="E23" i="107"/>
  <c r="E24" i="90"/>
  <c r="E26" i="95"/>
  <c r="E29" i="98"/>
  <c r="G21" i="100"/>
  <c r="G27" i="100" s="1"/>
  <c r="E28" i="102"/>
  <c r="F39" i="102"/>
  <c r="F20" i="102"/>
  <c r="F19" i="107"/>
  <c r="F24" i="107" s="1"/>
  <c r="F17" i="102"/>
  <c r="G24" i="102"/>
  <c r="D24" i="94"/>
  <c r="E39" i="102"/>
  <c r="E12" i="97"/>
  <c r="G20" i="95"/>
  <c r="G26" i="95" s="1"/>
  <c r="F26" i="95"/>
  <c r="F35" i="112"/>
  <c r="D53" i="112"/>
  <c r="F53" i="112" s="1"/>
  <c r="F57" i="112" s="1"/>
  <c r="J22" i="82" s="1"/>
  <c r="D52" i="112"/>
  <c r="F28" i="102"/>
  <c r="D24" i="88"/>
  <c r="C53" i="87"/>
  <c r="F53" i="87" s="1"/>
  <c r="F57" i="87" s="1"/>
  <c r="G31" i="110"/>
  <c r="I32" i="104"/>
  <c r="Q33" i="103"/>
  <c r="H14" i="103"/>
  <c r="H43" i="103" s="1"/>
  <c r="K28" i="103"/>
  <c r="N28" i="103"/>
  <c r="I14" i="103"/>
  <c r="I43" i="103" s="1"/>
  <c r="N33" i="103"/>
  <c r="D30" i="111"/>
  <c r="E30" i="111"/>
  <c r="E22" i="111"/>
  <c r="D22" i="111"/>
  <c r="F35" i="111"/>
  <c r="E35" i="111"/>
  <c r="D35" i="111"/>
  <c r="F46" i="111"/>
  <c r="E46" i="111"/>
  <c r="D46" i="111"/>
  <c r="F34" i="111"/>
  <c r="E34" i="111"/>
  <c r="D34" i="111"/>
  <c r="E27" i="111"/>
  <c r="D27" i="111"/>
  <c r="F36" i="111"/>
  <c r="E36" i="111"/>
  <c r="D36" i="111"/>
  <c r="D41" i="111"/>
  <c r="F41" i="111"/>
  <c r="E41" i="111"/>
  <c r="E29" i="111"/>
  <c r="D29" i="111"/>
  <c r="E39" i="111"/>
  <c r="D39" i="111"/>
  <c r="C51" i="111"/>
  <c r="E33" i="111"/>
  <c r="D33" i="111"/>
  <c r="F33" i="111"/>
  <c r="E37" i="111"/>
  <c r="D37" i="111"/>
  <c r="F37" i="111"/>
  <c r="E31" i="111"/>
  <c r="D31" i="111"/>
  <c r="C50" i="111"/>
  <c r="F19" i="110"/>
  <c r="E19" i="110"/>
  <c r="E23" i="110"/>
  <c r="F23" i="110"/>
  <c r="F32" i="110"/>
  <c r="E32" i="110"/>
  <c r="G32" i="110"/>
  <c r="F28" i="110"/>
  <c r="E28" i="110"/>
  <c r="G28" i="110"/>
  <c r="F10" i="110"/>
  <c r="E10" i="110"/>
  <c r="D39" i="110"/>
  <c r="G29" i="110"/>
  <c r="F29" i="110"/>
  <c r="E29" i="110"/>
  <c r="G30" i="110"/>
  <c r="E30" i="110"/>
  <c r="F30" i="110"/>
  <c r="G25" i="110"/>
  <c r="F25" i="110"/>
  <c r="E25" i="110"/>
  <c r="G26" i="110"/>
  <c r="F26" i="110"/>
  <c r="E26" i="110"/>
  <c r="F20" i="110"/>
  <c r="E20" i="110"/>
  <c r="F17" i="110"/>
  <c r="E17" i="110"/>
  <c r="D36" i="110"/>
  <c r="D35" i="110"/>
  <c r="F12" i="110"/>
  <c r="E12" i="110"/>
  <c r="F11" i="110"/>
  <c r="E11" i="110"/>
  <c r="F22" i="110"/>
  <c r="E22" i="110"/>
  <c r="F16" i="109"/>
  <c r="E16" i="109"/>
  <c r="E20" i="109"/>
  <c r="F20" i="109"/>
  <c r="F26" i="109"/>
  <c r="E26" i="109"/>
  <c r="F25" i="109"/>
  <c r="E25" i="109"/>
  <c r="E30" i="109"/>
  <c r="F30" i="109"/>
  <c r="F31" i="109"/>
  <c r="E31" i="109"/>
  <c r="F12" i="109"/>
  <c r="E12" i="109"/>
  <c r="E11" i="109"/>
  <c r="F11" i="109"/>
  <c r="F21" i="109"/>
  <c r="E21" i="109"/>
  <c r="E24" i="109"/>
  <c r="F24" i="109"/>
  <c r="F19" i="109"/>
  <c r="E19" i="109"/>
  <c r="F29" i="109"/>
  <c r="E29" i="109"/>
  <c r="F28" i="109"/>
  <c r="E28" i="109"/>
  <c r="F10" i="109"/>
  <c r="E10" i="109"/>
  <c r="F9" i="109"/>
  <c r="E9" i="109"/>
  <c r="D36" i="109"/>
  <c r="F17" i="109"/>
  <c r="E17" i="109"/>
  <c r="F23" i="109"/>
  <c r="E23" i="109"/>
  <c r="D33" i="109"/>
  <c r="D32" i="109"/>
  <c r="D37" i="109" s="1"/>
  <c r="F15" i="109"/>
  <c r="E15" i="109"/>
  <c r="E22" i="108"/>
  <c r="E19" i="108"/>
  <c r="E24" i="108" s="1"/>
  <c r="E21" i="108"/>
  <c r="G18" i="107"/>
  <c r="F18" i="107"/>
  <c r="F23" i="107" s="1"/>
  <c r="D20" i="107"/>
  <c r="D25" i="107" s="1"/>
  <c r="E20" i="107"/>
  <c r="E25" i="107" s="1"/>
  <c r="S18" i="103"/>
  <c r="P18" i="103"/>
  <c r="M18" i="103"/>
  <c r="R8" i="103"/>
  <c r="O8" i="103"/>
  <c r="L8" i="103"/>
  <c r="Q40" i="103"/>
  <c r="N40" i="103"/>
  <c r="L22" i="103"/>
  <c r="R22" i="103"/>
  <c r="O22" i="103"/>
  <c r="O23" i="103"/>
  <c r="L23" i="103"/>
  <c r="R23" i="103"/>
  <c r="K8" i="103"/>
  <c r="Q8" i="103"/>
  <c r="N8" i="103"/>
  <c r="O19" i="103"/>
  <c r="L19" i="103"/>
  <c r="R19" i="103"/>
  <c r="P25" i="103"/>
  <c r="S25" i="103"/>
  <c r="M25" i="103"/>
  <c r="P23" i="103"/>
  <c r="S23" i="103"/>
  <c r="M23" i="103"/>
  <c r="Q41" i="103"/>
  <c r="N41" i="103"/>
  <c r="S21" i="103"/>
  <c r="P21" i="103"/>
  <c r="M21" i="103"/>
  <c r="O42" i="103"/>
  <c r="I54" i="103" s="1"/>
  <c r="R42" i="103"/>
  <c r="J54" i="103" s="1"/>
  <c r="S16" i="103"/>
  <c r="P16" i="103"/>
  <c r="J14" i="103"/>
  <c r="J43" i="103" s="1"/>
  <c r="M16" i="103"/>
  <c r="P17" i="103"/>
  <c r="S17" i="103"/>
  <c r="M17" i="103"/>
  <c r="M34" i="103"/>
  <c r="S34" i="103"/>
  <c r="P34" i="103"/>
  <c r="R20" i="103"/>
  <c r="O20" i="103"/>
  <c r="L20" i="103"/>
  <c r="K18" i="103"/>
  <c r="Q18" i="103"/>
  <c r="N18" i="103"/>
  <c r="R41" i="103"/>
  <c r="O41" i="103"/>
  <c r="P19" i="103"/>
  <c r="M19" i="103"/>
  <c r="S19" i="103"/>
  <c r="R25" i="103"/>
  <c r="O25" i="103"/>
  <c r="L25" i="103"/>
  <c r="N23" i="103"/>
  <c r="K23" i="103"/>
  <c r="Q23" i="103"/>
  <c r="R21" i="103"/>
  <c r="O21" i="103"/>
  <c r="L21" i="103"/>
  <c r="Q21" i="103"/>
  <c r="N21" i="103"/>
  <c r="K21" i="103"/>
  <c r="N42" i="103"/>
  <c r="I48" i="103" s="1"/>
  <c r="Q42" i="103"/>
  <c r="J48" i="103" s="1"/>
  <c r="S41" i="103"/>
  <c r="P41" i="103"/>
  <c r="Q20" i="103"/>
  <c r="K20" i="103"/>
  <c r="N20" i="103"/>
  <c r="Q17" i="103"/>
  <c r="N17" i="103"/>
  <c r="K17" i="103"/>
  <c r="P35" i="103"/>
  <c r="S35" i="103"/>
  <c r="H58" i="103"/>
  <c r="I58" i="103"/>
  <c r="F21" i="102"/>
  <c r="E21" i="102"/>
  <c r="D42" i="102"/>
  <c r="D47" i="102" s="1"/>
  <c r="G30" i="102"/>
  <c r="F30" i="102"/>
  <c r="E30" i="102"/>
  <c r="E46" i="102"/>
  <c r="C23" i="82" s="1"/>
  <c r="F37" i="102"/>
  <c r="G37" i="102"/>
  <c r="E37" i="102"/>
  <c r="G26" i="102"/>
  <c r="F26" i="102"/>
  <c r="E26" i="102"/>
  <c r="E22" i="102"/>
  <c r="F22" i="102"/>
  <c r="G35" i="102"/>
  <c r="F35" i="102"/>
  <c r="E35" i="102"/>
  <c r="G29" i="102"/>
  <c r="F29" i="102"/>
  <c r="E29" i="102"/>
  <c r="G25" i="102"/>
  <c r="F25" i="102"/>
  <c r="E25" i="102"/>
  <c r="F19" i="102"/>
  <c r="E19" i="102"/>
  <c r="F31" i="102"/>
  <c r="E31" i="102"/>
  <c r="G31" i="102"/>
  <c r="E27" i="102"/>
  <c r="G27" i="102"/>
  <c r="F27" i="102"/>
  <c r="D43" i="102"/>
  <c r="E23" i="101"/>
  <c r="F17" i="101"/>
  <c r="F23" i="101" s="1"/>
  <c r="G17" i="101"/>
  <c r="D23" i="101"/>
  <c r="E21" i="99"/>
  <c r="E18" i="99"/>
  <c r="E24" i="99" s="1"/>
  <c r="G24" i="98"/>
  <c r="G30" i="98" s="1"/>
  <c r="F24" i="98"/>
  <c r="F30" i="98" s="1"/>
  <c r="D30" i="98"/>
  <c r="G23" i="98"/>
  <c r="F23" i="98"/>
  <c r="F29" i="98" s="1"/>
  <c r="D25" i="98"/>
  <c r="D31" i="98" s="1"/>
  <c r="E25" i="98"/>
  <c r="E31" i="98" s="1"/>
  <c r="E19" i="96"/>
  <c r="E25" i="96" s="1"/>
  <c r="F19" i="96"/>
  <c r="F25" i="96" s="1"/>
  <c r="D25" i="96"/>
  <c r="F18" i="96"/>
  <c r="E18" i="96"/>
  <c r="E24" i="96" s="1"/>
  <c r="D20" i="96"/>
  <c r="D26" i="96" s="1"/>
  <c r="D27" i="95"/>
  <c r="G21" i="95"/>
  <c r="G27" i="95" s="1"/>
  <c r="F21" i="95"/>
  <c r="F27" i="95" s="1"/>
  <c r="D22" i="95"/>
  <c r="D28" i="95" s="1"/>
  <c r="E22" i="95"/>
  <c r="E28" i="95" s="1"/>
  <c r="E20" i="94"/>
  <c r="E26" i="94" s="1"/>
  <c r="E24" i="94"/>
  <c r="F19" i="94"/>
  <c r="D25" i="94"/>
  <c r="G19" i="94"/>
  <c r="D20" i="94"/>
  <c r="D26" i="94" s="1"/>
  <c r="C21" i="93"/>
  <c r="F20" i="93"/>
  <c r="D20" i="93"/>
  <c r="G20" i="93"/>
  <c r="G21" i="91"/>
  <c r="G27" i="91" s="1"/>
  <c r="E20" i="90"/>
  <c r="E26" i="90" s="1"/>
  <c r="F7" i="88"/>
  <c r="E7" i="88"/>
  <c r="D34" i="87"/>
  <c r="F34" i="87"/>
  <c r="E34" i="87"/>
  <c r="C52" i="87"/>
  <c r="F42" i="87"/>
  <c r="E42" i="87"/>
  <c r="D42" i="87"/>
  <c r="E31" i="87"/>
  <c r="D31" i="87"/>
  <c r="E30" i="87"/>
  <c r="D30" i="87"/>
  <c r="E6" i="86"/>
  <c r="F6" i="86"/>
  <c r="F20" i="86"/>
  <c r="E20" i="86"/>
  <c r="E28" i="86" s="1"/>
  <c r="D23" i="86"/>
  <c r="D22" i="86"/>
  <c r="D28" i="86" s="1"/>
  <c r="G13" i="85"/>
  <c r="F13" i="85"/>
  <c r="D19" i="85"/>
  <c r="D15" i="85"/>
  <c r="D21" i="85" s="1"/>
  <c r="E15" i="85"/>
  <c r="E21" i="85" s="1"/>
  <c r="E19" i="85"/>
  <c r="G14" i="85"/>
  <c r="G20" i="85" s="1"/>
  <c r="F14" i="85"/>
  <c r="F20" i="85" s="1"/>
  <c r="D20" i="85"/>
  <c r="E15" i="84"/>
  <c r="E21" i="84" s="1"/>
  <c r="E19" i="84"/>
  <c r="G13" i="84"/>
  <c r="F13" i="84"/>
  <c r="G14" i="84"/>
  <c r="G20" i="84" s="1"/>
  <c r="F14" i="84"/>
  <c r="F20" i="84" s="1"/>
  <c r="D20" i="84"/>
  <c r="D15" i="84"/>
  <c r="D21" i="84" s="1"/>
  <c r="E7" i="83"/>
  <c r="F7" i="83"/>
  <c r="D20" i="83"/>
  <c r="D17" i="83"/>
  <c r="F16" i="83"/>
  <c r="E16" i="83"/>
  <c r="F19" i="83"/>
  <c r="E19" i="83"/>
  <c r="I52" i="82"/>
  <c r="D21" i="81" s="1"/>
  <c r="E234" i="36" s="1"/>
  <c r="M3" i="14"/>
  <c r="H3" i="45"/>
  <c r="H102" i="45" s="1"/>
  <c r="V3" i="46"/>
  <c r="V91" i="46" s="1"/>
  <c r="E3" i="49"/>
  <c r="E103" i="49" s="1"/>
  <c r="G103" i="49" s="1"/>
  <c r="BN103" i="13" s="1"/>
  <c r="I3" i="57"/>
  <c r="I3" i="69"/>
  <c r="J3" i="80"/>
  <c r="P3" i="29"/>
  <c r="P101" i="29" s="1"/>
  <c r="S101" i="29" s="1"/>
  <c r="AS101" i="13" s="1"/>
  <c r="E3" i="45"/>
  <c r="E102" i="45" s="1"/>
  <c r="J3" i="47"/>
  <c r="V3" i="14"/>
  <c r="P3" i="16"/>
  <c r="P64" i="16" s="1"/>
  <c r="I3" i="17"/>
  <c r="I61" i="17" s="1"/>
  <c r="K61" i="17" s="1"/>
  <c r="T61" i="13" s="1"/>
  <c r="V3" i="18"/>
  <c r="V31" i="18" s="1"/>
  <c r="H3" i="20"/>
  <c r="H55" i="20" s="1"/>
  <c r="K55" i="20" s="1"/>
  <c r="AG55" i="13" s="1"/>
  <c r="M3" i="21"/>
  <c r="M68" i="21" s="1"/>
  <c r="J3" i="49"/>
  <c r="D3" i="51"/>
  <c r="E3" i="52"/>
  <c r="E70" i="52" s="1"/>
  <c r="F3" i="53"/>
  <c r="D3" i="55"/>
  <c r="D85" i="55" s="1"/>
  <c r="G85" i="55" s="1"/>
  <c r="CB85" i="13" s="1"/>
  <c r="DT85" i="13" s="1"/>
  <c r="J3" i="57"/>
  <c r="N3" i="45"/>
  <c r="N33" i="45" s="1"/>
  <c r="Q3" i="29"/>
  <c r="Q70" i="29" s="1"/>
  <c r="S70" i="29" s="1"/>
  <c r="AS70" i="13" s="1"/>
  <c r="E3" i="55"/>
  <c r="E97" i="55" s="1"/>
  <c r="L3" i="67"/>
  <c r="L82" i="67" s="1"/>
  <c r="O82" i="67" s="1"/>
  <c r="CI82" i="13" s="1"/>
  <c r="N3" i="21"/>
  <c r="N69" i="21" s="1"/>
  <c r="H3" i="59"/>
  <c r="H3" i="15"/>
  <c r="Q3" i="16"/>
  <c r="F3" i="17"/>
  <c r="L3" i="19"/>
  <c r="L81" i="19" s="1"/>
  <c r="O81" i="19" s="1"/>
  <c r="AC81" i="13" s="1"/>
  <c r="I3" i="20"/>
  <c r="I104" i="20" s="1"/>
  <c r="K104" i="20" s="1"/>
  <c r="AG104" i="13" s="1"/>
  <c r="L3" i="50"/>
  <c r="L73" i="50" s="1"/>
  <c r="E3" i="51"/>
  <c r="R3" i="52"/>
  <c r="L3" i="54"/>
  <c r="L23" i="54" s="1"/>
  <c r="O23" i="54" s="1"/>
  <c r="CA23" i="13" s="1"/>
  <c r="F3" i="55"/>
  <c r="F20" i="55" s="1"/>
  <c r="M3" i="67"/>
  <c r="M72" i="67" s="1"/>
  <c r="H3" i="70"/>
  <c r="H91" i="70" s="1"/>
  <c r="K91" i="70" s="1"/>
  <c r="CU91" i="13" s="1"/>
  <c r="R3" i="29"/>
  <c r="E3" i="59"/>
  <c r="L3" i="38"/>
  <c r="H3" i="48"/>
  <c r="H54" i="48" s="1"/>
  <c r="K54" i="48" s="1"/>
  <c r="BM54" i="13" s="1"/>
  <c r="H3" i="56"/>
  <c r="H32" i="56" s="1"/>
  <c r="K32" i="56" s="1"/>
  <c r="CD32" i="13" s="1"/>
  <c r="N3" i="67"/>
  <c r="N104" i="67" s="1"/>
  <c r="J3" i="70"/>
  <c r="L3" i="30"/>
  <c r="L21" i="30" s="1"/>
  <c r="I3" i="15"/>
  <c r="N3" i="16"/>
  <c r="N105" i="16" s="1"/>
  <c r="L3" i="18"/>
  <c r="L48" i="18" s="1"/>
  <c r="E3" i="19"/>
  <c r="E24" i="19" s="1"/>
  <c r="E14" i="19" s="1"/>
  <c r="J3" i="20"/>
  <c r="I3" i="48"/>
  <c r="I24" i="48" s="1"/>
  <c r="I14" i="48" s="1"/>
  <c r="K14" i="48" s="1"/>
  <c r="BM14" i="13" s="1"/>
  <c r="M3" i="50"/>
  <c r="M62" i="50" s="1"/>
  <c r="O62" i="50" s="1"/>
  <c r="BR62" i="13" s="1"/>
  <c r="F3" i="51"/>
  <c r="D3" i="53"/>
  <c r="D82" i="53" s="1"/>
  <c r="G82" i="53" s="1"/>
  <c r="BX82" i="13" s="1"/>
  <c r="DR82" i="13" s="1"/>
  <c r="M3" i="54"/>
  <c r="M69" i="54" s="1"/>
  <c r="I3" i="56"/>
  <c r="D3" i="68"/>
  <c r="H101" i="68" s="1"/>
  <c r="K101" i="68" s="1"/>
  <c r="CK101" i="13" s="1"/>
  <c r="M3" i="38"/>
  <c r="I3" i="30"/>
  <c r="I91" i="30" s="1"/>
  <c r="U3" i="46"/>
  <c r="U91" i="46" s="1"/>
  <c r="J3" i="48"/>
  <c r="J3" i="56"/>
  <c r="J61" i="56" s="1"/>
  <c r="Y3" i="68"/>
  <c r="Y100" i="68" s="1"/>
  <c r="H3" i="80"/>
  <c r="F3" i="30"/>
  <c r="F72" i="30" s="1"/>
  <c r="T3" i="46"/>
  <c r="T98" i="46" s="1"/>
  <c r="W98" i="46" s="1"/>
  <c r="BI98" i="13" s="1"/>
  <c r="J3" i="15"/>
  <c r="L3" i="17"/>
  <c r="L56" i="17" s="1"/>
  <c r="O56" i="17" s="1"/>
  <c r="U56" i="13" s="1"/>
  <c r="E3" i="18"/>
  <c r="E80" i="18" s="1"/>
  <c r="V3" i="19"/>
  <c r="V12" i="19" s="1"/>
  <c r="L3" i="21"/>
  <c r="L83" i="21" s="1"/>
  <c r="O83" i="21" s="1"/>
  <c r="AJ83" i="13" s="1"/>
  <c r="N3" i="38"/>
  <c r="H3" i="49"/>
  <c r="H74" i="49" s="1"/>
  <c r="N3" i="50"/>
  <c r="H3" i="52"/>
  <c r="H100" i="52" s="1"/>
  <c r="K100" i="52" s="1"/>
  <c r="BU100" i="13" s="1"/>
  <c r="E3" i="53"/>
  <c r="E103" i="53" s="1"/>
  <c r="G103" i="53" s="1"/>
  <c r="BX103" i="13" s="1"/>
  <c r="DR103" i="13" s="1"/>
  <c r="N3" i="54"/>
  <c r="N72" i="54" s="1"/>
  <c r="H3" i="57"/>
  <c r="Z3" i="68"/>
  <c r="Z25" i="68" s="1"/>
  <c r="AA25" i="68" s="1"/>
  <c r="CO25" i="13" s="1"/>
  <c r="I3" i="80"/>
  <c r="A17" i="37"/>
  <c r="A12" i="37"/>
  <c r="A7" i="37"/>
  <c r="A13" i="37"/>
  <c r="A8" i="37"/>
  <c r="A14" i="37"/>
  <c r="A9" i="37"/>
  <c r="A15" i="37"/>
  <c r="A4" i="37"/>
  <c r="A10" i="37"/>
  <c r="A5" i="37"/>
  <c r="A16" i="37"/>
  <c r="A11" i="37"/>
  <c r="A6" i="37"/>
  <c r="D3" i="70"/>
  <c r="D5" i="70" s="1"/>
  <c r="G5" i="70" s="1"/>
  <c r="CT5" i="13" s="1"/>
  <c r="E3" i="70"/>
  <c r="F3" i="70"/>
  <c r="I3" i="70"/>
  <c r="M3" i="69"/>
  <c r="N3" i="69"/>
  <c r="J3" i="69"/>
  <c r="L3" i="69"/>
  <c r="P3" i="69"/>
  <c r="Q3" i="69"/>
  <c r="R3" i="69"/>
  <c r="D3" i="69"/>
  <c r="E3" i="69"/>
  <c r="F3" i="69"/>
  <c r="H3" i="69"/>
  <c r="F3" i="68"/>
  <c r="F32" i="68" s="1"/>
  <c r="J3" i="68"/>
  <c r="J22" i="68" s="1"/>
  <c r="N3" i="68"/>
  <c r="N32" i="68" s="1"/>
  <c r="R3" i="68"/>
  <c r="R33" i="68" s="1"/>
  <c r="V3" i="68"/>
  <c r="V26" i="68" s="1"/>
  <c r="W26" i="68" s="1"/>
  <c r="CN26" i="13" s="1"/>
  <c r="E3" i="68"/>
  <c r="I95" i="68" s="1"/>
  <c r="K95" i="68" s="1"/>
  <c r="CK95" i="13" s="1"/>
  <c r="I3" i="68"/>
  <c r="M3" i="68"/>
  <c r="M105" i="68" s="1"/>
  <c r="O105" i="68" s="1"/>
  <c r="CL105" i="13" s="1"/>
  <c r="Q3" i="68"/>
  <c r="Q100" i="68" s="1"/>
  <c r="U3" i="68"/>
  <c r="U102" i="68" s="1"/>
  <c r="H3" i="68"/>
  <c r="L3" i="68"/>
  <c r="P3" i="68"/>
  <c r="P101" i="68" s="1"/>
  <c r="T3" i="68"/>
  <c r="T98" i="68" s="1"/>
  <c r="W98" i="68" s="1"/>
  <c r="CN98" i="13" s="1"/>
  <c r="X3" i="68"/>
  <c r="Y103" i="68" s="1"/>
  <c r="AA103" i="68" s="1"/>
  <c r="CO103" i="13" s="1"/>
  <c r="H3" i="67"/>
  <c r="H54" i="67" s="1"/>
  <c r="K54" i="67" s="1"/>
  <c r="CH54" i="13" s="1"/>
  <c r="F3" i="67"/>
  <c r="F61" i="67" s="1"/>
  <c r="J3" i="67"/>
  <c r="J33" i="67" s="1"/>
  <c r="E3" i="67"/>
  <c r="E62" i="67" s="1"/>
  <c r="I3" i="67"/>
  <c r="I105" i="67" s="1"/>
  <c r="D3" i="67"/>
  <c r="D56" i="67" s="1"/>
  <c r="G56" i="67" s="1"/>
  <c r="CG56" i="13" s="1"/>
  <c r="F3" i="57"/>
  <c r="E3" i="57"/>
  <c r="D3" i="57"/>
  <c r="F3" i="56"/>
  <c r="F62" i="56" s="1"/>
  <c r="E3" i="56"/>
  <c r="E38" i="56" s="1"/>
  <c r="G38" i="56" s="1"/>
  <c r="CC38" i="13" s="1"/>
  <c r="D3" i="56"/>
  <c r="D84" i="56" s="1"/>
  <c r="G84" i="56" s="1"/>
  <c r="CC84" i="13" s="1"/>
  <c r="F3" i="54"/>
  <c r="F72" i="54" s="1"/>
  <c r="J3" i="54"/>
  <c r="J48" i="54" s="1"/>
  <c r="E3" i="54"/>
  <c r="M40" i="54" s="1"/>
  <c r="O40" i="54" s="1"/>
  <c r="CA40" i="13" s="1"/>
  <c r="DS40" i="13" s="1"/>
  <c r="I3" i="54"/>
  <c r="I50" i="54" s="1"/>
  <c r="D3" i="54"/>
  <c r="D71" i="54" s="1"/>
  <c r="H3" i="54"/>
  <c r="H81" i="54" s="1"/>
  <c r="K81" i="54" s="1"/>
  <c r="BZ81" i="13" s="1"/>
  <c r="J3" i="52"/>
  <c r="N3" i="52"/>
  <c r="Q3" i="52"/>
  <c r="Q92" i="52" s="1"/>
  <c r="S92" i="52" s="1"/>
  <c r="BW92" i="13" s="1"/>
  <c r="F3" i="52"/>
  <c r="I3" i="52"/>
  <c r="I95" i="52" s="1"/>
  <c r="K95" i="52" s="1"/>
  <c r="BU95" i="13" s="1"/>
  <c r="M3" i="52"/>
  <c r="M50" i="52" s="1"/>
  <c r="L3" i="52"/>
  <c r="L56" i="52" s="1"/>
  <c r="O56" i="52" s="1"/>
  <c r="BV56" i="13" s="1"/>
  <c r="P3" i="52"/>
  <c r="P99" i="52" s="1"/>
  <c r="S99" i="52" s="1"/>
  <c r="BW99" i="13" s="1"/>
  <c r="D3" i="52"/>
  <c r="D68" i="52" s="1"/>
  <c r="G68" i="52" s="1"/>
  <c r="BT68" i="13" s="1"/>
  <c r="F3" i="50"/>
  <c r="J3" i="50"/>
  <c r="E3" i="50"/>
  <c r="E104" i="50" s="1"/>
  <c r="G104" i="50" s="1"/>
  <c r="BP104" i="13" s="1"/>
  <c r="I3" i="50"/>
  <c r="I73" i="50" s="1"/>
  <c r="D3" i="50"/>
  <c r="H3" i="50"/>
  <c r="H81" i="50" s="1"/>
  <c r="K81" i="50" s="1"/>
  <c r="BQ81" i="13" s="1"/>
  <c r="I3" i="49"/>
  <c r="I46" i="49" s="1"/>
  <c r="K46" i="49" s="1"/>
  <c r="BO46" i="13" s="1"/>
  <c r="F3" i="49"/>
  <c r="D3" i="49"/>
  <c r="D71" i="49" s="1"/>
  <c r="F3" i="48"/>
  <c r="E3" i="48"/>
  <c r="E92" i="48" s="1"/>
  <c r="G92" i="48" s="1"/>
  <c r="BL92" i="13" s="1"/>
  <c r="D3" i="48"/>
  <c r="H85" i="48" s="1"/>
  <c r="K85" i="48" s="1"/>
  <c r="BM85" i="13" s="1"/>
  <c r="D3" i="47"/>
  <c r="E3" i="47"/>
  <c r="F3" i="47"/>
  <c r="H3" i="47"/>
  <c r="I3" i="47"/>
  <c r="F3" i="46"/>
  <c r="F71" i="46" s="1"/>
  <c r="J3" i="46"/>
  <c r="J94" i="46" s="1"/>
  <c r="N3" i="46"/>
  <c r="N69" i="46" s="1"/>
  <c r="R3" i="46"/>
  <c r="R69" i="46" s="1"/>
  <c r="D3" i="46"/>
  <c r="D98" i="46" s="1"/>
  <c r="G98" i="46" s="1"/>
  <c r="BE98" i="13" s="1"/>
  <c r="H3" i="46"/>
  <c r="H85" i="46" s="1"/>
  <c r="K85" i="46" s="1"/>
  <c r="BF85" i="13" s="1"/>
  <c r="L3" i="46"/>
  <c r="L99" i="46" s="1"/>
  <c r="O99" i="46" s="1"/>
  <c r="BG99" i="13" s="1"/>
  <c r="P3" i="46"/>
  <c r="P101" i="46" s="1"/>
  <c r="S101" i="46" s="1"/>
  <c r="BH101" i="13" s="1"/>
  <c r="E3" i="46"/>
  <c r="E30" i="46" s="1"/>
  <c r="G30" i="46" s="1"/>
  <c r="BE30" i="13" s="1"/>
  <c r="DK30" i="13" s="1"/>
  <c r="I3" i="46"/>
  <c r="I103" i="46" s="1"/>
  <c r="K103" i="46" s="1"/>
  <c r="BF103" i="13" s="1"/>
  <c r="M3" i="46"/>
  <c r="M69" i="46" s="1"/>
  <c r="Q3" i="46"/>
  <c r="Q69" i="46" s="1"/>
  <c r="J3" i="59"/>
  <c r="F3" i="59"/>
  <c r="N3" i="59"/>
  <c r="I3" i="59"/>
  <c r="M3" i="59"/>
  <c r="L3" i="59"/>
  <c r="D3" i="59"/>
  <c r="J3" i="45"/>
  <c r="J22" i="45" s="1"/>
  <c r="J12" i="45" s="1"/>
  <c r="I3" i="45"/>
  <c r="I61" i="45" s="1"/>
  <c r="K61" i="45" s="1"/>
  <c r="AY61" i="13" s="1"/>
  <c r="F3" i="45"/>
  <c r="N101" i="45" s="1"/>
  <c r="M3" i="45"/>
  <c r="M40" i="45" s="1"/>
  <c r="O40" i="45" s="1"/>
  <c r="AZ40" i="13" s="1"/>
  <c r="L3" i="45"/>
  <c r="L100" i="45" s="1"/>
  <c r="D3" i="45"/>
  <c r="D98" i="45" s="1"/>
  <c r="G98" i="45" s="1"/>
  <c r="AX98" i="13" s="1"/>
  <c r="J3" i="30"/>
  <c r="J52" i="30" s="1"/>
  <c r="M3" i="30"/>
  <c r="M92" i="30" s="1"/>
  <c r="N3" i="30"/>
  <c r="N12" i="30" s="1"/>
  <c r="R3" i="30"/>
  <c r="R104" i="30" s="1"/>
  <c r="S104" i="30" s="1"/>
  <c r="AW104" i="13" s="1"/>
  <c r="Q3" i="30"/>
  <c r="Q85" i="30" s="1"/>
  <c r="E3" i="30"/>
  <c r="E86" i="30" s="1"/>
  <c r="P3" i="30"/>
  <c r="P72" i="30" s="1"/>
  <c r="D3" i="30"/>
  <c r="D69" i="30" s="1"/>
  <c r="H3" i="30"/>
  <c r="H53" i="30" s="1"/>
  <c r="F3" i="29"/>
  <c r="J3" i="29"/>
  <c r="N3" i="29"/>
  <c r="E3" i="29"/>
  <c r="E91" i="29" s="1"/>
  <c r="G91" i="29" s="1"/>
  <c r="AP91" i="13" s="1"/>
  <c r="I3" i="29"/>
  <c r="I70" i="29" s="1"/>
  <c r="K70" i="29" s="1"/>
  <c r="AQ70" i="13" s="1"/>
  <c r="M3" i="29"/>
  <c r="M104" i="29" s="1"/>
  <c r="O104" i="29" s="1"/>
  <c r="AR104" i="13" s="1"/>
  <c r="D3" i="29"/>
  <c r="D31" i="29" s="1"/>
  <c r="H3" i="29"/>
  <c r="H33" i="29" s="1"/>
  <c r="L3" i="29"/>
  <c r="L98" i="29" s="1"/>
  <c r="O98" i="29" s="1"/>
  <c r="AR98" i="13" s="1"/>
  <c r="F3" i="80"/>
  <c r="J53" i="80" s="1"/>
  <c r="E3" i="80"/>
  <c r="N4" i="80" s="1"/>
  <c r="E62" i="80" s="1"/>
  <c r="D3" i="80"/>
  <c r="F3" i="38"/>
  <c r="N97" i="38" s="1"/>
  <c r="J3" i="38"/>
  <c r="E3" i="38"/>
  <c r="R4" i="38" s="1"/>
  <c r="E14" i="38" s="1"/>
  <c r="I3" i="38"/>
  <c r="D3" i="38"/>
  <c r="H3" i="38"/>
  <c r="F3" i="21"/>
  <c r="F50" i="21" s="1"/>
  <c r="J3" i="21"/>
  <c r="J49" i="21" s="1"/>
  <c r="E3" i="21"/>
  <c r="E72" i="21" s="1"/>
  <c r="I3" i="21"/>
  <c r="I33" i="21" s="1"/>
  <c r="K33" i="21" s="1"/>
  <c r="AI33" i="13" s="1"/>
  <c r="D3" i="21"/>
  <c r="D78" i="21" s="1"/>
  <c r="G78" i="21" s="1"/>
  <c r="AH78" i="13" s="1"/>
  <c r="H3" i="21"/>
  <c r="H79" i="21" s="1"/>
  <c r="K79" i="21" s="1"/>
  <c r="AI79" i="13" s="1"/>
  <c r="F3" i="20"/>
  <c r="E3" i="20"/>
  <c r="E105" i="20" s="1"/>
  <c r="G105" i="20" s="1"/>
  <c r="AF105" i="13" s="1"/>
  <c r="D3" i="20"/>
  <c r="D82" i="20" s="1"/>
  <c r="G82" i="20" s="1"/>
  <c r="AF82" i="13" s="1"/>
  <c r="R3" i="19"/>
  <c r="R13" i="19" s="1"/>
  <c r="I3" i="19"/>
  <c r="I93" i="19" s="1"/>
  <c r="K93" i="19" s="1"/>
  <c r="AB93" i="13" s="1"/>
  <c r="F3" i="19"/>
  <c r="F40" i="19" s="1"/>
  <c r="J3" i="19"/>
  <c r="J33" i="19" s="1"/>
  <c r="N3" i="19"/>
  <c r="N39" i="19" s="1"/>
  <c r="M3" i="19"/>
  <c r="M38" i="19" s="1"/>
  <c r="Q3" i="19"/>
  <c r="Q39" i="19" s="1"/>
  <c r="U3" i="19"/>
  <c r="U91" i="19" s="1"/>
  <c r="W91" i="19" s="1"/>
  <c r="AE91" i="13" s="1"/>
  <c r="P3" i="19"/>
  <c r="P86" i="19" s="1"/>
  <c r="S86" i="19" s="1"/>
  <c r="AD86" i="13" s="1"/>
  <c r="T3" i="19"/>
  <c r="T48" i="19" s="1"/>
  <c r="W48" i="19" s="1"/>
  <c r="AE48" i="13" s="1"/>
  <c r="D3" i="19"/>
  <c r="D33" i="19" s="1"/>
  <c r="H3" i="19"/>
  <c r="H56" i="19" s="1"/>
  <c r="K56" i="19" s="1"/>
  <c r="AB56" i="13" s="1"/>
  <c r="M3" i="18"/>
  <c r="M63" i="18" s="1"/>
  <c r="F3" i="18"/>
  <c r="F98" i="18" s="1"/>
  <c r="J3" i="18"/>
  <c r="J98" i="18" s="1"/>
  <c r="N3" i="18"/>
  <c r="N92" i="18" s="1"/>
  <c r="R3" i="18"/>
  <c r="R103" i="18" s="1"/>
  <c r="I3" i="18"/>
  <c r="I61" i="18" s="1"/>
  <c r="Q3" i="18"/>
  <c r="Q53" i="18" s="1"/>
  <c r="U3" i="18"/>
  <c r="U79" i="18" s="1"/>
  <c r="P3" i="18"/>
  <c r="P70" i="18" s="1"/>
  <c r="T3" i="18"/>
  <c r="T78" i="18" s="1"/>
  <c r="D3" i="18"/>
  <c r="D49" i="18" s="1"/>
  <c r="H3" i="18"/>
  <c r="H66" i="18" s="1"/>
  <c r="J3" i="17"/>
  <c r="N3" i="17"/>
  <c r="M3" i="17"/>
  <c r="M23" i="17" s="1"/>
  <c r="O23" i="17" s="1"/>
  <c r="U23" i="13" s="1"/>
  <c r="E3" i="17"/>
  <c r="E23" i="17" s="1"/>
  <c r="G23" i="17" s="1"/>
  <c r="S23" i="13" s="1"/>
  <c r="D3" i="17"/>
  <c r="D54" i="17" s="1"/>
  <c r="G54" i="17" s="1"/>
  <c r="S54" i="13" s="1"/>
  <c r="H3" i="17"/>
  <c r="H49" i="17" s="1"/>
  <c r="K49" i="17" s="1"/>
  <c r="T49" i="13" s="1"/>
  <c r="R3" i="16"/>
  <c r="R98" i="16" s="1"/>
  <c r="B3" i="48"/>
  <c r="B3" i="55"/>
  <c r="B3" i="19"/>
  <c r="B3" i="56"/>
  <c r="B3" i="68"/>
  <c r="B3" i="46"/>
  <c r="B3" i="30"/>
  <c r="B3" i="57"/>
  <c r="B3" i="70"/>
  <c r="B3" i="52"/>
  <c r="B3" i="54"/>
  <c r="B3" i="51"/>
  <c r="B3" i="18"/>
  <c r="B3" i="67"/>
  <c r="B3" i="45"/>
  <c r="B3" i="69"/>
  <c r="B3" i="14"/>
  <c r="B3" i="49"/>
  <c r="B3" i="53"/>
  <c r="B3" i="59"/>
  <c r="B3" i="29"/>
  <c r="B3" i="17"/>
  <c r="B3" i="20"/>
  <c r="B3" i="47"/>
  <c r="B3" i="50"/>
  <c r="B3" i="16"/>
  <c r="B3" i="21"/>
  <c r="F3" i="16"/>
  <c r="F105" i="16" s="1"/>
  <c r="J3" i="16"/>
  <c r="J34" i="16" s="1"/>
  <c r="E3" i="16"/>
  <c r="E81" i="16" s="1"/>
  <c r="I3" i="16"/>
  <c r="I85" i="16" s="1"/>
  <c r="M3" i="16"/>
  <c r="M61" i="16" s="1"/>
  <c r="D3" i="16"/>
  <c r="D79" i="16" s="1"/>
  <c r="H3" i="16"/>
  <c r="I22" i="16" s="1"/>
  <c r="L3" i="16"/>
  <c r="L63" i="16" s="1"/>
  <c r="F3" i="15"/>
  <c r="E3" i="15"/>
  <c r="D3" i="15"/>
  <c r="DC22" i="13"/>
  <c r="DL19" i="13"/>
  <c r="N3" i="14"/>
  <c r="E3" i="14"/>
  <c r="Z3" i="14"/>
  <c r="AD3" i="14"/>
  <c r="AH3" i="14"/>
  <c r="J3" i="14"/>
  <c r="R3" i="14"/>
  <c r="Q3" i="14"/>
  <c r="I3" i="14"/>
  <c r="AC3" i="14"/>
  <c r="Y3" i="14"/>
  <c r="U3" i="14"/>
  <c r="P3" i="14"/>
  <c r="X3" i="14"/>
  <c r="L3" i="14"/>
  <c r="AB3" i="14"/>
  <c r="D3" i="14"/>
  <c r="T3" i="14"/>
  <c r="H3" i="14"/>
  <c r="AF3" i="14"/>
  <c r="DJ17" i="13"/>
  <c r="DC30" i="13"/>
  <c r="DC36" i="13"/>
  <c r="DF88" i="13"/>
  <c r="DF71" i="13"/>
  <c r="DE89" i="13"/>
  <c r="DE72" i="13"/>
  <c r="DM35" i="13"/>
  <c r="DF70" i="13"/>
  <c r="DE88" i="13"/>
  <c r="DE71" i="13"/>
  <c r="DO7" i="13"/>
  <c r="DF69" i="13"/>
  <c r="DE70" i="13"/>
  <c r="DF68" i="13"/>
  <c r="DF18" i="13"/>
  <c r="DE69" i="13"/>
  <c r="DF67" i="13"/>
  <c r="DF17" i="13"/>
  <c r="DE68" i="13"/>
  <c r="DE18" i="13"/>
  <c r="DF66" i="13"/>
  <c r="DF16" i="13"/>
  <c r="DE67" i="13"/>
  <c r="DE17" i="13"/>
  <c r="DU5" i="13"/>
  <c r="DF65" i="13"/>
  <c r="DE66" i="13"/>
  <c r="DE16" i="13"/>
  <c r="DO10" i="13"/>
  <c r="DT27" i="13"/>
  <c r="DC57" i="13"/>
  <c r="DF64" i="13"/>
  <c r="DE65" i="13"/>
  <c r="DZ35" i="13"/>
  <c r="DM16" i="13"/>
  <c r="DT16" i="13"/>
  <c r="DF63" i="13"/>
  <c r="DE64" i="13"/>
  <c r="DE63" i="13"/>
  <c r="DF77" i="13"/>
  <c r="DF76" i="13"/>
  <c r="DE77" i="13"/>
  <c r="DM7" i="13"/>
  <c r="DM44" i="13"/>
  <c r="DF75" i="13"/>
  <c r="DE76" i="13"/>
  <c r="DF74" i="13"/>
  <c r="DE75" i="13"/>
  <c r="DF90" i="13"/>
  <c r="DF73" i="13"/>
  <c r="DE74" i="13"/>
  <c r="DA14" i="13"/>
  <c r="DG16" i="13"/>
  <c r="DK9" i="13"/>
  <c r="DQ6" i="12" s="1"/>
  <c r="DZ13" i="13"/>
  <c r="EU8" i="12" s="1"/>
  <c r="DF89" i="13"/>
  <c r="DF72" i="13"/>
  <c r="DE90" i="13"/>
  <c r="DE73" i="13"/>
  <c r="DS8" i="13"/>
  <c r="DS18" i="13"/>
  <c r="DC12" i="13"/>
  <c r="DA18" i="13"/>
  <c r="DZ17" i="13"/>
  <c r="DL9" i="13"/>
  <c r="DS6" i="12" s="1"/>
  <c r="DL13" i="13"/>
  <c r="DS8" i="12" s="1"/>
  <c r="DS5" i="13"/>
  <c r="DY22" i="13"/>
  <c r="DY9" i="13"/>
  <c r="ES6" i="12" s="1"/>
  <c r="DC29" i="13"/>
  <c r="DC74" i="13"/>
  <c r="DC5" i="13"/>
  <c r="DC39" i="13"/>
  <c r="DC34" i="13"/>
  <c r="DC8" i="13"/>
  <c r="DC23" i="13"/>
  <c r="DC19" i="13"/>
  <c r="DC7" i="13"/>
  <c r="DM76" i="13"/>
  <c r="DM46" i="13"/>
  <c r="DM10" i="13"/>
  <c r="DM20" i="13"/>
  <c r="DT28" i="13"/>
  <c r="DT30" i="13"/>
  <c r="DM17" i="13"/>
  <c r="DB21" i="13"/>
  <c r="DC52" i="13"/>
  <c r="DV25" i="13"/>
  <c r="DP18" i="13"/>
  <c r="DW28" i="13"/>
  <c r="DQ29" i="13"/>
  <c r="CZ18" i="13"/>
  <c r="CZ14" i="13"/>
  <c r="CZ10" i="13"/>
  <c r="DV16" i="13"/>
  <c r="DP28" i="13"/>
  <c r="DX34" i="13"/>
  <c r="DI20" i="13"/>
  <c r="DZ31" i="13"/>
  <c r="DG19" i="13"/>
  <c r="DK19" i="13"/>
  <c r="DW16" i="13"/>
  <c r="DW30" i="13"/>
  <c r="DI9" i="13"/>
  <c r="DM6" i="12" s="1"/>
  <c r="DU26" i="13"/>
  <c r="DZ28" i="13"/>
  <c r="DA13" i="13"/>
  <c r="CW8" i="12" s="1"/>
  <c r="DX67" i="13"/>
  <c r="DD5" i="13"/>
  <c r="DQ26" i="13"/>
  <c r="DU8" i="13"/>
  <c r="DA74" i="13"/>
  <c r="DA20" i="13"/>
  <c r="DA12" i="13"/>
  <c r="DA57" i="13"/>
  <c r="DA16" i="13"/>
  <c r="DA17" i="13"/>
  <c r="DG68" i="13"/>
  <c r="DG89" i="13"/>
  <c r="DG88" i="13"/>
  <c r="DG75" i="13"/>
  <c r="DG67" i="13"/>
  <c r="DG64" i="13"/>
  <c r="DG85" i="13"/>
  <c r="DG82" i="13"/>
  <c r="DG80" i="13"/>
  <c r="DG57" i="13"/>
  <c r="DG90" i="13"/>
  <c r="DG77" i="13"/>
  <c r="DG65" i="13"/>
  <c r="DG53" i="13"/>
  <c r="DG50" i="13"/>
  <c r="DG47" i="13"/>
  <c r="DG44" i="13"/>
  <c r="DG59" i="13"/>
  <c r="DG56" i="13"/>
  <c r="DG84" i="13"/>
  <c r="DG79" i="13"/>
  <c r="DG66" i="13"/>
  <c r="DG63" i="13"/>
  <c r="DG78" i="13"/>
  <c r="DG54" i="13"/>
  <c r="DG81" i="13"/>
  <c r="DG52" i="13"/>
  <c r="DG45" i="13"/>
  <c r="DG21" i="13"/>
  <c r="DG46" i="13"/>
  <c r="DG43" i="13"/>
  <c r="DG27" i="13"/>
  <c r="DG55" i="13"/>
  <c r="DG51" i="13"/>
  <c r="DG29" i="13"/>
  <c r="DG26" i="13"/>
  <c r="DG18" i="13"/>
  <c r="DG83" i="13"/>
  <c r="DG25" i="13"/>
  <c r="DG58" i="13"/>
  <c r="DG20" i="13"/>
  <c r="DG76" i="13"/>
  <c r="DG49" i="13"/>
  <c r="DG17" i="13"/>
  <c r="DG86" i="13"/>
  <c r="DG48" i="13"/>
  <c r="DG42" i="13"/>
  <c r="DG30" i="13"/>
  <c r="DG28" i="13"/>
  <c r="DK35" i="13"/>
  <c r="DK16" i="13"/>
  <c r="DK7" i="13"/>
  <c r="DK34" i="13"/>
  <c r="DQ17" i="13"/>
  <c r="DQ8" i="13"/>
  <c r="DQ5" i="13"/>
  <c r="DQ27" i="13"/>
  <c r="DQ36" i="13"/>
  <c r="DQ6" i="13"/>
  <c r="EC5" i="12" s="1"/>
  <c r="DX42" i="13"/>
  <c r="DX28" i="13"/>
  <c r="DX51" i="13"/>
  <c r="DX46" i="13"/>
  <c r="DX21" i="13"/>
  <c r="DX17" i="13"/>
  <c r="DX10" i="13"/>
  <c r="DB73" i="13"/>
  <c r="DB25" i="13"/>
  <c r="DB36" i="13"/>
  <c r="DB34" i="13"/>
  <c r="DR63" i="13"/>
  <c r="DR90" i="13"/>
  <c r="DR89" i="13"/>
  <c r="DR59" i="13"/>
  <c r="DR43" i="13"/>
  <c r="DR58" i="13"/>
  <c r="DR88" i="13"/>
  <c r="DR75" i="13"/>
  <c r="DR35" i="13"/>
  <c r="DR29" i="13"/>
  <c r="DR26" i="13"/>
  <c r="DR44" i="13"/>
  <c r="DR34" i="13"/>
  <c r="DR28" i="13"/>
  <c r="DR25" i="13"/>
  <c r="DR65" i="13"/>
  <c r="DR19" i="13"/>
  <c r="DR77" i="13"/>
  <c r="DR7" i="13"/>
  <c r="DR76" i="13"/>
  <c r="DR57" i="13"/>
  <c r="DR27" i="13"/>
  <c r="DR8" i="13"/>
  <c r="DR5" i="13"/>
  <c r="DR42" i="13"/>
  <c r="DR30" i="13"/>
  <c r="DR16" i="13"/>
  <c r="DR9" i="13"/>
  <c r="EE6" i="12" s="1"/>
  <c r="DR20" i="13"/>
  <c r="DR21" i="13"/>
  <c r="DR36" i="13"/>
  <c r="DR6" i="13"/>
  <c r="EE5" i="12" s="1"/>
  <c r="DR64" i="13"/>
  <c r="DR17" i="13"/>
  <c r="DH89" i="13"/>
  <c r="DH94" i="13"/>
  <c r="DH101" i="13"/>
  <c r="DH76" i="13"/>
  <c r="DH65" i="13"/>
  <c r="DH68" i="13"/>
  <c r="DH67" i="13"/>
  <c r="DH99" i="13"/>
  <c r="DH56" i="13"/>
  <c r="DH66" i="13"/>
  <c r="DH64" i="13"/>
  <c r="DH63" i="13"/>
  <c r="DH100" i="13"/>
  <c r="DH54" i="13"/>
  <c r="DH97" i="13"/>
  <c r="DH27" i="13"/>
  <c r="DH88" i="13"/>
  <c r="DH30" i="13"/>
  <c r="DH98" i="13"/>
  <c r="DH95" i="13"/>
  <c r="DH90" i="13"/>
  <c r="DH29" i="13"/>
  <c r="DH75" i="13"/>
  <c r="DH25" i="13"/>
  <c r="DH55" i="13"/>
  <c r="DH16" i="13"/>
  <c r="DH102" i="13"/>
  <c r="DH77" i="13"/>
  <c r="DH17" i="13"/>
  <c r="DH96" i="13"/>
  <c r="DH28" i="13"/>
  <c r="DH26" i="13"/>
  <c r="DK13" i="12" s="1"/>
  <c r="DH18" i="13"/>
  <c r="DY71" i="13"/>
  <c r="DY86" i="13"/>
  <c r="DY83" i="13"/>
  <c r="DY105" i="13"/>
  <c r="DY85" i="13"/>
  <c r="DY82" i="13"/>
  <c r="DY101" i="13"/>
  <c r="DY79" i="13"/>
  <c r="DY76" i="13"/>
  <c r="DY73" i="13"/>
  <c r="DY65" i="13"/>
  <c r="DY104" i="13"/>
  <c r="DY98" i="13"/>
  <c r="DY95" i="13"/>
  <c r="DY68" i="13"/>
  <c r="DY62" i="13"/>
  <c r="DY92" i="13"/>
  <c r="DY64" i="13"/>
  <c r="DY91" i="13"/>
  <c r="DY84" i="13"/>
  <c r="DY66" i="13"/>
  <c r="DY59" i="13"/>
  <c r="DY56" i="13"/>
  <c r="DY103" i="13"/>
  <c r="DY81" i="13"/>
  <c r="DY89" i="13"/>
  <c r="DY88" i="13"/>
  <c r="DY69" i="13"/>
  <c r="DY97" i="13"/>
  <c r="DY75" i="13"/>
  <c r="DY54" i="13"/>
  <c r="DY48" i="13"/>
  <c r="DY51" i="13"/>
  <c r="DY45" i="13"/>
  <c r="DY42" i="13"/>
  <c r="DY90" i="13"/>
  <c r="DY77" i="13"/>
  <c r="DY70" i="13"/>
  <c r="DY60" i="13"/>
  <c r="DY80" i="13"/>
  <c r="DY74" i="13"/>
  <c r="DY55" i="13"/>
  <c r="DY33" i="13"/>
  <c r="DY27" i="13"/>
  <c r="DY99" i="13"/>
  <c r="DY96" i="13"/>
  <c r="DY36" i="13"/>
  <c r="DY30" i="13"/>
  <c r="DY24" i="13"/>
  <c r="DY19" i="13"/>
  <c r="DY63" i="13"/>
  <c r="DY53" i="13"/>
  <c r="DY78" i="13"/>
  <c r="DY61" i="13"/>
  <c r="DY47" i="13"/>
  <c r="DY35" i="13"/>
  <c r="DY32" i="13"/>
  <c r="DY29" i="13"/>
  <c r="DY26" i="13"/>
  <c r="DY23" i="13"/>
  <c r="DY72" i="13"/>
  <c r="DY100" i="13"/>
  <c r="DY102" i="13"/>
  <c r="DY94" i="13"/>
  <c r="DY58" i="13"/>
  <c r="DY40" i="13"/>
  <c r="DY8" i="13"/>
  <c r="DY5" i="13"/>
  <c r="DY93" i="13"/>
  <c r="DY49" i="13"/>
  <c r="DY16" i="13"/>
  <c r="DY28" i="13"/>
  <c r="DY12" i="13"/>
  <c r="DY25" i="13"/>
  <c r="DY46" i="13"/>
  <c r="DY57" i="13"/>
  <c r="DY34" i="13"/>
  <c r="DY31" i="13"/>
  <c r="DY6" i="13"/>
  <c r="ES5" i="12" s="1"/>
  <c r="DY44" i="13"/>
  <c r="DY21" i="13"/>
  <c r="DY17" i="13"/>
  <c r="DY13" i="13"/>
  <c r="ES8" i="12" s="1"/>
  <c r="DY20" i="13"/>
  <c r="DY67" i="13"/>
  <c r="DY7" i="13"/>
  <c r="DY18" i="13"/>
  <c r="DY50" i="13"/>
  <c r="DY38" i="13"/>
  <c r="DY39" i="13"/>
  <c r="DY14" i="13"/>
  <c r="DY10" i="13"/>
  <c r="DY52" i="13"/>
  <c r="DY43" i="13"/>
  <c r="CZ25" i="13"/>
  <c r="CY75" i="13"/>
  <c r="CY100" i="13"/>
  <c r="CY102" i="13"/>
  <c r="CY77" i="13"/>
  <c r="CY105" i="13"/>
  <c r="CY101" i="13"/>
  <c r="CY104" i="13"/>
  <c r="CY76" i="13"/>
  <c r="CY43" i="13"/>
  <c r="CY58" i="13"/>
  <c r="CY103" i="13"/>
  <c r="CY59" i="13"/>
  <c r="CY28" i="13"/>
  <c r="CY17" i="13"/>
  <c r="CY29" i="13"/>
  <c r="CY26" i="13"/>
  <c r="CY30" i="13"/>
  <c r="CY27" i="13"/>
  <c r="CY25" i="13"/>
  <c r="CY18" i="13"/>
  <c r="CY21" i="13"/>
  <c r="CY57" i="13"/>
  <c r="CY20" i="13"/>
  <c r="CY16" i="13"/>
  <c r="CY44" i="13"/>
  <c r="CY42" i="13"/>
  <c r="CY19" i="13"/>
  <c r="DK6" i="13"/>
  <c r="DQ5" i="12" s="1"/>
  <c r="DL99" i="13"/>
  <c r="DL96" i="13"/>
  <c r="DL74" i="13"/>
  <c r="DL63" i="13"/>
  <c r="DL93" i="13"/>
  <c r="DL90" i="13"/>
  <c r="DL69" i="13"/>
  <c r="DL105" i="13"/>
  <c r="DL101" i="13"/>
  <c r="DL79" i="13"/>
  <c r="DL76" i="13"/>
  <c r="DL73" i="13"/>
  <c r="DL65" i="13"/>
  <c r="DL104" i="13"/>
  <c r="DL98" i="13"/>
  <c r="DL95" i="13"/>
  <c r="DL68" i="13"/>
  <c r="DL62" i="13"/>
  <c r="DL92" i="13"/>
  <c r="DL89" i="13"/>
  <c r="DL71" i="13"/>
  <c r="DL86" i="13"/>
  <c r="DL83" i="13"/>
  <c r="DL103" i="13"/>
  <c r="DL81" i="13"/>
  <c r="DL88" i="13"/>
  <c r="DL61" i="13"/>
  <c r="DL58" i="13"/>
  <c r="DL100" i="13"/>
  <c r="DL66" i="13"/>
  <c r="DL54" i="13"/>
  <c r="DL48" i="13"/>
  <c r="DL72" i="13"/>
  <c r="DL51" i="13"/>
  <c r="DL45" i="13"/>
  <c r="DL42" i="13"/>
  <c r="DL85" i="13"/>
  <c r="DL60" i="13"/>
  <c r="DL94" i="13"/>
  <c r="DL57" i="13"/>
  <c r="DL102" i="13"/>
  <c r="DL80" i="13"/>
  <c r="DL67" i="13"/>
  <c r="DL78" i="13"/>
  <c r="DL47" i="13"/>
  <c r="DL40" i="13"/>
  <c r="DL84" i="13"/>
  <c r="DL34" i="13"/>
  <c r="DL28" i="13"/>
  <c r="DL22" i="13"/>
  <c r="DL64" i="13"/>
  <c r="DL75" i="13"/>
  <c r="DL21" i="13"/>
  <c r="DL97" i="13"/>
  <c r="DL39" i="13"/>
  <c r="DL56" i="13"/>
  <c r="DL52" i="13"/>
  <c r="DL33" i="13"/>
  <c r="DL27" i="13"/>
  <c r="DL59" i="13"/>
  <c r="DL36" i="13"/>
  <c r="DL55" i="13"/>
  <c r="DL20" i="13"/>
  <c r="DL82" i="13"/>
  <c r="DL50" i="13"/>
  <c r="DL43" i="13"/>
  <c r="DL77" i="13"/>
  <c r="DL38" i="13"/>
  <c r="DL6" i="13"/>
  <c r="DS5" i="12" s="1"/>
  <c r="DL91" i="13"/>
  <c r="DL49" i="13"/>
  <c r="DL46" i="13"/>
  <c r="DL7" i="13"/>
  <c r="DL70" i="13"/>
  <c r="DL44" i="13"/>
  <c r="DL14" i="13"/>
  <c r="DL10" i="13"/>
  <c r="DL8" i="13"/>
  <c r="DL5" i="13"/>
  <c r="DL53" i="13"/>
  <c r="DL26" i="13"/>
  <c r="DL18" i="13"/>
  <c r="DL30" i="13"/>
  <c r="DL29" i="13"/>
  <c r="DL25" i="13"/>
  <c r="DL31" i="13"/>
  <c r="DL32" i="13"/>
  <c r="DL24" i="13"/>
  <c r="DL35" i="13"/>
  <c r="DL23" i="13"/>
  <c r="DL16" i="13"/>
  <c r="DL12" i="13"/>
  <c r="DS25" i="13"/>
  <c r="DS12" i="13"/>
  <c r="DS13" i="13"/>
  <c r="EG8" i="12" s="1"/>
  <c r="DS17" i="13"/>
  <c r="EG10" i="12" s="1"/>
  <c r="DX6" i="13"/>
  <c r="EQ5" i="12" s="1"/>
  <c r="DL17" i="13"/>
  <c r="DS10" i="12" s="1"/>
  <c r="CX18" i="13"/>
  <c r="DS27" i="13"/>
  <c r="DQ10" i="13"/>
  <c r="DD104" i="13"/>
  <c r="DD101" i="13"/>
  <c r="DD98" i="13"/>
  <c r="DD76" i="13"/>
  <c r="DD65" i="13"/>
  <c r="DD62" i="13"/>
  <c r="DD103" i="13"/>
  <c r="DD97" i="13"/>
  <c r="DD88" i="13"/>
  <c r="DD75" i="13"/>
  <c r="DD100" i="13"/>
  <c r="DD64" i="13"/>
  <c r="DD94" i="13"/>
  <c r="DD91" i="13"/>
  <c r="DD95" i="13"/>
  <c r="DD92" i="13"/>
  <c r="DD105" i="13"/>
  <c r="DD99" i="13"/>
  <c r="DD90" i="13"/>
  <c r="DD77" i="13"/>
  <c r="DD44" i="13"/>
  <c r="DD59" i="13"/>
  <c r="DD63" i="13"/>
  <c r="DD21" i="13"/>
  <c r="DD57" i="13"/>
  <c r="DD93" i="13"/>
  <c r="DD58" i="13"/>
  <c r="DD20" i="13"/>
  <c r="DD89" i="13"/>
  <c r="DD28" i="13"/>
  <c r="DD26" i="13"/>
  <c r="DD18" i="13"/>
  <c r="DD35" i="13"/>
  <c r="DD36" i="13"/>
  <c r="DD34" i="13"/>
  <c r="DD25" i="13"/>
  <c r="DD43" i="13"/>
  <c r="DC20" i="12" s="1"/>
  <c r="DD102" i="13"/>
  <c r="DD16" i="13"/>
  <c r="DD61" i="13"/>
  <c r="DC26" i="12" s="1"/>
  <c r="DD19" i="13"/>
  <c r="DD9" i="13"/>
  <c r="DC6" i="12" s="1"/>
  <c r="DD6" i="13"/>
  <c r="DC5" i="12" s="1"/>
  <c r="DD60" i="13"/>
  <c r="DD17" i="13"/>
  <c r="DD42" i="13"/>
  <c r="DD96" i="13"/>
  <c r="DD30" i="13"/>
  <c r="DD29" i="13"/>
  <c r="DD27" i="13"/>
  <c r="DD7" i="13"/>
  <c r="DD10" i="13"/>
  <c r="DI71" i="13"/>
  <c r="DI76" i="13"/>
  <c r="DI73" i="13"/>
  <c r="DI68" i="13"/>
  <c r="DI67" i="13"/>
  <c r="DI74" i="13"/>
  <c r="DI59" i="13"/>
  <c r="DI56" i="13"/>
  <c r="DI66" i="13"/>
  <c r="DI64" i="13"/>
  <c r="DI63" i="13"/>
  <c r="DI54" i="13"/>
  <c r="DI48" i="13"/>
  <c r="DI72" i="13"/>
  <c r="DI51" i="13"/>
  <c r="DI45" i="13"/>
  <c r="DI42" i="13"/>
  <c r="DI46" i="13"/>
  <c r="DI43" i="13"/>
  <c r="DI88" i="13"/>
  <c r="DI57" i="13"/>
  <c r="DI36" i="13"/>
  <c r="DI30" i="13"/>
  <c r="DI53" i="13"/>
  <c r="DI44" i="13"/>
  <c r="DI19" i="13"/>
  <c r="DI90" i="13"/>
  <c r="DI70" i="13"/>
  <c r="DI35" i="13"/>
  <c r="DI29" i="13"/>
  <c r="DI89" i="13"/>
  <c r="DI50" i="13"/>
  <c r="DI69" i="13"/>
  <c r="DI34" i="13"/>
  <c r="DI47" i="13"/>
  <c r="DI8" i="13"/>
  <c r="DI5" i="13"/>
  <c r="DI55" i="13"/>
  <c r="DI16" i="13"/>
  <c r="DI52" i="13"/>
  <c r="DI21" i="13"/>
  <c r="DI77" i="13"/>
  <c r="DI58" i="13"/>
  <c r="DI75" i="13"/>
  <c r="DI6" i="13"/>
  <c r="DM5" i="12" s="1"/>
  <c r="DI49" i="13"/>
  <c r="DI17" i="13"/>
  <c r="DI18" i="13"/>
  <c r="DI7" i="13"/>
  <c r="DI65" i="13"/>
  <c r="DI28" i="13"/>
  <c r="DI10" i="13"/>
  <c r="DN89" i="13"/>
  <c r="DN102" i="13"/>
  <c r="DN77" i="13"/>
  <c r="DN66" i="13"/>
  <c r="DN99" i="13"/>
  <c r="DN63" i="13"/>
  <c r="DN97" i="13"/>
  <c r="DN75" i="13"/>
  <c r="DN101" i="13"/>
  <c r="DN57" i="13"/>
  <c r="DN67" i="13"/>
  <c r="DN34" i="13"/>
  <c r="DN28" i="13"/>
  <c r="DN100" i="13"/>
  <c r="DN68" i="13"/>
  <c r="DN25" i="13"/>
  <c r="DN20" i="13"/>
  <c r="DN27" i="13"/>
  <c r="DN43" i="13"/>
  <c r="DN42" i="13"/>
  <c r="DN36" i="13"/>
  <c r="DN30" i="13"/>
  <c r="DN44" i="13"/>
  <c r="DN19" i="13"/>
  <c r="DN64" i="13"/>
  <c r="DN21" i="13"/>
  <c r="DN58" i="13"/>
  <c r="DN6" i="13"/>
  <c r="DW5" i="12" s="1"/>
  <c r="DN9" i="13"/>
  <c r="DW6" i="12" s="1"/>
  <c r="DN17" i="13"/>
  <c r="DN76" i="13"/>
  <c r="DN7" i="13"/>
  <c r="DN88" i="13"/>
  <c r="DN10" i="13"/>
  <c r="DN90" i="13"/>
  <c r="DN26" i="13"/>
  <c r="DN18" i="13"/>
  <c r="DN29" i="13"/>
  <c r="DW14" i="12" s="1"/>
  <c r="DN65" i="13"/>
  <c r="DN8" i="13"/>
  <c r="DN5" i="13"/>
  <c r="DN35" i="13"/>
  <c r="DN16" i="13"/>
  <c r="DN59" i="13"/>
  <c r="DN98" i="13"/>
  <c r="DU90" i="13"/>
  <c r="DU35" i="13"/>
  <c r="DR10" i="13"/>
  <c r="DU27" i="13"/>
  <c r="DU28" i="13"/>
  <c r="CZ100" i="13"/>
  <c r="CZ64" i="13"/>
  <c r="CZ94" i="13"/>
  <c r="CZ91" i="13"/>
  <c r="CZ70" i="13"/>
  <c r="CZ102" i="13"/>
  <c r="CZ99" i="13"/>
  <c r="CZ77" i="13"/>
  <c r="CZ74" i="13"/>
  <c r="CZ96" i="13"/>
  <c r="CZ93" i="13"/>
  <c r="CZ69" i="13"/>
  <c r="CZ63" i="13"/>
  <c r="CZ105" i="13"/>
  <c r="CZ90" i="13"/>
  <c r="CZ103" i="13"/>
  <c r="CZ81" i="13"/>
  <c r="CZ72" i="13"/>
  <c r="CZ101" i="13"/>
  <c r="CZ73" i="13"/>
  <c r="CZ66" i="13"/>
  <c r="CZ59" i="13"/>
  <c r="CZ98" i="13"/>
  <c r="CZ89" i="13"/>
  <c r="CZ76" i="13"/>
  <c r="CZ43" i="13"/>
  <c r="CZ58" i="13"/>
  <c r="CZ71" i="13"/>
  <c r="CZ65" i="13"/>
  <c r="CZ92" i="13"/>
  <c r="CU37" i="12" s="1"/>
  <c r="CZ85" i="13"/>
  <c r="CZ78" i="13"/>
  <c r="CZ75" i="13"/>
  <c r="CZ97" i="13"/>
  <c r="CZ42" i="13"/>
  <c r="CZ35" i="13"/>
  <c r="CZ29" i="13"/>
  <c r="CZ67" i="13"/>
  <c r="CZ79" i="13"/>
  <c r="CZ40" i="13"/>
  <c r="CZ34" i="13"/>
  <c r="CZ28" i="13"/>
  <c r="CZ104" i="13"/>
  <c r="CZ95" i="13"/>
  <c r="CZ13" i="13"/>
  <c r="CU8" i="12" s="1"/>
  <c r="CZ26" i="13"/>
  <c r="CZ30" i="13"/>
  <c r="CZ27" i="13"/>
  <c r="CZ7" i="13"/>
  <c r="CZ80" i="13"/>
  <c r="CZ68" i="13"/>
  <c r="CZ8" i="13"/>
  <c r="CZ88" i="13"/>
  <c r="CZ5" i="13"/>
  <c r="CZ57" i="13"/>
  <c r="CZ39" i="13"/>
  <c r="CZ38" i="13"/>
  <c r="CZ20" i="13"/>
  <c r="CZ16" i="13"/>
  <c r="CZ12" i="13"/>
  <c r="CZ6" i="13"/>
  <c r="CU5" i="12" s="1"/>
  <c r="CZ44" i="13"/>
  <c r="CZ19" i="13"/>
  <c r="CZ9" i="13"/>
  <c r="CU6" i="12" s="1"/>
  <c r="CZ86" i="13"/>
  <c r="CZ17" i="13"/>
  <c r="CU10" i="12" s="1"/>
  <c r="DR18" i="13"/>
  <c r="CZ36" i="13"/>
  <c r="DB5" i="13"/>
  <c r="DD8" i="13"/>
  <c r="CZ21" i="13"/>
  <c r="DO6" i="13"/>
  <c r="DY5" i="12" s="1"/>
  <c r="DO77" i="13"/>
  <c r="DO90" i="13"/>
  <c r="DO57" i="13"/>
  <c r="DO43" i="13"/>
  <c r="DO88" i="13"/>
  <c r="DO58" i="13"/>
  <c r="DO63" i="13"/>
  <c r="DO25" i="13"/>
  <c r="DO20" i="13"/>
  <c r="DO65" i="13"/>
  <c r="DO75" i="13"/>
  <c r="DO89" i="13"/>
  <c r="DO42" i="13"/>
  <c r="DO36" i="13"/>
  <c r="DO30" i="13"/>
  <c r="DO44" i="13"/>
  <c r="DK5" i="13"/>
  <c r="DU7" i="13"/>
  <c r="DK8" i="13"/>
  <c r="DQ9" i="13"/>
  <c r="EC6" i="12" s="1"/>
  <c r="DX18" i="13"/>
  <c r="DS19" i="13"/>
  <c r="DQ20" i="13"/>
  <c r="DO21" i="13"/>
  <c r="DX43" i="13"/>
  <c r="DS45" i="13"/>
  <c r="DX52" i="13"/>
  <c r="DM59" i="13"/>
  <c r="DS62" i="13"/>
  <c r="DS63" i="13"/>
  <c r="DO64" i="13"/>
  <c r="DC96" i="13"/>
  <c r="DJ25" i="13"/>
  <c r="CX65" i="13"/>
  <c r="DA90" i="13"/>
  <c r="DA72" i="13"/>
  <c r="DA88" i="13"/>
  <c r="DA75" i="13"/>
  <c r="DA73" i="13"/>
  <c r="DA59" i="13"/>
  <c r="DA43" i="13"/>
  <c r="DA58" i="13"/>
  <c r="DA77" i="13"/>
  <c r="DA89" i="13"/>
  <c r="DA42" i="13"/>
  <c r="DA35" i="13"/>
  <c r="DA34" i="13"/>
  <c r="DA76" i="13"/>
  <c r="DM5" i="13"/>
  <c r="DM8" i="13"/>
  <c r="DS9" i="13"/>
  <c r="EG6" i="12" s="1"/>
  <c r="DC13" i="13"/>
  <c r="DA8" i="12" s="1"/>
  <c r="CW16" i="13"/>
  <c r="DB17" i="13"/>
  <c r="DT17" i="13"/>
  <c r="DJ18" i="13"/>
  <c r="DZ18" i="13"/>
  <c r="DU19" i="13"/>
  <c r="DQ21" i="13"/>
  <c r="DK25" i="13"/>
  <c r="DO34" i="13"/>
  <c r="DZ43" i="13"/>
  <c r="DX50" i="13"/>
  <c r="DO59" i="13"/>
  <c r="DT64" i="13"/>
  <c r="DJ77" i="13"/>
  <c r="DJ66" i="13"/>
  <c r="DJ76" i="13"/>
  <c r="DJ73" i="13"/>
  <c r="DJ65" i="13"/>
  <c r="DJ89" i="13"/>
  <c r="DJ74" i="13"/>
  <c r="DJ64" i="13"/>
  <c r="DJ63" i="13"/>
  <c r="DJ57" i="13"/>
  <c r="DJ88" i="13"/>
  <c r="DJ70" i="13"/>
  <c r="DJ75" i="13"/>
  <c r="DP88" i="13"/>
  <c r="DP75" i="13"/>
  <c r="DP64" i="13"/>
  <c r="DP77" i="13"/>
  <c r="DP66" i="13"/>
  <c r="DP90" i="13"/>
  <c r="DP76" i="13"/>
  <c r="DP57" i="13"/>
  <c r="DP65" i="13"/>
  <c r="DP89" i="13"/>
  <c r="DP42" i="13"/>
  <c r="DP19" i="13"/>
  <c r="DP63" i="13"/>
  <c r="CW5" i="13"/>
  <c r="DB6" i="13"/>
  <c r="CY5" i="12" s="1"/>
  <c r="DS6" i="13"/>
  <c r="EG5" i="12" s="1"/>
  <c r="DX7" i="13"/>
  <c r="DB9" i="13"/>
  <c r="CY6" i="12" s="1"/>
  <c r="DZ14" i="13"/>
  <c r="CX16" i="13"/>
  <c r="DO16" i="13"/>
  <c r="DU17" i="13"/>
  <c r="DK18" i="13"/>
  <c r="DK26" i="13"/>
  <c r="DK27" i="13"/>
  <c r="DJ28" i="13"/>
  <c r="DP34" i="13"/>
  <c r="DO35" i="13"/>
  <c r="DS36" i="13"/>
  <c r="DC40" i="13"/>
  <c r="CX57" i="13"/>
  <c r="DZ64" i="13"/>
  <c r="DM65" i="13"/>
  <c r="DS98" i="13"/>
  <c r="DQ88" i="13"/>
  <c r="DQ75" i="13"/>
  <c r="DQ64" i="13"/>
  <c r="DQ77" i="13"/>
  <c r="DQ63" i="13"/>
  <c r="DQ90" i="13"/>
  <c r="DQ76" i="13"/>
  <c r="DQ89" i="13"/>
  <c r="DQ59" i="13"/>
  <c r="DQ43" i="13"/>
  <c r="DQ58" i="13"/>
  <c r="DQ65" i="13"/>
  <c r="DQ44" i="13"/>
  <c r="DQ34" i="13"/>
  <c r="DQ28" i="13"/>
  <c r="DQ57" i="13"/>
  <c r="DX89" i="13"/>
  <c r="DX71" i="13"/>
  <c r="DX70" i="13"/>
  <c r="DX85" i="13"/>
  <c r="DX82" i="13"/>
  <c r="DX79" i="13"/>
  <c r="DX76" i="13"/>
  <c r="DX73" i="13"/>
  <c r="DX65" i="13"/>
  <c r="DX63" i="13"/>
  <c r="DX57" i="13"/>
  <c r="DX64" i="13"/>
  <c r="DX74" i="13"/>
  <c r="DX44" i="13"/>
  <c r="DX59" i="13"/>
  <c r="DX56" i="13"/>
  <c r="DX81" i="13"/>
  <c r="DX88" i="13"/>
  <c r="DX69" i="13"/>
  <c r="DX83" i="13"/>
  <c r="DX75" i="13"/>
  <c r="DX54" i="13"/>
  <c r="DX48" i="13"/>
  <c r="DX77" i="13"/>
  <c r="DX80" i="13"/>
  <c r="DX55" i="13"/>
  <c r="DX86" i="13"/>
  <c r="DX36" i="13"/>
  <c r="DX30" i="13"/>
  <c r="DX53" i="13"/>
  <c r="DX78" i="13"/>
  <c r="DX47" i="13"/>
  <c r="DX35" i="13"/>
  <c r="EQ16" i="12" s="1"/>
  <c r="DX29" i="13"/>
  <c r="DX84" i="13"/>
  <c r="DX72" i="13"/>
  <c r="DX68" i="13"/>
  <c r="DX58" i="13"/>
  <c r="DO5" i="13"/>
  <c r="DC6" i="13"/>
  <c r="DA5" i="12" s="1"/>
  <c r="CW8" i="13"/>
  <c r="DO8" i="13"/>
  <c r="DC9" i="13"/>
  <c r="DA6" i="12" s="1"/>
  <c r="DU9" i="13"/>
  <c r="EK6" i="12" s="1"/>
  <c r="DK10" i="13"/>
  <c r="DP16" i="13"/>
  <c r="DV17" i="13"/>
  <c r="DA19" i="13"/>
  <c r="DS21" i="13"/>
  <c r="DP25" i="13"/>
  <c r="DO27" i="13"/>
  <c r="DM29" i="13"/>
  <c r="DA44" i="13"/>
  <c r="DX45" i="13"/>
  <c r="DC46" i="13"/>
  <c r="DZ56" i="13"/>
  <c r="DS59" i="13"/>
  <c r="DX66" i="13"/>
  <c r="DJ90" i="13"/>
  <c r="DS99" i="13"/>
  <c r="CW66" i="13"/>
  <c r="CW77" i="13"/>
  <c r="CV77" i="13"/>
  <c r="CW63" i="13"/>
  <c r="CV75" i="13"/>
  <c r="CW89" i="13"/>
  <c r="CW76" i="13"/>
  <c r="CW90" i="13"/>
  <c r="CV76" i="13"/>
  <c r="CW75" i="13"/>
  <c r="CW25" i="13"/>
  <c r="CW97" i="13"/>
  <c r="CW54" i="13"/>
  <c r="DW95" i="13"/>
  <c r="DW68" i="13"/>
  <c r="DW89" i="13"/>
  <c r="DW88" i="13"/>
  <c r="DW75" i="13"/>
  <c r="DW67" i="13"/>
  <c r="DW64" i="13"/>
  <c r="DW94" i="13"/>
  <c r="DW90" i="13"/>
  <c r="DW77" i="13"/>
  <c r="DW63" i="13"/>
  <c r="DW57" i="13"/>
  <c r="DW96" i="13"/>
  <c r="DW59" i="13"/>
  <c r="DW76" i="13"/>
  <c r="DW58" i="13"/>
  <c r="DW27" i="13"/>
  <c r="DW66" i="13"/>
  <c r="DW29" i="13"/>
  <c r="EO14" i="12" s="1"/>
  <c r="DW26" i="13"/>
  <c r="DK77" i="13"/>
  <c r="DK66" i="13"/>
  <c r="DK63" i="13"/>
  <c r="DK76" i="13"/>
  <c r="DK65" i="13"/>
  <c r="DK68" i="13"/>
  <c r="DK89" i="13"/>
  <c r="DK52" i="13"/>
  <c r="DK49" i="13"/>
  <c r="DK46" i="13"/>
  <c r="DK43" i="13"/>
  <c r="DK48" i="13"/>
  <c r="DK51" i="13"/>
  <c r="DK45" i="13"/>
  <c r="DK42" i="13"/>
  <c r="DK57" i="13"/>
  <c r="DK67" i="13"/>
  <c r="DK53" i="13"/>
  <c r="DK44" i="13"/>
  <c r="DK47" i="13"/>
  <c r="DK50" i="13"/>
  <c r="DK64" i="13"/>
  <c r="DK75" i="13"/>
  <c r="DK88" i="13"/>
  <c r="DP5" i="13"/>
  <c r="DU6" i="13"/>
  <c r="EK5" i="12" s="1"/>
  <c r="DP8" i="13"/>
  <c r="DQ16" i="13"/>
  <c r="DW17" i="13"/>
  <c r="DM18" i="13"/>
  <c r="DB19" i="13"/>
  <c r="DX19" i="13"/>
  <c r="DX20" i="13"/>
  <c r="DQ25" i="13"/>
  <c r="DM26" i="13"/>
  <c r="DO28" i="13"/>
  <c r="DQ30" i="13"/>
  <c r="DU34" i="13"/>
  <c r="DQ35" i="13"/>
  <c r="DU36" i="13"/>
  <c r="DQ42" i="13"/>
  <c r="DW65" i="13"/>
  <c r="DZ67" i="13"/>
  <c r="CW88" i="13"/>
  <c r="DC89" i="13"/>
  <c r="DK90" i="13"/>
  <c r="DO29" i="13"/>
  <c r="DZ53" i="13"/>
  <c r="DS60" i="13"/>
  <c r="DS89" i="13"/>
  <c r="DS101" i="13"/>
  <c r="DB105" i="13"/>
  <c r="DB90" i="13"/>
  <c r="DB103" i="13"/>
  <c r="DB72" i="13"/>
  <c r="DB97" i="13"/>
  <c r="DB88" i="13"/>
  <c r="DB75" i="13"/>
  <c r="DB67" i="13"/>
  <c r="DB100" i="13"/>
  <c r="DB64" i="13"/>
  <c r="DB63" i="13"/>
  <c r="DB69" i="13"/>
  <c r="DB58" i="13"/>
  <c r="DB71" i="13"/>
  <c r="DB65" i="13"/>
  <c r="DB99" i="13"/>
  <c r="DB77" i="13"/>
  <c r="DB44" i="13"/>
  <c r="DB101" i="13"/>
  <c r="DB66" i="13"/>
  <c r="DB42" i="13"/>
  <c r="DB35" i="13"/>
  <c r="DB29" i="13"/>
  <c r="DB26" i="13"/>
  <c r="DB68" i="13"/>
  <c r="DB104" i="13"/>
  <c r="DB76" i="13"/>
  <c r="DB59" i="13"/>
  <c r="DB98" i="13"/>
  <c r="DB70" i="13"/>
  <c r="CY29" i="12" s="1"/>
  <c r="DB20" i="13"/>
  <c r="DB89" i="13"/>
  <c r="DX9" i="13"/>
  <c r="EQ6" i="12" s="1"/>
  <c r="DB16" i="13"/>
  <c r="DS16" i="13"/>
  <c r="CW18" i="13"/>
  <c r="DO18" i="13"/>
  <c r="DC20" i="13"/>
  <c r="DZ20" i="13"/>
  <c r="DU25" i="13"/>
  <c r="DO26" i="13"/>
  <c r="DS30" i="13"/>
  <c r="DS42" i="13"/>
  <c r="DS44" i="13"/>
  <c r="DB57" i="13"/>
  <c r="DT90" i="13"/>
  <c r="DB102" i="13"/>
  <c r="DJ71" i="13"/>
  <c r="CX88" i="13"/>
  <c r="CX75" i="13"/>
  <c r="CX66" i="13"/>
  <c r="CX77" i="13"/>
  <c r="CX90" i="13"/>
  <c r="CX89" i="13"/>
  <c r="CX76" i="13"/>
  <c r="CX64" i="13"/>
  <c r="CX25" i="13"/>
  <c r="DS93" i="13"/>
  <c r="DS90" i="13"/>
  <c r="DS105" i="13"/>
  <c r="DS103" i="13"/>
  <c r="DS100" i="13"/>
  <c r="DS97" i="13"/>
  <c r="DS88" i="13"/>
  <c r="DS75" i="13"/>
  <c r="DS64" i="13"/>
  <c r="DS65" i="13"/>
  <c r="DS95" i="13"/>
  <c r="DS43" i="13"/>
  <c r="DS61" i="13"/>
  <c r="DS58" i="13"/>
  <c r="DS102" i="13"/>
  <c r="DS47" i="13"/>
  <c r="DS104" i="13"/>
  <c r="DS96" i="13"/>
  <c r="DS76" i="13"/>
  <c r="DS94" i="13"/>
  <c r="DS35" i="13"/>
  <c r="DS29" i="13"/>
  <c r="DS26" i="13"/>
  <c r="DS92" i="13"/>
  <c r="DS34" i="13"/>
  <c r="DS28" i="13"/>
  <c r="DS57" i="13"/>
  <c r="DS46" i="13"/>
  <c r="DS20" i="13"/>
  <c r="DS91" i="13"/>
  <c r="DB8" i="13"/>
  <c r="DU16" i="13"/>
  <c r="DK17" i="13"/>
  <c r="DQ18" i="13"/>
  <c r="DA21" i="13"/>
  <c r="DW25" i="13"/>
  <c r="DU29" i="13"/>
  <c r="DU30" i="13"/>
  <c r="DZ32" i="13"/>
  <c r="DZ33" i="13"/>
  <c r="DA36" i="13"/>
  <c r="DB43" i="13"/>
  <c r="DZ44" i="13"/>
  <c r="DB74" i="13"/>
  <c r="DX90" i="13"/>
  <c r="DZ34" i="13"/>
  <c r="DO76" i="13"/>
  <c r="DZ29" i="13"/>
  <c r="DC73" i="13"/>
  <c r="DA30" i="12" s="1"/>
  <c r="DC72" i="13"/>
  <c r="DC97" i="13"/>
  <c r="DC88" i="13"/>
  <c r="DC75" i="13"/>
  <c r="DC67" i="13"/>
  <c r="DC94" i="13"/>
  <c r="DC91" i="13"/>
  <c r="DC70" i="13"/>
  <c r="DC93" i="13"/>
  <c r="DC95" i="13"/>
  <c r="DC68" i="13"/>
  <c r="DC51" i="13"/>
  <c r="DC45" i="13"/>
  <c r="DC58" i="13"/>
  <c r="DC71" i="13"/>
  <c r="DC65" i="13"/>
  <c r="DC92" i="13"/>
  <c r="DC99" i="13"/>
  <c r="DC90" i="13"/>
  <c r="DC77" i="13"/>
  <c r="DC64" i="13"/>
  <c r="DC53" i="13"/>
  <c r="DC47" i="13"/>
  <c r="DC66" i="13"/>
  <c r="DC59" i="13"/>
  <c r="DC69" i="13"/>
  <c r="DC63" i="13"/>
  <c r="DC21" i="13"/>
  <c r="DC76" i="13"/>
  <c r="DC98" i="13"/>
  <c r="DC38" i="13"/>
  <c r="DM90" i="13"/>
  <c r="DM95" i="13"/>
  <c r="DM68" i="13"/>
  <c r="DM89" i="13"/>
  <c r="DM77" i="13"/>
  <c r="DM66" i="13"/>
  <c r="DM88" i="13"/>
  <c r="DM58" i="13"/>
  <c r="DM75" i="13"/>
  <c r="DM45" i="13"/>
  <c r="DM42" i="13"/>
  <c r="DM94" i="13"/>
  <c r="DM57" i="13"/>
  <c r="DM67" i="13"/>
  <c r="DM47" i="13"/>
  <c r="DM63" i="13"/>
  <c r="DM34" i="13"/>
  <c r="DM28" i="13"/>
  <c r="DM96" i="13"/>
  <c r="DM25" i="13"/>
  <c r="DM27" i="13"/>
  <c r="DM43" i="13"/>
  <c r="DU20" i="12" s="1"/>
  <c r="DM36" i="13"/>
  <c r="DM30" i="13"/>
  <c r="DT88" i="13"/>
  <c r="DT75" i="13"/>
  <c r="DT67" i="13"/>
  <c r="DT94" i="13"/>
  <c r="DT65" i="13"/>
  <c r="DT68" i="13"/>
  <c r="DT58" i="13"/>
  <c r="DT96" i="13"/>
  <c r="DT76" i="13"/>
  <c r="DT89" i="13"/>
  <c r="DT59" i="13"/>
  <c r="DT29" i="13"/>
  <c r="DT26" i="13"/>
  <c r="EI13" i="12" s="1"/>
  <c r="DT77" i="13"/>
  <c r="DT25" i="13"/>
  <c r="DT57" i="13"/>
  <c r="DT66" i="13"/>
  <c r="DT63" i="13"/>
  <c r="DQ7" i="13"/>
  <c r="DM9" i="13"/>
  <c r="DU6" i="12" s="1"/>
  <c r="DS10" i="13"/>
  <c r="DS14" i="13"/>
  <c r="DX16" i="13"/>
  <c r="DB18" i="13"/>
  <c r="DT18" i="13"/>
  <c r="DM19" i="13"/>
  <c r="DZ25" i="13"/>
  <c r="DZ26" i="13"/>
  <c r="DZ27" i="13"/>
  <c r="CX28" i="13"/>
  <c r="DC35" i="13"/>
  <c r="DX49" i="13"/>
  <c r="DU76" i="13"/>
  <c r="DU73" i="13"/>
  <c r="DU65" i="13"/>
  <c r="DU72" i="13"/>
  <c r="DU88" i="13"/>
  <c r="DU75" i="13"/>
  <c r="DU67" i="13"/>
  <c r="DU64" i="13"/>
  <c r="DU70" i="13"/>
  <c r="DU71" i="13"/>
  <c r="DU42" i="13"/>
  <c r="DU74" i="13"/>
  <c r="DU44" i="13"/>
  <c r="DU89" i="13"/>
  <c r="DU59" i="13"/>
  <c r="DU68" i="13"/>
  <c r="DU77" i="13"/>
  <c r="DU58" i="13"/>
  <c r="DU21" i="13"/>
  <c r="DU69" i="13"/>
  <c r="DU43" i="13"/>
  <c r="DU57" i="13"/>
  <c r="DU20" i="13"/>
  <c r="DU66" i="13"/>
  <c r="DU63" i="13"/>
  <c r="DX5" i="13"/>
  <c r="DM6" i="13"/>
  <c r="DU5" i="12" s="1"/>
  <c r="DX8" i="13"/>
  <c r="DB10" i="13"/>
  <c r="DZ12" i="13"/>
  <c r="DC14" i="13"/>
  <c r="CW17" i="13"/>
  <c r="DO17" i="13"/>
  <c r="DU18" i="13"/>
  <c r="DO19" i="13"/>
  <c r="DK20" i="13"/>
  <c r="DK21" i="13"/>
  <c r="DC24" i="13"/>
  <c r="DB28" i="13"/>
  <c r="DK58" i="13"/>
  <c r="DZ86" i="13"/>
  <c r="DZ83" i="13"/>
  <c r="DZ102" i="13"/>
  <c r="DZ80" i="13"/>
  <c r="DZ77" i="13"/>
  <c r="DZ66" i="13"/>
  <c r="DZ105" i="13"/>
  <c r="DZ85" i="13"/>
  <c r="DZ82" i="13"/>
  <c r="DZ101" i="13"/>
  <c r="DZ79" i="13"/>
  <c r="DZ76" i="13"/>
  <c r="DZ73" i="13"/>
  <c r="EU30" i="12" s="1"/>
  <c r="DZ65" i="13"/>
  <c r="DZ104" i="13"/>
  <c r="DZ98" i="13"/>
  <c r="DZ95" i="13"/>
  <c r="DZ68" i="13"/>
  <c r="DZ89" i="13"/>
  <c r="DZ84" i="13"/>
  <c r="DZ78" i="13"/>
  <c r="DZ62" i="13"/>
  <c r="DZ55" i="13"/>
  <c r="DZ52" i="13"/>
  <c r="DZ49" i="13"/>
  <c r="DZ46" i="13"/>
  <c r="DZ103" i="13"/>
  <c r="DZ81" i="13"/>
  <c r="DZ88" i="13"/>
  <c r="DZ69" i="13"/>
  <c r="DZ97" i="13"/>
  <c r="DZ75" i="13"/>
  <c r="DZ54" i="13"/>
  <c r="DZ48" i="13"/>
  <c r="DZ51" i="13"/>
  <c r="DZ45" i="13"/>
  <c r="DZ42" i="13"/>
  <c r="DZ90" i="13"/>
  <c r="DZ70" i="13"/>
  <c r="DZ60" i="13"/>
  <c r="DZ99" i="13"/>
  <c r="DZ71" i="13"/>
  <c r="DZ63" i="13"/>
  <c r="DZ57" i="13"/>
  <c r="DZ96" i="13"/>
  <c r="DZ36" i="13"/>
  <c r="DZ30" i="13"/>
  <c r="DZ19" i="13"/>
  <c r="DZ59" i="13"/>
  <c r="DZ50" i="13"/>
  <c r="DZ61" i="13"/>
  <c r="DZ47" i="13"/>
  <c r="DZ72" i="13"/>
  <c r="DZ100" i="13"/>
  <c r="DZ58" i="13"/>
  <c r="DZ21" i="13"/>
  <c r="DZ74" i="13"/>
  <c r="DB7" i="13"/>
  <c r="DS7" i="13"/>
  <c r="DO9" i="13"/>
  <c r="DY6" i="12" s="1"/>
  <c r="DC10" i="13"/>
  <c r="DU10" i="13"/>
  <c r="DJ16" i="13"/>
  <c r="DZ16" i="13"/>
  <c r="CX17" i="13"/>
  <c r="CQ10" i="12" s="1"/>
  <c r="DP17" i="13"/>
  <c r="DV18" i="13"/>
  <c r="DQ19" i="13"/>
  <c r="DM21" i="13"/>
  <c r="DB27" i="13"/>
  <c r="DC28" i="13"/>
  <c r="DB30" i="13"/>
  <c r="DK36" i="13"/>
  <c r="DK59" i="13"/>
  <c r="DM64" i="13"/>
  <c r="DU27" i="12" s="1"/>
  <c r="DS77" i="13"/>
  <c r="CX94" i="13"/>
  <c r="DT95" i="13"/>
  <c r="DV76" i="13"/>
  <c r="DV65" i="13"/>
  <c r="DV88" i="13"/>
  <c r="DV75" i="13"/>
  <c r="DV64" i="13"/>
  <c r="DV90" i="13"/>
  <c r="DV77" i="13"/>
  <c r="DV89" i="13"/>
  <c r="DV57" i="13"/>
  <c r="DV66" i="13"/>
  <c r="DV63" i="13"/>
  <c r="DW18" i="13"/>
  <c r="CX63" i="13"/>
  <c r="DZ94" i="13"/>
  <c r="F4" i="60"/>
  <c r="B5" i="13" s="1"/>
  <c r="AJ18" i="1"/>
  <c r="AK18" i="1"/>
  <c r="AG18" i="1"/>
  <c r="AN18" i="1"/>
  <c r="AQ18" i="1"/>
  <c r="AL18" i="1"/>
  <c r="AP18" i="1"/>
  <c r="AO18" i="1"/>
  <c r="AF18" i="1"/>
  <c r="AI18" i="1"/>
  <c r="F92" i="15" l="1"/>
  <c r="F52" i="15"/>
  <c r="F23" i="15"/>
  <c r="F47" i="15"/>
  <c r="F46" i="15"/>
  <c r="F7" i="15"/>
  <c r="F39" i="15"/>
  <c r="F86" i="15"/>
  <c r="F50" i="15"/>
  <c r="F14" i="15"/>
  <c r="F82" i="15"/>
  <c r="F80" i="15"/>
  <c r="F79" i="15"/>
  <c r="F85" i="15"/>
  <c r="F49" i="15"/>
  <c r="F13" i="15"/>
  <c r="F83" i="15"/>
  <c r="F40" i="15"/>
  <c r="F6" i="15"/>
  <c r="F58" i="15"/>
  <c r="F55" i="15"/>
  <c r="F104" i="15"/>
  <c r="F101" i="15"/>
  <c r="F30" i="15"/>
  <c r="F56" i="15"/>
  <c r="F105" i="15"/>
  <c r="F53" i="15"/>
  <c r="F102" i="15"/>
  <c r="F36" i="15"/>
  <c r="F35" i="15"/>
  <c r="G35" i="15" s="1"/>
  <c r="M35" i="13" s="1"/>
  <c r="F99" i="15"/>
  <c r="F33" i="15"/>
  <c r="F98" i="15"/>
  <c r="F96" i="15"/>
  <c r="F95" i="15"/>
  <c r="G95" i="15" s="1"/>
  <c r="M95" i="13" s="1"/>
  <c r="F29" i="15"/>
  <c r="F93" i="15"/>
  <c r="F68" i="15"/>
  <c r="F67" i="15"/>
  <c r="F27" i="15"/>
  <c r="F24" i="15"/>
  <c r="F26" i="15"/>
  <c r="F62" i="15"/>
  <c r="F61" i="15"/>
  <c r="F59" i="15"/>
  <c r="F32" i="15"/>
  <c r="N97" i="59"/>
  <c r="N62" i="59"/>
  <c r="N39" i="59"/>
  <c r="O39" i="59" s="1"/>
  <c r="BC39" i="13" s="1"/>
  <c r="N14" i="59"/>
  <c r="N96" i="59"/>
  <c r="N61" i="59"/>
  <c r="N38" i="59"/>
  <c r="N13" i="59"/>
  <c r="N92" i="59"/>
  <c r="N58" i="59"/>
  <c r="O58" i="59" s="1"/>
  <c r="BC58" i="13" s="1"/>
  <c r="N34" i="59"/>
  <c r="N9" i="59"/>
  <c r="O9" i="59" s="1"/>
  <c r="BC9" i="13" s="1"/>
  <c r="N8" i="59"/>
  <c r="N55" i="59"/>
  <c r="N7" i="59"/>
  <c r="O7" i="59" s="1"/>
  <c r="BC7" i="13" s="1"/>
  <c r="N53" i="59"/>
  <c r="N95" i="59"/>
  <c r="N60" i="59"/>
  <c r="N36" i="59"/>
  <c r="N12" i="59"/>
  <c r="N91" i="59"/>
  <c r="N86" i="59"/>
  <c r="N85" i="59"/>
  <c r="N6" i="59"/>
  <c r="N93" i="59"/>
  <c r="N59" i="59"/>
  <c r="O59" i="59" s="1"/>
  <c r="BC59" i="13" s="1"/>
  <c r="N35" i="59"/>
  <c r="N10" i="59"/>
  <c r="O10" i="59" s="1"/>
  <c r="BC10" i="13" s="1"/>
  <c r="N56" i="59"/>
  <c r="N33" i="59"/>
  <c r="N32" i="59"/>
  <c r="N31" i="59"/>
  <c r="N100" i="59"/>
  <c r="N45" i="59"/>
  <c r="N30" i="59"/>
  <c r="O30" i="59" s="1"/>
  <c r="BC30" i="13" s="1"/>
  <c r="N80" i="59"/>
  <c r="N99" i="59"/>
  <c r="N42" i="59"/>
  <c r="N40" i="59"/>
  <c r="N27" i="59"/>
  <c r="O27" i="59" s="1"/>
  <c r="BC27" i="13" s="1"/>
  <c r="N79" i="59"/>
  <c r="N26" i="59"/>
  <c r="N24" i="59"/>
  <c r="N69" i="59"/>
  <c r="N98" i="59"/>
  <c r="O98" i="59" s="1"/>
  <c r="BC98" i="13" s="1"/>
  <c r="N83" i="59"/>
  <c r="N82" i="59"/>
  <c r="N29" i="59"/>
  <c r="O29" i="59" s="1"/>
  <c r="BC29" i="13" s="1"/>
  <c r="N23" i="59"/>
  <c r="N72" i="59"/>
  <c r="N68" i="59"/>
  <c r="N22" i="59"/>
  <c r="N103" i="59"/>
  <c r="N47" i="59"/>
  <c r="N67" i="59"/>
  <c r="N19" i="59"/>
  <c r="N101" i="59"/>
  <c r="N105" i="59"/>
  <c r="N52" i="59"/>
  <c r="N49" i="59"/>
  <c r="N102" i="59"/>
  <c r="N46" i="59"/>
  <c r="O46" i="59" s="1"/>
  <c r="BC46" i="13" s="1"/>
  <c r="N104" i="59"/>
  <c r="N50" i="59"/>
  <c r="F93" i="59"/>
  <c r="F53" i="59"/>
  <c r="F24" i="59"/>
  <c r="F92" i="59"/>
  <c r="F52" i="59"/>
  <c r="F23" i="59"/>
  <c r="F83" i="59"/>
  <c r="F47" i="59"/>
  <c r="F46" i="59"/>
  <c r="F80" i="59"/>
  <c r="F79" i="59"/>
  <c r="F86" i="59"/>
  <c r="F50" i="59"/>
  <c r="F14" i="59"/>
  <c r="F10" i="59"/>
  <c r="G10" i="59" s="1"/>
  <c r="BA10" i="13" s="1"/>
  <c r="F82" i="59"/>
  <c r="F9" i="59"/>
  <c r="F7" i="59"/>
  <c r="G7" i="59" s="1"/>
  <c r="BA7" i="13" s="1"/>
  <c r="F6" i="59"/>
  <c r="G6" i="59" s="1"/>
  <c r="BA6" i="13" s="1"/>
  <c r="F85" i="59"/>
  <c r="F49" i="59"/>
  <c r="F13" i="59"/>
  <c r="F40" i="59"/>
  <c r="F39" i="59"/>
  <c r="F98" i="59"/>
  <c r="F29" i="59"/>
  <c r="F95" i="59"/>
  <c r="F67" i="59"/>
  <c r="F62" i="59"/>
  <c r="F61" i="59"/>
  <c r="F96" i="59"/>
  <c r="F27" i="59"/>
  <c r="G27" i="59" s="1"/>
  <c r="BA27" i="13" s="1"/>
  <c r="F26" i="59"/>
  <c r="F68" i="59"/>
  <c r="F59" i="59"/>
  <c r="F58" i="59"/>
  <c r="F56" i="59"/>
  <c r="F32" i="59"/>
  <c r="F55" i="59"/>
  <c r="F104" i="59"/>
  <c r="F99" i="59"/>
  <c r="F105" i="59"/>
  <c r="F36" i="59"/>
  <c r="F33" i="59"/>
  <c r="F101" i="59"/>
  <c r="F30" i="59"/>
  <c r="G30" i="59" s="1"/>
  <c r="BA30" i="13" s="1"/>
  <c r="F35" i="59"/>
  <c r="F102" i="59"/>
  <c r="J97" i="59"/>
  <c r="J62" i="59"/>
  <c r="J39" i="59"/>
  <c r="K39" i="59" s="1"/>
  <c r="BB39" i="13" s="1"/>
  <c r="J14" i="59"/>
  <c r="J96" i="59"/>
  <c r="J61" i="59"/>
  <c r="J38" i="59"/>
  <c r="J13" i="59"/>
  <c r="J92" i="59"/>
  <c r="J58" i="59"/>
  <c r="J34" i="59"/>
  <c r="K34" i="59" s="1"/>
  <c r="BB34" i="13" s="1"/>
  <c r="J55" i="59"/>
  <c r="J53" i="59"/>
  <c r="J95" i="59"/>
  <c r="K95" i="59" s="1"/>
  <c r="BB95" i="13" s="1"/>
  <c r="J60" i="59"/>
  <c r="J36" i="59"/>
  <c r="J12" i="59"/>
  <c r="J56" i="59"/>
  <c r="J33" i="59"/>
  <c r="J86" i="59"/>
  <c r="J7" i="59"/>
  <c r="K7" i="59" s="1"/>
  <c r="BB7" i="13" s="1"/>
  <c r="J85" i="59"/>
  <c r="J6" i="59"/>
  <c r="J93" i="59"/>
  <c r="J59" i="59"/>
  <c r="K59" i="59" s="1"/>
  <c r="BB59" i="13" s="1"/>
  <c r="J35" i="59"/>
  <c r="J10" i="59"/>
  <c r="J9" i="59"/>
  <c r="K9" i="59" s="1"/>
  <c r="BB9" i="13" s="1"/>
  <c r="J91" i="59"/>
  <c r="J8" i="59"/>
  <c r="J32" i="59"/>
  <c r="J31" i="59"/>
  <c r="J100" i="59"/>
  <c r="J45" i="59"/>
  <c r="J30" i="59"/>
  <c r="K30" i="59" s="1"/>
  <c r="BB30" i="13" s="1"/>
  <c r="J80" i="59"/>
  <c r="J79" i="59"/>
  <c r="J72" i="59"/>
  <c r="J99" i="59"/>
  <c r="J42" i="59"/>
  <c r="J98" i="59"/>
  <c r="J40" i="59"/>
  <c r="J83" i="59"/>
  <c r="J29" i="59"/>
  <c r="K29" i="59" s="1"/>
  <c r="BB29" i="13" s="1"/>
  <c r="J27" i="59"/>
  <c r="K27" i="59" s="1"/>
  <c r="BB27" i="13" s="1"/>
  <c r="J26" i="59"/>
  <c r="K26" i="59" s="1"/>
  <c r="BB26" i="13" s="1"/>
  <c r="J82" i="59"/>
  <c r="J68" i="59"/>
  <c r="J22" i="59"/>
  <c r="J50" i="59"/>
  <c r="J46" i="59"/>
  <c r="K46" i="59" s="1"/>
  <c r="BB46" i="13" s="1"/>
  <c r="J24" i="59"/>
  <c r="J23" i="59"/>
  <c r="J67" i="59"/>
  <c r="J19" i="59"/>
  <c r="J102" i="59"/>
  <c r="J105" i="59"/>
  <c r="J52" i="59"/>
  <c r="J49" i="59"/>
  <c r="J69" i="59"/>
  <c r="J104" i="59"/>
  <c r="K104" i="59" s="1"/>
  <c r="BB104" i="13" s="1"/>
  <c r="J103" i="59"/>
  <c r="J101" i="59"/>
  <c r="J47" i="59"/>
  <c r="K47" i="59" s="1"/>
  <c r="BB47" i="13" s="1"/>
  <c r="F86" i="51"/>
  <c r="F68" i="51"/>
  <c r="F33" i="51"/>
  <c r="G33" i="51" s="1"/>
  <c r="BS33" i="13" s="1"/>
  <c r="DP33" i="13" s="1"/>
  <c r="F32" i="51"/>
  <c r="F102" i="51"/>
  <c r="F30" i="51"/>
  <c r="F101" i="51"/>
  <c r="F47" i="51"/>
  <c r="F27" i="51"/>
  <c r="G27" i="51" s="1"/>
  <c r="BS27" i="13" s="1"/>
  <c r="DP27" i="13" s="1"/>
  <c r="F98" i="51"/>
  <c r="F83" i="51"/>
  <c r="F40" i="51"/>
  <c r="F105" i="51"/>
  <c r="G105" i="51" s="1"/>
  <c r="BS105" i="13" s="1"/>
  <c r="DP105" i="13" s="1"/>
  <c r="F85" i="51"/>
  <c r="F67" i="51"/>
  <c r="F50" i="51"/>
  <c r="F23" i="51"/>
  <c r="F80" i="51"/>
  <c r="F55" i="51"/>
  <c r="F14" i="51"/>
  <c r="F46" i="51"/>
  <c r="F13" i="51"/>
  <c r="F104" i="51"/>
  <c r="F49" i="51"/>
  <c r="F56" i="51"/>
  <c r="F79" i="51"/>
  <c r="F29" i="51"/>
  <c r="F99" i="51"/>
  <c r="F26" i="51"/>
  <c r="G26" i="51" s="1"/>
  <c r="BS26" i="13" s="1"/>
  <c r="DP26" i="13" s="1"/>
  <c r="EA13" i="12" s="1"/>
  <c r="F62" i="51"/>
  <c r="F93" i="51"/>
  <c r="F92" i="51"/>
  <c r="F96" i="51"/>
  <c r="F53" i="51"/>
  <c r="F24" i="51"/>
  <c r="F52" i="51"/>
  <c r="F10" i="51"/>
  <c r="F95" i="51"/>
  <c r="F35" i="51"/>
  <c r="F39" i="51"/>
  <c r="F61" i="51"/>
  <c r="F36" i="51"/>
  <c r="F6" i="51"/>
  <c r="F59" i="51"/>
  <c r="F9" i="51"/>
  <c r="F58" i="51"/>
  <c r="F7" i="51"/>
  <c r="F82" i="51"/>
  <c r="F92" i="57"/>
  <c r="F52" i="57"/>
  <c r="F23" i="57"/>
  <c r="F83" i="57"/>
  <c r="F47" i="57"/>
  <c r="F9" i="57"/>
  <c r="F80" i="57"/>
  <c r="F79" i="57"/>
  <c r="F6" i="57"/>
  <c r="F86" i="57"/>
  <c r="F50" i="57"/>
  <c r="F14" i="57"/>
  <c r="F46" i="57"/>
  <c r="F40" i="57"/>
  <c r="F39" i="57"/>
  <c r="F85" i="57"/>
  <c r="F49" i="57"/>
  <c r="F13" i="57"/>
  <c r="F10" i="57"/>
  <c r="F82" i="57"/>
  <c r="F7" i="57"/>
  <c r="F59" i="57"/>
  <c r="F55" i="57"/>
  <c r="F53" i="57"/>
  <c r="F102" i="57"/>
  <c r="F98" i="57"/>
  <c r="F58" i="57"/>
  <c r="F56" i="57"/>
  <c r="F36" i="57"/>
  <c r="F33" i="57"/>
  <c r="F35" i="57"/>
  <c r="F105" i="57"/>
  <c r="F104" i="57"/>
  <c r="F101" i="57"/>
  <c r="F96" i="57"/>
  <c r="F30" i="57"/>
  <c r="F95" i="57"/>
  <c r="F68" i="57"/>
  <c r="F24" i="57"/>
  <c r="F62" i="57"/>
  <c r="F61" i="57"/>
  <c r="F32" i="57"/>
  <c r="F29" i="57"/>
  <c r="F67" i="57"/>
  <c r="F93" i="57"/>
  <c r="F27" i="57"/>
  <c r="G27" i="57" s="1"/>
  <c r="CE27" i="13" s="1"/>
  <c r="F99" i="57"/>
  <c r="F26" i="57"/>
  <c r="G26" i="57" s="1"/>
  <c r="CE26" i="13" s="1"/>
  <c r="J96" i="15"/>
  <c r="J61" i="15"/>
  <c r="J38" i="15"/>
  <c r="J13" i="15"/>
  <c r="J92" i="15"/>
  <c r="J58" i="15"/>
  <c r="J9" i="15"/>
  <c r="J33" i="15"/>
  <c r="J86" i="15"/>
  <c r="J7" i="15"/>
  <c r="J31" i="15"/>
  <c r="J95" i="15"/>
  <c r="J60" i="15"/>
  <c r="J36" i="15"/>
  <c r="K36" i="15" s="1"/>
  <c r="N36" i="13" s="1"/>
  <c r="J12" i="15"/>
  <c r="J34" i="15"/>
  <c r="K34" i="15" s="1"/>
  <c r="N34" i="13" s="1"/>
  <c r="J56" i="15"/>
  <c r="J55" i="15"/>
  <c r="J53" i="15"/>
  <c r="J93" i="15"/>
  <c r="J59" i="15"/>
  <c r="J35" i="15"/>
  <c r="J10" i="15"/>
  <c r="J91" i="15"/>
  <c r="J8" i="15"/>
  <c r="J32" i="15"/>
  <c r="J85" i="15"/>
  <c r="J6" i="15"/>
  <c r="J103" i="15"/>
  <c r="J52" i="15"/>
  <c r="J19" i="15"/>
  <c r="J101" i="15"/>
  <c r="J46" i="15"/>
  <c r="J98" i="15"/>
  <c r="J97" i="15"/>
  <c r="J102" i="15"/>
  <c r="J50" i="15"/>
  <c r="J14" i="15"/>
  <c r="J49" i="15"/>
  <c r="J100" i="15"/>
  <c r="J47" i="15"/>
  <c r="J99" i="15"/>
  <c r="J45" i="15"/>
  <c r="J42" i="15"/>
  <c r="J80" i="15"/>
  <c r="J30" i="15"/>
  <c r="K30" i="15" s="1"/>
  <c r="N30" i="13" s="1"/>
  <c r="J23" i="15"/>
  <c r="J62" i="15"/>
  <c r="J83" i="15"/>
  <c r="J79" i="15"/>
  <c r="J29" i="15"/>
  <c r="K29" i="15" s="1"/>
  <c r="N29" i="13" s="1"/>
  <c r="J27" i="15"/>
  <c r="J69" i="15"/>
  <c r="J67" i="15"/>
  <c r="J104" i="15"/>
  <c r="J40" i="15"/>
  <c r="J82" i="15"/>
  <c r="J72" i="15"/>
  <c r="J26" i="15"/>
  <c r="J68" i="15"/>
  <c r="J105" i="15"/>
  <c r="J22" i="15"/>
  <c r="J24" i="15"/>
  <c r="J39" i="15"/>
  <c r="J97" i="57"/>
  <c r="J62" i="57"/>
  <c r="J39" i="57"/>
  <c r="J14" i="57"/>
  <c r="J96" i="57"/>
  <c r="J61" i="57"/>
  <c r="J38" i="57"/>
  <c r="J13" i="57"/>
  <c r="J92" i="57"/>
  <c r="J58" i="57"/>
  <c r="J34" i="57"/>
  <c r="J9" i="57"/>
  <c r="J33" i="57"/>
  <c r="J86" i="57"/>
  <c r="J85" i="57"/>
  <c r="J95" i="57"/>
  <c r="J60" i="57"/>
  <c r="J36" i="57"/>
  <c r="J12" i="57"/>
  <c r="J91" i="57"/>
  <c r="J8" i="57"/>
  <c r="J32" i="57"/>
  <c r="J31" i="57"/>
  <c r="J93" i="57"/>
  <c r="J59" i="57"/>
  <c r="J35" i="57"/>
  <c r="J10" i="57"/>
  <c r="J56" i="57"/>
  <c r="J55" i="57"/>
  <c r="J7" i="57"/>
  <c r="J53" i="57"/>
  <c r="J6" i="57"/>
  <c r="J69" i="57"/>
  <c r="J23" i="57"/>
  <c r="J105" i="57"/>
  <c r="J104" i="57"/>
  <c r="J49" i="57"/>
  <c r="J68" i="57"/>
  <c r="J22" i="57"/>
  <c r="J67" i="57"/>
  <c r="J19" i="57"/>
  <c r="J52" i="57"/>
  <c r="J50" i="57"/>
  <c r="J103" i="57"/>
  <c r="J47" i="57"/>
  <c r="J102" i="57"/>
  <c r="J99" i="57"/>
  <c r="J42" i="57"/>
  <c r="J24" i="57"/>
  <c r="J98" i="57"/>
  <c r="J40" i="57"/>
  <c r="J82" i="57"/>
  <c r="J79" i="57"/>
  <c r="J101" i="57"/>
  <c r="J100" i="57"/>
  <c r="J83" i="57"/>
  <c r="J30" i="57"/>
  <c r="J29" i="57"/>
  <c r="J27" i="57"/>
  <c r="J80" i="57"/>
  <c r="J26" i="57"/>
  <c r="K26" i="57" s="1"/>
  <c r="CF26" i="13" s="1"/>
  <c r="J72" i="57"/>
  <c r="J46" i="57"/>
  <c r="J45" i="57"/>
  <c r="E24" i="51"/>
  <c r="E47" i="51"/>
  <c r="E13" i="51"/>
  <c r="E30" i="51"/>
  <c r="E14" i="51"/>
  <c r="E29" i="51"/>
  <c r="E23" i="51"/>
  <c r="E46" i="51"/>
  <c r="E39" i="51"/>
  <c r="E10" i="51"/>
  <c r="E96" i="51"/>
  <c r="E21" i="51"/>
  <c r="E20" i="51"/>
  <c r="E40" i="51"/>
  <c r="G40" i="51" s="1"/>
  <c r="BS40" i="13" s="1"/>
  <c r="DP40" i="13" s="1"/>
  <c r="E95" i="51"/>
  <c r="E93" i="51"/>
  <c r="E92" i="51"/>
  <c r="E62" i="51"/>
  <c r="E61" i="51"/>
  <c r="E59" i="51"/>
  <c r="E36" i="51"/>
  <c r="E9" i="51"/>
  <c r="E6" i="51"/>
  <c r="E43" i="51"/>
  <c r="E58" i="51"/>
  <c r="E35" i="51"/>
  <c r="E7" i="51"/>
  <c r="E44" i="51"/>
  <c r="D102" i="51"/>
  <c r="D50" i="51"/>
  <c r="D101" i="51"/>
  <c r="G101" i="51" s="1"/>
  <c r="BS101" i="13" s="1"/>
  <c r="DP101" i="13" s="1"/>
  <c r="D86" i="51"/>
  <c r="G86" i="51" s="1"/>
  <c r="BS86" i="13" s="1"/>
  <c r="DP86" i="13" s="1"/>
  <c r="D68" i="51"/>
  <c r="D49" i="51"/>
  <c r="D56" i="51"/>
  <c r="D80" i="51"/>
  <c r="D79" i="51"/>
  <c r="D85" i="51"/>
  <c r="D67" i="51"/>
  <c r="D55" i="51"/>
  <c r="D43" i="51"/>
  <c r="D21" i="51"/>
  <c r="D53" i="51"/>
  <c r="D20" i="51"/>
  <c r="D52" i="51"/>
  <c r="D83" i="51"/>
  <c r="G83" i="51" s="1"/>
  <c r="BS83" i="13" s="1"/>
  <c r="DP83" i="13" s="1"/>
  <c r="D44" i="51"/>
  <c r="D82" i="51"/>
  <c r="G82" i="51" s="1"/>
  <c r="BS82" i="13" s="1"/>
  <c r="DP82" i="13" s="1"/>
  <c r="D67" i="59"/>
  <c r="D56" i="59"/>
  <c r="D55" i="59"/>
  <c r="D23" i="59"/>
  <c r="D21" i="59"/>
  <c r="D68" i="59"/>
  <c r="D61" i="59"/>
  <c r="D85" i="59"/>
  <c r="D20" i="59"/>
  <c r="D14" i="59"/>
  <c r="D13" i="59"/>
  <c r="D43" i="59"/>
  <c r="D36" i="59"/>
  <c r="G36" i="59" s="1"/>
  <c r="BA36" i="13" s="1"/>
  <c r="D62" i="59"/>
  <c r="G62" i="59" s="1"/>
  <c r="BA62" i="13" s="1"/>
  <c r="D44" i="59"/>
  <c r="D86" i="59"/>
  <c r="D35" i="59"/>
  <c r="D24" i="59"/>
  <c r="L62" i="59"/>
  <c r="L42" i="59"/>
  <c r="L31" i="59"/>
  <c r="L19" i="59"/>
  <c r="L78" i="59"/>
  <c r="O78" i="59" s="1"/>
  <c r="BC78" i="13" s="1"/>
  <c r="L61" i="59"/>
  <c r="O61" i="59" s="1"/>
  <c r="BC61" i="13" s="1"/>
  <c r="L51" i="59"/>
  <c r="L14" i="59"/>
  <c r="L86" i="59"/>
  <c r="L56" i="59"/>
  <c r="L23" i="59"/>
  <c r="L72" i="59"/>
  <c r="L35" i="59"/>
  <c r="L68" i="59"/>
  <c r="L55" i="59"/>
  <c r="L67" i="59"/>
  <c r="L43" i="59"/>
  <c r="L20" i="59"/>
  <c r="L81" i="59"/>
  <c r="O81" i="59" s="1"/>
  <c r="BC81" i="13" s="1"/>
  <c r="L54" i="59"/>
  <c r="L44" i="59"/>
  <c r="L21" i="59"/>
  <c r="L13" i="59"/>
  <c r="L85" i="59"/>
  <c r="L84" i="59"/>
  <c r="O84" i="59" s="1"/>
  <c r="BC84" i="13" s="1"/>
  <c r="L69" i="59"/>
  <c r="L48" i="59"/>
  <c r="O48" i="59" s="1"/>
  <c r="BC48" i="13" s="1"/>
  <c r="L36" i="59"/>
  <c r="L24" i="59"/>
  <c r="M32" i="59"/>
  <c r="M103" i="59"/>
  <c r="M91" i="59"/>
  <c r="M79" i="59"/>
  <c r="M52" i="59"/>
  <c r="M102" i="59"/>
  <c r="M86" i="59"/>
  <c r="M72" i="59"/>
  <c r="M60" i="59"/>
  <c r="M101" i="59"/>
  <c r="M49" i="59"/>
  <c r="M83" i="59"/>
  <c r="M68" i="59"/>
  <c r="M80" i="59"/>
  <c r="M97" i="59"/>
  <c r="O97" i="59" s="1"/>
  <c r="BC97" i="13" s="1"/>
  <c r="M55" i="59"/>
  <c r="M45" i="59"/>
  <c r="M22" i="59"/>
  <c r="M38" i="59" s="1"/>
  <c r="M8" i="59"/>
  <c r="M82" i="59"/>
  <c r="M44" i="59"/>
  <c r="M21" i="59"/>
  <c r="M43" i="59"/>
  <c r="M20" i="59"/>
  <c r="M5" i="59"/>
  <c r="M85" i="59"/>
  <c r="M67" i="59"/>
  <c r="M33" i="59"/>
  <c r="M53" i="59"/>
  <c r="M50" i="59"/>
  <c r="M69" i="59"/>
  <c r="M56" i="59"/>
  <c r="M12" i="59"/>
  <c r="M100" i="59"/>
  <c r="H67" i="59"/>
  <c r="H43" i="59"/>
  <c r="H20" i="59"/>
  <c r="H62" i="59"/>
  <c r="H42" i="59"/>
  <c r="H31" i="59"/>
  <c r="H19" i="59"/>
  <c r="H51" i="59"/>
  <c r="H86" i="59"/>
  <c r="H85" i="59"/>
  <c r="H48" i="59"/>
  <c r="H24" i="59"/>
  <c r="H84" i="59"/>
  <c r="K84" i="59" s="1"/>
  <c r="BB84" i="13" s="1"/>
  <c r="H69" i="59"/>
  <c r="H36" i="59"/>
  <c r="H78" i="59"/>
  <c r="K78" i="59" s="1"/>
  <c r="BB78" i="13" s="1"/>
  <c r="H14" i="59"/>
  <c r="H56" i="59"/>
  <c r="H23" i="59"/>
  <c r="H35" i="59"/>
  <c r="H55" i="59"/>
  <c r="H81" i="59"/>
  <c r="K81" i="59" s="1"/>
  <c r="BB81" i="13" s="1"/>
  <c r="H54" i="59"/>
  <c r="K54" i="59" s="1"/>
  <c r="BB54" i="13" s="1"/>
  <c r="H44" i="59"/>
  <c r="H21" i="59"/>
  <c r="H68" i="59"/>
  <c r="H61" i="59"/>
  <c r="K61" i="59" s="1"/>
  <c r="BB61" i="13" s="1"/>
  <c r="H72" i="59"/>
  <c r="H13" i="59"/>
  <c r="K13" i="59" s="1"/>
  <c r="BB13" i="13" s="1"/>
  <c r="I43" i="59"/>
  <c r="I20" i="59"/>
  <c r="I80" i="59"/>
  <c r="I53" i="59"/>
  <c r="I32" i="59"/>
  <c r="I5" i="59"/>
  <c r="I103" i="59"/>
  <c r="I91" i="59"/>
  <c r="I79" i="59"/>
  <c r="I52" i="59"/>
  <c r="K52" i="59" s="1"/>
  <c r="BB52" i="13" s="1"/>
  <c r="I100" i="59"/>
  <c r="I69" i="59"/>
  <c r="I12" i="59"/>
  <c r="I72" i="59"/>
  <c r="I56" i="59"/>
  <c r="I102" i="59"/>
  <c r="I60" i="59"/>
  <c r="I44" i="59"/>
  <c r="I83" i="59"/>
  <c r="I68" i="59"/>
  <c r="I55" i="59"/>
  <c r="I45" i="59"/>
  <c r="I22" i="59"/>
  <c r="I38" i="59" s="1"/>
  <c r="I8" i="59"/>
  <c r="I82" i="59"/>
  <c r="I21" i="59"/>
  <c r="I67" i="59"/>
  <c r="I97" i="59"/>
  <c r="I33" i="59"/>
  <c r="I86" i="59"/>
  <c r="I50" i="59"/>
  <c r="I101" i="59"/>
  <c r="I85" i="59"/>
  <c r="I49" i="59"/>
  <c r="K49" i="59" s="1"/>
  <c r="BB49" i="13" s="1"/>
  <c r="O40" i="59"/>
  <c r="BC40" i="13" s="1"/>
  <c r="O34" i="59"/>
  <c r="BC34" i="13" s="1"/>
  <c r="O26" i="59"/>
  <c r="BC26" i="13" s="1"/>
  <c r="O6" i="59"/>
  <c r="BC6" i="13" s="1"/>
  <c r="N5" i="59"/>
  <c r="O47" i="59"/>
  <c r="BC47" i="13" s="1"/>
  <c r="E67" i="59"/>
  <c r="E102" i="59"/>
  <c r="E101" i="59"/>
  <c r="E85" i="59"/>
  <c r="E80" i="59"/>
  <c r="E68" i="59"/>
  <c r="E79" i="59"/>
  <c r="E86" i="59"/>
  <c r="E56" i="59"/>
  <c r="E55" i="59"/>
  <c r="E83" i="59"/>
  <c r="E82" i="59"/>
  <c r="E53" i="59"/>
  <c r="E49" i="59"/>
  <c r="E52" i="59"/>
  <c r="E50" i="59"/>
  <c r="E33" i="59"/>
  <c r="E32" i="59"/>
  <c r="E44" i="59"/>
  <c r="E21" i="59"/>
  <c r="E20" i="59"/>
  <c r="E43" i="59"/>
  <c r="J5" i="59"/>
  <c r="K10" i="59"/>
  <c r="BB10" i="13" s="1"/>
  <c r="K6" i="59"/>
  <c r="BB6" i="13" s="1"/>
  <c r="K58" i="59"/>
  <c r="BB58" i="13" s="1"/>
  <c r="D84" i="59"/>
  <c r="G84" i="59" s="1"/>
  <c r="BA84" i="13" s="1"/>
  <c r="D69" i="59"/>
  <c r="D54" i="59"/>
  <c r="D81" i="59"/>
  <c r="G81" i="59" s="1"/>
  <c r="BA81" i="13" s="1"/>
  <c r="D19" i="59"/>
  <c r="D42" i="59"/>
  <c r="D31" i="59"/>
  <c r="D78" i="59"/>
  <c r="G78" i="59" s="1"/>
  <c r="BA78" i="13" s="1"/>
  <c r="D72" i="59"/>
  <c r="D51" i="59"/>
  <c r="G51" i="59" s="1"/>
  <c r="BA51" i="13" s="1"/>
  <c r="D48" i="59"/>
  <c r="E22" i="59"/>
  <c r="E38" i="59" s="1"/>
  <c r="E97" i="59"/>
  <c r="E45" i="59"/>
  <c r="E103" i="59"/>
  <c r="E60" i="59"/>
  <c r="E91" i="59"/>
  <c r="E12" i="59"/>
  <c r="E72" i="59"/>
  <c r="E5" i="59"/>
  <c r="E100" i="59"/>
  <c r="E8" i="59"/>
  <c r="E69" i="59"/>
  <c r="F22" i="59"/>
  <c r="G9" i="59"/>
  <c r="BA9" i="13" s="1"/>
  <c r="F34" i="59"/>
  <c r="G34" i="59" s="1"/>
  <c r="BA34" i="13" s="1"/>
  <c r="F97" i="59"/>
  <c r="F45" i="59"/>
  <c r="F19" i="59"/>
  <c r="F103" i="59"/>
  <c r="F42" i="59"/>
  <c r="F31" i="59"/>
  <c r="G31" i="59" s="1"/>
  <c r="BA31" i="13" s="1"/>
  <c r="F91" i="59"/>
  <c r="F12" i="59"/>
  <c r="F72" i="59"/>
  <c r="G26" i="59"/>
  <c r="BA26" i="13" s="1"/>
  <c r="F100" i="59"/>
  <c r="F38" i="59"/>
  <c r="F8" i="59"/>
  <c r="F5" i="59"/>
  <c r="F60" i="59"/>
  <c r="F69" i="59"/>
  <c r="G29" i="59"/>
  <c r="BA29" i="13" s="1"/>
  <c r="Z104" i="14"/>
  <c r="Z40" i="14"/>
  <c r="Z98" i="14"/>
  <c r="AA98" i="14" s="1"/>
  <c r="J98" i="13" s="1"/>
  <c r="Z55" i="14"/>
  <c r="Z9" i="14"/>
  <c r="AA9" i="14" s="1"/>
  <c r="J9" i="13" s="1"/>
  <c r="Z96" i="14"/>
  <c r="Z83" i="14"/>
  <c r="Z67" i="14"/>
  <c r="Z23" i="14"/>
  <c r="Z7" i="14"/>
  <c r="AA7" i="14" s="1"/>
  <c r="J7" i="13" s="1"/>
  <c r="Z33" i="14"/>
  <c r="Z6" i="14"/>
  <c r="AA6" i="14" s="1"/>
  <c r="J6" i="13" s="1"/>
  <c r="Z95" i="14"/>
  <c r="Z82" i="14"/>
  <c r="Z62" i="14"/>
  <c r="Z53" i="14"/>
  <c r="Z32" i="14"/>
  <c r="Z102" i="14"/>
  <c r="Z27" i="14"/>
  <c r="AA27" i="14" s="1"/>
  <c r="J27" i="13" s="1"/>
  <c r="Z101" i="14"/>
  <c r="Z56" i="14"/>
  <c r="Z39" i="14"/>
  <c r="Z80" i="14"/>
  <c r="Z26" i="14"/>
  <c r="AA26" i="14" s="1"/>
  <c r="J26" i="13" s="1"/>
  <c r="Z79" i="14"/>
  <c r="Z24" i="14"/>
  <c r="Z52" i="14"/>
  <c r="Z30" i="14"/>
  <c r="Z92" i="14"/>
  <c r="Z13" i="14"/>
  <c r="Z59" i="14"/>
  <c r="Z36" i="14"/>
  <c r="Z50" i="14"/>
  <c r="Z58" i="14"/>
  <c r="Z86" i="14"/>
  <c r="Z35" i="14"/>
  <c r="Z10" i="14"/>
  <c r="AA10" i="14" s="1"/>
  <c r="J10" i="13" s="1"/>
  <c r="Z85" i="14"/>
  <c r="Z103" i="14"/>
  <c r="Z47" i="14"/>
  <c r="Z29" i="14"/>
  <c r="Z14" i="14"/>
  <c r="Z99" i="14"/>
  <c r="AA99" i="14" s="1"/>
  <c r="J99" i="13" s="1"/>
  <c r="Z46" i="14"/>
  <c r="Z93" i="14"/>
  <c r="Z68" i="14"/>
  <c r="Z61" i="14"/>
  <c r="Z49" i="14"/>
  <c r="Z105" i="14"/>
  <c r="L85" i="14"/>
  <c r="L56" i="14"/>
  <c r="L49" i="14"/>
  <c r="L79" i="14"/>
  <c r="L50" i="14"/>
  <c r="L102" i="14"/>
  <c r="L80" i="14"/>
  <c r="L21" i="14"/>
  <c r="L53" i="14"/>
  <c r="L20" i="14"/>
  <c r="L86" i="14"/>
  <c r="L84" i="14"/>
  <c r="L67" i="14"/>
  <c r="L44" i="14"/>
  <c r="L43" i="14"/>
  <c r="L83" i="14"/>
  <c r="L82" i="14"/>
  <c r="L68" i="14"/>
  <c r="L55" i="14"/>
  <c r="L101" i="14"/>
  <c r="L33" i="14"/>
  <c r="L32" i="14"/>
  <c r="L52" i="14"/>
  <c r="H55" i="14"/>
  <c r="H101" i="14"/>
  <c r="H102" i="14"/>
  <c r="H49" i="14"/>
  <c r="H86" i="14"/>
  <c r="H79" i="14"/>
  <c r="H68" i="14"/>
  <c r="H33" i="14"/>
  <c r="H52" i="14"/>
  <c r="H20" i="14"/>
  <c r="H44" i="14"/>
  <c r="H85" i="14"/>
  <c r="H43" i="14"/>
  <c r="H56" i="14"/>
  <c r="H21" i="14"/>
  <c r="H84" i="14"/>
  <c r="K84" i="14" s="1"/>
  <c r="F84" i="13" s="1"/>
  <c r="H83" i="14"/>
  <c r="H32" i="14"/>
  <c r="H67" i="14"/>
  <c r="H53" i="14"/>
  <c r="H82" i="14"/>
  <c r="H80" i="14"/>
  <c r="H50" i="14"/>
  <c r="P32" i="14"/>
  <c r="P21" i="14"/>
  <c r="P52" i="14"/>
  <c r="P20" i="14"/>
  <c r="P80" i="14"/>
  <c r="P79" i="14"/>
  <c r="P50" i="14"/>
  <c r="P82" i="14"/>
  <c r="P55" i="14"/>
  <c r="P43" i="14"/>
  <c r="P102" i="14"/>
  <c r="P68" i="14"/>
  <c r="P44" i="14"/>
  <c r="P101" i="14"/>
  <c r="P67" i="14"/>
  <c r="P56" i="14"/>
  <c r="P86" i="14"/>
  <c r="P85" i="14"/>
  <c r="P84" i="14"/>
  <c r="S84" i="14" s="1"/>
  <c r="H84" i="13" s="1"/>
  <c r="P53" i="14"/>
  <c r="P49" i="14"/>
  <c r="P33" i="14"/>
  <c r="P83" i="14"/>
  <c r="X80" i="14"/>
  <c r="X84" i="14"/>
  <c r="AA84" i="14" s="1"/>
  <c r="J84" i="13" s="1"/>
  <c r="X68" i="14"/>
  <c r="X55" i="14"/>
  <c r="X83" i="14"/>
  <c r="AA83" i="14" s="1"/>
  <c r="J83" i="13" s="1"/>
  <c r="X67" i="14"/>
  <c r="X44" i="14"/>
  <c r="X33" i="14"/>
  <c r="X82" i="14"/>
  <c r="X53" i="14"/>
  <c r="AA53" i="14" s="1"/>
  <c r="J53" i="13" s="1"/>
  <c r="X43" i="14"/>
  <c r="X101" i="14"/>
  <c r="X56" i="14"/>
  <c r="X21" i="14"/>
  <c r="X102" i="14"/>
  <c r="X79" i="14"/>
  <c r="X50" i="14"/>
  <c r="X86" i="14"/>
  <c r="X32" i="14"/>
  <c r="X52" i="14"/>
  <c r="X85" i="14"/>
  <c r="X49" i="14"/>
  <c r="X20" i="14"/>
  <c r="U59" i="14"/>
  <c r="U39" i="14"/>
  <c r="U14" i="14"/>
  <c r="U95" i="14"/>
  <c r="U62" i="14"/>
  <c r="U94" i="14"/>
  <c r="W94" i="14" s="1"/>
  <c r="I94" i="13" s="1"/>
  <c r="U61" i="14"/>
  <c r="U93" i="14"/>
  <c r="U24" i="14"/>
  <c r="U23" i="14"/>
  <c r="U46" i="14"/>
  <c r="U30" i="14"/>
  <c r="U47" i="14"/>
  <c r="U29" i="14"/>
  <c r="U35" i="14"/>
  <c r="U96" i="14"/>
  <c r="U36" i="14"/>
  <c r="U92" i="14"/>
  <c r="U13" i="14"/>
  <c r="U58" i="14"/>
  <c r="U40" i="14"/>
  <c r="V102" i="14"/>
  <c r="V49" i="14"/>
  <c r="V29" i="14"/>
  <c r="V95" i="14"/>
  <c r="V82" i="14"/>
  <c r="V62" i="14"/>
  <c r="V53" i="14"/>
  <c r="V6" i="14"/>
  <c r="W6" i="14" s="1"/>
  <c r="I6" i="13" s="1"/>
  <c r="V32" i="14"/>
  <c r="V61" i="14"/>
  <c r="V52" i="14"/>
  <c r="V105" i="14"/>
  <c r="V93" i="14"/>
  <c r="V80" i="14"/>
  <c r="V104" i="14"/>
  <c r="V40" i="14"/>
  <c r="V101" i="14"/>
  <c r="V56" i="14"/>
  <c r="V39" i="14"/>
  <c r="V79" i="14"/>
  <c r="V23" i="14"/>
  <c r="V55" i="14"/>
  <c r="V99" i="14"/>
  <c r="W99" i="14" s="1"/>
  <c r="I99" i="13" s="1"/>
  <c r="V36" i="14"/>
  <c r="V103" i="14"/>
  <c r="V47" i="14"/>
  <c r="V27" i="14"/>
  <c r="W27" i="14" s="1"/>
  <c r="I27" i="13" s="1"/>
  <c r="V26" i="14"/>
  <c r="W26" i="14" s="1"/>
  <c r="I26" i="13" s="1"/>
  <c r="V68" i="14"/>
  <c r="V24" i="14"/>
  <c r="V85" i="14"/>
  <c r="V33" i="14"/>
  <c r="V7" i="14"/>
  <c r="W7" i="14" s="1"/>
  <c r="I7" i="13" s="1"/>
  <c r="V50" i="14"/>
  <c r="V30" i="14"/>
  <c r="V46" i="14"/>
  <c r="V98" i="14"/>
  <c r="V83" i="14"/>
  <c r="V14" i="14"/>
  <c r="V86" i="14"/>
  <c r="V13" i="14"/>
  <c r="V10" i="14"/>
  <c r="W10" i="14" s="1"/>
  <c r="I10" i="13" s="1"/>
  <c r="V96" i="14"/>
  <c r="V92" i="14"/>
  <c r="V67" i="14"/>
  <c r="V59" i="14"/>
  <c r="V58" i="14"/>
  <c r="V9" i="14"/>
  <c r="W9" i="14" s="1"/>
  <c r="I9" i="13" s="1"/>
  <c r="V35" i="14"/>
  <c r="Y93" i="14"/>
  <c r="Y46" i="14"/>
  <c r="Y35" i="14"/>
  <c r="Y24" i="14"/>
  <c r="Y96" i="14"/>
  <c r="Y23" i="14"/>
  <c r="Y95" i="14"/>
  <c r="Y62" i="14"/>
  <c r="Y58" i="14"/>
  <c r="Y40" i="14"/>
  <c r="Y39" i="14"/>
  <c r="Y13" i="14"/>
  <c r="Y92" i="14"/>
  <c r="Y59" i="14"/>
  <c r="Y36" i="14"/>
  <c r="Y30" i="14"/>
  <c r="Y47" i="14"/>
  <c r="Y14" i="14"/>
  <c r="Y61" i="14"/>
  <c r="Y94" i="14"/>
  <c r="Y29" i="14"/>
  <c r="AC94" i="14"/>
  <c r="AE94" i="14" s="1"/>
  <c r="K94" i="13" s="1"/>
  <c r="AC47" i="14"/>
  <c r="AC36" i="14"/>
  <c r="AC46" i="14"/>
  <c r="AC35" i="14"/>
  <c r="AC24" i="14"/>
  <c r="AC96" i="14"/>
  <c r="AC23" i="14"/>
  <c r="AC40" i="14"/>
  <c r="AC58" i="14"/>
  <c r="AC92" i="14"/>
  <c r="AC59" i="14"/>
  <c r="AC13" i="14"/>
  <c r="AC62" i="14"/>
  <c r="AC61" i="14"/>
  <c r="AC95" i="14"/>
  <c r="AC93" i="14"/>
  <c r="AC39" i="14"/>
  <c r="AC14" i="14"/>
  <c r="AC30" i="14"/>
  <c r="AC29" i="14"/>
  <c r="I59" i="14"/>
  <c r="I39" i="14"/>
  <c r="I14" i="14"/>
  <c r="I29" i="14"/>
  <c r="I58" i="14"/>
  <c r="I13" i="14"/>
  <c r="I47" i="14"/>
  <c r="I36" i="14"/>
  <c r="I35" i="14"/>
  <c r="I95" i="14"/>
  <c r="I94" i="14"/>
  <c r="K94" i="14" s="1"/>
  <c r="F94" i="13" s="1"/>
  <c r="I92" i="14"/>
  <c r="I24" i="14"/>
  <c r="I96" i="14"/>
  <c r="I62" i="14"/>
  <c r="I23" i="14"/>
  <c r="I93" i="14"/>
  <c r="I61" i="14"/>
  <c r="I40" i="14"/>
  <c r="I30" i="14"/>
  <c r="I46" i="14"/>
  <c r="D67" i="57"/>
  <c r="D44" i="57"/>
  <c r="D102" i="57"/>
  <c r="D56" i="57"/>
  <c r="D50" i="57"/>
  <c r="D55" i="57"/>
  <c r="D49" i="57"/>
  <c r="D101" i="57"/>
  <c r="D68" i="57"/>
  <c r="D33" i="57"/>
  <c r="D83" i="57"/>
  <c r="D52" i="57"/>
  <c r="D98" i="57"/>
  <c r="D53" i="57"/>
  <c r="D32" i="57"/>
  <c r="D85" i="57"/>
  <c r="D86" i="57"/>
  <c r="D43" i="57"/>
  <c r="D99" i="57"/>
  <c r="D21" i="57"/>
  <c r="D20" i="57"/>
  <c r="D82" i="57"/>
  <c r="Q58" i="14"/>
  <c r="Q13" i="14"/>
  <c r="Q94" i="14"/>
  <c r="S94" i="14" s="1"/>
  <c r="H94" i="13" s="1"/>
  <c r="Q61" i="14"/>
  <c r="Q40" i="14"/>
  <c r="Q93" i="14"/>
  <c r="Q92" i="14"/>
  <c r="Q30" i="14"/>
  <c r="Q23" i="14"/>
  <c r="Q36" i="14"/>
  <c r="Q14" i="14"/>
  <c r="Q59" i="14"/>
  <c r="Q47" i="14"/>
  <c r="Q62" i="14"/>
  <c r="Q39" i="14"/>
  <c r="Q46" i="14"/>
  <c r="Q24" i="14"/>
  <c r="Q96" i="14"/>
  <c r="Q95" i="14"/>
  <c r="Q35" i="14"/>
  <c r="Q29" i="14"/>
  <c r="E95" i="57"/>
  <c r="E98" i="57"/>
  <c r="E82" i="57"/>
  <c r="E80" i="57"/>
  <c r="E55" i="57"/>
  <c r="E49" i="57"/>
  <c r="E35" i="57"/>
  <c r="E13" i="57"/>
  <c r="E30" i="57"/>
  <c r="E47" i="57"/>
  <c r="E79" i="57"/>
  <c r="E33" i="57"/>
  <c r="E101" i="57"/>
  <c r="E32" i="57"/>
  <c r="E29" i="57"/>
  <c r="G29" i="57" s="1"/>
  <c r="CE29" i="13" s="1"/>
  <c r="E68" i="57"/>
  <c r="E24" i="57"/>
  <c r="E83" i="57"/>
  <c r="E46" i="57"/>
  <c r="E92" i="57"/>
  <c r="E67" i="57"/>
  <c r="E14" i="57"/>
  <c r="E62" i="57"/>
  <c r="G62" i="57" s="1"/>
  <c r="CE62" i="13" s="1"/>
  <c r="E61" i="57"/>
  <c r="E50" i="57"/>
  <c r="E105" i="57"/>
  <c r="E85" i="57"/>
  <c r="E23" i="57"/>
  <c r="E52" i="57"/>
  <c r="E86" i="57"/>
  <c r="E59" i="57"/>
  <c r="E96" i="57"/>
  <c r="E93" i="57"/>
  <c r="E44" i="57"/>
  <c r="E104" i="57"/>
  <c r="E43" i="57"/>
  <c r="E56" i="57"/>
  <c r="E53" i="57"/>
  <c r="E102" i="57"/>
  <c r="E21" i="57"/>
  <c r="E99" i="57"/>
  <c r="E20" i="57"/>
  <c r="E58" i="57"/>
  <c r="E39" i="57"/>
  <c r="E40" i="57"/>
  <c r="E36" i="57"/>
  <c r="R101" i="14"/>
  <c r="R86" i="14"/>
  <c r="R61" i="14"/>
  <c r="R52" i="14"/>
  <c r="R79" i="14"/>
  <c r="R105" i="14"/>
  <c r="R93" i="14"/>
  <c r="R80" i="14"/>
  <c r="R104" i="14"/>
  <c r="R40" i="14"/>
  <c r="R50" i="14"/>
  <c r="R103" i="14"/>
  <c r="R92" i="14"/>
  <c r="R30" i="14"/>
  <c r="R59" i="14"/>
  <c r="R39" i="14"/>
  <c r="R14" i="14"/>
  <c r="R55" i="14"/>
  <c r="R98" i="14"/>
  <c r="R35" i="14"/>
  <c r="R99" i="14"/>
  <c r="S99" i="14" s="1"/>
  <c r="H99" i="13" s="1"/>
  <c r="R36" i="14"/>
  <c r="R96" i="14"/>
  <c r="R53" i="14"/>
  <c r="R10" i="14"/>
  <c r="S10" i="14" s="1"/>
  <c r="H10" i="13" s="1"/>
  <c r="R95" i="14"/>
  <c r="R62" i="14"/>
  <c r="R13" i="14"/>
  <c r="R47" i="14"/>
  <c r="R27" i="14"/>
  <c r="S27" i="14" s="1"/>
  <c r="H27" i="13" s="1"/>
  <c r="R102" i="14"/>
  <c r="R26" i="14"/>
  <c r="S26" i="14" s="1"/>
  <c r="H26" i="13" s="1"/>
  <c r="R46" i="14"/>
  <c r="R68" i="14"/>
  <c r="R24" i="14"/>
  <c r="R67" i="14"/>
  <c r="R23" i="14"/>
  <c r="R58" i="14"/>
  <c r="R6" i="14"/>
  <c r="S6" i="14" s="1"/>
  <c r="H6" i="13" s="1"/>
  <c r="R56" i="14"/>
  <c r="R83" i="14"/>
  <c r="R9" i="14"/>
  <c r="S9" i="14" s="1"/>
  <c r="H9" i="13" s="1"/>
  <c r="R82" i="14"/>
  <c r="S82" i="14" s="1"/>
  <c r="H82" i="13" s="1"/>
  <c r="R49" i="14"/>
  <c r="R33" i="14"/>
  <c r="R85" i="14"/>
  <c r="R32" i="14"/>
  <c r="R29" i="14"/>
  <c r="R7" i="14"/>
  <c r="S7" i="14" s="1"/>
  <c r="H7" i="13" s="1"/>
  <c r="J5" i="57"/>
  <c r="K27" i="57"/>
  <c r="CF27" i="13" s="1"/>
  <c r="J96" i="14"/>
  <c r="J83" i="14"/>
  <c r="J67" i="14"/>
  <c r="J23" i="14"/>
  <c r="J7" i="14"/>
  <c r="K7" i="14" s="1"/>
  <c r="F7" i="13" s="1"/>
  <c r="J102" i="14"/>
  <c r="J49" i="14"/>
  <c r="J29" i="14"/>
  <c r="J58" i="14"/>
  <c r="J13" i="14"/>
  <c r="J36" i="14"/>
  <c r="J101" i="14"/>
  <c r="J86" i="14"/>
  <c r="J47" i="14"/>
  <c r="J27" i="14"/>
  <c r="K27" i="14" s="1"/>
  <c r="F27" i="13" s="1"/>
  <c r="J85" i="14"/>
  <c r="J56" i="14"/>
  <c r="J26" i="14"/>
  <c r="K26" i="14" s="1"/>
  <c r="F26" i="13" s="1"/>
  <c r="J95" i="14"/>
  <c r="J52" i="14"/>
  <c r="K52" i="14" s="1"/>
  <c r="F52" i="13" s="1"/>
  <c r="J68" i="14"/>
  <c r="J33" i="14"/>
  <c r="J14" i="14"/>
  <c r="J40" i="14"/>
  <c r="J10" i="14"/>
  <c r="K10" i="14" s="1"/>
  <c r="F10" i="13" s="1"/>
  <c r="J39" i="14"/>
  <c r="J98" i="14"/>
  <c r="K98" i="14" s="1"/>
  <c r="F98" i="13" s="1"/>
  <c r="J62" i="14"/>
  <c r="J61" i="14"/>
  <c r="J55" i="14"/>
  <c r="J93" i="14"/>
  <c r="J59" i="14"/>
  <c r="J9" i="14"/>
  <c r="K9" i="14" s="1"/>
  <c r="F9" i="13" s="1"/>
  <c r="J92" i="14"/>
  <c r="J103" i="14"/>
  <c r="J99" i="14"/>
  <c r="K99" i="14" s="1"/>
  <c r="F99" i="13" s="1"/>
  <c r="J32" i="14"/>
  <c r="J82" i="14"/>
  <c r="J80" i="14"/>
  <c r="J24" i="14"/>
  <c r="J6" i="14"/>
  <c r="K6" i="14" s="1"/>
  <c r="F6" i="13" s="1"/>
  <c r="J53" i="14"/>
  <c r="J50" i="14"/>
  <c r="J105" i="14"/>
  <c r="J104" i="14"/>
  <c r="J46" i="14"/>
  <c r="J30" i="14"/>
  <c r="J79" i="14"/>
  <c r="K79" i="14" s="1"/>
  <c r="F79" i="13" s="1"/>
  <c r="J35" i="14"/>
  <c r="I98" i="57"/>
  <c r="I79" i="57"/>
  <c r="I62" i="57"/>
  <c r="I29" i="57"/>
  <c r="K29" i="57" s="1"/>
  <c r="CF29" i="13" s="1"/>
  <c r="I14" i="57"/>
  <c r="I93" i="57"/>
  <c r="I82" i="57"/>
  <c r="I32" i="57"/>
  <c r="I21" i="57"/>
  <c r="I68" i="57"/>
  <c r="I56" i="57"/>
  <c r="I100" i="57"/>
  <c r="K100" i="57" s="1"/>
  <c r="CF100" i="13" s="1"/>
  <c r="I92" i="57"/>
  <c r="I49" i="57"/>
  <c r="I40" i="57"/>
  <c r="I20" i="57"/>
  <c r="I5" i="57"/>
  <c r="I99" i="57"/>
  <c r="I91" i="57"/>
  <c r="I80" i="57"/>
  <c r="I67" i="57"/>
  <c r="I55" i="57"/>
  <c r="I39" i="57"/>
  <c r="I30" i="57"/>
  <c r="K30" i="57" s="1"/>
  <c r="CF30" i="13" s="1"/>
  <c r="I58" i="57"/>
  <c r="I43" i="57"/>
  <c r="I24" i="57"/>
  <c r="I105" i="57"/>
  <c r="I53" i="57"/>
  <c r="I23" i="57"/>
  <c r="I104" i="57"/>
  <c r="I72" i="57"/>
  <c r="I96" i="57"/>
  <c r="I95" i="57"/>
  <c r="I101" i="57"/>
  <c r="I102" i="57"/>
  <c r="I83" i="57"/>
  <c r="I35" i="57"/>
  <c r="K35" i="57" s="1"/>
  <c r="CF35" i="13" s="1"/>
  <c r="I8" i="57"/>
  <c r="I61" i="57"/>
  <c r="I44" i="57"/>
  <c r="I60" i="57"/>
  <c r="K60" i="57" s="1"/>
  <c r="CF60" i="13" s="1"/>
  <c r="I13" i="57"/>
  <c r="I85" i="57"/>
  <c r="I52" i="57"/>
  <c r="I103" i="57"/>
  <c r="I36" i="57"/>
  <c r="I59" i="57"/>
  <c r="K59" i="57" s="1"/>
  <c r="CF59" i="13" s="1"/>
  <c r="I12" i="57"/>
  <c r="I33" i="57"/>
  <c r="I50" i="57"/>
  <c r="I86" i="57"/>
  <c r="I69" i="57"/>
  <c r="I47" i="57"/>
  <c r="I46" i="57"/>
  <c r="I97" i="57"/>
  <c r="K97" i="57" s="1"/>
  <c r="CF97" i="13" s="1"/>
  <c r="I45" i="57"/>
  <c r="I22" i="57"/>
  <c r="I38" i="57" s="1"/>
  <c r="AH33" i="14"/>
  <c r="AH6" i="14"/>
  <c r="AI6" i="14" s="1"/>
  <c r="L6" i="13" s="1"/>
  <c r="AH58" i="14"/>
  <c r="AH13" i="14"/>
  <c r="AH55" i="14"/>
  <c r="AH101" i="14"/>
  <c r="AH86" i="14"/>
  <c r="AH47" i="14"/>
  <c r="AH36" i="14"/>
  <c r="AH27" i="14"/>
  <c r="AI27" i="14" s="1"/>
  <c r="L27" i="13" s="1"/>
  <c r="AH85" i="14"/>
  <c r="AH56" i="14"/>
  <c r="AH26" i="14"/>
  <c r="AI26" i="14" s="1"/>
  <c r="L26" i="13" s="1"/>
  <c r="AH99" i="14"/>
  <c r="AI99" i="14" s="1"/>
  <c r="L99" i="13" s="1"/>
  <c r="AH68" i="14"/>
  <c r="AH46" i="14"/>
  <c r="AH35" i="14"/>
  <c r="AH24" i="14"/>
  <c r="AH10" i="14"/>
  <c r="AI10" i="14" s="1"/>
  <c r="L10" i="13" s="1"/>
  <c r="AH98" i="14"/>
  <c r="AI98" i="14" s="1"/>
  <c r="L98" i="13" s="1"/>
  <c r="AH61" i="14"/>
  <c r="AH23" i="14"/>
  <c r="AH92" i="14"/>
  <c r="AH29" i="14"/>
  <c r="AH105" i="14"/>
  <c r="AH79" i="14"/>
  <c r="AH104" i="14"/>
  <c r="AH49" i="14"/>
  <c r="AH82" i="14"/>
  <c r="AH30" i="14"/>
  <c r="AH40" i="14"/>
  <c r="AH52" i="14"/>
  <c r="AH103" i="14"/>
  <c r="AH14" i="14"/>
  <c r="AH80" i="14"/>
  <c r="AH50" i="14"/>
  <c r="AH67" i="14"/>
  <c r="AH32" i="14"/>
  <c r="AH93" i="14"/>
  <c r="AH59" i="14"/>
  <c r="AH39" i="14"/>
  <c r="AH102" i="14"/>
  <c r="AH96" i="14"/>
  <c r="AH95" i="14"/>
  <c r="AH83" i="14"/>
  <c r="AH9" i="14"/>
  <c r="AI9" i="14" s="1"/>
  <c r="L9" i="13" s="1"/>
  <c r="AH62" i="14"/>
  <c r="AH7" i="14"/>
  <c r="AI7" i="14" s="1"/>
  <c r="L7" i="13" s="1"/>
  <c r="AH53" i="14"/>
  <c r="AF83" i="14"/>
  <c r="AF67" i="14"/>
  <c r="AF102" i="14"/>
  <c r="AF49" i="14"/>
  <c r="AF84" i="14"/>
  <c r="AI84" i="14" s="1"/>
  <c r="L84" i="13" s="1"/>
  <c r="AF101" i="14"/>
  <c r="AF86" i="14"/>
  <c r="AF85" i="14"/>
  <c r="AF56" i="14"/>
  <c r="AF68" i="14"/>
  <c r="AF44" i="14"/>
  <c r="AF43" i="14"/>
  <c r="AF50" i="14"/>
  <c r="AF20" i="14"/>
  <c r="AF53" i="14"/>
  <c r="AF82" i="14"/>
  <c r="AF52" i="14"/>
  <c r="AF79" i="14"/>
  <c r="AF80" i="14"/>
  <c r="AF21" i="14"/>
  <c r="AF32" i="14"/>
  <c r="AF55" i="14"/>
  <c r="AF33" i="14"/>
  <c r="AD61" i="14"/>
  <c r="AD52" i="14"/>
  <c r="AD85" i="14"/>
  <c r="AD56" i="14"/>
  <c r="AD26" i="14"/>
  <c r="AE26" i="14" s="1"/>
  <c r="K26" i="13" s="1"/>
  <c r="AD99" i="14"/>
  <c r="AE99" i="14" s="1"/>
  <c r="K99" i="13" s="1"/>
  <c r="AD68" i="14"/>
  <c r="AD46" i="14"/>
  <c r="AD35" i="14"/>
  <c r="AD24" i="14"/>
  <c r="AD98" i="14"/>
  <c r="AE98" i="14" s="1"/>
  <c r="K98" i="13" s="1"/>
  <c r="AD55" i="14"/>
  <c r="AD10" i="14"/>
  <c r="AD96" i="14"/>
  <c r="AD83" i="14"/>
  <c r="AD67" i="14"/>
  <c r="AD23" i="14"/>
  <c r="AD9" i="14"/>
  <c r="AE9" i="14" s="1"/>
  <c r="K9" i="13" s="1"/>
  <c r="AD33" i="14"/>
  <c r="AD7" i="14"/>
  <c r="AE7" i="14" s="1"/>
  <c r="K7" i="13" s="1"/>
  <c r="AD58" i="14"/>
  <c r="AD79" i="14"/>
  <c r="AD102" i="14"/>
  <c r="AD80" i="14"/>
  <c r="AD40" i="14"/>
  <c r="AD27" i="14"/>
  <c r="AE27" i="14" s="1"/>
  <c r="K27" i="13" s="1"/>
  <c r="AD101" i="14"/>
  <c r="AD39" i="14"/>
  <c r="AD59" i="14"/>
  <c r="AD13" i="14"/>
  <c r="AD53" i="14"/>
  <c r="AD95" i="14"/>
  <c r="AD62" i="14"/>
  <c r="AD6" i="14"/>
  <c r="AE6" i="14" s="1"/>
  <c r="K6" i="13" s="1"/>
  <c r="AD47" i="14"/>
  <c r="AD93" i="14"/>
  <c r="AD86" i="14"/>
  <c r="AD14" i="14"/>
  <c r="AD92" i="14"/>
  <c r="AD36" i="14"/>
  <c r="AD104" i="14"/>
  <c r="AD32" i="14"/>
  <c r="AD82" i="14"/>
  <c r="AD50" i="14"/>
  <c r="AD105" i="14"/>
  <c r="AD49" i="14"/>
  <c r="AD103" i="14"/>
  <c r="AD30" i="14"/>
  <c r="AD29" i="14"/>
  <c r="Z60" i="14"/>
  <c r="V91" i="14"/>
  <c r="J45" i="14"/>
  <c r="J34" i="14"/>
  <c r="AH72" i="14"/>
  <c r="AH38" i="14"/>
  <c r="V22" i="14"/>
  <c r="J91" i="14"/>
  <c r="F26" i="14"/>
  <c r="G26" i="14" s="1"/>
  <c r="E26" i="13" s="1"/>
  <c r="N72" i="14"/>
  <c r="J12" i="14"/>
  <c r="Z45" i="14"/>
  <c r="Z34" i="14"/>
  <c r="R31" i="14"/>
  <c r="J72" i="14"/>
  <c r="J38" i="14"/>
  <c r="AH69" i="14"/>
  <c r="AH12" i="14"/>
  <c r="R60" i="14"/>
  <c r="N91" i="14"/>
  <c r="N38" i="14"/>
  <c r="AD45" i="14"/>
  <c r="AD34" i="14"/>
  <c r="Z22" i="14"/>
  <c r="V31" i="14"/>
  <c r="J69" i="14"/>
  <c r="V60" i="14"/>
  <c r="AH45" i="14"/>
  <c r="R38" i="14"/>
  <c r="AH60" i="14"/>
  <c r="R72" i="14"/>
  <c r="F33" i="14"/>
  <c r="AH91" i="14"/>
  <c r="AH22" i="14"/>
  <c r="R69" i="14"/>
  <c r="V38" i="14"/>
  <c r="R22" i="14"/>
  <c r="N69" i="14"/>
  <c r="AD22" i="14"/>
  <c r="N34" i="14"/>
  <c r="V72" i="14"/>
  <c r="AD12" i="14"/>
  <c r="AD38" i="14"/>
  <c r="V69" i="14"/>
  <c r="N60" i="14"/>
  <c r="N12" i="14"/>
  <c r="F29" i="14"/>
  <c r="Z31" i="14"/>
  <c r="R12" i="14"/>
  <c r="AH31" i="14"/>
  <c r="Z38" i="14"/>
  <c r="N45" i="14"/>
  <c r="Z91" i="14"/>
  <c r="Z12" i="14"/>
  <c r="J22" i="14"/>
  <c r="F27" i="14"/>
  <c r="G27" i="14" s="1"/>
  <c r="E27" i="13" s="1"/>
  <c r="R91" i="14"/>
  <c r="AD60" i="14"/>
  <c r="N22" i="14"/>
  <c r="F32" i="14"/>
  <c r="R45" i="14"/>
  <c r="J60" i="14"/>
  <c r="F30" i="14"/>
  <c r="AD91" i="14"/>
  <c r="V34" i="14"/>
  <c r="W34" i="14" s="1"/>
  <c r="I34" i="13" s="1"/>
  <c r="Z72" i="14"/>
  <c r="N31" i="14"/>
  <c r="R34" i="14"/>
  <c r="S34" i="14" s="1"/>
  <c r="H34" i="13" s="1"/>
  <c r="AD31" i="14"/>
  <c r="F24" i="14"/>
  <c r="F40" i="14"/>
  <c r="F39" i="14"/>
  <c r="AD72" i="14"/>
  <c r="AD69" i="14"/>
  <c r="J31" i="14"/>
  <c r="V12" i="14"/>
  <c r="Z69" i="14"/>
  <c r="F14" i="14"/>
  <c r="V45" i="14"/>
  <c r="AH34" i="14"/>
  <c r="AI34" i="14" s="1"/>
  <c r="L34" i="13" s="1"/>
  <c r="T44" i="14"/>
  <c r="T33" i="14"/>
  <c r="T82" i="14"/>
  <c r="T53" i="14"/>
  <c r="T43" i="14"/>
  <c r="T32" i="14"/>
  <c r="T21" i="14"/>
  <c r="T52" i="14"/>
  <c r="T20" i="14"/>
  <c r="T80" i="14"/>
  <c r="T83" i="14"/>
  <c r="T55" i="14"/>
  <c r="T101" i="14"/>
  <c r="T56" i="14"/>
  <c r="T79" i="14"/>
  <c r="T68" i="14"/>
  <c r="T85" i="14"/>
  <c r="W85" i="14" s="1"/>
  <c r="I85" i="13" s="1"/>
  <c r="T84" i="14"/>
  <c r="W84" i="14" s="1"/>
  <c r="I84" i="13" s="1"/>
  <c r="T50" i="14"/>
  <c r="T102" i="14"/>
  <c r="T49" i="14"/>
  <c r="T86" i="14"/>
  <c r="T67" i="14"/>
  <c r="AG45" i="14"/>
  <c r="AC42" i="14"/>
  <c r="Y19" i="14"/>
  <c r="Q38" i="14"/>
  <c r="Q28" i="14"/>
  <c r="AG91" i="14"/>
  <c r="AC12" i="14"/>
  <c r="Q42" i="14"/>
  <c r="M60" i="14"/>
  <c r="AG38" i="14"/>
  <c r="AG28" i="14"/>
  <c r="AI28" i="14" s="1"/>
  <c r="L28" i="13" s="1"/>
  <c r="U22" i="14"/>
  <c r="M103" i="14"/>
  <c r="I91" i="14"/>
  <c r="Y45" i="14"/>
  <c r="U42" i="14"/>
  <c r="Q19" i="14"/>
  <c r="I38" i="14"/>
  <c r="I28" i="14"/>
  <c r="K28" i="14" s="1"/>
  <c r="F28" i="13" s="1"/>
  <c r="AG12" i="14"/>
  <c r="Q60" i="14"/>
  <c r="M91" i="14"/>
  <c r="AC45" i="14"/>
  <c r="Y22" i="14"/>
  <c r="U19" i="14"/>
  <c r="Q103" i="14"/>
  <c r="M38" i="14"/>
  <c r="M28" i="14"/>
  <c r="O28" i="14" s="1"/>
  <c r="G28" i="13" s="1"/>
  <c r="I12" i="14"/>
  <c r="AC103" i="14"/>
  <c r="AC28" i="14"/>
  <c r="AE28" i="14" s="1"/>
  <c r="K28" i="13" s="1"/>
  <c r="I19" i="14"/>
  <c r="U38" i="14"/>
  <c r="Q22" i="14"/>
  <c r="M19" i="14"/>
  <c r="AG42" i="14"/>
  <c r="AG60" i="14"/>
  <c r="AC22" i="14"/>
  <c r="AG103" i="14"/>
  <c r="Q45" i="14"/>
  <c r="I60" i="14"/>
  <c r="AG19" i="14"/>
  <c r="AC38" i="14"/>
  <c r="AC91" i="14"/>
  <c r="Y60" i="14"/>
  <c r="I45" i="14"/>
  <c r="AC19" i="14"/>
  <c r="M45" i="14"/>
  <c r="Q91" i="14"/>
  <c r="Y38" i="14"/>
  <c r="Q12" i="14"/>
  <c r="AG22" i="14"/>
  <c r="Y91" i="14"/>
  <c r="Y12" i="14"/>
  <c r="I42" i="14"/>
  <c r="I22" i="14"/>
  <c r="AC60" i="14"/>
  <c r="U28" i="14"/>
  <c r="W28" i="14" s="1"/>
  <c r="I28" i="13" s="1"/>
  <c r="M42" i="14"/>
  <c r="M22" i="14"/>
  <c r="U103" i="14"/>
  <c r="M12" i="14"/>
  <c r="I103" i="14"/>
  <c r="Y103" i="14"/>
  <c r="U12" i="14"/>
  <c r="Y42" i="14"/>
  <c r="U60" i="14"/>
  <c r="Y28" i="14"/>
  <c r="U45" i="14"/>
  <c r="U91" i="14"/>
  <c r="H86" i="57"/>
  <c r="H101" i="57"/>
  <c r="H50" i="57"/>
  <c r="K50" i="57" s="1"/>
  <c r="CF50" i="13" s="1"/>
  <c r="H42" i="57"/>
  <c r="H82" i="57"/>
  <c r="H32" i="57"/>
  <c r="H21" i="57"/>
  <c r="H81" i="57"/>
  <c r="K81" i="57" s="1"/>
  <c r="CF81" i="13" s="1"/>
  <c r="H68" i="57"/>
  <c r="H56" i="57"/>
  <c r="H49" i="57"/>
  <c r="H31" i="57"/>
  <c r="H20" i="57"/>
  <c r="H48" i="57"/>
  <c r="H67" i="57"/>
  <c r="H55" i="57"/>
  <c r="H19" i="57"/>
  <c r="H79" i="57"/>
  <c r="H78" i="57"/>
  <c r="K78" i="57" s="1"/>
  <c r="CF78" i="13" s="1"/>
  <c r="H54" i="57"/>
  <c r="K54" i="57" s="1"/>
  <c r="CF54" i="13" s="1"/>
  <c r="H43" i="57"/>
  <c r="H53" i="57"/>
  <c r="H102" i="57"/>
  <c r="H83" i="57"/>
  <c r="H85" i="57"/>
  <c r="H52" i="57"/>
  <c r="H44" i="57"/>
  <c r="H80" i="57"/>
  <c r="H84" i="57"/>
  <c r="K84" i="57" s="1"/>
  <c r="CF84" i="13" s="1"/>
  <c r="H51" i="57"/>
  <c r="H99" i="57"/>
  <c r="H33" i="57"/>
  <c r="H98" i="57"/>
  <c r="H72" i="57"/>
  <c r="H69" i="57"/>
  <c r="M40" i="14"/>
  <c r="M92" i="14"/>
  <c r="M30" i="14"/>
  <c r="M59" i="14"/>
  <c r="M39" i="14"/>
  <c r="M14" i="14"/>
  <c r="M29" i="14"/>
  <c r="M58" i="14"/>
  <c r="M13" i="14"/>
  <c r="M36" i="14"/>
  <c r="M96" i="14"/>
  <c r="M35" i="14"/>
  <c r="M24" i="14"/>
  <c r="M95" i="14"/>
  <c r="M62" i="14"/>
  <c r="M23" i="14"/>
  <c r="M94" i="14"/>
  <c r="O94" i="14" s="1"/>
  <c r="G94" i="13" s="1"/>
  <c r="M93" i="14"/>
  <c r="M61" i="14"/>
  <c r="M47" i="14"/>
  <c r="M46" i="14"/>
  <c r="AG96" i="14"/>
  <c r="AG23" i="14"/>
  <c r="AG29" i="14"/>
  <c r="AG35" i="14"/>
  <c r="AG58" i="14"/>
  <c r="AI58" i="14" s="1"/>
  <c r="L58" i="13" s="1"/>
  <c r="AG13" i="14"/>
  <c r="AG47" i="14"/>
  <c r="AG36" i="14"/>
  <c r="AG46" i="14"/>
  <c r="AG24" i="14"/>
  <c r="AG93" i="14"/>
  <c r="AG30" i="14"/>
  <c r="AG61" i="14"/>
  <c r="AG92" i="14"/>
  <c r="AG95" i="14"/>
  <c r="AG94" i="14"/>
  <c r="AI94" i="14" s="1"/>
  <c r="L94" i="13" s="1"/>
  <c r="AG14" i="14"/>
  <c r="AG59" i="14"/>
  <c r="AG62" i="14"/>
  <c r="AG40" i="14"/>
  <c r="AG39" i="14"/>
  <c r="AB81" i="14"/>
  <c r="X51" i="14"/>
  <c r="X31" i="14"/>
  <c r="X12" i="14" s="1"/>
  <c r="T78" i="14"/>
  <c r="W78" i="14" s="1"/>
  <c r="I78" i="13" s="1"/>
  <c r="P72" i="14"/>
  <c r="P48" i="14"/>
  <c r="S48" i="14" s="1"/>
  <c r="H48" i="13" s="1"/>
  <c r="AB100" i="14"/>
  <c r="AE100" i="14" s="1"/>
  <c r="K100" i="13" s="1"/>
  <c r="AB69" i="14"/>
  <c r="P81" i="14"/>
  <c r="L19" i="14"/>
  <c r="H78" i="14"/>
  <c r="K78" i="14" s="1"/>
  <c r="F78" i="13" s="1"/>
  <c r="P19" i="14"/>
  <c r="AF72" i="14"/>
  <c r="AF48" i="14"/>
  <c r="P42" i="14"/>
  <c r="AF57" i="14"/>
  <c r="AI57" i="14" s="1"/>
  <c r="L57" i="13" s="1"/>
  <c r="T81" i="14"/>
  <c r="P51" i="14"/>
  <c r="P31" i="14"/>
  <c r="P12" i="14" s="1"/>
  <c r="L78" i="14"/>
  <c r="O78" i="14" s="1"/>
  <c r="G78" i="13" s="1"/>
  <c r="H72" i="14"/>
  <c r="H48" i="14"/>
  <c r="K48" i="14" s="1"/>
  <c r="F48" i="13" s="1"/>
  <c r="H57" i="14"/>
  <c r="K57" i="14" s="1"/>
  <c r="F57" i="13" s="1"/>
  <c r="AF100" i="14"/>
  <c r="AI100" i="14" s="1"/>
  <c r="L100" i="13" s="1"/>
  <c r="AF69" i="14"/>
  <c r="T42" i="14"/>
  <c r="T51" i="14"/>
  <c r="W51" i="14" s="1"/>
  <c r="I51" i="13" s="1"/>
  <c r="T31" i="14"/>
  <c r="T12" i="14" s="1"/>
  <c r="L72" i="14"/>
  <c r="L48" i="14"/>
  <c r="H100" i="14"/>
  <c r="K100" i="14" s="1"/>
  <c r="F100" i="13" s="1"/>
  <c r="H69" i="14"/>
  <c r="AB42" i="14"/>
  <c r="X81" i="14"/>
  <c r="AA81" i="14" s="1"/>
  <c r="J81" i="13" s="1"/>
  <c r="X42" i="14"/>
  <c r="P100" i="14"/>
  <c r="S100" i="14" s="1"/>
  <c r="H100" i="13" s="1"/>
  <c r="T100" i="14"/>
  <c r="L69" i="14"/>
  <c r="T19" i="14"/>
  <c r="X57" i="14"/>
  <c r="AA57" i="14" s="1"/>
  <c r="J57" i="13" s="1"/>
  <c r="P78" i="14"/>
  <c r="H19" i="14"/>
  <c r="AB57" i="14"/>
  <c r="AE57" i="14" s="1"/>
  <c r="K57" i="13" s="1"/>
  <c r="H51" i="14"/>
  <c r="K51" i="14" s="1"/>
  <c r="F51" i="13" s="1"/>
  <c r="L42" i="14"/>
  <c r="T69" i="14"/>
  <c r="AF78" i="14"/>
  <c r="AI78" i="14" s="1"/>
  <c r="L78" i="13" s="1"/>
  <c r="AF42" i="14"/>
  <c r="AB48" i="14"/>
  <c r="P69" i="14"/>
  <c r="AF31" i="14"/>
  <c r="AF12" i="14" s="1"/>
  <c r="AF81" i="14"/>
  <c r="AI81" i="14" s="1"/>
  <c r="L81" i="13" s="1"/>
  <c r="AB19" i="14"/>
  <c r="AF19" i="14"/>
  <c r="X78" i="14"/>
  <c r="AA78" i="14" s="1"/>
  <c r="J78" i="13" s="1"/>
  <c r="AF51" i="14"/>
  <c r="AI51" i="14" s="1"/>
  <c r="L51" i="13" s="1"/>
  <c r="T72" i="14"/>
  <c r="T48" i="14"/>
  <c r="W48" i="14" s="1"/>
  <c r="I48" i="13" s="1"/>
  <c r="H42" i="14"/>
  <c r="L57" i="14"/>
  <c r="O57" i="14" s="1"/>
  <c r="G57" i="13" s="1"/>
  <c r="X48" i="14"/>
  <c r="AA48" i="14" s="1"/>
  <c r="J48" i="13" s="1"/>
  <c r="X100" i="14"/>
  <c r="AA100" i="14" s="1"/>
  <c r="J100" i="13" s="1"/>
  <c r="X72" i="14"/>
  <c r="L81" i="14"/>
  <c r="O81" i="14" s="1"/>
  <c r="G81" i="13" s="1"/>
  <c r="X19" i="14"/>
  <c r="AB51" i="14"/>
  <c r="L100" i="14"/>
  <c r="H81" i="14"/>
  <c r="K81" i="14" s="1"/>
  <c r="F81" i="13" s="1"/>
  <c r="H31" i="14"/>
  <c r="H12" i="14" s="1"/>
  <c r="L31" i="14"/>
  <c r="L12" i="14" s="1"/>
  <c r="X69" i="14"/>
  <c r="T57" i="14"/>
  <c r="W57" i="14" s="1"/>
  <c r="I57" i="13" s="1"/>
  <c r="AB31" i="14"/>
  <c r="AB12" i="14" s="1"/>
  <c r="AB78" i="14"/>
  <c r="AE78" i="14" s="1"/>
  <c r="K78" i="13" s="1"/>
  <c r="AB72" i="14"/>
  <c r="L51" i="14"/>
  <c r="P57" i="14"/>
  <c r="N99" i="14"/>
  <c r="O99" i="14" s="1"/>
  <c r="G99" i="13" s="1"/>
  <c r="N68" i="14"/>
  <c r="N46" i="14"/>
  <c r="N35" i="14"/>
  <c r="N24" i="14"/>
  <c r="N103" i="14"/>
  <c r="N92" i="14"/>
  <c r="N79" i="14"/>
  <c r="N50" i="14"/>
  <c r="N30" i="14"/>
  <c r="N59" i="14"/>
  <c r="N39" i="14"/>
  <c r="N14" i="14"/>
  <c r="N13" i="14"/>
  <c r="N102" i="14"/>
  <c r="O102" i="14" s="1"/>
  <c r="G102" i="13" s="1"/>
  <c r="N49" i="14"/>
  <c r="N29" i="14"/>
  <c r="N58" i="14"/>
  <c r="N101" i="14"/>
  <c r="N86" i="14"/>
  <c r="N96" i="14"/>
  <c r="N53" i="14"/>
  <c r="N95" i="14"/>
  <c r="N52" i="14"/>
  <c r="N36" i="14"/>
  <c r="N40" i="14"/>
  <c r="N10" i="14"/>
  <c r="O10" i="14" s="1"/>
  <c r="G10" i="13" s="1"/>
  <c r="N98" i="14"/>
  <c r="O98" i="14" s="1"/>
  <c r="G98" i="13" s="1"/>
  <c r="N23" i="14"/>
  <c r="N85" i="14"/>
  <c r="N33" i="14"/>
  <c r="N62" i="14"/>
  <c r="N55" i="14"/>
  <c r="N56" i="14"/>
  <c r="N93" i="14"/>
  <c r="N61" i="14"/>
  <c r="N83" i="14"/>
  <c r="N105" i="14"/>
  <c r="N104" i="14"/>
  <c r="N80" i="14"/>
  <c r="N67" i="14"/>
  <c r="O67" i="14" s="1"/>
  <c r="G67" i="13" s="1"/>
  <c r="N32" i="14"/>
  <c r="N82" i="14"/>
  <c r="N27" i="14"/>
  <c r="O27" i="14" s="1"/>
  <c r="G27" i="13" s="1"/>
  <c r="N26" i="14"/>
  <c r="O26" i="14" s="1"/>
  <c r="G26" i="13" s="1"/>
  <c r="N9" i="14"/>
  <c r="O9" i="14" s="1"/>
  <c r="G9" i="13" s="1"/>
  <c r="N7" i="14"/>
  <c r="O7" i="14" s="1"/>
  <c r="G7" i="13" s="1"/>
  <c r="N6" i="14"/>
  <c r="O6" i="14" s="1"/>
  <c r="G6" i="13" s="1"/>
  <c r="N47" i="14"/>
  <c r="AB32" i="14"/>
  <c r="AB21" i="14"/>
  <c r="AB85" i="14"/>
  <c r="AB56" i="14"/>
  <c r="AB84" i="14"/>
  <c r="AB68" i="14"/>
  <c r="AB55" i="14"/>
  <c r="AB83" i="14"/>
  <c r="AB67" i="14"/>
  <c r="AB82" i="14"/>
  <c r="AB80" i="14"/>
  <c r="AB102" i="14"/>
  <c r="AB20" i="14"/>
  <c r="AB44" i="14"/>
  <c r="AB43" i="14"/>
  <c r="AB33" i="14"/>
  <c r="AB53" i="14"/>
  <c r="AB52" i="14"/>
  <c r="AB50" i="14"/>
  <c r="AB86" i="14"/>
  <c r="AB79" i="14"/>
  <c r="AB49" i="14"/>
  <c r="AE49" i="14" s="1"/>
  <c r="K49" i="13" s="1"/>
  <c r="AB101" i="14"/>
  <c r="D72" i="57"/>
  <c r="D48" i="57"/>
  <c r="G48" i="57" s="1"/>
  <c r="CE48" i="13" s="1"/>
  <c r="D31" i="57"/>
  <c r="D78" i="57"/>
  <c r="G78" i="57" s="1"/>
  <c r="CE78" i="13" s="1"/>
  <c r="D80" i="57"/>
  <c r="D42" i="57"/>
  <c r="D84" i="57"/>
  <c r="D69" i="57"/>
  <c r="D54" i="57"/>
  <c r="G54" i="57" s="1"/>
  <c r="CE54" i="13" s="1"/>
  <c r="D19" i="57"/>
  <c r="D81" i="57"/>
  <c r="G81" i="57" s="1"/>
  <c r="CE81" i="13" s="1"/>
  <c r="D51" i="57"/>
  <c r="D79" i="57"/>
  <c r="E100" i="57"/>
  <c r="E8" i="57"/>
  <c r="E45" i="57"/>
  <c r="E60" i="57"/>
  <c r="E12" i="57"/>
  <c r="E69" i="57"/>
  <c r="E97" i="57"/>
  <c r="E22" i="57"/>
  <c r="E38" i="57" s="1"/>
  <c r="E5" i="57"/>
  <c r="E103" i="57"/>
  <c r="E91" i="57"/>
  <c r="E72" i="57"/>
  <c r="F8" i="57"/>
  <c r="F69" i="57"/>
  <c r="F103" i="57"/>
  <c r="F72" i="57"/>
  <c r="F22" i="57"/>
  <c r="F5" i="57"/>
  <c r="F97" i="57"/>
  <c r="F31" i="57"/>
  <c r="F12" i="57"/>
  <c r="F91" i="57"/>
  <c r="F100" i="57"/>
  <c r="F38" i="57"/>
  <c r="F34" i="57"/>
  <c r="F45" i="57"/>
  <c r="F19" i="57"/>
  <c r="F42" i="57"/>
  <c r="F60" i="57"/>
  <c r="D83" i="15"/>
  <c r="D82" i="15"/>
  <c r="D79" i="15"/>
  <c r="D99" i="15"/>
  <c r="D80" i="15"/>
  <c r="D98" i="15"/>
  <c r="D68" i="15"/>
  <c r="D67" i="15"/>
  <c r="D86" i="15"/>
  <c r="G86" i="15" s="1"/>
  <c r="M86" i="13" s="1"/>
  <c r="D85" i="15"/>
  <c r="D56" i="15"/>
  <c r="D55" i="15"/>
  <c r="D49" i="15"/>
  <c r="D102" i="15"/>
  <c r="D53" i="15"/>
  <c r="D101" i="15"/>
  <c r="D52" i="15"/>
  <c r="G52" i="15" s="1"/>
  <c r="M52" i="13" s="1"/>
  <c r="D50" i="15"/>
  <c r="G50" i="15" s="1"/>
  <c r="M50" i="13" s="1"/>
  <c r="E93" i="15"/>
  <c r="E62" i="15"/>
  <c r="E92" i="15"/>
  <c r="E61" i="15"/>
  <c r="E59" i="15"/>
  <c r="E58" i="15"/>
  <c r="G96" i="15"/>
  <c r="M96" i="13" s="1"/>
  <c r="K27" i="15"/>
  <c r="N27" i="13" s="1"/>
  <c r="K26" i="15"/>
  <c r="N26" i="13" s="1"/>
  <c r="J5" i="15"/>
  <c r="K96" i="15"/>
  <c r="N96" i="13" s="1"/>
  <c r="K95" i="15"/>
  <c r="N95" i="13" s="1"/>
  <c r="D82" i="14"/>
  <c r="D68" i="14"/>
  <c r="D53" i="14"/>
  <c r="D52" i="14"/>
  <c r="D101" i="14"/>
  <c r="D102" i="14"/>
  <c r="D86" i="14"/>
  <c r="D56" i="14"/>
  <c r="D67" i="14"/>
  <c r="D83" i="14"/>
  <c r="D49" i="14"/>
  <c r="I14" i="15"/>
  <c r="I92" i="15"/>
  <c r="I62" i="15"/>
  <c r="I47" i="15"/>
  <c r="I13" i="15"/>
  <c r="I103" i="15"/>
  <c r="I91" i="15"/>
  <c r="I61" i="15"/>
  <c r="I46" i="15"/>
  <c r="I12" i="15"/>
  <c r="I60" i="15"/>
  <c r="I45" i="15"/>
  <c r="I100" i="15"/>
  <c r="I59" i="15"/>
  <c r="I40" i="15"/>
  <c r="I8" i="15"/>
  <c r="I58" i="15"/>
  <c r="I24" i="15"/>
  <c r="I39" i="15"/>
  <c r="I97" i="15"/>
  <c r="I72" i="15"/>
  <c r="I23" i="15"/>
  <c r="I5" i="15"/>
  <c r="I69" i="15"/>
  <c r="I22" i="15"/>
  <c r="I38" i="15" s="1"/>
  <c r="I93" i="15"/>
  <c r="F53" i="14"/>
  <c r="F62" i="14"/>
  <c r="F61" i="14"/>
  <c r="F52" i="14"/>
  <c r="F68" i="14"/>
  <c r="F67" i="14"/>
  <c r="F49" i="14"/>
  <c r="F59" i="14"/>
  <c r="F80" i="14"/>
  <c r="F58" i="14"/>
  <c r="F79" i="14"/>
  <c r="F56" i="14"/>
  <c r="F55" i="14"/>
  <c r="F86" i="14"/>
  <c r="F85" i="14"/>
  <c r="F83" i="14"/>
  <c r="F50" i="14"/>
  <c r="F82" i="14"/>
  <c r="H82" i="15"/>
  <c r="H67" i="15"/>
  <c r="H44" i="15"/>
  <c r="H32" i="15"/>
  <c r="H31" i="15"/>
  <c r="H50" i="15"/>
  <c r="H101" i="15"/>
  <c r="H86" i="15"/>
  <c r="H72" i="15"/>
  <c r="H48" i="15"/>
  <c r="K48" i="15" s="1"/>
  <c r="N48" i="13" s="1"/>
  <c r="H99" i="15"/>
  <c r="H85" i="15"/>
  <c r="K85" i="15" s="1"/>
  <c r="N85" i="13" s="1"/>
  <c r="H84" i="15"/>
  <c r="K84" i="15" s="1"/>
  <c r="N84" i="13" s="1"/>
  <c r="H69" i="15"/>
  <c r="H19" i="15"/>
  <c r="H42" i="15"/>
  <c r="H56" i="15"/>
  <c r="H53" i="15"/>
  <c r="H80" i="15"/>
  <c r="H102" i="15"/>
  <c r="H98" i="15"/>
  <c r="H81" i="15"/>
  <c r="K81" i="15" s="1"/>
  <c r="N81" i="13" s="1"/>
  <c r="H52" i="15"/>
  <c r="H51" i="15"/>
  <c r="H83" i="15"/>
  <c r="H68" i="15"/>
  <c r="H55" i="15"/>
  <c r="H21" i="15"/>
  <c r="K21" i="15" s="1"/>
  <c r="N21" i="13" s="1"/>
  <c r="H54" i="15"/>
  <c r="K54" i="15" s="1"/>
  <c r="N54" i="13" s="1"/>
  <c r="H33" i="15"/>
  <c r="H20" i="15"/>
  <c r="H43" i="15"/>
  <c r="H79" i="15"/>
  <c r="H78" i="15"/>
  <c r="K78" i="15" s="1"/>
  <c r="N78" i="13" s="1"/>
  <c r="H49" i="15"/>
  <c r="G30" i="15"/>
  <c r="M30" i="13" s="1"/>
  <c r="G27" i="15"/>
  <c r="M27" i="13" s="1"/>
  <c r="G26" i="15"/>
  <c r="M26" i="13" s="1"/>
  <c r="G29" i="15"/>
  <c r="M29" i="13" s="1"/>
  <c r="E47" i="15"/>
  <c r="E46" i="15"/>
  <c r="E24" i="15"/>
  <c r="G24" i="15" s="1"/>
  <c r="M24" i="13" s="1"/>
  <c r="E13" i="15"/>
  <c r="G40" i="15"/>
  <c r="M40" i="13" s="1"/>
  <c r="E23" i="15"/>
  <c r="E39" i="15"/>
  <c r="E14" i="15"/>
  <c r="D21" i="15"/>
  <c r="D32" i="15"/>
  <c r="D20" i="15"/>
  <c r="D43" i="15"/>
  <c r="D33" i="15"/>
  <c r="D44" i="15"/>
  <c r="E14" i="14"/>
  <c r="E13" i="14"/>
  <c r="D33" i="14"/>
  <c r="D32" i="14"/>
  <c r="F23" i="14"/>
  <c r="F13" i="14"/>
  <c r="F19" i="15"/>
  <c r="AA65" i="14"/>
  <c r="J65" i="13" s="1"/>
  <c r="AA64" i="14"/>
  <c r="J64" i="13" s="1"/>
  <c r="S65" i="14"/>
  <c r="H65" i="13" s="1"/>
  <c r="S64" i="14"/>
  <c r="H64" i="13" s="1"/>
  <c r="K30" i="14"/>
  <c r="F30" i="13" s="1"/>
  <c r="W98" i="14"/>
  <c r="I98" i="13" s="1"/>
  <c r="AE64" i="14"/>
  <c r="K64" i="13" s="1"/>
  <c r="AE65" i="14"/>
  <c r="K65" i="13" s="1"/>
  <c r="S98" i="14"/>
  <c r="H98" i="13" s="1"/>
  <c r="AI65" i="14"/>
  <c r="L65" i="13" s="1"/>
  <c r="AI64" i="14"/>
  <c r="L64" i="13" s="1"/>
  <c r="AE96" i="14"/>
  <c r="K96" i="13" s="1"/>
  <c r="AE10" i="14"/>
  <c r="K10" i="13" s="1"/>
  <c r="K65" i="14"/>
  <c r="F65" i="13" s="1"/>
  <c r="K64" i="14"/>
  <c r="F64" i="13" s="1"/>
  <c r="W64" i="14"/>
  <c r="I64" i="13" s="1"/>
  <c r="W65" i="14"/>
  <c r="I65" i="13" s="1"/>
  <c r="E92" i="14"/>
  <c r="E24" i="14"/>
  <c r="E96" i="14"/>
  <c r="E62" i="14"/>
  <c r="E61" i="14"/>
  <c r="E40" i="14"/>
  <c r="E94" i="14"/>
  <c r="G94" i="14" s="1"/>
  <c r="E94" i="13" s="1"/>
  <c r="E39" i="14"/>
  <c r="E93" i="14"/>
  <c r="E59" i="14"/>
  <c r="E47" i="14"/>
  <c r="E46" i="14"/>
  <c r="E23" i="14"/>
  <c r="E30" i="14"/>
  <c r="G30" i="14" s="1"/>
  <c r="E30" i="13" s="1"/>
  <c r="E29" i="14"/>
  <c r="G29" i="14" s="1"/>
  <c r="E29" i="13" s="1"/>
  <c r="E58" i="14"/>
  <c r="E36" i="14"/>
  <c r="E35" i="14"/>
  <c r="D20" i="14"/>
  <c r="G65" i="14"/>
  <c r="E65" i="13" s="1"/>
  <c r="G64" i="14"/>
  <c r="E64" i="13" s="1"/>
  <c r="D44" i="14"/>
  <c r="D80" i="14"/>
  <c r="D55" i="14"/>
  <c r="D50" i="14"/>
  <c r="D43" i="14"/>
  <c r="D85" i="14"/>
  <c r="D84" i="14"/>
  <c r="D21" i="14"/>
  <c r="F102" i="14"/>
  <c r="F36" i="14"/>
  <c r="F35" i="14"/>
  <c r="F101" i="14"/>
  <c r="F96" i="14"/>
  <c r="F95" i="14"/>
  <c r="F93" i="14"/>
  <c r="F105" i="14"/>
  <c r="F6" i="14"/>
  <c r="G6" i="14" s="1"/>
  <c r="E6" i="13" s="1"/>
  <c r="F103" i="14"/>
  <c r="F99" i="14"/>
  <c r="G99" i="14" s="1"/>
  <c r="E99" i="13" s="1"/>
  <c r="F47" i="14"/>
  <c r="F98" i="14"/>
  <c r="G98" i="14" s="1"/>
  <c r="E98" i="13" s="1"/>
  <c r="F46" i="14"/>
  <c r="F10" i="14"/>
  <c r="G10" i="14" s="1"/>
  <c r="E10" i="13" s="1"/>
  <c r="F9" i="14"/>
  <c r="G9" i="14" s="1"/>
  <c r="E9" i="13" s="1"/>
  <c r="F7" i="14"/>
  <c r="G7" i="14" s="1"/>
  <c r="E7" i="13" s="1"/>
  <c r="F104" i="14"/>
  <c r="O64" i="14"/>
  <c r="G64" i="13" s="1"/>
  <c r="O65" i="14"/>
  <c r="G65" i="13" s="1"/>
  <c r="E103" i="14"/>
  <c r="DK28" i="12"/>
  <c r="DQ21" i="12"/>
  <c r="DE27" i="12"/>
  <c r="EG37" i="12"/>
  <c r="EQ29" i="12"/>
  <c r="EC27" i="12"/>
  <c r="ES21" i="12"/>
  <c r="DI28" i="12"/>
  <c r="EE27" i="12"/>
  <c r="ES12" i="12"/>
  <c r="EK27" i="12"/>
  <c r="DA27" i="12"/>
  <c r="DA28" i="12"/>
  <c r="EI27" i="12"/>
  <c r="DE10" i="12"/>
  <c r="DO29" i="12"/>
  <c r="DA29" i="12"/>
  <c r="DY13" i="12"/>
  <c r="DC10" i="12"/>
  <c r="CS10" i="12"/>
  <c r="EI38" i="12"/>
  <c r="DO27" i="12"/>
  <c r="CU27" i="12"/>
  <c r="DC27" i="12"/>
  <c r="DI27" i="12"/>
  <c r="DU21" i="12"/>
  <c r="DE30" i="12"/>
  <c r="EK28" i="12"/>
  <c r="EQ14" i="12"/>
  <c r="DM28" i="12"/>
  <c r="ES30" i="12"/>
  <c r="DK27" i="12"/>
  <c r="DI13" i="12"/>
  <c r="DE28" i="12"/>
  <c r="CY30" i="12"/>
  <c r="EG16" i="12"/>
  <c r="DS12" i="12"/>
  <c r="DS29" i="12"/>
  <c r="ES29" i="12"/>
  <c r="DQ27" i="12"/>
  <c r="DK14" i="12"/>
  <c r="CU38" i="12"/>
  <c r="EQ27" i="12"/>
  <c r="DC14" i="12"/>
  <c r="EC16" i="12"/>
  <c r="DA37" i="12"/>
  <c r="EM27" i="12"/>
  <c r="EK20" i="12"/>
  <c r="DS30" i="12"/>
  <c r="ES28" i="12"/>
  <c r="ES20" i="12"/>
  <c r="EG13" i="12"/>
  <c r="ES14" i="12"/>
  <c r="EU21" i="12"/>
  <c r="ES26" i="12"/>
  <c r="DW27" i="12"/>
  <c r="EI14" i="12"/>
  <c r="EG14" i="12"/>
  <c r="EK30" i="12"/>
  <c r="DA16" i="12"/>
  <c r="CY28" i="12"/>
  <c r="DQ13" i="12"/>
  <c r="CY16" i="12"/>
  <c r="ES13" i="12"/>
  <c r="DS26" i="12"/>
  <c r="DQ10" i="12"/>
  <c r="EU27" i="12"/>
  <c r="DO30" i="12"/>
  <c r="DY27" i="12"/>
  <c r="CW10" i="12"/>
  <c r="DW16" i="12"/>
  <c r="DS15" i="12"/>
  <c r="DK38" i="12"/>
  <c r="EA27" i="12"/>
  <c r="ES27" i="12"/>
  <c r="DA21" i="12"/>
  <c r="DY16" i="12"/>
  <c r="DA14" i="12"/>
  <c r="DG10" i="12"/>
  <c r="DA38" i="12"/>
  <c r="EG26" i="12"/>
  <c r="DQ28" i="12"/>
  <c r="EQ30" i="12"/>
  <c r="CU29" i="12"/>
  <c r="DG27" i="12"/>
  <c r="DG28" i="12"/>
  <c r="DE29" i="12"/>
  <c r="EK29" i="12"/>
  <c r="EG27" i="12"/>
  <c r="EU28" i="12"/>
  <c r="DS38" i="12"/>
  <c r="EQ28" i="12"/>
  <c r="EU13" i="12"/>
  <c r="DM30" i="12"/>
  <c r="DU38" i="12"/>
  <c r="DW10" i="12"/>
  <c r="DM21" i="12"/>
  <c r="DS28" i="12"/>
  <c r="DS16" i="12"/>
  <c r="EQ21" i="12"/>
  <c r="DG30" i="12"/>
  <c r="DY10" i="12"/>
  <c r="DW28" i="12"/>
  <c r="DM10" i="12"/>
  <c r="DS21" i="12"/>
  <c r="DI21" i="12"/>
  <c r="EU29" i="12"/>
  <c r="CO10" i="12"/>
  <c r="DU28" i="12"/>
  <c r="DM14" i="12"/>
  <c r="EO27" i="12"/>
  <c r="DY14" i="12"/>
  <c r="EO28" i="12"/>
  <c r="CU28" i="12"/>
  <c r="DM29" i="12"/>
  <c r="EA10" i="12"/>
  <c r="EI28" i="12"/>
  <c r="EU26" i="12"/>
  <c r="CY20" i="12"/>
  <c r="EG21" i="12"/>
  <c r="EG20" i="12"/>
  <c r="CQ27" i="12"/>
  <c r="CY27" i="12"/>
  <c r="EO13" i="12"/>
  <c r="CW30" i="12"/>
  <c r="CU30" i="12"/>
  <c r="DM27" i="12"/>
  <c r="DS27" i="12"/>
  <c r="DS37" i="12"/>
  <c r="CS14" i="12"/>
  <c r="DG29" i="12"/>
  <c r="EU15" i="12"/>
  <c r="CY14" i="12"/>
  <c r="EO38" i="12"/>
  <c r="DU14" i="12"/>
  <c r="EU20" i="12"/>
  <c r="EQ20" i="12"/>
  <c r="DY20" i="12"/>
  <c r="CU14" i="12"/>
  <c r="EK16" i="12"/>
  <c r="DW20" i="12"/>
  <c r="DM20" i="12"/>
  <c r="DC13" i="12"/>
  <c r="DC38" i="12"/>
  <c r="DS14" i="12"/>
  <c r="CS13" i="12"/>
  <c r="ES16" i="12"/>
  <c r="DK10" i="12"/>
  <c r="EE13" i="12"/>
  <c r="EC10" i="12"/>
  <c r="DQ16" i="12"/>
  <c r="DA12" i="12"/>
  <c r="DU13" i="12"/>
  <c r="EM10" i="12"/>
  <c r="EK10" i="12"/>
  <c r="EI10" i="12"/>
  <c r="CU16" i="12"/>
  <c r="EE10" i="12"/>
  <c r="EE14" i="12"/>
  <c r="EQ10" i="12"/>
  <c r="EC14" i="12"/>
  <c r="EU16" i="12"/>
  <c r="DU16" i="12"/>
  <c r="DO10" i="12"/>
  <c r="EK14" i="12"/>
  <c r="EG38" i="12"/>
  <c r="DQ20" i="12"/>
  <c r="EC20" i="12"/>
  <c r="CY10" i="12"/>
  <c r="CW16" i="12"/>
  <c r="DM16" i="12"/>
  <c r="DC16" i="12"/>
  <c r="DS20" i="12"/>
  <c r="ES10" i="12"/>
  <c r="ES38" i="12"/>
  <c r="EE16" i="12"/>
  <c r="EE20" i="12"/>
  <c r="DI10" i="12"/>
  <c r="EC13" i="12"/>
  <c r="EU10" i="12"/>
  <c r="EU38" i="12"/>
  <c r="EU14" i="12"/>
  <c r="CY13" i="12"/>
  <c r="EO10" i="12"/>
  <c r="CW20" i="12"/>
  <c r="CU13" i="12"/>
  <c r="CU20" i="12"/>
  <c r="DW13" i="12"/>
  <c r="DC37" i="12"/>
  <c r="DS13" i="12"/>
  <c r="CS20" i="12"/>
  <c r="ES15" i="12"/>
  <c r="ES37" i="12"/>
  <c r="DI14" i="12"/>
  <c r="DI20" i="12"/>
  <c r="EK13" i="12"/>
  <c r="DU10" i="12"/>
  <c r="E56" i="87"/>
  <c r="D27" i="91"/>
  <c r="E22" i="89"/>
  <c r="E28" i="89" s="1"/>
  <c r="E201" i="36"/>
  <c r="E26" i="91"/>
  <c r="G19" i="88"/>
  <c r="G21" i="88" s="1"/>
  <c r="G27" i="88" s="1"/>
  <c r="E22" i="93"/>
  <c r="E28" i="93" s="1"/>
  <c r="E26" i="89"/>
  <c r="F43" i="82" s="1"/>
  <c r="E53" i="111"/>
  <c r="F20" i="91"/>
  <c r="F26" i="91" s="1"/>
  <c r="G20" i="91"/>
  <c r="G22" i="91" s="1"/>
  <c r="G28" i="91" s="1"/>
  <c r="D55" i="87"/>
  <c r="F20" i="90"/>
  <c r="F26" i="90" s="1"/>
  <c r="E21" i="88"/>
  <c r="E27" i="88" s="1"/>
  <c r="E56" i="112"/>
  <c r="F22" i="82" s="1"/>
  <c r="E54" i="112"/>
  <c r="L52" i="82"/>
  <c r="C52" i="82"/>
  <c r="D11" i="81" s="1"/>
  <c r="E223" i="36" s="1"/>
  <c r="N8" i="16"/>
  <c r="L52" i="18"/>
  <c r="G20" i="89"/>
  <c r="G22" i="89" s="1"/>
  <c r="G28" i="89" s="1"/>
  <c r="D27" i="89"/>
  <c r="F21" i="89"/>
  <c r="F27" i="89" s="1"/>
  <c r="J43" i="82" s="1"/>
  <c r="F20" i="89"/>
  <c r="F26" i="89" s="1"/>
  <c r="G43" i="82" s="1"/>
  <c r="E22" i="91"/>
  <c r="E28" i="91" s="1"/>
  <c r="D22" i="91"/>
  <c r="D28" i="91" s="1"/>
  <c r="D26" i="91"/>
  <c r="D22" i="89"/>
  <c r="D28" i="89" s="1"/>
  <c r="G20" i="90"/>
  <c r="G26" i="90" s="1"/>
  <c r="E20" i="97"/>
  <c r="E26" i="97" s="1"/>
  <c r="D53" i="111"/>
  <c r="F2" i="60"/>
  <c r="F11" i="60" s="1"/>
  <c r="B22" i="13" s="1"/>
  <c r="D52" i="82"/>
  <c r="M52" i="82"/>
  <c r="D9" i="81"/>
  <c r="E225" i="36" s="1"/>
  <c r="D57" i="112"/>
  <c r="D54" i="112"/>
  <c r="F19" i="88"/>
  <c r="F25" i="88" s="1"/>
  <c r="D32" i="92"/>
  <c r="F26" i="92"/>
  <c r="F32" i="92" s="1"/>
  <c r="G18" i="99"/>
  <c r="G24" i="99" s="1"/>
  <c r="F18" i="99"/>
  <c r="F24" i="99" s="1"/>
  <c r="E53" i="87"/>
  <c r="E57" i="87" s="1"/>
  <c r="C57" i="87" s="1"/>
  <c r="D21" i="88"/>
  <c r="D27" i="88" s="1"/>
  <c r="D26" i="88"/>
  <c r="F21" i="100"/>
  <c r="F27" i="100" s="1"/>
  <c r="F20" i="88"/>
  <c r="F26" i="88" s="1"/>
  <c r="G53" i="112"/>
  <c r="G57" i="112" s="1"/>
  <c r="K22" i="82" s="1"/>
  <c r="F19" i="97"/>
  <c r="F25" i="97" s="1"/>
  <c r="G19" i="97"/>
  <c r="G25" i="97" s="1"/>
  <c r="L86" i="67"/>
  <c r="O86" i="67" s="1"/>
  <c r="CI86" i="13" s="1"/>
  <c r="E62" i="18"/>
  <c r="L65" i="18"/>
  <c r="V38" i="46"/>
  <c r="F52" i="112"/>
  <c r="F56" i="112" s="1"/>
  <c r="G22" i="82" s="1"/>
  <c r="G52" i="112"/>
  <c r="G56" i="112" s="1"/>
  <c r="H22" i="82" s="1"/>
  <c r="G22" i="95"/>
  <c r="G28" i="95" s="1"/>
  <c r="K14" i="103"/>
  <c r="H47" i="103" s="1"/>
  <c r="F26" i="93"/>
  <c r="F19" i="101"/>
  <c r="F25" i="101" s="1"/>
  <c r="E12" i="55"/>
  <c r="M73" i="21"/>
  <c r="L48" i="21"/>
  <c r="G47" i="51"/>
  <c r="BS47" i="13" s="1"/>
  <c r="DP47" i="13" s="1"/>
  <c r="L57" i="30"/>
  <c r="O57" i="30" s="1"/>
  <c r="AV57" i="13" s="1"/>
  <c r="E60" i="55"/>
  <c r="E92" i="49"/>
  <c r="G92" i="49" s="1"/>
  <c r="BN92" i="13" s="1"/>
  <c r="L49" i="18"/>
  <c r="M38" i="50"/>
  <c r="O38" i="50" s="1"/>
  <c r="BR38" i="13" s="1"/>
  <c r="I101" i="48"/>
  <c r="K101" i="48" s="1"/>
  <c r="BM101" i="13" s="1"/>
  <c r="H55" i="49"/>
  <c r="K55" i="49" s="1"/>
  <c r="BO55" i="13" s="1"/>
  <c r="L48" i="19"/>
  <c r="O48" i="19" s="1"/>
  <c r="AC48" i="13" s="1"/>
  <c r="H70" i="49"/>
  <c r="L56" i="19"/>
  <c r="O56" i="19" s="1"/>
  <c r="AC56" i="13" s="1"/>
  <c r="H48" i="49"/>
  <c r="K48" i="49" s="1"/>
  <c r="BO48" i="13" s="1"/>
  <c r="L50" i="19"/>
  <c r="O50" i="19" s="1"/>
  <c r="AC50" i="13" s="1"/>
  <c r="L80" i="19"/>
  <c r="O80" i="19" s="1"/>
  <c r="AC80" i="13" s="1"/>
  <c r="L32" i="67"/>
  <c r="E35" i="55"/>
  <c r="G35" i="55" s="1"/>
  <c r="CB35" i="13" s="1"/>
  <c r="DT35" i="13" s="1"/>
  <c r="E94" i="45"/>
  <c r="G94" i="45" s="1"/>
  <c r="AX94" i="13" s="1"/>
  <c r="E99" i="55"/>
  <c r="E60" i="45"/>
  <c r="G60" i="45" s="1"/>
  <c r="AX60" i="13" s="1"/>
  <c r="N26" i="45"/>
  <c r="O26" i="45" s="1"/>
  <c r="AZ26" i="13" s="1"/>
  <c r="E34" i="55"/>
  <c r="G34" i="55" s="1"/>
  <c r="CB34" i="13" s="1"/>
  <c r="DT34" i="13" s="1"/>
  <c r="F21" i="55"/>
  <c r="T100" i="46"/>
  <c r="W100" i="46" s="1"/>
  <c r="BI100" i="13" s="1"/>
  <c r="M74" i="21"/>
  <c r="E71" i="49"/>
  <c r="G71" i="49" s="1"/>
  <c r="BN71" i="13" s="1"/>
  <c r="E104" i="45"/>
  <c r="M72" i="50"/>
  <c r="M53" i="21"/>
  <c r="H86" i="56"/>
  <c r="K86" i="56" s="1"/>
  <c r="CD86" i="13" s="1"/>
  <c r="E12" i="51"/>
  <c r="G12" i="51" s="1"/>
  <c r="BS12" i="13" s="1"/>
  <c r="DP12" i="13" s="1"/>
  <c r="L73" i="67"/>
  <c r="E72" i="53"/>
  <c r="E103" i="52"/>
  <c r="G103" i="52" s="1"/>
  <c r="BT103" i="13" s="1"/>
  <c r="M92" i="18"/>
  <c r="O92" i="18" s="1"/>
  <c r="X92" i="13" s="1"/>
  <c r="I97" i="48"/>
  <c r="K97" i="48" s="1"/>
  <c r="BM97" i="13" s="1"/>
  <c r="H40" i="70"/>
  <c r="K40" i="70" s="1"/>
  <c r="CU40" i="13" s="1"/>
  <c r="T99" i="46"/>
  <c r="W99" i="46" s="1"/>
  <c r="BI99" i="13" s="1"/>
  <c r="E12" i="49"/>
  <c r="G12" i="49" s="1"/>
  <c r="BN12" i="13" s="1"/>
  <c r="F32" i="55"/>
  <c r="M67" i="18"/>
  <c r="L84" i="30"/>
  <c r="L81" i="18"/>
  <c r="E96" i="49"/>
  <c r="G96" i="49" s="1"/>
  <c r="BN96" i="13" s="1"/>
  <c r="M22" i="50"/>
  <c r="O22" i="50" s="1"/>
  <c r="BR22" i="13" s="1"/>
  <c r="L61" i="18"/>
  <c r="F42" i="55"/>
  <c r="L70" i="18"/>
  <c r="F10" i="55"/>
  <c r="L80" i="18"/>
  <c r="F69" i="55"/>
  <c r="M93" i="18"/>
  <c r="E92" i="55"/>
  <c r="G92" i="55" s="1"/>
  <c r="CB92" i="13" s="1"/>
  <c r="DT92" i="13" s="1"/>
  <c r="M99" i="18"/>
  <c r="L56" i="18"/>
  <c r="Q93" i="29"/>
  <c r="S93" i="29" s="1"/>
  <c r="AS93" i="13" s="1"/>
  <c r="E39" i="55"/>
  <c r="G39" i="55" s="1"/>
  <c r="CB39" i="13" s="1"/>
  <c r="DT39" i="13" s="1"/>
  <c r="L79" i="18"/>
  <c r="M100" i="67"/>
  <c r="E93" i="49"/>
  <c r="G93" i="49" s="1"/>
  <c r="BN93" i="13" s="1"/>
  <c r="M98" i="18"/>
  <c r="M40" i="67"/>
  <c r="O40" i="67" s="1"/>
  <c r="CI40" i="13" s="1"/>
  <c r="E61" i="49"/>
  <c r="G61" i="49" s="1"/>
  <c r="BN61" i="13" s="1"/>
  <c r="L63" i="18"/>
  <c r="O63" i="18" s="1"/>
  <c r="X63" i="13" s="1"/>
  <c r="N24" i="45"/>
  <c r="N14" i="45" s="1"/>
  <c r="F60" i="55"/>
  <c r="M71" i="18"/>
  <c r="F101" i="55"/>
  <c r="L60" i="18"/>
  <c r="H78" i="49"/>
  <c r="K78" i="49" s="1"/>
  <c r="BO78" i="13" s="1"/>
  <c r="M45" i="21"/>
  <c r="L78" i="19"/>
  <c r="O78" i="19" s="1"/>
  <c r="AC78" i="13" s="1"/>
  <c r="E24" i="49"/>
  <c r="G24" i="49" s="1"/>
  <c r="BN24" i="13" s="1"/>
  <c r="H82" i="49"/>
  <c r="K82" i="49" s="1"/>
  <c r="BO82" i="13" s="1"/>
  <c r="P97" i="29"/>
  <c r="S97" i="29" s="1"/>
  <c r="AS97" i="13" s="1"/>
  <c r="M51" i="21"/>
  <c r="L53" i="19"/>
  <c r="O53" i="19" s="1"/>
  <c r="AC53" i="13" s="1"/>
  <c r="L52" i="19"/>
  <c r="O52" i="19" s="1"/>
  <c r="AC52" i="13" s="1"/>
  <c r="H33" i="49"/>
  <c r="K33" i="49" s="1"/>
  <c r="BO33" i="13" s="1"/>
  <c r="Q91" i="29"/>
  <c r="S91" i="29" s="1"/>
  <c r="AS91" i="13" s="1"/>
  <c r="M38" i="21"/>
  <c r="L85" i="19"/>
  <c r="O85" i="19" s="1"/>
  <c r="AC85" i="13" s="1"/>
  <c r="H50" i="49"/>
  <c r="K50" i="49" s="1"/>
  <c r="BO50" i="13" s="1"/>
  <c r="Q8" i="29"/>
  <c r="S8" i="29" s="1"/>
  <c r="AS8" i="13" s="1"/>
  <c r="M12" i="21"/>
  <c r="O12" i="21" s="1"/>
  <c r="AJ12" i="13" s="1"/>
  <c r="H86" i="49"/>
  <c r="K86" i="49" s="1"/>
  <c r="BO86" i="13" s="1"/>
  <c r="H54" i="49"/>
  <c r="K54" i="49" s="1"/>
  <c r="BO54" i="13" s="1"/>
  <c r="Q6" i="29"/>
  <c r="S6" i="29" s="1"/>
  <c r="AS6" i="13" s="1"/>
  <c r="M23" i="21"/>
  <c r="H81" i="49"/>
  <c r="K81" i="49" s="1"/>
  <c r="BO81" i="13" s="1"/>
  <c r="L84" i="19"/>
  <c r="O84" i="19" s="1"/>
  <c r="AC84" i="13" s="1"/>
  <c r="M46" i="21"/>
  <c r="T85" i="46"/>
  <c r="W85" i="46" s="1"/>
  <c r="BI85" i="13" s="1"/>
  <c r="L86" i="19"/>
  <c r="O86" i="19" s="1"/>
  <c r="AC86" i="13" s="1"/>
  <c r="M96" i="50"/>
  <c r="O96" i="50" s="1"/>
  <c r="BR96" i="13" s="1"/>
  <c r="M104" i="50"/>
  <c r="O104" i="50" s="1"/>
  <c r="BR104" i="13" s="1"/>
  <c r="G104" i="51"/>
  <c r="BS104" i="13" s="1"/>
  <c r="DP104" i="13" s="1"/>
  <c r="G73" i="51"/>
  <c r="BS73" i="13" s="1"/>
  <c r="DP73" i="13" s="1"/>
  <c r="E94" i="51"/>
  <c r="G94" i="51" s="1"/>
  <c r="BS94" i="13" s="1"/>
  <c r="DP94" i="13" s="1"/>
  <c r="L58" i="30"/>
  <c r="O58" i="30" s="1"/>
  <c r="AV58" i="13" s="1"/>
  <c r="E40" i="52"/>
  <c r="G40" i="52" s="1"/>
  <c r="BT40" i="13" s="1"/>
  <c r="E74" i="53"/>
  <c r="V72" i="46"/>
  <c r="E23" i="52"/>
  <c r="E13" i="52" s="1"/>
  <c r="G13" i="52" s="1"/>
  <c r="BT13" i="13" s="1"/>
  <c r="L42" i="67"/>
  <c r="E94" i="53"/>
  <c r="G94" i="53" s="1"/>
  <c r="BX94" i="13" s="1"/>
  <c r="DR94" i="13" s="1"/>
  <c r="V70" i="46"/>
  <c r="E93" i="52"/>
  <c r="G93" i="52" s="1"/>
  <c r="BT93" i="13" s="1"/>
  <c r="E93" i="53"/>
  <c r="G93" i="53" s="1"/>
  <c r="BX93" i="13" s="1"/>
  <c r="DR93" i="13" s="1"/>
  <c r="M46" i="50"/>
  <c r="O46" i="50" s="1"/>
  <c r="BR46" i="13" s="1"/>
  <c r="V93" i="46"/>
  <c r="E96" i="52"/>
  <c r="G96" i="52" s="1"/>
  <c r="BT96" i="13" s="1"/>
  <c r="L81" i="30"/>
  <c r="M61" i="50"/>
  <c r="O61" i="50" s="1"/>
  <c r="BR61" i="13" s="1"/>
  <c r="E38" i="52"/>
  <c r="G38" i="52" s="1"/>
  <c r="BT38" i="13" s="1"/>
  <c r="L71" i="18"/>
  <c r="I84" i="30"/>
  <c r="L42" i="30"/>
  <c r="M69" i="50"/>
  <c r="L68" i="18"/>
  <c r="T97" i="46"/>
  <c r="W97" i="46" s="1"/>
  <c r="BI97" i="13" s="1"/>
  <c r="E45" i="53"/>
  <c r="G45" i="53" s="1"/>
  <c r="BX45" i="13" s="1"/>
  <c r="DR45" i="13" s="1"/>
  <c r="I93" i="48"/>
  <c r="K93" i="48" s="1"/>
  <c r="BM93" i="13" s="1"/>
  <c r="E62" i="52"/>
  <c r="G62" i="52" s="1"/>
  <c r="BT62" i="13" s="1"/>
  <c r="E93" i="45"/>
  <c r="G93" i="45" s="1"/>
  <c r="AX93" i="13" s="1"/>
  <c r="L71" i="30"/>
  <c r="E45" i="55"/>
  <c r="E71" i="53"/>
  <c r="I73" i="48"/>
  <c r="K73" i="48" s="1"/>
  <c r="BM73" i="13" s="1"/>
  <c r="E104" i="52"/>
  <c r="G104" i="52" s="1"/>
  <c r="BT104" i="13" s="1"/>
  <c r="E103" i="45"/>
  <c r="L59" i="30"/>
  <c r="O59" i="30" s="1"/>
  <c r="AV59" i="13" s="1"/>
  <c r="E72" i="55"/>
  <c r="E69" i="55"/>
  <c r="E70" i="49"/>
  <c r="J60" i="56"/>
  <c r="G23" i="51"/>
  <c r="BS23" i="13" s="1"/>
  <c r="DP23" i="13" s="1"/>
  <c r="L69" i="30"/>
  <c r="V73" i="46"/>
  <c r="V74" i="46"/>
  <c r="E38" i="51"/>
  <c r="G38" i="51" s="1"/>
  <c r="BS38" i="13" s="1"/>
  <c r="DP38" i="13" s="1"/>
  <c r="I103" i="20"/>
  <c r="K103" i="20" s="1"/>
  <c r="AG103" i="13" s="1"/>
  <c r="L71" i="21"/>
  <c r="E61" i="52"/>
  <c r="G61" i="52" s="1"/>
  <c r="BT61" i="13" s="1"/>
  <c r="I46" i="30"/>
  <c r="E39" i="53"/>
  <c r="G39" i="53" s="1"/>
  <c r="BX39" i="13" s="1"/>
  <c r="DR39" i="13" s="1"/>
  <c r="E39" i="52"/>
  <c r="G39" i="52" s="1"/>
  <c r="BT39" i="13" s="1"/>
  <c r="I85" i="30"/>
  <c r="K28" i="57"/>
  <c r="CF28" i="13" s="1"/>
  <c r="L79" i="54"/>
  <c r="O79" i="54" s="1"/>
  <c r="CA79" i="13" s="1"/>
  <c r="L38" i="21"/>
  <c r="H82" i="56"/>
  <c r="K82" i="56" s="1"/>
  <c r="CD82" i="13" s="1"/>
  <c r="D31" i="92"/>
  <c r="D27" i="92"/>
  <c r="D33" i="92" s="1"/>
  <c r="Q50" i="16"/>
  <c r="Q72" i="16"/>
  <c r="Q79" i="16"/>
  <c r="Q52" i="16"/>
  <c r="Q51" i="16"/>
  <c r="Q40" i="16"/>
  <c r="Q63" i="16"/>
  <c r="Q45" i="16"/>
  <c r="Q14" i="16"/>
  <c r="Q7" i="16"/>
  <c r="Q65" i="16"/>
  <c r="Q61" i="16"/>
  <c r="Q33" i="16"/>
  <c r="Q34" i="16"/>
  <c r="Q13" i="16"/>
  <c r="Q49" i="16"/>
  <c r="Q5" i="16"/>
  <c r="Q56" i="16"/>
  <c r="Q73" i="16"/>
  <c r="Q86" i="16"/>
  <c r="Q70" i="16"/>
  <c r="Q64" i="16"/>
  <c r="S64" i="16" s="1"/>
  <c r="R64" i="13" s="1"/>
  <c r="Q60" i="16"/>
  <c r="Q67" i="16"/>
  <c r="Q85" i="16"/>
  <c r="Q55" i="16"/>
  <c r="Q82" i="16"/>
  <c r="Q32" i="16"/>
  <c r="Q48" i="16"/>
  <c r="Q47" i="16"/>
  <c r="Q83" i="16"/>
  <c r="Q84" i="16"/>
  <c r="Q39" i="16"/>
  <c r="Q8" i="16"/>
  <c r="Q78" i="16"/>
  <c r="Q80" i="16"/>
  <c r="Q81" i="16"/>
  <c r="Q62" i="16"/>
  <c r="Q31" i="16"/>
  <c r="Q10" i="16"/>
  <c r="Q9" i="16"/>
  <c r="Q38" i="16"/>
  <c r="Q46" i="16"/>
  <c r="G25" i="92"/>
  <c r="G27" i="92" s="1"/>
  <c r="G33" i="92" s="1"/>
  <c r="Q71" i="16"/>
  <c r="Q12" i="16"/>
  <c r="I94" i="56"/>
  <c r="K94" i="56" s="1"/>
  <c r="CD94" i="13" s="1"/>
  <c r="I60" i="56"/>
  <c r="I23" i="56"/>
  <c r="K23" i="56" s="1"/>
  <c r="CD23" i="13" s="1"/>
  <c r="I93" i="56"/>
  <c r="K93" i="56" s="1"/>
  <c r="CD93" i="13" s="1"/>
  <c r="I105" i="56"/>
  <c r="K105" i="56" s="1"/>
  <c r="CD105" i="13" s="1"/>
  <c r="I12" i="56"/>
  <c r="K12" i="56" s="1"/>
  <c r="CD12" i="13" s="1"/>
  <c r="I91" i="56"/>
  <c r="K91" i="56" s="1"/>
  <c r="CD91" i="13" s="1"/>
  <c r="I24" i="56"/>
  <c r="K24" i="56" s="1"/>
  <c r="CD24" i="13" s="1"/>
  <c r="I95" i="56"/>
  <c r="K95" i="56" s="1"/>
  <c r="CD95" i="13" s="1"/>
  <c r="I103" i="56"/>
  <c r="K103" i="56" s="1"/>
  <c r="CD103" i="13" s="1"/>
  <c r="I62" i="56"/>
  <c r="I14" i="56"/>
  <c r="K14" i="56" s="1"/>
  <c r="CD14" i="13" s="1"/>
  <c r="I22" i="56"/>
  <c r="K22" i="56" s="1"/>
  <c r="CD22" i="13" s="1"/>
  <c r="I104" i="56"/>
  <c r="K104" i="56" s="1"/>
  <c r="CD104" i="13" s="1"/>
  <c r="V24" i="18"/>
  <c r="Q54" i="16"/>
  <c r="F25" i="92"/>
  <c r="F31" i="92" s="1"/>
  <c r="L24" i="21"/>
  <c r="L70" i="21"/>
  <c r="L67" i="21"/>
  <c r="L73" i="21"/>
  <c r="L51" i="21"/>
  <c r="L81" i="21"/>
  <c r="O81" i="21" s="1"/>
  <c r="AJ81" i="13" s="1"/>
  <c r="L66" i="21"/>
  <c r="L53" i="21"/>
  <c r="L22" i="21"/>
  <c r="L72" i="21"/>
  <c r="L39" i="21"/>
  <c r="L80" i="21"/>
  <c r="O80" i="21" s="1"/>
  <c r="AJ80" i="13" s="1"/>
  <c r="L46" i="21"/>
  <c r="L78" i="21"/>
  <c r="O78" i="21" s="1"/>
  <c r="AJ78" i="13" s="1"/>
  <c r="L23" i="21"/>
  <c r="L49" i="21"/>
  <c r="L82" i="21"/>
  <c r="O82" i="21" s="1"/>
  <c r="AJ82" i="13" s="1"/>
  <c r="Q69" i="16"/>
  <c r="H84" i="56"/>
  <c r="K84" i="56" s="1"/>
  <c r="CD84" i="13" s="1"/>
  <c r="DU84" i="13" s="1"/>
  <c r="H102" i="56"/>
  <c r="K102" i="56" s="1"/>
  <c r="CD102" i="13" s="1"/>
  <c r="H54" i="56"/>
  <c r="K54" i="56" s="1"/>
  <c r="CD54" i="13" s="1"/>
  <c r="H85" i="56"/>
  <c r="K85" i="56" s="1"/>
  <c r="CD85" i="13" s="1"/>
  <c r="H53" i="56"/>
  <c r="K53" i="56" s="1"/>
  <c r="CD53" i="13" s="1"/>
  <c r="H98" i="56"/>
  <c r="K98" i="56" s="1"/>
  <c r="CD98" i="13" s="1"/>
  <c r="H50" i="56"/>
  <c r="K50" i="56" s="1"/>
  <c r="CD50" i="13" s="1"/>
  <c r="H81" i="56"/>
  <c r="K81" i="56" s="1"/>
  <c r="CD81" i="13" s="1"/>
  <c r="H56" i="56"/>
  <c r="K56" i="56" s="1"/>
  <c r="CD56" i="13" s="1"/>
  <c r="H33" i="56"/>
  <c r="K33" i="56" s="1"/>
  <c r="CD33" i="13" s="1"/>
  <c r="H52" i="56"/>
  <c r="K52" i="56" s="1"/>
  <c r="CD52" i="13" s="1"/>
  <c r="H99" i="56"/>
  <c r="K99" i="56" s="1"/>
  <c r="CD99" i="13" s="1"/>
  <c r="H48" i="56"/>
  <c r="K48" i="56" s="1"/>
  <c r="CD48" i="13" s="1"/>
  <c r="H49" i="56"/>
  <c r="K49" i="56" s="1"/>
  <c r="CD49" i="13" s="1"/>
  <c r="H31" i="56"/>
  <c r="K31" i="56" s="1"/>
  <c r="CD31" i="13" s="1"/>
  <c r="H83" i="56"/>
  <c r="K83" i="56" s="1"/>
  <c r="CD83" i="13" s="1"/>
  <c r="H79" i="56"/>
  <c r="K79" i="56" s="1"/>
  <c r="CD79" i="13" s="1"/>
  <c r="H101" i="56"/>
  <c r="K101" i="56" s="1"/>
  <c r="CD101" i="13" s="1"/>
  <c r="H80" i="56"/>
  <c r="K80" i="56" s="1"/>
  <c r="CD80" i="13" s="1"/>
  <c r="H97" i="56"/>
  <c r="K97" i="56" s="1"/>
  <c r="CD97" i="13" s="1"/>
  <c r="H55" i="56"/>
  <c r="K55" i="56" s="1"/>
  <c r="CD55" i="13" s="1"/>
  <c r="H51" i="56"/>
  <c r="K51" i="56" s="1"/>
  <c r="CD51" i="13" s="1"/>
  <c r="H78" i="56"/>
  <c r="K78" i="56" s="1"/>
  <c r="CD78" i="13" s="1"/>
  <c r="H100" i="56"/>
  <c r="K100" i="56" s="1"/>
  <c r="CD100" i="13" s="1"/>
  <c r="Q68" i="16"/>
  <c r="I96" i="56"/>
  <c r="K96" i="56" s="1"/>
  <c r="CD96" i="13" s="1"/>
  <c r="Q74" i="16"/>
  <c r="V23" i="18"/>
  <c r="V32" i="18"/>
  <c r="V98" i="18"/>
  <c r="V94" i="18"/>
  <c r="V38" i="18"/>
  <c r="V92" i="18"/>
  <c r="V96" i="18"/>
  <c r="V97" i="18"/>
  <c r="V104" i="18"/>
  <c r="V93" i="18"/>
  <c r="V33" i="18"/>
  <c r="V99" i="18"/>
  <c r="V40" i="18"/>
  <c r="V22" i="18"/>
  <c r="V95" i="18"/>
  <c r="V105" i="18"/>
  <c r="V39" i="18"/>
  <c r="V103" i="18"/>
  <c r="V91" i="18"/>
  <c r="I92" i="56"/>
  <c r="K92" i="56" s="1"/>
  <c r="CD92" i="13" s="1"/>
  <c r="E27" i="92"/>
  <c r="E33" i="92" s="1"/>
  <c r="D56" i="112"/>
  <c r="D24" i="97"/>
  <c r="G18" i="97"/>
  <c r="F18" i="97"/>
  <c r="F24" i="97" s="1"/>
  <c r="D20" i="97"/>
  <c r="D26" i="97" s="1"/>
  <c r="Q14" i="103"/>
  <c r="J47" i="103" s="1"/>
  <c r="J49" i="103" s="1"/>
  <c r="F20" i="107"/>
  <c r="F25" i="107" s="1"/>
  <c r="D21" i="83"/>
  <c r="F20" i="96"/>
  <c r="F26" i="96" s="1"/>
  <c r="E20" i="96"/>
  <c r="E26" i="96" s="1"/>
  <c r="F24" i="96"/>
  <c r="F22" i="95"/>
  <c r="F28" i="95" s="1"/>
  <c r="E44" i="102"/>
  <c r="E47" i="102"/>
  <c r="D56" i="87"/>
  <c r="F15" i="85"/>
  <c r="F21" i="85" s="1"/>
  <c r="F19" i="85"/>
  <c r="D54" i="111"/>
  <c r="E54" i="111"/>
  <c r="E40" i="110"/>
  <c r="O14" i="103"/>
  <c r="N14" i="103"/>
  <c r="I47" i="103" s="1"/>
  <c r="R14" i="103"/>
  <c r="J53" i="103" s="1"/>
  <c r="J55" i="103" s="1"/>
  <c r="L14" i="103"/>
  <c r="H53" i="103" s="1"/>
  <c r="F15" i="84"/>
  <c r="F21" i="84" s="1"/>
  <c r="D34" i="109"/>
  <c r="D39" i="109" s="1"/>
  <c r="F54" i="111"/>
  <c r="F51" i="111"/>
  <c r="F55" i="111" s="1"/>
  <c r="E51" i="111"/>
  <c r="E55" i="111" s="1"/>
  <c r="C53" i="111"/>
  <c r="E50" i="111"/>
  <c r="F50" i="111"/>
  <c r="F36" i="110"/>
  <c r="F41" i="110" s="1"/>
  <c r="D41" i="110"/>
  <c r="G36" i="110"/>
  <c r="G41" i="110" s="1"/>
  <c r="F35" i="110"/>
  <c r="F40" i="110" s="1"/>
  <c r="G35" i="110"/>
  <c r="G40" i="110" s="1"/>
  <c r="E37" i="110"/>
  <c r="E42" i="110" s="1"/>
  <c r="E39" i="110"/>
  <c r="D37" i="110"/>
  <c r="D42" i="110" s="1"/>
  <c r="F39" i="110"/>
  <c r="D40" i="110"/>
  <c r="E34" i="109"/>
  <c r="E39" i="109" s="1"/>
  <c r="E36" i="109"/>
  <c r="F36" i="109"/>
  <c r="E37" i="109"/>
  <c r="G32" i="109"/>
  <c r="F32" i="109"/>
  <c r="F37" i="109" s="1"/>
  <c r="G33" i="109"/>
  <c r="G38" i="109" s="1"/>
  <c r="F33" i="109"/>
  <c r="F38" i="109" s="1"/>
  <c r="D38" i="109"/>
  <c r="G23" i="107"/>
  <c r="G20" i="107"/>
  <c r="G25" i="107" s="1"/>
  <c r="M14" i="103"/>
  <c r="H52" i="103"/>
  <c r="P14" i="103"/>
  <c r="I52" i="103"/>
  <c r="S14" i="103"/>
  <c r="I46" i="103"/>
  <c r="H46" i="103"/>
  <c r="F43" i="102"/>
  <c r="F48" i="102" s="1"/>
  <c r="J23" i="82" s="1"/>
  <c r="J52" i="82" s="1"/>
  <c r="D20" i="81" s="1"/>
  <c r="E235" i="36" s="1"/>
  <c r="G43" i="102"/>
  <c r="G48" i="102" s="1"/>
  <c r="K23" i="82" s="1"/>
  <c r="D48" i="102"/>
  <c r="D49" i="102" s="1"/>
  <c r="G42" i="102"/>
  <c r="F42" i="102"/>
  <c r="F47" i="102" s="1"/>
  <c r="G23" i="82" s="1"/>
  <c r="D44" i="102"/>
  <c r="G19" i="101"/>
  <c r="G25" i="101" s="1"/>
  <c r="G23" i="101"/>
  <c r="F25" i="98"/>
  <c r="F31" i="98" s="1"/>
  <c r="G29" i="98"/>
  <c r="G25" i="98"/>
  <c r="G31" i="98" s="1"/>
  <c r="G25" i="94"/>
  <c r="G20" i="94"/>
  <c r="G26" i="94" s="1"/>
  <c r="F25" i="94"/>
  <c r="F20" i="94"/>
  <c r="F26" i="94" s="1"/>
  <c r="G21" i="93"/>
  <c r="F21" i="93"/>
  <c r="D21" i="93"/>
  <c r="D27" i="93" s="1"/>
  <c r="G26" i="93"/>
  <c r="D26" i="93"/>
  <c r="G26" i="89"/>
  <c r="H43" i="82" s="1"/>
  <c r="C55" i="87"/>
  <c r="F52" i="87"/>
  <c r="E52" i="87"/>
  <c r="F56" i="87"/>
  <c r="F22" i="86"/>
  <c r="F28" i="86" s="1"/>
  <c r="G22" i="86"/>
  <c r="G23" i="86"/>
  <c r="G29" i="86" s="1"/>
  <c r="F23" i="86"/>
  <c r="F29" i="86" s="1"/>
  <c r="D29" i="86"/>
  <c r="F27" i="86"/>
  <c r="E24" i="86"/>
  <c r="E30" i="86" s="1"/>
  <c r="E27" i="86"/>
  <c r="D24" i="86"/>
  <c r="D30" i="86" s="1"/>
  <c r="G15" i="85"/>
  <c r="G21" i="85" s="1"/>
  <c r="G19" i="85"/>
  <c r="F19" i="84"/>
  <c r="G15" i="84"/>
  <c r="G21" i="84" s="1"/>
  <c r="G19" i="84"/>
  <c r="G17" i="83"/>
  <c r="F17" i="83"/>
  <c r="D27" i="83"/>
  <c r="D22" i="83"/>
  <c r="F20" i="83"/>
  <c r="E20" i="83"/>
  <c r="E23" i="83" s="1"/>
  <c r="E29" i="83" s="1"/>
  <c r="F26" i="83"/>
  <c r="F61" i="55"/>
  <c r="N69" i="54"/>
  <c r="E60" i="49"/>
  <c r="G60" i="49" s="1"/>
  <c r="BN60" i="13" s="1"/>
  <c r="H71" i="49"/>
  <c r="V94" i="46"/>
  <c r="G71" i="51"/>
  <c r="BS71" i="13" s="1"/>
  <c r="DP71" i="13" s="1"/>
  <c r="G95" i="51"/>
  <c r="BS95" i="13" s="1"/>
  <c r="DP95" i="13" s="1"/>
  <c r="E95" i="52"/>
  <c r="G95" i="52" s="1"/>
  <c r="BT95" i="13" s="1"/>
  <c r="M69" i="18"/>
  <c r="M103" i="18"/>
  <c r="M91" i="18"/>
  <c r="I93" i="30"/>
  <c r="L50" i="30"/>
  <c r="L86" i="30"/>
  <c r="L82" i="19"/>
  <c r="O82" i="19" s="1"/>
  <c r="AC82" i="13" s="1"/>
  <c r="E74" i="49"/>
  <c r="M72" i="21"/>
  <c r="F6" i="55"/>
  <c r="E40" i="49"/>
  <c r="G40" i="49" s="1"/>
  <c r="BN40" i="13" s="1"/>
  <c r="E104" i="49"/>
  <c r="G104" i="49" s="1"/>
  <c r="BN104" i="13" s="1"/>
  <c r="H52" i="49"/>
  <c r="K52" i="49" s="1"/>
  <c r="BO52" i="13" s="1"/>
  <c r="V69" i="46"/>
  <c r="E45" i="51"/>
  <c r="G45" i="51" s="1"/>
  <c r="BS45" i="13" s="1"/>
  <c r="DP45" i="13" s="1"/>
  <c r="E103" i="51"/>
  <c r="G103" i="51" s="1"/>
  <c r="BS103" i="13" s="1"/>
  <c r="DP103" i="13" s="1"/>
  <c r="E105" i="52"/>
  <c r="G105" i="52" s="1"/>
  <c r="BT105" i="13" s="1"/>
  <c r="L86" i="18"/>
  <c r="L84" i="18"/>
  <c r="M66" i="18"/>
  <c r="L74" i="30"/>
  <c r="L19" i="30"/>
  <c r="L32" i="19"/>
  <c r="L43" i="30"/>
  <c r="F31" i="55"/>
  <c r="E91" i="53"/>
  <c r="G91" i="53" s="1"/>
  <c r="BX91" i="13" s="1"/>
  <c r="DR91" i="13" s="1"/>
  <c r="H56" i="49"/>
  <c r="K56" i="49" s="1"/>
  <c r="BO56" i="13" s="1"/>
  <c r="G14" i="51"/>
  <c r="BS14" i="13" s="1"/>
  <c r="DP14" i="13" s="1"/>
  <c r="E94" i="52"/>
  <c r="G94" i="52" s="1"/>
  <c r="BT94" i="13" s="1"/>
  <c r="E24" i="52"/>
  <c r="G24" i="52" s="1"/>
  <c r="BT24" i="13" s="1"/>
  <c r="F82" i="30"/>
  <c r="M102" i="18"/>
  <c r="O102" i="18" s="1"/>
  <c r="X102" i="13" s="1"/>
  <c r="M95" i="18"/>
  <c r="L64" i="18"/>
  <c r="L79" i="30"/>
  <c r="O79" i="30" s="1"/>
  <c r="AV79" i="13" s="1"/>
  <c r="L32" i="30"/>
  <c r="L13" i="30" s="1"/>
  <c r="L31" i="19"/>
  <c r="F70" i="55"/>
  <c r="E61" i="53"/>
  <c r="G61" i="53" s="1"/>
  <c r="BX61" i="13" s="1"/>
  <c r="DR61" i="13" s="1"/>
  <c r="H73" i="49"/>
  <c r="E60" i="51"/>
  <c r="G60" i="51" s="1"/>
  <c r="BS60" i="13" s="1"/>
  <c r="DP60" i="13" s="1"/>
  <c r="E71" i="52"/>
  <c r="E60" i="52"/>
  <c r="G60" i="52" s="1"/>
  <c r="BT60" i="13" s="1"/>
  <c r="L83" i="18"/>
  <c r="M105" i="18"/>
  <c r="N22" i="45"/>
  <c r="N12" i="45" s="1"/>
  <c r="L73" i="30"/>
  <c r="L48" i="30"/>
  <c r="L54" i="19"/>
  <c r="O54" i="19" s="1"/>
  <c r="AC54" i="13" s="1"/>
  <c r="M22" i="21"/>
  <c r="F74" i="55"/>
  <c r="E40" i="53"/>
  <c r="G40" i="53" s="1"/>
  <c r="BX40" i="13" s="1"/>
  <c r="DR40" i="13" s="1"/>
  <c r="J62" i="56"/>
  <c r="H51" i="49"/>
  <c r="K51" i="49" s="1"/>
  <c r="BO51" i="13" s="1"/>
  <c r="H32" i="49"/>
  <c r="K32" i="49" s="1"/>
  <c r="BO32" i="13" s="1"/>
  <c r="E72" i="51"/>
  <c r="G72" i="51" s="1"/>
  <c r="BS72" i="13" s="1"/>
  <c r="DP72" i="13" s="1"/>
  <c r="E69" i="52"/>
  <c r="E92" i="52"/>
  <c r="G92" i="52" s="1"/>
  <c r="BT92" i="13" s="1"/>
  <c r="M96" i="18"/>
  <c r="M94" i="18"/>
  <c r="N32" i="45"/>
  <c r="L53" i="30"/>
  <c r="L83" i="30"/>
  <c r="L79" i="19"/>
  <c r="O79" i="19" s="1"/>
  <c r="AC79" i="13" s="1"/>
  <c r="F73" i="55"/>
  <c r="D74" i="55"/>
  <c r="E62" i="53"/>
  <c r="G62" i="53" s="1"/>
  <c r="BX62" i="13" s="1"/>
  <c r="DR62" i="13" s="1"/>
  <c r="H85" i="49"/>
  <c r="K85" i="49" s="1"/>
  <c r="BO85" i="13" s="1"/>
  <c r="G74" i="51"/>
  <c r="BS74" i="13" s="1"/>
  <c r="DP74" i="13" s="1"/>
  <c r="E69" i="51"/>
  <c r="G69" i="51" s="1"/>
  <c r="BS69" i="13" s="1"/>
  <c r="DP69" i="13" s="1"/>
  <c r="E91" i="52"/>
  <c r="G91" i="52" s="1"/>
  <c r="BT91" i="13" s="1"/>
  <c r="L69" i="18"/>
  <c r="L82" i="18"/>
  <c r="L78" i="18"/>
  <c r="I47" i="30"/>
  <c r="M48" i="21"/>
  <c r="L31" i="30"/>
  <c r="L12" i="30" s="1"/>
  <c r="O12" i="30" s="1"/>
  <c r="AV12" i="13" s="1"/>
  <c r="I62" i="20"/>
  <c r="K62" i="20" s="1"/>
  <c r="AG62" i="13" s="1"/>
  <c r="L55" i="19"/>
  <c r="O55" i="19" s="1"/>
  <c r="AC55" i="13" s="1"/>
  <c r="F105" i="55"/>
  <c r="H69" i="49"/>
  <c r="G96" i="51"/>
  <c r="BS96" i="13" s="1"/>
  <c r="DP96" i="13" s="1"/>
  <c r="E22" i="52"/>
  <c r="E12" i="52" s="1"/>
  <c r="G12" i="52" s="1"/>
  <c r="BT12" i="13" s="1"/>
  <c r="L51" i="18"/>
  <c r="M100" i="18"/>
  <c r="O100" i="18" s="1"/>
  <c r="X100" i="13" s="1"/>
  <c r="M97" i="18"/>
  <c r="I92" i="30"/>
  <c r="M52" i="21"/>
  <c r="L80" i="30"/>
  <c r="O80" i="30" s="1"/>
  <c r="AV80" i="13" s="1"/>
  <c r="I60" i="20"/>
  <c r="K60" i="20" s="1"/>
  <c r="AG60" i="13" s="1"/>
  <c r="L83" i="19"/>
  <c r="O83" i="19" s="1"/>
  <c r="AC83" i="13" s="1"/>
  <c r="F12" i="55"/>
  <c r="N73" i="54"/>
  <c r="H31" i="49"/>
  <c r="K31" i="49" s="1"/>
  <c r="BO31" i="13" s="1"/>
  <c r="E91" i="51"/>
  <c r="G91" i="51" s="1"/>
  <c r="BS91" i="13" s="1"/>
  <c r="DP91" i="13" s="1"/>
  <c r="L54" i="18"/>
  <c r="M68" i="18"/>
  <c r="L50" i="18"/>
  <c r="I86" i="30"/>
  <c r="L78" i="30"/>
  <c r="O78" i="30" s="1"/>
  <c r="AV78" i="13" s="1"/>
  <c r="L82" i="30"/>
  <c r="I61" i="20"/>
  <c r="K61" i="20" s="1"/>
  <c r="AG61" i="13" s="1"/>
  <c r="L33" i="19"/>
  <c r="M49" i="21"/>
  <c r="M13" i="21"/>
  <c r="O13" i="21" s="1"/>
  <c r="AJ13" i="13" s="1"/>
  <c r="D73" i="55"/>
  <c r="L56" i="54"/>
  <c r="O56" i="54" s="1"/>
  <c r="CA56" i="13" s="1"/>
  <c r="E38" i="53"/>
  <c r="G38" i="53" s="1"/>
  <c r="BX38" i="13" s="1"/>
  <c r="DR38" i="13" s="1"/>
  <c r="K48" i="57"/>
  <c r="CF48" i="13" s="1"/>
  <c r="K94" i="57"/>
  <c r="CF94" i="13" s="1"/>
  <c r="D55" i="55"/>
  <c r="G55" i="55" s="1"/>
  <c r="CB55" i="13" s="1"/>
  <c r="DT55" i="13" s="1"/>
  <c r="K96" i="57"/>
  <c r="CF96" i="13" s="1"/>
  <c r="K85" i="57"/>
  <c r="CF85" i="13" s="1"/>
  <c r="D19" i="55"/>
  <c r="N91" i="16"/>
  <c r="K36" i="57"/>
  <c r="CF36" i="13" s="1"/>
  <c r="K34" i="57"/>
  <c r="CF34" i="13" s="1"/>
  <c r="N10" i="16"/>
  <c r="L54" i="54"/>
  <c r="O54" i="54" s="1"/>
  <c r="CA54" i="13" s="1"/>
  <c r="K79" i="57"/>
  <c r="CF79" i="13" s="1"/>
  <c r="L66" i="54"/>
  <c r="O66" i="54" s="1"/>
  <c r="CA66" i="13" s="1"/>
  <c r="N24" i="16"/>
  <c r="L50" i="54"/>
  <c r="N47" i="16"/>
  <c r="D86" i="55"/>
  <c r="G86" i="55" s="1"/>
  <c r="CB86" i="13" s="1"/>
  <c r="DT86" i="13" s="1"/>
  <c r="L73" i="54"/>
  <c r="L55" i="54"/>
  <c r="O55" i="54" s="1"/>
  <c r="CA55" i="13" s="1"/>
  <c r="N98" i="16"/>
  <c r="D69" i="55"/>
  <c r="L71" i="54"/>
  <c r="L82" i="54"/>
  <c r="O82" i="54" s="1"/>
  <c r="CA82" i="13" s="1"/>
  <c r="D20" i="55"/>
  <c r="G20" i="55" s="1"/>
  <c r="CB20" i="13" s="1"/>
  <c r="DT20" i="13" s="1"/>
  <c r="L68" i="54"/>
  <c r="O68" i="54" s="1"/>
  <c r="CA68" i="13" s="1"/>
  <c r="K51" i="57"/>
  <c r="CF51" i="13" s="1"/>
  <c r="D31" i="55"/>
  <c r="L49" i="54"/>
  <c r="N38" i="16"/>
  <c r="K99" i="57"/>
  <c r="CF99" i="13" s="1"/>
  <c r="D83" i="55"/>
  <c r="G83" i="55" s="1"/>
  <c r="CB83" i="13" s="1"/>
  <c r="DT83" i="13" s="1"/>
  <c r="L53" i="54"/>
  <c r="O53" i="54" s="1"/>
  <c r="CA53" i="13" s="1"/>
  <c r="N34" i="16"/>
  <c r="D80" i="55"/>
  <c r="G80" i="55" s="1"/>
  <c r="CB80" i="13" s="1"/>
  <c r="DT80" i="13" s="1"/>
  <c r="D21" i="55"/>
  <c r="L85" i="54"/>
  <c r="O85" i="54" s="1"/>
  <c r="CA85" i="13" s="1"/>
  <c r="D53" i="55"/>
  <c r="G53" i="55" s="1"/>
  <c r="CB53" i="13" s="1"/>
  <c r="DT53" i="13" s="1"/>
  <c r="D42" i="55"/>
  <c r="D84" i="55"/>
  <c r="G84" i="55" s="1"/>
  <c r="CB84" i="13" s="1"/>
  <c r="DT84" i="13" s="1"/>
  <c r="L84" i="54"/>
  <c r="O84" i="54" s="1"/>
  <c r="CA84" i="13" s="1"/>
  <c r="L78" i="54"/>
  <c r="O78" i="54" s="1"/>
  <c r="CA78" i="13" s="1"/>
  <c r="D48" i="55"/>
  <c r="G48" i="55" s="1"/>
  <c r="CB48" i="13" s="1"/>
  <c r="DT48" i="13" s="1"/>
  <c r="D32" i="55"/>
  <c r="L22" i="54"/>
  <c r="O22" i="54" s="1"/>
  <c r="CA22" i="13" s="1"/>
  <c r="L86" i="54"/>
  <c r="O86" i="54" s="1"/>
  <c r="CA86" i="13" s="1"/>
  <c r="BD14" i="13"/>
  <c r="K93" i="59"/>
  <c r="BB93" i="13" s="1"/>
  <c r="N52" i="21"/>
  <c r="BD12" i="13"/>
  <c r="BD62" i="13"/>
  <c r="G40" i="59"/>
  <c r="BA40" i="13" s="1"/>
  <c r="K38" i="59"/>
  <c r="BB38" i="13" s="1"/>
  <c r="N55" i="21"/>
  <c r="O94" i="59"/>
  <c r="BC94" i="13" s="1"/>
  <c r="G96" i="59"/>
  <c r="BA96" i="13" s="1"/>
  <c r="BD94" i="13"/>
  <c r="O92" i="59"/>
  <c r="BC92" i="13" s="1"/>
  <c r="G94" i="59"/>
  <c r="BA94" i="13" s="1"/>
  <c r="O105" i="59"/>
  <c r="BC105" i="13" s="1"/>
  <c r="BD38" i="13"/>
  <c r="K92" i="59"/>
  <c r="BB92" i="13" s="1"/>
  <c r="BD61" i="13"/>
  <c r="G92" i="59"/>
  <c r="BA92" i="13" s="1"/>
  <c r="K105" i="59"/>
  <c r="BB105" i="13" s="1"/>
  <c r="N48" i="21"/>
  <c r="O38" i="59"/>
  <c r="BC38" i="13" s="1"/>
  <c r="K40" i="59"/>
  <c r="BB40" i="13" s="1"/>
  <c r="N54" i="21"/>
  <c r="K96" i="59"/>
  <c r="BB96" i="13" s="1"/>
  <c r="K22" i="59"/>
  <c r="BB22" i="13" s="1"/>
  <c r="O93" i="59"/>
  <c r="BC93" i="13" s="1"/>
  <c r="G39" i="59"/>
  <c r="BA39" i="13" s="1"/>
  <c r="K60" i="59"/>
  <c r="BB60" i="13" s="1"/>
  <c r="O104" i="59"/>
  <c r="BC104" i="13" s="1"/>
  <c r="L72" i="67"/>
  <c r="M92" i="50"/>
  <c r="O92" i="50" s="1"/>
  <c r="BR92" i="13" s="1"/>
  <c r="M94" i="50"/>
  <c r="O94" i="50" s="1"/>
  <c r="BR94" i="13" s="1"/>
  <c r="H6" i="70"/>
  <c r="K6" i="70" s="1"/>
  <c r="CU6" i="13" s="1"/>
  <c r="E79" i="18"/>
  <c r="L56" i="67"/>
  <c r="O56" i="67" s="1"/>
  <c r="CI56" i="13" s="1"/>
  <c r="N50" i="21"/>
  <c r="L50" i="17"/>
  <c r="O50" i="17" s="1"/>
  <c r="U50" i="13" s="1"/>
  <c r="N56" i="21"/>
  <c r="K94" i="59"/>
  <c r="BB94" i="13" s="1"/>
  <c r="G104" i="59"/>
  <c r="BA104" i="13" s="1"/>
  <c r="O91" i="59"/>
  <c r="BC91" i="13" s="1"/>
  <c r="O13" i="59"/>
  <c r="BC13" i="13" s="1"/>
  <c r="BD40" i="13"/>
  <c r="O96" i="59"/>
  <c r="BC96" i="13" s="1"/>
  <c r="L43" i="67"/>
  <c r="L54" i="67"/>
  <c r="O54" i="67" s="1"/>
  <c r="CI54" i="13" s="1"/>
  <c r="M24" i="50"/>
  <c r="O24" i="50" s="1"/>
  <c r="BR24" i="13" s="1"/>
  <c r="M70" i="50"/>
  <c r="H10" i="70"/>
  <c r="K10" i="70" s="1"/>
  <c r="CU10" i="13" s="1"/>
  <c r="L21" i="67"/>
  <c r="E9" i="55"/>
  <c r="L51" i="17"/>
  <c r="O51" i="17" s="1"/>
  <c r="U51" i="13" s="1"/>
  <c r="N51" i="21"/>
  <c r="O24" i="59"/>
  <c r="BC24" i="13" s="1"/>
  <c r="BD105" i="13"/>
  <c r="BD60" i="13"/>
  <c r="G23" i="59"/>
  <c r="BA23" i="13" s="1"/>
  <c r="E100" i="55"/>
  <c r="I39" i="48"/>
  <c r="K39" i="48" s="1"/>
  <c r="BM39" i="13" s="1"/>
  <c r="I102" i="48"/>
  <c r="K102" i="48" s="1"/>
  <c r="BM102" i="13" s="1"/>
  <c r="M71" i="50"/>
  <c r="E100" i="45"/>
  <c r="E92" i="45"/>
  <c r="G92" i="45" s="1"/>
  <c r="AX92" i="13" s="1"/>
  <c r="L48" i="67"/>
  <c r="O48" i="67" s="1"/>
  <c r="CI48" i="13" s="1"/>
  <c r="P31" i="29"/>
  <c r="L53" i="17"/>
  <c r="O53" i="17" s="1"/>
  <c r="U53" i="13" s="1"/>
  <c r="O22" i="59"/>
  <c r="BC22" i="13" s="1"/>
  <c r="BD103" i="13"/>
  <c r="G105" i="59"/>
  <c r="BA105" i="13" s="1"/>
  <c r="E6" i="55"/>
  <c r="I98" i="48"/>
  <c r="K98" i="48" s="1"/>
  <c r="BM98" i="13" s="1"/>
  <c r="M91" i="50"/>
  <c r="O91" i="50" s="1"/>
  <c r="BR91" i="13" s="1"/>
  <c r="E61" i="45"/>
  <c r="G61" i="45" s="1"/>
  <c r="AX61" i="13" s="1"/>
  <c r="E39" i="45"/>
  <c r="G39" i="45" s="1"/>
  <c r="AX39" i="13" s="1"/>
  <c r="L52" i="17"/>
  <c r="O52" i="17" s="1"/>
  <c r="U52" i="13" s="1"/>
  <c r="L32" i="17"/>
  <c r="O32" i="17" s="1"/>
  <c r="U32" i="13" s="1"/>
  <c r="M45" i="50"/>
  <c r="O45" i="50" s="1"/>
  <c r="BR45" i="13" s="1"/>
  <c r="BD95" i="13"/>
  <c r="BD13" i="13"/>
  <c r="E70" i="55"/>
  <c r="I40" i="48"/>
  <c r="K40" i="48" s="1"/>
  <c r="BM40" i="13" s="1"/>
  <c r="M95" i="50"/>
  <c r="O95" i="50" s="1"/>
  <c r="BR95" i="13" s="1"/>
  <c r="E95" i="45"/>
  <c r="G95" i="45" s="1"/>
  <c r="AX95" i="13" s="1"/>
  <c r="E24" i="45"/>
  <c r="E14" i="45" s="1"/>
  <c r="I70" i="48"/>
  <c r="K70" i="48" s="1"/>
  <c r="BM70" i="13" s="1"/>
  <c r="N49" i="21"/>
  <c r="D68" i="53"/>
  <c r="G68" i="53" s="1"/>
  <c r="BX68" i="13" s="1"/>
  <c r="DR68" i="13" s="1"/>
  <c r="BD93" i="13"/>
  <c r="G95" i="59"/>
  <c r="BA95" i="13" s="1"/>
  <c r="BD104" i="13"/>
  <c r="E74" i="55"/>
  <c r="M40" i="50"/>
  <c r="O40" i="50" s="1"/>
  <c r="BR40" i="13" s="1"/>
  <c r="K24" i="48"/>
  <c r="BM24" i="13" s="1"/>
  <c r="E23" i="45"/>
  <c r="E13" i="45" s="1"/>
  <c r="N53" i="21"/>
  <c r="D101" i="53"/>
  <c r="G101" i="53" s="1"/>
  <c r="BX101" i="13" s="1"/>
  <c r="DR101" i="13" s="1"/>
  <c r="I71" i="48"/>
  <c r="K71" i="48" s="1"/>
  <c r="BM71" i="13" s="1"/>
  <c r="L33" i="17"/>
  <c r="O33" i="17" s="1"/>
  <c r="U33" i="13" s="1"/>
  <c r="BD91" i="13"/>
  <c r="G93" i="59"/>
  <c r="BA93" i="13" s="1"/>
  <c r="BD96" i="13"/>
  <c r="E101" i="55"/>
  <c r="M60" i="50"/>
  <c r="O60" i="50" s="1"/>
  <c r="BR60" i="13" s="1"/>
  <c r="E101" i="45"/>
  <c r="N71" i="21"/>
  <c r="L49" i="17"/>
  <c r="O49" i="17" s="1"/>
  <c r="U49" i="13" s="1"/>
  <c r="L20" i="67"/>
  <c r="I99" i="48"/>
  <c r="K99" i="48" s="1"/>
  <c r="BM99" i="13" s="1"/>
  <c r="L54" i="17"/>
  <c r="O54" i="17" s="1"/>
  <c r="U54" i="13" s="1"/>
  <c r="M39" i="50"/>
  <c r="O39" i="50" s="1"/>
  <c r="BR39" i="13" s="1"/>
  <c r="I74" i="48"/>
  <c r="K74" i="48" s="1"/>
  <c r="BM74" i="13" s="1"/>
  <c r="BD39" i="13"/>
  <c r="O103" i="59"/>
  <c r="BC103" i="13" s="1"/>
  <c r="BD92" i="13"/>
  <c r="E46" i="55"/>
  <c r="M23" i="50"/>
  <c r="O23" i="50" s="1"/>
  <c r="BR23" i="13" s="1"/>
  <c r="M103" i="50"/>
  <c r="O103" i="50" s="1"/>
  <c r="BR103" i="13" s="1"/>
  <c r="H92" i="70"/>
  <c r="K92" i="70" s="1"/>
  <c r="CU92" i="13" s="1"/>
  <c r="E62" i="45"/>
  <c r="G62" i="45" s="1"/>
  <c r="AX62" i="13" s="1"/>
  <c r="L80" i="67"/>
  <c r="O80" i="67" s="1"/>
  <c r="CI80" i="13" s="1"/>
  <c r="N70" i="21"/>
  <c r="L31" i="17"/>
  <c r="O31" i="17" s="1"/>
  <c r="U31" i="13" s="1"/>
  <c r="L55" i="17"/>
  <c r="O55" i="17" s="1"/>
  <c r="U55" i="13" s="1"/>
  <c r="D71" i="53"/>
  <c r="O95" i="59"/>
  <c r="BC95" i="13" s="1"/>
  <c r="M105" i="50"/>
  <c r="O105" i="50" s="1"/>
  <c r="BR105" i="13" s="1"/>
  <c r="M74" i="50"/>
  <c r="H93" i="70"/>
  <c r="K93" i="70" s="1"/>
  <c r="CU93" i="13" s="1"/>
  <c r="E105" i="45"/>
  <c r="E47" i="55"/>
  <c r="L71" i="67"/>
  <c r="E96" i="45"/>
  <c r="G96" i="45" s="1"/>
  <c r="AX96" i="13" s="1"/>
  <c r="L48" i="17"/>
  <c r="O48" i="17" s="1"/>
  <c r="U48" i="13" s="1"/>
  <c r="L45" i="21"/>
  <c r="N46" i="16"/>
  <c r="N36" i="16"/>
  <c r="L47" i="21"/>
  <c r="Y102" i="68"/>
  <c r="N62" i="16"/>
  <c r="N23" i="16"/>
  <c r="L69" i="21"/>
  <c r="E22" i="53"/>
  <c r="E12" i="53" s="1"/>
  <c r="G12" i="53" s="1"/>
  <c r="BX12" i="13" s="1"/>
  <c r="DR12" i="13" s="1"/>
  <c r="E45" i="19"/>
  <c r="G45" i="19" s="1"/>
  <c r="AA45" i="13" s="1"/>
  <c r="E46" i="19"/>
  <c r="G46" i="19" s="1"/>
  <c r="AA46" i="13" s="1"/>
  <c r="L19" i="67"/>
  <c r="Q14" i="29"/>
  <c r="S14" i="29" s="1"/>
  <c r="AS14" i="13" s="1"/>
  <c r="L83" i="67"/>
  <c r="O83" i="67" s="1"/>
  <c r="CI83" i="13" s="1"/>
  <c r="L74" i="67"/>
  <c r="E45" i="18"/>
  <c r="G45" i="18" s="1"/>
  <c r="V45" i="13" s="1"/>
  <c r="E50" i="18"/>
  <c r="D52" i="53"/>
  <c r="G52" i="53" s="1"/>
  <c r="BX52" i="13" s="1"/>
  <c r="DR52" i="13" s="1"/>
  <c r="D78" i="53"/>
  <c r="G78" i="53" s="1"/>
  <c r="BX78" i="13" s="1"/>
  <c r="DR78" i="13" s="1"/>
  <c r="D102" i="53"/>
  <c r="G102" i="53" s="1"/>
  <c r="BX102" i="13" s="1"/>
  <c r="DR102" i="13" s="1"/>
  <c r="D33" i="53"/>
  <c r="G33" i="53" s="1"/>
  <c r="BX33" i="13" s="1"/>
  <c r="DR33" i="13" s="1"/>
  <c r="E60" i="18"/>
  <c r="L85" i="21"/>
  <c r="O85" i="21" s="1"/>
  <c r="AJ85" i="13" s="1"/>
  <c r="Y101" i="68"/>
  <c r="L80" i="54"/>
  <c r="O80" i="54" s="1"/>
  <c r="CA80" i="13" s="1"/>
  <c r="Y40" i="68"/>
  <c r="AA40" i="68" s="1"/>
  <c r="CO40" i="13" s="1"/>
  <c r="L79" i="21"/>
  <c r="O79" i="21" s="1"/>
  <c r="AJ79" i="13" s="1"/>
  <c r="L69" i="54"/>
  <c r="N92" i="16"/>
  <c r="E93" i="19"/>
  <c r="G93" i="19" s="1"/>
  <c r="AA93" i="13" s="1"/>
  <c r="N61" i="16"/>
  <c r="O61" i="16" s="1"/>
  <c r="Q61" i="13" s="1"/>
  <c r="L50" i="21"/>
  <c r="L52" i="21"/>
  <c r="N103" i="16"/>
  <c r="L40" i="21"/>
  <c r="N60" i="16"/>
  <c r="L84" i="21"/>
  <c r="O84" i="21" s="1"/>
  <c r="AJ84" i="13" s="1"/>
  <c r="N35" i="16"/>
  <c r="D43" i="55"/>
  <c r="N40" i="16"/>
  <c r="D44" i="55"/>
  <c r="D49" i="55"/>
  <c r="G49" i="55" s="1"/>
  <c r="CB49" i="13" s="1"/>
  <c r="DT49" i="13" s="1"/>
  <c r="H22" i="70"/>
  <c r="K22" i="70" s="1"/>
  <c r="CU22" i="13" s="1"/>
  <c r="Q95" i="29"/>
  <c r="S95" i="29" s="1"/>
  <c r="AS95" i="13" s="1"/>
  <c r="E71" i="55"/>
  <c r="M54" i="21"/>
  <c r="H39" i="70"/>
  <c r="K39" i="70" s="1"/>
  <c r="CU39" i="13" s="1"/>
  <c r="Q23" i="29"/>
  <c r="S23" i="29" s="1"/>
  <c r="AS23" i="13" s="1"/>
  <c r="E13" i="55"/>
  <c r="H38" i="70"/>
  <c r="K38" i="70" s="1"/>
  <c r="CU38" i="13" s="1"/>
  <c r="Q13" i="29"/>
  <c r="S13" i="29" s="1"/>
  <c r="AS13" i="13" s="1"/>
  <c r="I62" i="48"/>
  <c r="K62" i="48" s="1"/>
  <c r="BM62" i="13" s="1"/>
  <c r="H23" i="70"/>
  <c r="K23" i="70" s="1"/>
  <c r="CU23" i="13" s="1"/>
  <c r="Q10" i="29"/>
  <c r="S10" i="29" s="1"/>
  <c r="AS10" i="13" s="1"/>
  <c r="T78" i="46"/>
  <c r="W78" i="46" s="1"/>
  <c r="BI78" i="13" s="1"/>
  <c r="Q34" i="29"/>
  <c r="S34" i="29" s="1"/>
  <c r="AS34" i="13" s="1"/>
  <c r="Q103" i="29"/>
  <c r="S103" i="29" s="1"/>
  <c r="AS103" i="13" s="1"/>
  <c r="P99" i="29"/>
  <c r="S99" i="29" s="1"/>
  <c r="AS99" i="13" s="1"/>
  <c r="E73" i="55"/>
  <c r="Z24" i="68"/>
  <c r="Z14" i="68" s="1"/>
  <c r="L20" i="30"/>
  <c r="H49" i="49"/>
  <c r="K49" i="49" s="1"/>
  <c r="BO49" i="13" s="1"/>
  <c r="L85" i="30"/>
  <c r="I105" i="20"/>
  <c r="K105" i="20" s="1"/>
  <c r="AG105" i="13" s="1"/>
  <c r="DC105" i="13" s="1"/>
  <c r="L33" i="30"/>
  <c r="L14" i="30" s="1"/>
  <c r="H80" i="49"/>
  <c r="K80" i="49" s="1"/>
  <c r="BO80" i="13" s="1"/>
  <c r="L74" i="21"/>
  <c r="I45" i="30"/>
  <c r="E92" i="53"/>
  <c r="G92" i="53" s="1"/>
  <c r="BX92" i="13" s="1"/>
  <c r="DR92" i="13" s="1"/>
  <c r="V92" i="46"/>
  <c r="V71" i="46"/>
  <c r="V96" i="46"/>
  <c r="L99" i="50"/>
  <c r="O99" i="50" s="1"/>
  <c r="BR99" i="13" s="1"/>
  <c r="D81" i="51"/>
  <c r="G81" i="51" s="1"/>
  <c r="BS81" i="13" s="1"/>
  <c r="DP81" i="13" s="1"/>
  <c r="M39" i="21"/>
  <c r="L51" i="19"/>
  <c r="O51" i="19" s="1"/>
  <c r="AC51" i="13" s="1"/>
  <c r="E104" i="55"/>
  <c r="H72" i="49"/>
  <c r="M33" i="21"/>
  <c r="O33" i="21" s="1"/>
  <c r="AJ33" i="13" s="1"/>
  <c r="E5" i="55"/>
  <c r="E105" i="55"/>
  <c r="I61" i="48"/>
  <c r="K61" i="48" s="1"/>
  <c r="BM61" i="13" s="1"/>
  <c r="L49" i="19"/>
  <c r="O49" i="19" s="1"/>
  <c r="AC49" i="13" s="1"/>
  <c r="E93" i="55"/>
  <c r="G93" i="55" s="1"/>
  <c r="CB93" i="13" s="1"/>
  <c r="DT93" i="13" s="1"/>
  <c r="E103" i="55"/>
  <c r="M55" i="21"/>
  <c r="M71" i="21"/>
  <c r="D100" i="53"/>
  <c r="G100" i="53" s="1"/>
  <c r="BX100" i="13" s="1"/>
  <c r="DR100" i="13" s="1"/>
  <c r="D50" i="53"/>
  <c r="G50" i="53" s="1"/>
  <c r="BX50" i="13" s="1"/>
  <c r="DR50" i="13" s="1"/>
  <c r="E31" i="18"/>
  <c r="P74" i="16"/>
  <c r="P85" i="16"/>
  <c r="E65" i="18"/>
  <c r="E22" i="18"/>
  <c r="E48" i="18"/>
  <c r="E27" i="18"/>
  <c r="G27" i="18" s="1"/>
  <c r="V27" i="13" s="1"/>
  <c r="D69" i="53"/>
  <c r="E40" i="18"/>
  <c r="P82" i="16"/>
  <c r="Q91" i="16"/>
  <c r="E55" i="18"/>
  <c r="E25" i="18"/>
  <c r="G25" i="18" s="1"/>
  <c r="V25" i="13" s="1"/>
  <c r="Q103" i="16"/>
  <c r="E54" i="18"/>
  <c r="E24" i="18"/>
  <c r="E56" i="18"/>
  <c r="Q104" i="16"/>
  <c r="P52" i="16"/>
  <c r="Q23" i="16"/>
  <c r="P78" i="16"/>
  <c r="D97" i="53"/>
  <c r="G97" i="53" s="1"/>
  <c r="BX97" i="13" s="1"/>
  <c r="DR97" i="13" s="1"/>
  <c r="D55" i="53"/>
  <c r="G55" i="53" s="1"/>
  <c r="BX55" i="13" s="1"/>
  <c r="DR55" i="13" s="1"/>
  <c r="E47" i="18"/>
  <c r="G47" i="18" s="1"/>
  <c r="V47" i="13" s="1"/>
  <c r="D79" i="53"/>
  <c r="G79" i="53" s="1"/>
  <c r="BX79" i="13" s="1"/>
  <c r="DR79" i="13" s="1"/>
  <c r="M72" i="54"/>
  <c r="E38" i="18"/>
  <c r="E9" i="18"/>
  <c r="G9" i="18" s="1"/>
  <c r="V9" i="13" s="1"/>
  <c r="E32" i="18"/>
  <c r="P54" i="16"/>
  <c r="P71" i="16"/>
  <c r="P68" i="16"/>
  <c r="P81" i="16"/>
  <c r="D84" i="53"/>
  <c r="G84" i="53" s="1"/>
  <c r="BX84" i="13" s="1"/>
  <c r="DR84" i="13" s="1"/>
  <c r="D56" i="53"/>
  <c r="G56" i="53" s="1"/>
  <c r="BX56" i="13" s="1"/>
  <c r="DR56" i="13" s="1"/>
  <c r="D53" i="53"/>
  <c r="G53" i="53" s="1"/>
  <c r="BX53" i="13" s="1"/>
  <c r="DR53" i="13" s="1"/>
  <c r="Q22" i="16"/>
  <c r="P70" i="16"/>
  <c r="E5" i="18"/>
  <c r="G5" i="18" s="1"/>
  <c r="V5" i="13" s="1"/>
  <c r="E82" i="18"/>
  <c r="E63" i="18"/>
  <c r="K56" i="15"/>
  <c r="N56" i="13" s="1"/>
  <c r="P73" i="16"/>
  <c r="P69" i="16"/>
  <c r="Q97" i="16"/>
  <c r="E61" i="18"/>
  <c r="E83" i="18"/>
  <c r="D81" i="53"/>
  <c r="G81" i="53" s="1"/>
  <c r="BX81" i="13" s="1"/>
  <c r="DR81" i="13" s="1"/>
  <c r="E64" i="18"/>
  <c r="E81" i="18"/>
  <c r="Q98" i="16"/>
  <c r="S98" i="16" s="1"/>
  <c r="R92" i="13" s="1"/>
  <c r="P72" i="16"/>
  <c r="Q102" i="16"/>
  <c r="S102" i="16" s="1"/>
  <c r="R96" i="13" s="1"/>
  <c r="D66" i="53"/>
  <c r="G66" i="53" s="1"/>
  <c r="BX66" i="13" s="1"/>
  <c r="DR66" i="13" s="1"/>
  <c r="E49" i="18"/>
  <c r="G49" i="18" s="1"/>
  <c r="V49" i="13" s="1"/>
  <c r="E78" i="18"/>
  <c r="E30" i="18"/>
  <c r="G30" i="18" s="1"/>
  <c r="V30" i="13" s="1"/>
  <c r="D32" i="53"/>
  <c r="G32" i="53" s="1"/>
  <c r="BX32" i="13" s="1"/>
  <c r="DR32" i="13" s="1"/>
  <c r="Q95" i="16"/>
  <c r="D54" i="53"/>
  <c r="G54" i="53" s="1"/>
  <c r="BX54" i="13" s="1"/>
  <c r="DR54" i="13" s="1"/>
  <c r="D72" i="53"/>
  <c r="E86" i="18"/>
  <c r="Q24" i="16"/>
  <c r="P80" i="16"/>
  <c r="P84" i="16"/>
  <c r="E51" i="18"/>
  <c r="Q99" i="16"/>
  <c r="D80" i="53"/>
  <c r="G80" i="53" s="1"/>
  <c r="BX80" i="13" s="1"/>
  <c r="DR80" i="13" s="1"/>
  <c r="E23" i="18"/>
  <c r="E85" i="18"/>
  <c r="P50" i="16"/>
  <c r="Q94" i="16"/>
  <c r="Q96" i="16"/>
  <c r="E39" i="18"/>
  <c r="D31" i="53"/>
  <c r="G31" i="53" s="1"/>
  <c r="BX31" i="13" s="1"/>
  <c r="DR31" i="13" s="1"/>
  <c r="E10" i="18"/>
  <c r="G10" i="18" s="1"/>
  <c r="V10" i="13" s="1"/>
  <c r="E46" i="18"/>
  <c r="G46" i="18" s="1"/>
  <c r="V46" i="13" s="1"/>
  <c r="P86" i="16"/>
  <c r="P55" i="16"/>
  <c r="P53" i="16"/>
  <c r="D86" i="53"/>
  <c r="G86" i="53" s="1"/>
  <c r="BX86" i="13" s="1"/>
  <c r="DR86" i="13" s="1"/>
  <c r="E53" i="18"/>
  <c r="Q93" i="16"/>
  <c r="P66" i="16"/>
  <c r="Q92" i="16"/>
  <c r="D73" i="53"/>
  <c r="D99" i="53"/>
  <c r="G99" i="53" s="1"/>
  <c r="BX99" i="13" s="1"/>
  <c r="DR99" i="13" s="1"/>
  <c r="E84" i="18"/>
  <c r="E7" i="18"/>
  <c r="G7" i="18" s="1"/>
  <c r="V7" i="13" s="1"/>
  <c r="P32" i="16"/>
  <c r="P48" i="16"/>
  <c r="Q100" i="16"/>
  <c r="S100" i="16" s="1"/>
  <c r="R94" i="13" s="1"/>
  <c r="P83" i="16"/>
  <c r="D51" i="53"/>
  <c r="G51" i="53" s="1"/>
  <c r="BX51" i="13" s="1"/>
  <c r="DR51" i="13" s="1"/>
  <c r="E33" i="18"/>
  <c r="E28" i="18"/>
  <c r="G28" i="18" s="1"/>
  <c r="V28" i="13" s="1"/>
  <c r="P51" i="16"/>
  <c r="P65" i="16"/>
  <c r="Q105" i="16"/>
  <c r="P56" i="16"/>
  <c r="D98" i="53"/>
  <c r="G98" i="53" s="1"/>
  <c r="BX98" i="13" s="1"/>
  <c r="DR98" i="13" s="1"/>
  <c r="E8" i="18"/>
  <c r="G8" i="18" s="1"/>
  <c r="V8" i="13" s="1"/>
  <c r="P79" i="16"/>
  <c r="D74" i="53"/>
  <c r="E6" i="18"/>
  <c r="G6" i="18" s="1"/>
  <c r="V6" i="13" s="1"/>
  <c r="E52" i="18"/>
  <c r="I24" i="17"/>
  <c r="K24" i="17" s="1"/>
  <c r="T24" i="13" s="1"/>
  <c r="P67" i="16"/>
  <c r="P33" i="16"/>
  <c r="Q101" i="16"/>
  <c r="S101" i="16" s="1"/>
  <c r="R95" i="13" s="1"/>
  <c r="D85" i="53"/>
  <c r="G85" i="53" s="1"/>
  <c r="BX85" i="13" s="1"/>
  <c r="DR85" i="13" s="1"/>
  <c r="D70" i="53"/>
  <c r="P31" i="16"/>
  <c r="D83" i="53"/>
  <c r="G83" i="53" s="1"/>
  <c r="BX83" i="13" s="1"/>
  <c r="DR83" i="13" s="1"/>
  <c r="E26" i="18"/>
  <c r="G26" i="18" s="1"/>
  <c r="V26" i="13" s="1"/>
  <c r="P63" i="16"/>
  <c r="P49" i="16"/>
  <c r="D67" i="53"/>
  <c r="G67" i="53" s="1"/>
  <c r="BX67" i="13" s="1"/>
  <c r="DR67" i="13" s="1"/>
  <c r="E29" i="18"/>
  <c r="G29" i="18" s="1"/>
  <c r="V29" i="13" s="1"/>
  <c r="L53" i="67"/>
  <c r="O53" i="67" s="1"/>
  <c r="CI53" i="13" s="1"/>
  <c r="L70" i="67"/>
  <c r="M105" i="67"/>
  <c r="H83" i="49"/>
  <c r="K83" i="49" s="1"/>
  <c r="BO83" i="13" s="1"/>
  <c r="I100" i="48"/>
  <c r="K100" i="48" s="1"/>
  <c r="BM100" i="13" s="1"/>
  <c r="D56" i="55"/>
  <c r="G56" i="55" s="1"/>
  <c r="CB56" i="13" s="1"/>
  <c r="DT56" i="13" s="1"/>
  <c r="D71" i="55"/>
  <c r="I72" i="48"/>
  <c r="K72" i="48" s="1"/>
  <c r="BM72" i="13" s="1"/>
  <c r="M45" i="67"/>
  <c r="E24" i="55"/>
  <c r="G24" i="55" s="1"/>
  <c r="CB24" i="13" s="1"/>
  <c r="DT24" i="13" s="1"/>
  <c r="E38" i="45"/>
  <c r="G38" i="45" s="1"/>
  <c r="AX38" i="13" s="1"/>
  <c r="E14" i="55"/>
  <c r="E10" i="55"/>
  <c r="M13" i="67"/>
  <c r="O13" i="67" s="1"/>
  <c r="CI13" i="13" s="1"/>
  <c r="E8" i="55"/>
  <c r="E61" i="55"/>
  <c r="E98" i="55"/>
  <c r="I105" i="48"/>
  <c r="K105" i="48" s="1"/>
  <c r="BM105" i="13" s="1"/>
  <c r="F22" i="30"/>
  <c r="G22" i="30" s="1"/>
  <c r="AT22" i="13" s="1"/>
  <c r="Y38" i="68"/>
  <c r="AA38" i="68" s="1"/>
  <c r="CO38" i="13" s="1"/>
  <c r="Y39" i="68"/>
  <c r="AA39" i="68" s="1"/>
  <c r="CO39" i="13" s="1"/>
  <c r="D81" i="55"/>
  <c r="G81" i="55" s="1"/>
  <c r="CB81" i="13" s="1"/>
  <c r="DT81" i="13" s="1"/>
  <c r="L81" i="54"/>
  <c r="O81" i="54" s="1"/>
  <c r="CA81" i="13" s="1"/>
  <c r="D52" i="55"/>
  <c r="G52" i="55" s="1"/>
  <c r="CB52" i="13" s="1"/>
  <c r="DT52" i="13" s="1"/>
  <c r="L72" i="54"/>
  <c r="Q53" i="16"/>
  <c r="Q36" i="16"/>
  <c r="I13" i="56"/>
  <c r="K13" i="56" s="1"/>
  <c r="CD13" i="13" s="1"/>
  <c r="D48" i="53"/>
  <c r="G48" i="53" s="1"/>
  <c r="BX48" i="13" s="1"/>
  <c r="DR48" i="13" s="1"/>
  <c r="Q72" i="29"/>
  <c r="S72" i="29" s="1"/>
  <c r="AS72" i="13" s="1"/>
  <c r="Q6" i="16"/>
  <c r="M46" i="67"/>
  <c r="E24" i="53"/>
  <c r="E14" i="53" s="1"/>
  <c r="G14" i="53" s="1"/>
  <c r="BX14" i="13" s="1"/>
  <c r="DR14" i="13" s="1"/>
  <c r="E95" i="53"/>
  <c r="G95" i="53" s="1"/>
  <c r="BX95" i="13" s="1"/>
  <c r="DR95" i="13" s="1"/>
  <c r="Q36" i="29"/>
  <c r="S36" i="29" s="1"/>
  <c r="AS36" i="13" s="1"/>
  <c r="Q66" i="16"/>
  <c r="I61" i="56"/>
  <c r="K61" i="56" s="1"/>
  <c r="CD61" i="13" s="1"/>
  <c r="E69" i="53"/>
  <c r="Q61" i="29"/>
  <c r="S61" i="29" s="1"/>
  <c r="AS61" i="13" s="1"/>
  <c r="Q35" i="16"/>
  <c r="M73" i="67"/>
  <c r="H81" i="52"/>
  <c r="K81" i="52" s="1"/>
  <c r="BU81" i="13" s="1"/>
  <c r="U94" i="46"/>
  <c r="L48" i="54"/>
  <c r="E22" i="51"/>
  <c r="G22" i="51" s="1"/>
  <c r="BS22" i="13" s="1"/>
  <c r="DP22" i="13" s="1"/>
  <c r="N95" i="16"/>
  <c r="I92" i="48"/>
  <c r="K92" i="48" s="1"/>
  <c r="BM92" i="13" s="1"/>
  <c r="DM92" i="13" s="1"/>
  <c r="E36" i="55"/>
  <c r="G36" i="55" s="1"/>
  <c r="CB36" i="13" s="1"/>
  <c r="DT36" i="13" s="1"/>
  <c r="U92" i="46"/>
  <c r="L83" i="50"/>
  <c r="O83" i="50" s="1"/>
  <c r="BR83" i="13" s="1"/>
  <c r="L56" i="50"/>
  <c r="O56" i="50" s="1"/>
  <c r="BR56" i="13" s="1"/>
  <c r="H98" i="52"/>
  <c r="K98" i="52" s="1"/>
  <c r="BU98" i="13" s="1"/>
  <c r="L48" i="50"/>
  <c r="O48" i="50" s="1"/>
  <c r="BR48" i="13" s="1"/>
  <c r="N14" i="16"/>
  <c r="M8" i="67"/>
  <c r="M22" i="67"/>
  <c r="O22" i="67" s="1"/>
  <c r="CI22" i="13" s="1"/>
  <c r="M98" i="67"/>
  <c r="M24" i="67"/>
  <c r="O24" i="67" s="1"/>
  <c r="CI24" i="13" s="1"/>
  <c r="H7" i="70"/>
  <c r="K7" i="70" s="1"/>
  <c r="CU7" i="13" s="1"/>
  <c r="M12" i="67"/>
  <c r="O12" i="67" s="1"/>
  <c r="CI12" i="13" s="1"/>
  <c r="M61" i="67"/>
  <c r="N27" i="45"/>
  <c r="O27" i="45" s="1"/>
  <c r="AZ27" i="13" s="1"/>
  <c r="H55" i="52"/>
  <c r="K55" i="52" s="1"/>
  <c r="BU55" i="13" s="1"/>
  <c r="L100" i="50"/>
  <c r="O100" i="50" s="1"/>
  <c r="BR100" i="13" s="1"/>
  <c r="D48" i="51"/>
  <c r="G48" i="51" s="1"/>
  <c r="BS48" i="13" s="1"/>
  <c r="DP48" i="13" s="1"/>
  <c r="U61" i="46"/>
  <c r="W61" i="46" s="1"/>
  <c r="BI61" i="13" s="1"/>
  <c r="U40" i="46"/>
  <c r="L80" i="50"/>
  <c r="O80" i="50" s="1"/>
  <c r="BR80" i="13" s="1"/>
  <c r="H85" i="52"/>
  <c r="K85" i="52" s="1"/>
  <c r="BU85" i="13" s="1"/>
  <c r="L86" i="50"/>
  <c r="O86" i="50" s="1"/>
  <c r="BR86" i="13" s="1"/>
  <c r="U39" i="46"/>
  <c r="U73" i="46"/>
  <c r="L54" i="50"/>
  <c r="O54" i="50" s="1"/>
  <c r="BR54" i="13" s="1"/>
  <c r="L85" i="50"/>
  <c r="O85" i="50" s="1"/>
  <c r="BR85" i="13" s="1"/>
  <c r="H31" i="52"/>
  <c r="K31" i="52" s="1"/>
  <c r="BU31" i="13" s="1"/>
  <c r="L79" i="50"/>
  <c r="O79" i="50" s="1"/>
  <c r="BR79" i="13" s="1"/>
  <c r="G80" i="51"/>
  <c r="BS80" i="13" s="1"/>
  <c r="DP80" i="13" s="1"/>
  <c r="D78" i="51"/>
  <c r="G78" i="51" s="1"/>
  <c r="BS78" i="13" s="1"/>
  <c r="DP78" i="13" s="1"/>
  <c r="U95" i="46"/>
  <c r="L78" i="50"/>
  <c r="O78" i="50" s="1"/>
  <c r="BR78" i="13" s="1"/>
  <c r="H33" i="52"/>
  <c r="K33" i="52" s="1"/>
  <c r="BU33" i="13" s="1"/>
  <c r="L74" i="50"/>
  <c r="U70" i="46"/>
  <c r="H32" i="52"/>
  <c r="K32" i="52" s="1"/>
  <c r="BU32" i="13" s="1"/>
  <c r="L69" i="50"/>
  <c r="H73" i="52"/>
  <c r="K73" i="52" s="1"/>
  <c r="BU73" i="13" s="1"/>
  <c r="L51" i="50"/>
  <c r="O51" i="50" s="1"/>
  <c r="BR51" i="13" s="1"/>
  <c r="D97" i="51"/>
  <c r="G97" i="51" s="1"/>
  <c r="BS97" i="13" s="1"/>
  <c r="DP97" i="13" s="1"/>
  <c r="U72" i="46"/>
  <c r="T56" i="46"/>
  <c r="W56" i="46" s="1"/>
  <c r="BI56" i="13" s="1"/>
  <c r="F74" i="30"/>
  <c r="L53" i="50"/>
  <c r="O53" i="50" s="1"/>
  <c r="BR53" i="13" s="1"/>
  <c r="H83" i="52"/>
  <c r="K83" i="52" s="1"/>
  <c r="BU83" i="13" s="1"/>
  <c r="G49" i="51"/>
  <c r="BS49" i="13" s="1"/>
  <c r="DP49" i="13" s="1"/>
  <c r="U96" i="46"/>
  <c r="H98" i="45"/>
  <c r="K98" i="45" s="1"/>
  <c r="AY98" i="13" s="1"/>
  <c r="L32" i="50"/>
  <c r="O32" i="50" s="1"/>
  <c r="BR32" i="13" s="1"/>
  <c r="H99" i="52"/>
  <c r="K99" i="52" s="1"/>
  <c r="BU99" i="13" s="1"/>
  <c r="D51" i="51"/>
  <c r="G51" i="51" s="1"/>
  <c r="BS51" i="13" s="1"/>
  <c r="DP51" i="13" s="1"/>
  <c r="G79" i="51"/>
  <c r="BS79" i="13" s="1"/>
  <c r="DP79" i="13" s="1"/>
  <c r="U71" i="46"/>
  <c r="H33" i="45"/>
  <c r="H74" i="52"/>
  <c r="K74" i="52" s="1"/>
  <c r="BU74" i="13" s="1"/>
  <c r="H66" i="52"/>
  <c r="K66" i="52" s="1"/>
  <c r="BU66" i="13" s="1"/>
  <c r="G32" i="51"/>
  <c r="BS32" i="13" s="1"/>
  <c r="DP32" i="13" s="1"/>
  <c r="D54" i="51"/>
  <c r="G54" i="51" s="1"/>
  <c r="BS54" i="13" s="1"/>
  <c r="DP54" i="13" s="1"/>
  <c r="H97" i="45"/>
  <c r="K97" i="45" s="1"/>
  <c r="AY97" i="13" s="1"/>
  <c r="U105" i="46"/>
  <c r="W105" i="46" s="1"/>
  <c r="BI105" i="13" s="1"/>
  <c r="H31" i="45"/>
  <c r="L82" i="50"/>
  <c r="O82" i="50" s="1"/>
  <c r="BR82" i="13" s="1"/>
  <c r="H68" i="52"/>
  <c r="K68" i="52" s="1"/>
  <c r="BU68" i="13" s="1"/>
  <c r="D84" i="51"/>
  <c r="G84" i="51" s="1"/>
  <c r="BS84" i="13" s="1"/>
  <c r="DP84" i="13" s="1"/>
  <c r="H32" i="45"/>
  <c r="U103" i="46"/>
  <c r="W103" i="46" s="1"/>
  <c r="BI103" i="13" s="1"/>
  <c r="L101" i="50"/>
  <c r="O101" i="50" s="1"/>
  <c r="BR101" i="13" s="1"/>
  <c r="L33" i="50"/>
  <c r="O33" i="50" s="1"/>
  <c r="BR33" i="13" s="1"/>
  <c r="H78" i="52"/>
  <c r="K78" i="52" s="1"/>
  <c r="BU78" i="13" s="1"/>
  <c r="G99" i="51"/>
  <c r="BS99" i="13" s="1"/>
  <c r="DP99" i="13" s="1"/>
  <c r="U62" i="46"/>
  <c r="W62" i="46" s="1"/>
  <c r="BI62" i="13" s="1"/>
  <c r="H101" i="52"/>
  <c r="K101" i="52" s="1"/>
  <c r="BU101" i="13" s="1"/>
  <c r="L84" i="50"/>
  <c r="O84" i="50" s="1"/>
  <c r="BR84" i="13" s="1"/>
  <c r="H80" i="52"/>
  <c r="K80" i="52" s="1"/>
  <c r="BU80" i="13" s="1"/>
  <c r="L49" i="50"/>
  <c r="O49" i="50" s="1"/>
  <c r="BR49" i="13" s="1"/>
  <c r="D31" i="51"/>
  <c r="G31" i="51" s="1"/>
  <c r="BS31" i="13" s="1"/>
  <c r="DP31" i="13" s="1"/>
  <c r="U60" i="46"/>
  <c r="W60" i="46" s="1"/>
  <c r="BI60" i="13" s="1"/>
  <c r="H56" i="52"/>
  <c r="K56" i="52" s="1"/>
  <c r="BU56" i="13" s="1"/>
  <c r="L55" i="50"/>
  <c r="O55" i="50" s="1"/>
  <c r="BR55" i="13" s="1"/>
  <c r="L97" i="50"/>
  <c r="O97" i="50" s="1"/>
  <c r="BR97" i="13" s="1"/>
  <c r="H82" i="52"/>
  <c r="K82" i="52" s="1"/>
  <c r="BU82" i="13" s="1"/>
  <c r="D100" i="51"/>
  <c r="G100" i="51" s="1"/>
  <c r="BS100" i="13" s="1"/>
  <c r="DP100" i="13" s="1"/>
  <c r="U69" i="46"/>
  <c r="G98" i="51"/>
  <c r="BS98" i="13" s="1"/>
  <c r="DP98" i="13" s="1"/>
  <c r="L70" i="50"/>
  <c r="H100" i="45"/>
  <c r="L72" i="50"/>
  <c r="H84" i="52"/>
  <c r="K84" i="52" s="1"/>
  <c r="BU84" i="13" s="1"/>
  <c r="G53" i="51"/>
  <c r="BS53" i="13" s="1"/>
  <c r="DP53" i="13" s="1"/>
  <c r="U38" i="46"/>
  <c r="U93" i="46"/>
  <c r="L50" i="50"/>
  <c r="O50" i="50" s="1"/>
  <c r="BR50" i="13" s="1"/>
  <c r="H99" i="45"/>
  <c r="K99" i="45" s="1"/>
  <c r="AY99" i="13" s="1"/>
  <c r="L102" i="50"/>
  <c r="O102" i="50" s="1"/>
  <c r="BR102" i="13" s="1"/>
  <c r="H70" i="52"/>
  <c r="U74" i="46"/>
  <c r="H79" i="52"/>
  <c r="K79" i="52" s="1"/>
  <c r="BU79" i="13" s="1"/>
  <c r="H72" i="52"/>
  <c r="K72" i="52" s="1"/>
  <c r="BU72" i="13" s="1"/>
  <c r="H71" i="52"/>
  <c r="L66" i="50"/>
  <c r="O66" i="50" s="1"/>
  <c r="BR66" i="13" s="1"/>
  <c r="L81" i="50"/>
  <c r="O81" i="50" s="1"/>
  <c r="BR81" i="13" s="1"/>
  <c r="H102" i="52"/>
  <c r="K102" i="52" s="1"/>
  <c r="BU102" i="13" s="1"/>
  <c r="H101" i="45"/>
  <c r="U104" i="46"/>
  <c r="W104" i="46" s="1"/>
  <c r="BI104" i="13" s="1"/>
  <c r="H67" i="52"/>
  <c r="K67" i="52" s="1"/>
  <c r="BU67" i="13" s="1"/>
  <c r="H54" i="52"/>
  <c r="K54" i="52" s="1"/>
  <c r="BU54" i="13" s="1"/>
  <c r="L71" i="50"/>
  <c r="Z26" i="68"/>
  <c r="AA26" i="68" s="1"/>
  <c r="CO26" i="13" s="1"/>
  <c r="M60" i="67"/>
  <c r="M14" i="67"/>
  <c r="O14" i="67" s="1"/>
  <c r="CI14" i="13" s="1"/>
  <c r="L68" i="21"/>
  <c r="O68" i="21" s="1"/>
  <c r="AJ68" i="13" s="1"/>
  <c r="E94" i="19"/>
  <c r="G94" i="19" s="1"/>
  <c r="AA94" i="13" s="1"/>
  <c r="T54" i="46"/>
  <c r="W54" i="46" s="1"/>
  <c r="BI54" i="13" s="1"/>
  <c r="M67" i="21"/>
  <c r="T82" i="46"/>
  <c r="W82" i="46" s="1"/>
  <c r="BI82" i="13" s="1"/>
  <c r="E60" i="19"/>
  <c r="G60" i="19" s="1"/>
  <c r="AA60" i="13" s="1"/>
  <c r="F62" i="55"/>
  <c r="H53" i="49"/>
  <c r="K53" i="49" s="1"/>
  <c r="BO53" i="13" s="1"/>
  <c r="F33" i="55"/>
  <c r="T55" i="46"/>
  <c r="W55" i="46" s="1"/>
  <c r="BI55" i="13" s="1"/>
  <c r="E91" i="19"/>
  <c r="G91" i="19" s="1"/>
  <c r="AA91" i="13" s="1"/>
  <c r="M35" i="67"/>
  <c r="O35" i="67" s="1"/>
  <c r="CI35" i="13" s="1"/>
  <c r="H79" i="49"/>
  <c r="K79" i="49" s="1"/>
  <c r="BO79" i="13" s="1"/>
  <c r="F99" i="55"/>
  <c r="M56" i="21"/>
  <c r="M24" i="21"/>
  <c r="T86" i="46"/>
  <c r="W86" i="46" s="1"/>
  <c r="BI86" i="13" s="1"/>
  <c r="E22" i="19"/>
  <c r="E12" i="19" s="1"/>
  <c r="F45" i="55"/>
  <c r="M50" i="21"/>
  <c r="F45" i="30"/>
  <c r="M14" i="21"/>
  <c r="O14" i="21" s="1"/>
  <c r="AJ14" i="13" s="1"/>
  <c r="M47" i="21"/>
  <c r="M39" i="67"/>
  <c r="O39" i="67" s="1"/>
  <c r="CI39" i="13" s="1"/>
  <c r="Q62" i="29"/>
  <c r="S62" i="29" s="1"/>
  <c r="AS62" i="13" s="1"/>
  <c r="N25" i="45"/>
  <c r="O25" i="45" s="1"/>
  <c r="AZ25" i="13" s="1"/>
  <c r="M40" i="21"/>
  <c r="Q39" i="29"/>
  <c r="S39" i="29" s="1"/>
  <c r="AS39" i="13" s="1"/>
  <c r="M10" i="67"/>
  <c r="M66" i="21"/>
  <c r="M69" i="21"/>
  <c r="Z27" i="68"/>
  <c r="AA27" i="68" s="1"/>
  <c r="CO27" i="13" s="1"/>
  <c r="M6" i="67"/>
  <c r="M47" i="67"/>
  <c r="M34" i="67"/>
  <c r="O34" i="67" s="1"/>
  <c r="CI34" i="13" s="1"/>
  <c r="M31" i="21"/>
  <c r="O31" i="21" s="1"/>
  <c r="AJ31" i="13" s="1"/>
  <c r="M70" i="21"/>
  <c r="Q105" i="29"/>
  <c r="S105" i="29" s="1"/>
  <c r="AS105" i="13" s="1"/>
  <c r="M32" i="21"/>
  <c r="O32" i="21" s="1"/>
  <c r="AJ32" i="13" s="1"/>
  <c r="T81" i="46"/>
  <c r="W81" i="46" s="1"/>
  <c r="BI81" i="13" s="1"/>
  <c r="F44" i="55"/>
  <c r="H8" i="70"/>
  <c r="K8" i="70" s="1"/>
  <c r="CU8" i="13" s="1"/>
  <c r="Q96" i="29"/>
  <c r="S96" i="29" s="1"/>
  <c r="AS96" i="13" s="1"/>
  <c r="N104" i="16"/>
  <c r="F103" i="55"/>
  <c r="Q24" i="29"/>
  <c r="S24" i="29" s="1"/>
  <c r="AS24" i="13" s="1"/>
  <c r="F71" i="55"/>
  <c r="Q69" i="29"/>
  <c r="S69" i="29" s="1"/>
  <c r="AS69" i="13" s="1"/>
  <c r="T102" i="46"/>
  <c r="W102" i="46" s="1"/>
  <c r="BI102" i="13" s="1"/>
  <c r="M101" i="18"/>
  <c r="O101" i="18" s="1"/>
  <c r="X101" i="13" s="1"/>
  <c r="L85" i="18"/>
  <c r="Q71" i="29"/>
  <c r="S71" i="29" s="1"/>
  <c r="AS71" i="13" s="1"/>
  <c r="L83" i="54"/>
  <c r="O83" i="54" s="1"/>
  <c r="CA83" i="13" s="1"/>
  <c r="T84" i="46"/>
  <c r="W84" i="46" s="1"/>
  <c r="BI84" i="13" s="1"/>
  <c r="F72" i="55"/>
  <c r="E13" i="49"/>
  <c r="G13" i="49" s="1"/>
  <c r="BN13" i="13" s="1"/>
  <c r="T101" i="46"/>
  <c r="W101" i="46" s="1"/>
  <c r="BI101" i="13" s="1"/>
  <c r="Q5" i="29"/>
  <c r="S5" i="29" s="1"/>
  <c r="AS5" i="13" s="1"/>
  <c r="E72" i="49"/>
  <c r="Z32" i="68"/>
  <c r="F104" i="55"/>
  <c r="P102" i="29"/>
  <c r="S102" i="29" s="1"/>
  <c r="AS102" i="13" s="1"/>
  <c r="Q31" i="29"/>
  <c r="P33" i="29"/>
  <c r="T80" i="46"/>
  <c r="W80" i="46" s="1"/>
  <c r="BI80" i="13" s="1"/>
  <c r="Z33" i="68"/>
  <c r="E91" i="49"/>
  <c r="G91" i="49" s="1"/>
  <c r="BN91" i="13" s="1"/>
  <c r="Q33" i="29"/>
  <c r="F100" i="55"/>
  <c r="Q9" i="29"/>
  <c r="S9" i="29" s="1"/>
  <c r="AS9" i="13" s="1"/>
  <c r="F32" i="30"/>
  <c r="H84" i="49"/>
  <c r="K84" i="49" s="1"/>
  <c r="BO84" i="13" s="1"/>
  <c r="F6" i="30"/>
  <c r="G6" i="30" s="1"/>
  <c r="AT6" i="13" s="1"/>
  <c r="F12" i="30"/>
  <c r="F60" i="30"/>
  <c r="G60" i="30" s="1"/>
  <c r="AT60" i="13" s="1"/>
  <c r="D49" i="53"/>
  <c r="G49" i="53" s="1"/>
  <c r="BX49" i="13" s="1"/>
  <c r="DR49" i="13" s="1"/>
  <c r="F53" i="30"/>
  <c r="F36" i="30"/>
  <c r="G36" i="30" s="1"/>
  <c r="AT36" i="13" s="1"/>
  <c r="F44" i="30"/>
  <c r="N45" i="16"/>
  <c r="F81" i="30"/>
  <c r="F23" i="30"/>
  <c r="G23" i="30" s="1"/>
  <c r="AT23" i="13" s="1"/>
  <c r="N7" i="16"/>
  <c r="F42" i="30"/>
  <c r="F51" i="30"/>
  <c r="H56" i="48"/>
  <c r="K56" i="48" s="1"/>
  <c r="BM56" i="13" s="1"/>
  <c r="I47" i="17"/>
  <c r="K47" i="17" s="1"/>
  <c r="T47" i="13" s="1"/>
  <c r="M50" i="54"/>
  <c r="M49" i="54"/>
  <c r="H51" i="48"/>
  <c r="K51" i="48" s="1"/>
  <c r="BM51" i="13" s="1"/>
  <c r="I22" i="17"/>
  <c r="K22" i="17" s="1"/>
  <c r="T22" i="13" s="1"/>
  <c r="M70" i="54"/>
  <c r="I62" i="17"/>
  <c r="K62" i="17" s="1"/>
  <c r="T62" i="13" s="1"/>
  <c r="I82" i="17"/>
  <c r="K82" i="17" s="1"/>
  <c r="T82" i="13" s="1"/>
  <c r="H31" i="48"/>
  <c r="K31" i="48" s="1"/>
  <c r="BM31" i="13" s="1"/>
  <c r="M74" i="54"/>
  <c r="I46" i="17"/>
  <c r="K46" i="17" s="1"/>
  <c r="T46" i="13" s="1"/>
  <c r="I60" i="17"/>
  <c r="K60" i="17" s="1"/>
  <c r="T60" i="13" s="1"/>
  <c r="I83" i="17"/>
  <c r="K83" i="17" s="1"/>
  <c r="T83" i="13" s="1"/>
  <c r="V31" i="19"/>
  <c r="V13" i="19"/>
  <c r="I84" i="17"/>
  <c r="K84" i="17" s="1"/>
  <c r="T84" i="13" s="1"/>
  <c r="V39" i="19"/>
  <c r="M73" i="54"/>
  <c r="H50" i="48"/>
  <c r="K50" i="48" s="1"/>
  <c r="BM50" i="13" s="1"/>
  <c r="V14" i="19"/>
  <c r="I23" i="17"/>
  <c r="K23" i="17" s="1"/>
  <c r="T23" i="13" s="1"/>
  <c r="CZ23" i="13" s="1"/>
  <c r="V38" i="19"/>
  <c r="V40" i="19"/>
  <c r="K55" i="15"/>
  <c r="N55" i="13" s="1"/>
  <c r="V22" i="19"/>
  <c r="H33" i="48"/>
  <c r="K33" i="48" s="1"/>
  <c r="BM33" i="13" s="1"/>
  <c r="M71" i="54"/>
  <c r="V24" i="19"/>
  <c r="H49" i="48"/>
  <c r="K49" i="48" s="1"/>
  <c r="BM49" i="13" s="1"/>
  <c r="V33" i="19"/>
  <c r="K49" i="15"/>
  <c r="N49" i="13" s="1"/>
  <c r="V32" i="19"/>
  <c r="V23" i="19"/>
  <c r="H32" i="48"/>
  <c r="K32" i="48" s="1"/>
  <c r="BM32" i="13" s="1"/>
  <c r="K51" i="15"/>
  <c r="N51" i="13" s="1"/>
  <c r="M48" i="54"/>
  <c r="H48" i="48"/>
  <c r="K48" i="48" s="1"/>
  <c r="BM48" i="13" s="1"/>
  <c r="H52" i="48"/>
  <c r="K52" i="48" s="1"/>
  <c r="BM52" i="13" s="1"/>
  <c r="K79" i="15"/>
  <c r="N79" i="13" s="1"/>
  <c r="K86" i="15"/>
  <c r="N86" i="13" s="1"/>
  <c r="I45" i="17"/>
  <c r="K45" i="17" s="1"/>
  <c r="T45" i="13" s="1"/>
  <c r="H49" i="20"/>
  <c r="K49" i="20" s="1"/>
  <c r="AG49" i="13" s="1"/>
  <c r="D32" i="68"/>
  <c r="G32" i="68" s="1"/>
  <c r="CJ32" i="13" s="1"/>
  <c r="D98" i="68"/>
  <c r="G98" i="68" s="1"/>
  <c r="CJ98" i="13" s="1"/>
  <c r="E47" i="53"/>
  <c r="G47" i="53" s="1"/>
  <c r="BX47" i="13" s="1"/>
  <c r="DR47" i="13" s="1"/>
  <c r="N94" i="16"/>
  <c r="L84" i="67"/>
  <c r="O84" i="67" s="1"/>
  <c r="CI84" i="13" s="1"/>
  <c r="M47" i="50"/>
  <c r="O47" i="50" s="1"/>
  <c r="BR47" i="13" s="1"/>
  <c r="H24" i="70"/>
  <c r="K24" i="70" s="1"/>
  <c r="CU24" i="13" s="1"/>
  <c r="N96" i="16"/>
  <c r="E23" i="49"/>
  <c r="G23" i="49" s="1"/>
  <c r="BN23" i="13" s="1"/>
  <c r="F21" i="30"/>
  <c r="Q38" i="29"/>
  <c r="S38" i="29" s="1"/>
  <c r="AS38" i="13" s="1"/>
  <c r="D54" i="55"/>
  <c r="G54" i="55" s="1"/>
  <c r="CB54" i="13" s="1"/>
  <c r="DT54" i="13" s="1"/>
  <c r="L33" i="54"/>
  <c r="O33" i="54" s="1"/>
  <c r="CA33" i="13" s="1"/>
  <c r="L67" i="54"/>
  <c r="O67" i="54" s="1"/>
  <c r="CA67" i="13" s="1"/>
  <c r="N5" i="16"/>
  <c r="N6" i="16"/>
  <c r="E105" i="53"/>
  <c r="G105" i="53" s="1"/>
  <c r="BX105" i="13" s="1"/>
  <c r="DR105" i="13" s="1"/>
  <c r="D72" i="55"/>
  <c r="V95" i="46"/>
  <c r="Q35" i="29"/>
  <c r="S35" i="29" s="1"/>
  <c r="AS35" i="13" s="1"/>
  <c r="F61" i="30"/>
  <c r="G61" i="30" s="1"/>
  <c r="AT61" i="13" s="1"/>
  <c r="Q104" i="29"/>
  <c r="S104" i="29" s="1"/>
  <c r="AS104" i="13" s="1"/>
  <c r="E62" i="19"/>
  <c r="G62" i="19" s="1"/>
  <c r="AA62" i="13" s="1"/>
  <c r="N13" i="16"/>
  <c r="E73" i="53"/>
  <c r="N50" i="54"/>
  <c r="D50" i="55"/>
  <c r="G50" i="55" s="1"/>
  <c r="CB50" i="13" s="1"/>
  <c r="DT50" i="13" s="1"/>
  <c r="E38" i="19"/>
  <c r="F46" i="55"/>
  <c r="N74" i="54"/>
  <c r="L31" i="67"/>
  <c r="M38" i="67"/>
  <c r="O38" i="67" s="1"/>
  <c r="CI38" i="13" s="1"/>
  <c r="E23" i="53"/>
  <c r="G23" i="53" s="1"/>
  <c r="BX23" i="13" s="1"/>
  <c r="DR23" i="13" s="1"/>
  <c r="M7" i="67"/>
  <c r="M73" i="50"/>
  <c r="O73" i="50" s="1"/>
  <c r="BR73" i="13" s="1"/>
  <c r="F8" i="30"/>
  <c r="G8" i="30" s="1"/>
  <c r="AT8" i="13" s="1"/>
  <c r="F24" i="30"/>
  <c r="G24" i="30" s="1"/>
  <c r="AT24" i="13" s="1"/>
  <c r="F93" i="30"/>
  <c r="L51" i="54"/>
  <c r="O51" i="54" s="1"/>
  <c r="CA51" i="13" s="1"/>
  <c r="L66" i="18"/>
  <c r="L62" i="18"/>
  <c r="F105" i="30"/>
  <c r="G105" i="30" s="1"/>
  <c r="AT105" i="13" s="1"/>
  <c r="F52" i="30"/>
  <c r="N23" i="45"/>
  <c r="N13" i="45" s="1"/>
  <c r="F47" i="55"/>
  <c r="E47" i="19"/>
  <c r="G47" i="19" s="1"/>
  <c r="AA47" i="13" s="1"/>
  <c r="N70" i="54"/>
  <c r="M69" i="67"/>
  <c r="E45" i="49"/>
  <c r="G45" i="49" s="1"/>
  <c r="BN45" i="13" s="1"/>
  <c r="E105" i="49"/>
  <c r="G105" i="49" s="1"/>
  <c r="BN105" i="13" s="1"/>
  <c r="L67" i="18"/>
  <c r="E70" i="53"/>
  <c r="F14" i="30"/>
  <c r="F92" i="30"/>
  <c r="L52" i="67"/>
  <c r="O52" i="67" s="1"/>
  <c r="CI52" i="13" s="1"/>
  <c r="M93" i="50"/>
  <c r="O93" i="50" s="1"/>
  <c r="BR93" i="13" s="1"/>
  <c r="F19" i="30"/>
  <c r="F35" i="30"/>
  <c r="G35" i="30" s="1"/>
  <c r="AT35" i="13" s="1"/>
  <c r="E40" i="19"/>
  <c r="G40" i="19" s="1"/>
  <c r="AA40" i="13" s="1"/>
  <c r="Z31" i="68"/>
  <c r="E92" i="19"/>
  <c r="G92" i="19" s="1"/>
  <c r="AA92" i="13" s="1"/>
  <c r="K35" i="15"/>
  <c r="N35" i="13" s="1"/>
  <c r="L49" i="67"/>
  <c r="O49" i="67" s="1"/>
  <c r="CI49" i="13" s="1"/>
  <c r="E14" i="49"/>
  <c r="G14" i="49" s="1"/>
  <c r="BN14" i="13" s="1"/>
  <c r="M104" i="18"/>
  <c r="E73" i="49"/>
  <c r="M93" i="67"/>
  <c r="O93" i="67" s="1"/>
  <c r="CI93" i="13" s="1"/>
  <c r="L85" i="67"/>
  <c r="O85" i="67" s="1"/>
  <c r="CI85" i="13" s="1"/>
  <c r="I22" i="48"/>
  <c r="I12" i="48" s="1"/>
  <c r="K12" i="48" s="1"/>
  <c r="BM12" i="13" s="1"/>
  <c r="N39" i="16"/>
  <c r="F73" i="30"/>
  <c r="F48" i="30"/>
  <c r="E95" i="19"/>
  <c r="G95" i="19" s="1"/>
  <c r="AA95" i="13" s="1"/>
  <c r="L24" i="54"/>
  <c r="O24" i="54" s="1"/>
  <c r="CA24" i="13" s="1"/>
  <c r="F5" i="55"/>
  <c r="F43" i="30"/>
  <c r="L50" i="67"/>
  <c r="O50" i="67" s="1"/>
  <c r="CI50" i="13" s="1"/>
  <c r="L69" i="67"/>
  <c r="M104" i="67"/>
  <c r="O104" i="67" s="1"/>
  <c r="CI104" i="13" s="1"/>
  <c r="L81" i="67"/>
  <c r="O81" i="67" s="1"/>
  <c r="CI81" i="13" s="1"/>
  <c r="E22" i="49"/>
  <c r="G22" i="49" s="1"/>
  <c r="BN22" i="13" s="1"/>
  <c r="L78" i="67"/>
  <c r="O78" i="67" s="1"/>
  <c r="CI78" i="13" s="1"/>
  <c r="E69" i="49"/>
  <c r="I91" i="48"/>
  <c r="K91" i="48" s="1"/>
  <c r="BM91" i="13" s="1"/>
  <c r="F62" i="30"/>
  <c r="G62" i="30" s="1"/>
  <c r="AT62" i="13" s="1"/>
  <c r="F31" i="30"/>
  <c r="D33" i="55"/>
  <c r="E38" i="49"/>
  <c r="G38" i="49" s="1"/>
  <c r="BN38" i="13" s="1"/>
  <c r="N12" i="16"/>
  <c r="L74" i="54"/>
  <c r="E22" i="55"/>
  <c r="G22" i="55" s="1"/>
  <c r="CB22" i="13" s="1"/>
  <c r="DT22" i="13" s="1"/>
  <c r="F47" i="30"/>
  <c r="F70" i="30"/>
  <c r="F50" i="30"/>
  <c r="L79" i="67"/>
  <c r="O79" i="67" s="1"/>
  <c r="CI79" i="13" s="1"/>
  <c r="E96" i="19"/>
  <c r="G96" i="19" s="1"/>
  <c r="AA96" i="13" s="1"/>
  <c r="F13" i="55"/>
  <c r="L55" i="67"/>
  <c r="O55" i="67" s="1"/>
  <c r="CI55" i="13" s="1"/>
  <c r="L44" i="67"/>
  <c r="M23" i="67"/>
  <c r="O23" i="67" s="1"/>
  <c r="CI23" i="13" s="1"/>
  <c r="E39" i="49"/>
  <c r="G39" i="49" s="1"/>
  <c r="BN39" i="13" s="1"/>
  <c r="N97" i="16"/>
  <c r="F7" i="30"/>
  <c r="G7" i="30" s="1"/>
  <c r="AT7" i="13" s="1"/>
  <c r="J12" i="30"/>
  <c r="F69" i="30"/>
  <c r="G69" i="30" s="1"/>
  <c r="AT69" i="13" s="1"/>
  <c r="E91" i="45"/>
  <c r="G91" i="45" s="1"/>
  <c r="AX91" i="13" s="1"/>
  <c r="W91" i="46"/>
  <c r="BI91" i="13" s="1"/>
  <c r="N6" i="67"/>
  <c r="N20" i="67"/>
  <c r="T83" i="46"/>
  <c r="W83" i="46" s="1"/>
  <c r="BI83" i="13" s="1"/>
  <c r="Z22" i="68"/>
  <c r="Z12" i="68" s="1"/>
  <c r="E61" i="19"/>
  <c r="G61" i="19" s="1"/>
  <c r="AA61" i="13" s="1"/>
  <c r="L49" i="30"/>
  <c r="L44" i="30"/>
  <c r="H48" i="20"/>
  <c r="K48" i="20" s="1"/>
  <c r="AG48" i="13" s="1"/>
  <c r="H32" i="68"/>
  <c r="K32" i="68" s="1"/>
  <c r="CK32" i="13" s="1"/>
  <c r="L100" i="68"/>
  <c r="H69" i="52"/>
  <c r="E95" i="49"/>
  <c r="G95" i="49" s="1"/>
  <c r="BN95" i="13" s="1"/>
  <c r="E94" i="49"/>
  <c r="G94" i="49" s="1"/>
  <c r="BN94" i="13" s="1"/>
  <c r="M9" i="67"/>
  <c r="F43" i="55"/>
  <c r="F9" i="55"/>
  <c r="H5" i="70"/>
  <c r="K5" i="70" s="1"/>
  <c r="CU5" i="13" s="1"/>
  <c r="DZ5" i="13" s="1"/>
  <c r="N49" i="54"/>
  <c r="M70" i="67"/>
  <c r="F7" i="55"/>
  <c r="M101" i="67"/>
  <c r="N22" i="16"/>
  <c r="I23" i="48"/>
  <c r="I13" i="48" s="1"/>
  <c r="K13" i="48" s="1"/>
  <c r="BM13" i="13" s="1"/>
  <c r="L98" i="50"/>
  <c r="O98" i="50" s="1"/>
  <c r="BR98" i="13" s="1"/>
  <c r="F83" i="30"/>
  <c r="F46" i="30"/>
  <c r="F38" i="30"/>
  <c r="G38" i="30" s="1"/>
  <c r="AT38" i="13" s="1"/>
  <c r="Q22" i="29"/>
  <c r="S22" i="29" s="1"/>
  <c r="AS22" i="13" s="1"/>
  <c r="Q73" i="29"/>
  <c r="S73" i="29" s="1"/>
  <c r="AS73" i="13" s="1"/>
  <c r="L70" i="54"/>
  <c r="L31" i="18"/>
  <c r="D82" i="55"/>
  <c r="G82" i="55" s="1"/>
  <c r="CB82" i="13" s="1"/>
  <c r="DT82" i="13" s="1"/>
  <c r="D79" i="55"/>
  <c r="G79" i="55" s="1"/>
  <c r="CB79" i="13" s="1"/>
  <c r="DT79" i="13" s="1"/>
  <c r="L32" i="54"/>
  <c r="O32" i="54" s="1"/>
  <c r="CA32" i="13" s="1"/>
  <c r="L52" i="54"/>
  <c r="O52" i="54" s="1"/>
  <c r="CA52" i="13" s="1"/>
  <c r="H97" i="52"/>
  <c r="K97" i="52" s="1"/>
  <c r="BU97" i="13" s="1"/>
  <c r="F14" i="55"/>
  <c r="L32" i="68"/>
  <c r="O32" i="68" s="1"/>
  <c r="CL32" i="13" s="1"/>
  <c r="H102" i="68"/>
  <c r="K102" i="68" s="1"/>
  <c r="CK102" i="13" s="1"/>
  <c r="E46" i="53"/>
  <c r="G46" i="53" s="1"/>
  <c r="BX46" i="13" s="1"/>
  <c r="DR46" i="13" s="1"/>
  <c r="M5" i="67"/>
  <c r="N71" i="67"/>
  <c r="M99" i="67"/>
  <c r="M103" i="67"/>
  <c r="M62" i="67"/>
  <c r="N71" i="54"/>
  <c r="M97" i="67"/>
  <c r="E22" i="45"/>
  <c r="E12" i="45" s="1"/>
  <c r="I60" i="48"/>
  <c r="K60" i="48" s="1"/>
  <c r="BM60" i="13" s="1"/>
  <c r="H80" i="20"/>
  <c r="K80" i="20" s="1"/>
  <c r="AG80" i="13" s="1"/>
  <c r="L31" i="50"/>
  <c r="O31" i="50" s="1"/>
  <c r="BR31" i="13" s="1"/>
  <c r="F20" i="30"/>
  <c r="F104" i="30"/>
  <c r="G104" i="30" s="1"/>
  <c r="AT104" i="13" s="1"/>
  <c r="F49" i="30"/>
  <c r="Q94" i="29"/>
  <c r="S94" i="29" s="1"/>
  <c r="AS94" i="13" s="1"/>
  <c r="Q40" i="29"/>
  <c r="S40" i="29" s="1"/>
  <c r="AS40" i="13" s="1"/>
  <c r="N31" i="45"/>
  <c r="N5" i="67"/>
  <c r="F102" i="55"/>
  <c r="I38" i="48"/>
  <c r="K38" i="48" s="1"/>
  <c r="BM38" i="13" s="1"/>
  <c r="P98" i="29"/>
  <c r="S98" i="29" s="1"/>
  <c r="AS98" i="13" s="1"/>
  <c r="N31" i="67"/>
  <c r="N44" i="67"/>
  <c r="N42" i="67"/>
  <c r="T79" i="46"/>
  <c r="W79" i="46" s="1"/>
  <c r="BI79" i="13" s="1"/>
  <c r="Z23" i="68"/>
  <c r="Z13" i="68" s="1"/>
  <c r="E23" i="19"/>
  <c r="E13" i="19" s="1"/>
  <c r="L70" i="30"/>
  <c r="L52" i="30"/>
  <c r="P31" i="68"/>
  <c r="H99" i="68"/>
  <c r="K99" i="68" s="1"/>
  <c r="CK99" i="13" s="1"/>
  <c r="V40" i="46"/>
  <c r="E47" i="49"/>
  <c r="G47" i="49" s="1"/>
  <c r="BN47" i="13" s="1"/>
  <c r="E46" i="49"/>
  <c r="G46" i="49" s="1"/>
  <c r="BN46" i="13" s="1"/>
  <c r="DN46" i="13" s="1"/>
  <c r="H9" i="70"/>
  <c r="K9" i="70" s="1"/>
  <c r="CU9" i="13" s="1"/>
  <c r="E104" i="53"/>
  <c r="G104" i="53" s="1"/>
  <c r="BX104" i="13" s="1"/>
  <c r="DR104" i="13" s="1"/>
  <c r="M36" i="67"/>
  <c r="O36" i="67" s="1"/>
  <c r="CI36" i="13" s="1"/>
  <c r="N74" i="67"/>
  <c r="E40" i="55"/>
  <c r="G40" i="55" s="1"/>
  <c r="CB40" i="13" s="1"/>
  <c r="DT40" i="13" s="1"/>
  <c r="N73" i="67"/>
  <c r="L51" i="67"/>
  <c r="O51" i="67" s="1"/>
  <c r="CI51" i="13" s="1"/>
  <c r="N48" i="54"/>
  <c r="M91" i="67"/>
  <c r="O91" i="67" s="1"/>
  <c r="CI91" i="13" s="1"/>
  <c r="N99" i="16"/>
  <c r="I69" i="48"/>
  <c r="K69" i="48" s="1"/>
  <c r="BM69" i="13" s="1"/>
  <c r="P32" i="29"/>
  <c r="L52" i="50"/>
  <c r="O52" i="50" s="1"/>
  <c r="BR52" i="13" s="1"/>
  <c r="F40" i="30"/>
  <c r="G40" i="30" s="1"/>
  <c r="AT40" i="13" s="1"/>
  <c r="F13" i="30"/>
  <c r="F10" i="30"/>
  <c r="G10" i="30" s="1"/>
  <c r="AT10" i="13" s="1"/>
  <c r="Q12" i="29"/>
  <c r="S12" i="29" s="1"/>
  <c r="AS12" i="13" s="1"/>
  <c r="Q74" i="29"/>
  <c r="S74" i="29" s="1"/>
  <c r="AS74" i="13" s="1"/>
  <c r="N9" i="16"/>
  <c r="P100" i="29"/>
  <c r="S100" i="29" s="1"/>
  <c r="AS100" i="13" s="1"/>
  <c r="G70" i="51"/>
  <c r="BS70" i="13" s="1"/>
  <c r="DP70" i="13" s="1"/>
  <c r="D78" i="55"/>
  <c r="G78" i="55" s="1"/>
  <c r="CB78" i="13" s="1"/>
  <c r="DT78" i="13" s="1"/>
  <c r="D70" i="55"/>
  <c r="M70" i="18"/>
  <c r="F33" i="30"/>
  <c r="N7" i="67"/>
  <c r="E39" i="19"/>
  <c r="L51" i="30"/>
  <c r="L72" i="30"/>
  <c r="L33" i="68"/>
  <c r="L101" i="68"/>
  <c r="E62" i="55"/>
  <c r="L55" i="18"/>
  <c r="V39" i="46"/>
  <c r="E60" i="53"/>
  <c r="G60" i="53" s="1"/>
  <c r="BX60" i="13" s="1"/>
  <c r="DR60" i="13" s="1"/>
  <c r="M71" i="67"/>
  <c r="M74" i="67"/>
  <c r="E23" i="55"/>
  <c r="G23" i="55" s="1"/>
  <c r="CB23" i="13" s="1"/>
  <c r="DT23" i="13" s="1"/>
  <c r="N70" i="67"/>
  <c r="L33" i="67"/>
  <c r="M102" i="67"/>
  <c r="N10" i="67"/>
  <c r="N93" i="16"/>
  <c r="I104" i="48"/>
  <c r="K104" i="48" s="1"/>
  <c r="BM104" i="13" s="1"/>
  <c r="L68" i="50"/>
  <c r="O68" i="50" s="1"/>
  <c r="BR68" i="13" s="1"/>
  <c r="F91" i="30"/>
  <c r="F71" i="30"/>
  <c r="F39" i="30"/>
  <c r="G39" i="30" s="1"/>
  <c r="AT39" i="13" s="1"/>
  <c r="Q32" i="29"/>
  <c r="Q92" i="29"/>
  <c r="S92" i="29" s="1"/>
  <c r="AS92" i="13" s="1"/>
  <c r="F97" i="55"/>
  <c r="G97" i="55" s="1"/>
  <c r="CB97" i="13" s="1"/>
  <c r="DT97" i="13" s="1"/>
  <c r="N61" i="67"/>
  <c r="L53" i="18"/>
  <c r="D51" i="55"/>
  <c r="G51" i="55" s="1"/>
  <c r="CB51" i="13" s="1"/>
  <c r="DT51" i="13" s="1"/>
  <c r="H100" i="20"/>
  <c r="K100" i="20" s="1"/>
  <c r="AG100" i="13" s="1"/>
  <c r="E38" i="55"/>
  <c r="G38" i="55" s="1"/>
  <c r="CB38" i="13" s="1"/>
  <c r="DT38" i="13" s="1"/>
  <c r="L31" i="54"/>
  <c r="O31" i="54" s="1"/>
  <c r="CA31" i="13" s="1"/>
  <c r="F5" i="30"/>
  <c r="G5" i="30" s="1"/>
  <c r="AT5" i="13" s="1"/>
  <c r="N33" i="67"/>
  <c r="L97" i="68"/>
  <c r="O97" i="68" s="1"/>
  <c r="CL97" i="13" s="1"/>
  <c r="T31" i="68"/>
  <c r="W31" i="68" s="1"/>
  <c r="CN31" i="13" s="1"/>
  <c r="N97" i="67"/>
  <c r="N19" i="67"/>
  <c r="N103" i="67"/>
  <c r="H31" i="68"/>
  <c r="K31" i="68" s="1"/>
  <c r="CK31" i="13" s="1"/>
  <c r="H100" i="68"/>
  <c r="K100" i="68" s="1"/>
  <c r="CK100" i="13" s="1"/>
  <c r="T32" i="68"/>
  <c r="W32" i="68" s="1"/>
  <c r="CN32" i="13" s="1"/>
  <c r="O127" i="1"/>
  <c r="E127" i="1" s="1"/>
  <c r="N8" i="67"/>
  <c r="N102" i="67"/>
  <c r="N21" i="67"/>
  <c r="H86" i="20"/>
  <c r="K86" i="20" s="1"/>
  <c r="AG86" i="13" s="1"/>
  <c r="D102" i="68"/>
  <c r="T33" i="68"/>
  <c r="W33" i="68" s="1"/>
  <c r="CN33" i="13" s="1"/>
  <c r="H50" i="20"/>
  <c r="K50" i="20" s="1"/>
  <c r="AG50" i="13" s="1"/>
  <c r="H31" i="20"/>
  <c r="K31" i="20" s="1"/>
  <c r="AG31" i="13" s="1"/>
  <c r="N99" i="67"/>
  <c r="N46" i="67"/>
  <c r="H82" i="20"/>
  <c r="K82" i="20" s="1"/>
  <c r="AG82" i="13" s="1"/>
  <c r="DC82" i="13" s="1"/>
  <c r="H81" i="20"/>
  <c r="K81" i="20" s="1"/>
  <c r="AG81" i="13" s="1"/>
  <c r="D31" i="68"/>
  <c r="X32" i="68"/>
  <c r="L102" i="68"/>
  <c r="H44" i="20"/>
  <c r="K44" i="20" s="1"/>
  <c r="AG44" i="13" s="1"/>
  <c r="N47" i="67"/>
  <c r="N98" i="67"/>
  <c r="D97" i="68"/>
  <c r="G97" i="68" s="1"/>
  <c r="CJ97" i="13" s="1"/>
  <c r="H27" i="20"/>
  <c r="K27" i="20" s="1"/>
  <c r="AG27" i="13" s="1"/>
  <c r="H97" i="68"/>
  <c r="K97" i="68" s="1"/>
  <c r="CK97" i="13" s="1"/>
  <c r="H98" i="68"/>
  <c r="K98" i="68" s="1"/>
  <c r="CK98" i="13" s="1"/>
  <c r="N69" i="67"/>
  <c r="N62" i="67"/>
  <c r="H32" i="20"/>
  <c r="K32" i="20" s="1"/>
  <c r="AG32" i="13" s="1"/>
  <c r="H33" i="68"/>
  <c r="K33" i="68" s="1"/>
  <c r="CK33" i="13" s="1"/>
  <c r="D101" i="68"/>
  <c r="N105" i="67"/>
  <c r="H85" i="20"/>
  <c r="K85" i="20" s="1"/>
  <c r="AG85" i="13" s="1"/>
  <c r="H33" i="20"/>
  <c r="K33" i="20" s="1"/>
  <c r="AG33" i="13" s="1"/>
  <c r="N100" i="67"/>
  <c r="H43" i="20"/>
  <c r="K43" i="20" s="1"/>
  <c r="AG43" i="13" s="1"/>
  <c r="P33" i="68"/>
  <c r="S33" i="68" s="1"/>
  <c r="CM33" i="13" s="1"/>
  <c r="X31" i="68"/>
  <c r="N45" i="67"/>
  <c r="H54" i="20"/>
  <c r="K54" i="20" s="1"/>
  <c r="AG54" i="13" s="1"/>
  <c r="D99" i="68"/>
  <c r="G99" i="68" s="1"/>
  <c r="CJ99" i="13" s="1"/>
  <c r="L98" i="68"/>
  <c r="O98" i="68" s="1"/>
  <c r="CL98" i="13" s="1"/>
  <c r="H26" i="20"/>
  <c r="K26" i="20" s="1"/>
  <c r="AG26" i="13" s="1"/>
  <c r="N9" i="67"/>
  <c r="H42" i="20"/>
  <c r="K42" i="20" s="1"/>
  <c r="AG42" i="13" s="1"/>
  <c r="H56" i="20"/>
  <c r="K56" i="20" s="1"/>
  <c r="AG56" i="13" s="1"/>
  <c r="H79" i="20"/>
  <c r="K79" i="20" s="1"/>
  <c r="AG79" i="13" s="1"/>
  <c r="D33" i="68"/>
  <c r="L31" i="68"/>
  <c r="N60" i="67"/>
  <c r="H25" i="20"/>
  <c r="K25" i="20" s="1"/>
  <c r="AG25" i="13" s="1"/>
  <c r="H83" i="20"/>
  <c r="K83" i="20" s="1"/>
  <c r="AG83" i="13" s="1"/>
  <c r="L99" i="68"/>
  <c r="O99" i="68" s="1"/>
  <c r="CL99" i="13" s="1"/>
  <c r="P32" i="68"/>
  <c r="N32" i="67"/>
  <c r="H78" i="20"/>
  <c r="K78" i="20" s="1"/>
  <c r="AG78" i="13" s="1"/>
  <c r="N43" i="67"/>
  <c r="N72" i="67"/>
  <c r="N101" i="67"/>
  <c r="H102" i="20"/>
  <c r="K102" i="20" s="1"/>
  <c r="AG102" i="13" s="1"/>
  <c r="D100" i="68"/>
  <c r="X33" i="68"/>
  <c r="E91" i="55"/>
  <c r="G91" i="55" s="1"/>
  <c r="CB91" i="13" s="1"/>
  <c r="DT91" i="13" s="1"/>
  <c r="H53" i="48"/>
  <c r="K53" i="48" s="1"/>
  <c r="BM53" i="13" s="1"/>
  <c r="F19" i="55"/>
  <c r="M92" i="67"/>
  <c r="O92" i="67" s="1"/>
  <c r="CI92" i="13" s="1"/>
  <c r="F98" i="55"/>
  <c r="E7" i="55"/>
  <c r="I103" i="48"/>
  <c r="K103" i="48" s="1"/>
  <c r="BM103" i="13" s="1"/>
  <c r="E40" i="45"/>
  <c r="G40" i="45" s="1"/>
  <c r="AX40" i="13" s="1"/>
  <c r="L67" i="50"/>
  <c r="O67" i="50" s="1"/>
  <c r="BR67" i="13" s="1"/>
  <c r="F34" i="30"/>
  <c r="G34" i="30" s="1"/>
  <c r="AT34" i="13" s="1"/>
  <c r="F103" i="30"/>
  <c r="G103" i="30" s="1"/>
  <c r="AT103" i="13" s="1"/>
  <c r="F9" i="30"/>
  <c r="G9" i="30" s="1"/>
  <c r="AT9" i="13" s="1"/>
  <c r="Q60" i="29"/>
  <c r="S60" i="29" s="1"/>
  <c r="AS60" i="13" s="1"/>
  <c r="Q7" i="29"/>
  <c r="S7" i="29" s="1"/>
  <c r="AS7" i="13" s="1"/>
  <c r="E102" i="55"/>
  <c r="E96" i="53"/>
  <c r="G96" i="53" s="1"/>
  <c r="BX96" i="13" s="1"/>
  <c r="DR96" i="13" s="1"/>
  <c r="H84" i="20"/>
  <c r="K84" i="20" s="1"/>
  <c r="AG84" i="13" s="1"/>
  <c r="E62" i="49"/>
  <c r="G62" i="49" s="1"/>
  <c r="BN62" i="13" s="1"/>
  <c r="F8" i="55"/>
  <c r="H101" i="20"/>
  <c r="K101" i="20" s="1"/>
  <c r="AG101" i="13" s="1"/>
  <c r="D10" i="70"/>
  <c r="G10" i="70" s="1"/>
  <c r="CT10" i="13" s="1"/>
  <c r="D23" i="70"/>
  <c r="G23" i="70" s="1"/>
  <c r="CT23" i="13" s="1"/>
  <c r="D7" i="70"/>
  <c r="G7" i="70" s="1"/>
  <c r="CT7" i="13" s="1"/>
  <c r="D39" i="70"/>
  <c r="G39" i="70" s="1"/>
  <c r="CT39" i="13" s="1"/>
  <c r="D6" i="70"/>
  <c r="G6" i="70" s="1"/>
  <c r="CT6" i="13" s="1"/>
  <c r="D40" i="70"/>
  <c r="G40" i="70" s="1"/>
  <c r="CT40" i="13" s="1"/>
  <c r="D22" i="70"/>
  <c r="G22" i="70" s="1"/>
  <c r="CT22" i="13" s="1"/>
  <c r="D93" i="70"/>
  <c r="G93" i="70" s="1"/>
  <c r="CT93" i="13" s="1"/>
  <c r="D8" i="70"/>
  <c r="G8" i="70" s="1"/>
  <c r="CT8" i="13" s="1"/>
  <c r="D38" i="70"/>
  <c r="G38" i="70" s="1"/>
  <c r="CT38" i="13" s="1"/>
  <c r="D24" i="70"/>
  <c r="G24" i="70" s="1"/>
  <c r="CT24" i="13" s="1"/>
  <c r="D91" i="70"/>
  <c r="G91" i="70" s="1"/>
  <c r="CT91" i="13" s="1"/>
  <c r="DZ91" i="13" s="1"/>
  <c r="I94" i="68"/>
  <c r="K94" i="68" s="1"/>
  <c r="CK94" i="13" s="1"/>
  <c r="E93" i="68"/>
  <c r="G93" i="68" s="1"/>
  <c r="CJ93" i="13" s="1"/>
  <c r="Y93" i="68"/>
  <c r="AA93" i="68" s="1"/>
  <c r="CO93" i="13" s="1"/>
  <c r="D67" i="50"/>
  <c r="G67" i="50" s="1"/>
  <c r="BP67" i="13" s="1"/>
  <c r="D9" i="70"/>
  <c r="G9" i="70" s="1"/>
  <c r="CT9" i="13" s="1"/>
  <c r="D92" i="70"/>
  <c r="G92" i="70" s="1"/>
  <c r="CT92" i="13" s="1"/>
  <c r="Y24" i="68"/>
  <c r="Y14" i="68" s="1"/>
  <c r="M93" i="68"/>
  <c r="O93" i="68" s="1"/>
  <c r="CL93" i="13" s="1"/>
  <c r="M100" i="68"/>
  <c r="Q23" i="68"/>
  <c r="Q13" i="68" s="1"/>
  <c r="I38" i="68"/>
  <c r="K38" i="68" s="1"/>
  <c r="CK38" i="13" s="1"/>
  <c r="D101" i="56"/>
  <c r="G101" i="56" s="1"/>
  <c r="CC101" i="13" s="1"/>
  <c r="D98" i="56"/>
  <c r="G98" i="56" s="1"/>
  <c r="CC98" i="13" s="1"/>
  <c r="Q103" i="68"/>
  <c r="S103" i="68" s="1"/>
  <c r="CM103" i="13" s="1"/>
  <c r="M62" i="68"/>
  <c r="O62" i="68" s="1"/>
  <c r="CL62" i="13" s="1"/>
  <c r="I103" i="68"/>
  <c r="K103" i="68" s="1"/>
  <c r="CK103" i="13" s="1"/>
  <c r="U40" i="68"/>
  <c r="W40" i="68" s="1"/>
  <c r="CN40" i="13" s="1"/>
  <c r="U61" i="68"/>
  <c r="W61" i="68" s="1"/>
  <c r="CN61" i="13" s="1"/>
  <c r="I100" i="67"/>
  <c r="I102" i="67"/>
  <c r="F74" i="54"/>
  <c r="I24" i="68"/>
  <c r="I14" i="68" s="1"/>
  <c r="U95" i="68"/>
  <c r="W95" i="68" s="1"/>
  <c r="CN95" i="13" s="1"/>
  <c r="Y62" i="68"/>
  <c r="AA62" i="68" s="1"/>
  <c r="CO62" i="13" s="1"/>
  <c r="Q93" i="68"/>
  <c r="S93" i="68" s="1"/>
  <c r="CM93" i="13" s="1"/>
  <c r="Y95" i="68"/>
  <c r="AA95" i="68" s="1"/>
  <c r="CO95" i="13" s="1"/>
  <c r="E103" i="68"/>
  <c r="G103" i="68" s="1"/>
  <c r="CJ103" i="13" s="1"/>
  <c r="E61" i="68"/>
  <c r="G61" i="68" s="1"/>
  <c r="CJ61" i="13" s="1"/>
  <c r="E102" i="68"/>
  <c r="E40" i="68"/>
  <c r="G40" i="68" s="1"/>
  <c r="CJ40" i="13" s="1"/>
  <c r="E100" i="68"/>
  <c r="Y23" i="68"/>
  <c r="Q95" i="68"/>
  <c r="S95" i="68" s="1"/>
  <c r="CM95" i="13" s="1"/>
  <c r="U91" i="68"/>
  <c r="W91" i="68" s="1"/>
  <c r="CN91" i="13" s="1"/>
  <c r="U105" i="68"/>
  <c r="W105" i="68" s="1"/>
  <c r="CN105" i="13" s="1"/>
  <c r="Y94" i="68"/>
  <c r="AA94" i="68" s="1"/>
  <c r="CO94" i="13" s="1"/>
  <c r="E24" i="68"/>
  <c r="E14" i="68" s="1"/>
  <c r="I105" i="68"/>
  <c r="K105" i="68" s="1"/>
  <c r="CK105" i="13" s="1"/>
  <c r="Y60" i="68"/>
  <c r="AA60" i="68" s="1"/>
  <c r="CO60" i="13" s="1"/>
  <c r="Q104" i="68"/>
  <c r="S104" i="68" s="1"/>
  <c r="CM104" i="13" s="1"/>
  <c r="E94" i="68"/>
  <c r="G94" i="68" s="1"/>
  <c r="CJ94" i="13" s="1"/>
  <c r="Q105" i="68"/>
  <c r="S105" i="68" s="1"/>
  <c r="CM105" i="13" s="1"/>
  <c r="M22" i="68"/>
  <c r="M12" i="68" s="1"/>
  <c r="M23" i="68"/>
  <c r="M13" i="68" s="1"/>
  <c r="E95" i="68"/>
  <c r="G95" i="68" s="1"/>
  <c r="CJ95" i="13" s="1"/>
  <c r="U38" i="68"/>
  <c r="W38" i="68" s="1"/>
  <c r="CN38" i="13" s="1"/>
  <c r="M91" i="68"/>
  <c r="O91" i="68" s="1"/>
  <c r="CL91" i="13" s="1"/>
  <c r="Y96" i="68"/>
  <c r="AA96" i="68" s="1"/>
  <c r="CO96" i="13" s="1"/>
  <c r="U24" i="68"/>
  <c r="U14" i="68" s="1"/>
  <c r="E60" i="68"/>
  <c r="G60" i="68" s="1"/>
  <c r="CJ60" i="13" s="1"/>
  <c r="Q96" i="68"/>
  <c r="S96" i="68" s="1"/>
  <c r="CM96" i="13" s="1"/>
  <c r="M61" i="68"/>
  <c r="O61" i="68" s="1"/>
  <c r="CL61" i="13" s="1"/>
  <c r="I40" i="68"/>
  <c r="K40" i="68" s="1"/>
  <c r="CK40" i="13" s="1"/>
  <c r="I104" i="68"/>
  <c r="K104" i="68" s="1"/>
  <c r="CK104" i="13" s="1"/>
  <c r="E91" i="68"/>
  <c r="G91" i="68" s="1"/>
  <c r="CJ91" i="13" s="1"/>
  <c r="E104" i="68"/>
  <c r="G104" i="68" s="1"/>
  <c r="CJ104" i="13" s="1"/>
  <c r="M24" i="68"/>
  <c r="M14" i="68" s="1"/>
  <c r="M60" i="68"/>
  <c r="O60" i="68" s="1"/>
  <c r="CL60" i="13" s="1"/>
  <c r="Y92" i="68"/>
  <c r="AA92" i="68" s="1"/>
  <c r="CO92" i="13" s="1"/>
  <c r="U93" i="68"/>
  <c r="W93" i="68" s="1"/>
  <c r="CN93" i="13" s="1"/>
  <c r="E23" i="68"/>
  <c r="E13" i="68" s="1"/>
  <c r="I62" i="68"/>
  <c r="K62" i="68" s="1"/>
  <c r="CK62" i="13" s="1"/>
  <c r="E96" i="68"/>
  <c r="G96" i="68" s="1"/>
  <c r="CJ96" i="13" s="1"/>
  <c r="Q22" i="68"/>
  <c r="Q12" i="68" s="1"/>
  <c r="U94" i="68"/>
  <c r="W94" i="68" s="1"/>
  <c r="CN94" i="13" s="1"/>
  <c r="I93" i="68"/>
  <c r="K93" i="68" s="1"/>
  <c r="CK93" i="13" s="1"/>
  <c r="U22" i="68"/>
  <c r="U12" i="68" s="1"/>
  <c r="E39" i="68"/>
  <c r="G39" i="68" s="1"/>
  <c r="CJ39" i="13" s="1"/>
  <c r="M39" i="68"/>
  <c r="O39" i="68" s="1"/>
  <c r="CL39" i="13" s="1"/>
  <c r="U103" i="68"/>
  <c r="W103" i="68" s="1"/>
  <c r="CN103" i="13" s="1"/>
  <c r="E62" i="68"/>
  <c r="G62" i="68" s="1"/>
  <c r="CJ62" i="13" s="1"/>
  <c r="E92" i="68"/>
  <c r="G92" i="68" s="1"/>
  <c r="CJ92" i="13" s="1"/>
  <c r="Q61" i="68"/>
  <c r="S61" i="68" s="1"/>
  <c r="CM61" i="13" s="1"/>
  <c r="Q24" i="68"/>
  <c r="Q14" i="68" s="1"/>
  <c r="I91" i="68"/>
  <c r="K91" i="68" s="1"/>
  <c r="CK91" i="13" s="1"/>
  <c r="R27" i="68"/>
  <c r="S27" i="68" s="1"/>
  <c r="CM27" i="13" s="1"/>
  <c r="R24" i="68"/>
  <c r="R14" i="68" s="1"/>
  <c r="U60" i="68"/>
  <c r="W60" i="68" s="1"/>
  <c r="CN60" i="13" s="1"/>
  <c r="M101" i="68"/>
  <c r="Q91" i="68"/>
  <c r="S91" i="68" s="1"/>
  <c r="CM91" i="13" s="1"/>
  <c r="E105" i="68"/>
  <c r="G105" i="68" s="1"/>
  <c r="CJ105" i="13" s="1"/>
  <c r="U39" i="68"/>
  <c r="W39" i="68" s="1"/>
  <c r="CN39" i="13" s="1"/>
  <c r="E38" i="68"/>
  <c r="G38" i="68" s="1"/>
  <c r="CJ38" i="13" s="1"/>
  <c r="U23" i="68"/>
  <c r="U13" i="68" s="1"/>
  <c r="U104" i="68"/>
  <c r="W104" i="68" s="1"/>
  <c r="CN104" i="13" s="1"/>
  <c r="Y91" i="68"/>
  <c r="AA91" i="68" s="1"/>
  <c r="CO91" i="13" s="1"/>
  <c r="I22" i="68"/>
  <c r="I12" i="68" s="1"/>
  <c r="Y61" i="68"/>
  <c r="AA61" i="68" s="1"/>
  <c r="CO61" i="13" s="1"/>
  <c r="Q60" i="68"/>
  <c r="S60" i="68" s="1"/>
  <c r="CM60" i="13" s="1"/>
  <c r="I60" i="68"/>
  <c r="K60" i="68" s="1"/>
  <c r="CK60" i="13" s="1"/>
  <c r="U92" i="68"/>
  <c r="W92" i="68" s="1"/>
  <c r="CN92" i="13" s="1"/>
  <c r="M40" i="68"/>
  <c r="O40" i="68" s="1"/>
  <c r="CL40" i="13" s="1"/>
  <c r="Y22" i="68"/>
  <c r="Y12" i="68" s="1"/>
  <c r="E101" i="68"/>
  <c r="I96" i="68"/>
  <c r="K96" i="68" s="1"/>
  <c r="CK96" i="13" s="1"/>
  <c r="I61" i="68"/>
  <c r="K61" i="68" s="1"/>
  <c r="CK61" i="13" s="1"/>
  <c r="M38" i="68"/>
  <c r="O38" i="68" s="1"/>
  <c r="CL38" i="13" s="1"/>
  <c r="I92" i="68"/>
  <c r="K92" i="68" s="1"/>
  <c r="CK92" i="13" s="1"/>
  <c r="U96" i="68"/>
  <c r="W96" i="68" s="1"/>
  <c r="CN96" i="13" s="1"/>
  <c r="I39" i="68"/>
  <c r="K39" i="68" s="1"/>
  <c r="CK39" i="13" s="1"/>
  <c r="Q92" i="68"/>
  <c r="S92" i="68" s="1"/>
  <c r="CM92" i="13" s="1"/>
  <c r="E23" i="56"/>
  <c r="G23" i="56" s="1"/>
  <c r="CC23" i="13" s="1"/>
  <c r="Q62" i="68"/>
  <c r="S62" i="68" s="1"/>
  <c r="CM62" i="13" s="1"/>
  <c r="U62" i="68"/>
  <c r="W62" i="68" s="1"/>
  <c r="CN62" i="13" s="1"/>
  <c r="I23" i="68"/>
  <c r="I13" i="68" s="1"/>
  <c r="E22" i="68"/>
  <c r="E12" i="68" s="1"/>
  <c r="Q94" i="68"/>
  <c r="S94" i="68" s="1"/>
  <c r="CM94" i="13" s="1"/>
  <c r="M103" i="68"/>
  <c r="O103" i="68" s="1"/>
  <c r="CL103" i="13" s="1"/>
  <c r="Q69" i="52"/>
  <c r="M96" i="68"/>
  <c r="O96" i="68" s="1"/>
  <c r="CL96" i="13" s="1"/>
  <c r="I9" i="67"/>
  <c r="M102" i="68"/>
  <c r="M92" i="68"/>
  <c r="O92" i="68" s="1"/>
  <c r="CL92" i="13" s="1"/>
  <c r="V22" i="68"/>
  <c r="V12" i="68" s="1"/>
  <c r="M104" i="68"/>
  <c r="O104" i="68" s="1"/>
  <c r="CL104" i="13" s="1"/>
  <c r="M94" i="68"/>
  <c r="O94" i="68" s="1"/>
  <c r="CL94" i="13" s="1"/>
  <c r="D52" i="67"/>
  <c r="G52" i="67" s="1"/>
  <c r="CG52" i="13" s="1"/>
  <c r="Y105" i="68"/>
  <c r="AA105" i="68" s="1"/>
  <c r="CO105" i="13" s="1"/>
  <c r="X97" i="68"/>
  <c r="AA97" i="68" s="1"/>
  <c r="CO97" i="13" s="1"/>
  <c r="D50" i="56"/>
  <c r="G50" i="56" s="1"/>
  <c r="CC50" i="13" s="1"/>
  <c r="D102" i="56"/>
  <c r="G102" i="56" s="1"/>
  <c r="CC102" i="13" s="1"/>
  <c r="D56" i="56"/>
  <c r="G56" i="56" s="1"/>
  <c r="CC56" i="13" s="1"/>
  <c r="D52" i="56"/>
  <c r="G52" i="56" s="1"/>
  <c r="CC52" i="13" s="1"/>
  <c r="D86" i="56"/>
  <c r="G86" i="56" s="1"/>
  <c r="CC86" i="13" s="1"/>
  <c r="D48" i="56"/>
  <c r="G48" i="56" s="1"/>
  <c r="CC48" i="13" s="1"/>
  <c r="D82" i="56"/>
  <c r="G82" i="56" s="1"/>
  <c r="CC82" i="13" s="1"/>
  <c r="D78" i="56"/>
  <c r="G78" i="56" s="1"/>
  <c r="CC78" i="13" s="1"/>
  <c r="D97" i="56"/>
  <c r="G97" i="56" s="1"/>
  <c r="CC97" i="13" s="1"/>
  <c r="D85" i="56"/>
  <c r="G85" i="56" s="1"/>
  <c r="CC85" i="13" s="1"/>
  <c r="D55" i="56"/>
  <c r="G55" i="56" s="1"/>
  <c r="CC55" i="13" s="1"/>
  <c r="D51" i="56"/>
  <c r="G51" i="56" s="1"/>
  <c r="CC51" i="13" s="1"/>
  <c r="D80" i="56"/>
  <c r="G80" i="56" s="1"/>
  <c r="CC80" i="13" s="1"/>
  <c r="D33" i="56"/>
  <c r="G33" i="56" s="1"/>
  <c r="CC33" i="13" s="1"/>
  <c r="D54" i="56"/>
  <c r="G54" i="56" s="1"/>
  <c r="CC54" i="13" s="1"/>
  <c r="D83" i="56"/>
  <c r="G83" i="56" s="1"/>
  <c r="CC83" i="13" s="1"/>
  <c r="D79" i="56"/>
  <c r="G79" i="56" s="1"/>
  <c r="CC79" i="13" s="1"/>
  <c r="D53" i="56"/>
  <c r="G53" i="56" s="1"/>
  <c r="CC53" i="13" s="1"/>
  <c r="Y104" i="68"/>
  <c r="AA104" i="68" s="1"/>
  <c r="CO104" i="13" s="1"/>
  <c r="X100" i="68"/>
  <c r="AA100" i="68" s="1"/>
  <c r="CO100" i="13" s="1"/>
  <c r="H20" i="67"/>
  <c r="X98" i="68"/>
  <c r="AA98" i="68" s="1"/>
  <c r="CO98" i="13" s="1"/>
  <c r="X102" i="68"/>
  <c r="X99" i="68"/>
  <c r="AA99" i="68" s="1"/>
  <c r="CO99" i="13" s="1"/>
  <c r="X101" i="68"/>
  <c r="J8" i="67"/>
  <c r="D31" i="56"/>
  <c r="G31" i="56" s="1"/>
  <c r="CC31" i="13" s="1"/>
  <c r="D100" i="56"/>
  <c r="G100" i="56" s="1"/>
  <c r="CC100" i="13" s="1"/>
  <c r="M95" i="68"/>
  <c r="O95" i="68" s="1"/>
  <c r="CL95" i="13" s="1"/>
  <c r="H49" i="67"/>
  <c r="K49" i="67" s="1"/>
  <c r="CH49" i="13" s="1"/>
  <c r="H74" i="67"/>
  <c r="H50" i="67"/>
  <c r="K50" i="67" s="1"/>
  <c r="CH50" i="13" s="1"/>
  <c r="J101" i="67"/>
  <c r="J46" i="67"/>
  <c r="J43" i="67"/>
  <c r="F25" i="68"/>
  <c r="G25" i="68" s="1"/>
  <c r="CJ25" i="13" s="1"/>
  <c r="E23" i="67"/>
  <c r="G23" i="67" s="1"/>
  <c r="CG23" i="13" s="1"/>
  <c r="J5" i="67"/>
  <c r="F43" i="67"/>
  <c r="J100" i="67"/>
  <c r="E98" i="67"/>
  <c r="E103" i="67"/>
  <c r="E36" i="67"/>
  <c r="G36" i="67" s="1"/>
  <c r="CG36" i="13" s="1"/>
  <c r="E40" i="67"/>
  <c r="G40" i="67" s="1"/>
  <c r="CG40" i="13" s="1"/>
  <c r="E102" i="67"/>
  <c r="E45" i="67"/>
  <c r="N23" i="68"/>
  <c r="N13" i="68" s="1"/>
  <c r="N24" i="68"/>
  <c r="N14" i="68" s="1"/>
  <c r="E22" i="56"/>
  <c r="G22" i="56" s="1"/>
  <c r="CC22" i="13" s="1"/>
  <c r="Q101" i="68"/>
  <c r="S101" i="68" s="1"/>
  <c r="CM101" i="13" s="1"/>
  <c r="Q102" i="68"/>
  <c r="Q38" i="68"/>
  <c r="S38" i="68" s="1"/>
  <c r="CM38" i="13" s="1"/>
  <c r="D31" i="52"/>
  <c r="G31" i="52" s="1"/>
  <c r="BT31" i="13" s="1"/>
  <c r="Q40" i="68"/>
  <c r="S40" i="68" s="1"/>
  <c r="CM40" i="13" s="1"/>
  <c r="Q39" i="68"/>
  <c r="S39" i="68" s="1"/>
  <c r="CM39" i="13" s="1"/>
  <c r="D32" i="56"/>
  <c r="G32" i="56" s="1"/>
  <c r="CC32" i="13" s="1"/>
  <c r="DU32" i="13" s="1"/>
  <c r="F8" i="67"/>
  <c r="D49" i="56"/>
  <c r="G49" i="56" s="1"/>
  <c r="CC49" i="13" s="1"/>
  <c r="J20" i="67"/>
  <c r="I24" i="67"/>
  <c r="K24" i="67" s="1"/>
  <c r="CH24" i="13" s="1"/>
  <c r="Q60" i="52"/>
  <c r="S60" i="52" s="1"/>
  <c r="BW60" i="13" s="1"/>
  <c r="E91" i="67"/>
  <c r="G91" i="67" s="1"/>
  <c r="CG91" i="13" s="1"/>
  <c r="V24" i="68"/>
  <c r="V14" i="68" s="1"/>
  <c r="F12" i="68"/>
  <c r="J21" i="67"/>
  <c r="J105" i="67"/>
  <c r="K105" i="67" s="1"/>
  <c r="CH105" i="13" s="1"/>
  <c r="J69" i="67"/>
  <c r="N22" i="68"/>
  <c r="N12" i="68" s="1"/>
  <c r="I70" i="67"/>
  <c r="J45" i="67"/>
  <c r="I72" i="67"/>
  <c r="J9" i="67"/>
  <c r="E6" i="67"/>
  <c r="V25" i="68"/>
  <c r="W25" i="68" s="1"/>
  <c r="CN25" i="13" s="1"/>
  <c r="F14" i="68"/>
  <c r="I10" i="67"/>
  <c r="F105" i="67"/>
  <c r="J44" i="67"/>
  <c r="I35" i="67"/>
  <c r="K35" i="67" s="1"/>
  <c r="CH35" i="13" s="1"/>
  <c r="N33" i="68"/>
  <c r="I47" i="67"/>
  <c r="I8" i="67"/>
  <c r="I13" i="67"/>
  <c r="K13" i="67" s="1"/>
  <c r="CH13" i="13" s="1"/>
  <c r="E69" i="67"/>
  <c r="E10" i="67"/>
  <c r="J12" i="68"/>
  <c r="J99" i="67"/>
  <c r="E73" i="67"/>
  <c r="H67" i="54"/>
  <c r="K67" i="54" s="1"/>
  <c r="BZ67" i="13" s="1"/>
  <c r="I73" i="67"/>
  <c r="I101" i="67"/>
  <c r="V27" i="68"/>
  <c r="W27" i="68" s="1"/>
  <c r="CN27" i="13" s="1"/>
  <c r="I45" i="67"/>
  <c r="J60" i="67"/>
  <c r="I22" i="67"/>
  <c r="K22" i="67" s="1"/>
  <c r="CH22" i="13" s="1"/>
  <c r="E5" i="67"/>
  <c r="E38" i="67"/>
  <c r="G38" i="67" s="1"/>
  <c r="CG38" i="13" s="1"/>
  <c r="R23" i="68"/>
  <c r="R13" i="68" s="1"/>
  <c r="R31" i="68"/>
  <c r="J26" i="68"/>
  <c r="K26" i="68" s="1"/>
  <c r="CK26" i="13" s="1"/>
  <c r="F22" i="68"/>
  <c r="J24" i="68"/>
  <c r="E101" i="67"/>
  <c r="R25" i="68"/>
  <c r="S25" i="68" s="1"/>
  <c r="CM25" i="13" s="1"/>
  <c r="I40" i="67"/>
  <c r="K40" i="67" s="1"/>
  <c r="CH40" i="13" s="1"/>
  <c r="I23" i="67"/>
  <c r="K23" i="67" s="1"/>
  <c r="CH23" i="13" s="1"/>
  <c r="R32" i="68"/>
  <c r="E34" i="67"/>
  <c r="G34" i="67" s="1"/>
  <c r="CG34" i="13" s="1"/>
  <c r="J42" i="67"/>
  <c r="I60" i="67"/>
  <c r="I71" i="67"/>
  <c r="E39" i="67"/>
  <c r="G39" i="67" s="1"/>
  <c r="CG39" i="13" s="1"/>
  <c r="E61" i="67"/>
  <c r="G61" i="67" s="1"/>
  <c r="CG61" i="13" s="1"/>
  <c r="J14" i="68"/>
  <c r="J25" i="68"/>
  <c r="K25" i="68" s="1"/>
  <c r="CK25" i="13" s="1"/>
  <c r="F31" i="68"/>
  <c r="F70" i="67"/>
  <c r="I5" i="67"/>
  <c r="F62" i="67"/>
  <c r="G62" i="67" s="1"/>
  <c r="CG62" i="13" s="1"/>
  <c r="E46" i="67"/>
  <c r="R26" i="68"/>
  <c r="S26" i="68" s="1"/>
  <c r="CM26" i="13" s="1"/>
  <c r="E97" i="67"/>
  <c r="I38" i="67"/>
  <c r="K38" i="67" s="1"/>
  <c r="CH38" i="13" s="1"/>
  <c r="I104" i="67"/>
  <c r="E13" i="67"/>
  <c r="G13" i="67" s="1"/>
  <c r="CG13" i="13" s="1"/>
  <c r="E93" i="67"/>
  <c r="G93" i="67" s="1"/>
  <c r="CG93" i="13" s="1"/>
  <c r="J27" i="68"/>
  <c r="K27" i="68" s="1"/>
  <c r="CK27" i="13" s="1"/>
  <c r="J13" i="68"/>
  <c r="F24" i="68"/>
  <c r="J31" i="67"/>
  <c r="I46" i="67"/>
  <c r="J73" i="67"/>
  <c r="E14" i="67"/>
  <c r="G14" i="67" s="1"/>
  <c r="CG14" i="13" s="1"/>
  <c r="R22" i="68"/>
  <c r="R12" i="68" s="1"/>
  <c r="N26" i="68"/>
  <c r="O26" i="68" s="1"/>
  <c r="CL26" i="13" s="1"/>
  <c r="F104" i="67"/>
  <c r="J98" i="67"/>
  <c r="E92" i="67"/>
  <c r="G92" i="67" s="1"/>
  <c r="CG92" i="13" s="1"/>
  <c r="E70" i="67"/>
  <c r="J23" i="68"/>
  <c r="F33" i="68"/>
  <c r="J61" i="67"/>
  <c r="F21" i="67"/>
  <c r="F20" i="67"/>
  <c r="J70" i="67"/>
  <c r="E9" i="67"/>
  <c r="F97" i="67"/>
  <c r="J62" i="67"/>
  <c r="I6" i="67"/>
  <c r="E22" i="67"/>
  <c r="G22" i="67" s="1"/>
  <c r="CG22" i="13" s="1"/>
  <c r="E74" i="67"/>
  <c r="F27" i="68"/>
  <c r="G27" i="68" s="1"/>
  <c r="CJ27" i="13" s="1"/>
  <c r="I12" i="67"/>
  <c r="K12" i="67" s="1"/>
  <c r="CH12" i="13" s="1"/>
  <c r="N25" i="68"/>
  <c r="O25" i="68" s="1"/>
  <c r="CL25" i="13" s="1"/>
  <c r="I98" i="67"/>
  <c r="I14" i="67"/>
  <c r="K14" i="67" s="1"/>
  <c r="CH14" i="13" s="1"/>
  <c r="I34" i="67"/>
  <c r="K34" i="67" s="1"/>
  <c r="CH34" i="13" s="1"/>
  <c r="J103" i="67"/>
  <c r="F10" i="67"/>
  <c r="F102" i="67"/>
  <c r="J6" i="67"/>
  <c r="I36" i="67"/>
  <c r="K36" i="67" s="1"/>
  <c r="CH36" i="13" s="1"/>
  <c r="J74" i="67"/>
  <c r="I99" i="67"/>
  <c r="E12" i="67"/>
  <c r="G12" i="67" s="1"/>
  <c r="CG12" i="13" s="1"/>
  <c r="E99" i="67"/>
  <c r="F23" i="68"/>
  <c r="J104" i="67"/>
  <c r="J71" i="67"/>
  <c r="I93" i="67"/>
  <c r="K93" i="67" s="1"/>
  <c r="CH93" i="13" s="1"/>
  <c r="I7" i="67"/>
  <c r="N31" i="68"/>
  <c r="E71" i="67"/>
  <c r="J7" i="67"/>
  <c r="F32" i="67"/>
  <c r="J32" i="67"/>
  <c r="I62" i="67"/>
  <c r="I97" i="67"/>
  <c r="J72" i="67"/>
  <c r="E47" i="67"/>
  <c r="E105" i="67"/>
  <c r="V23" i="68"/>
  <c r="V13" i="68" s="1"/>
  <c r="F13" i="68"/>
  <c r="F69" i="67"/>
  <c r="N27" i="68"/>
  <c r="O27" i="68" s="1"/>
  <c r="CL27" i="13" s="1"/>
  <c r="I91" i="67"/>
  <c r="K91" i="67" s="1"/>
  <c r="CH91" i="13" s="1"/>
  <c r="E7" i="67"/>
  <c r="I69" i="67"/>
  <c r="E8" i="67"/>
  <c r="F47" i="67"/>
  <c r="J102" i="67"/>
  <c r="I92" i="67"/>
  <c r="K92" i="67" s="1"/>
  <c r="CH92" i="13" s="1"/>
  <c r="I61" i="67"/>
  <c r="E72" i="67"/>
  <c r="F26" i="68"/>
  <c r="G26" i="68" s="1"/>
  <c r="CJ26" i="13" s="1"/>
  <c r="J10" i="67"/>
  <c r="I39" i="67"/>
  <c r="K39" i="67" s="1"/>
  <c r="CH39" i="13" s="1"/>
  <c r="I74" i="67"/>
  <c r="I103" i="67"/>
  <c r="F71" i="54"/>
  <c r="E72" i="54"/>
  <c r="E48" i="54"/>
  <c r="E103" i="56"/>
  <c r="G103" i="56" s="1"/>
  <c r="CC103" i="13" s="1"/>
  <c r="T100" i="68"/>
  <c r="E47" i="56"/>
  <c r="G47" i="56" s="1"/>
  <c r="CC47" i="13" s="1"/>
  <c r="F48" i="54"/>
  <c r="E69" i="54"/>
  <c r="P86" i="52"/>
  <c r="S86" i="52" s="1"/>
  <c r="BW86" i="13" s="1"/>
  <c r="T102" i="68"/>
  <c r="W102" i="68" s="1"/>
  <c r="CN102" i="13" s="1"/>
  <c r="E50" i="54"/>
  <c r="D74" i="52"/>
  <c r="G74" i="52" s="1"/>
  <c r="BT74" i="13" s="1"/>
  <c r="U101" i="68"/>
  <c r="T101" i="68"/>
  <c r="P98" i="68"/>
  <c r="S98" i="68" s="1"/>
  <c r="CM98" i="13" s="1"/>
  <c r="D98" i="52"/>
  <c r="G98" i="52" s="1"/>
  <c r="BT98" i="13" s="1"/>
  <c r="U100" i="68"/>
  <c r="T99" i="68"/>
  <c r="W99" i="68" s="1"/>
  <c r="CN99" i="13" s="1"/>
  <c r="P100" i="68"/>
  <c r="S100" i="68" s="1"/>
  <c r="CM100" i="13" s="1"/>
  <c r="D49" i="52"/>
  <c r="G49" i="52" s="1"/>
  <c r="BT49" i="13" s="1"/>
  <c r="T97" i="68"/>
  <c r="W97" i="68" s="1"/>
  <c r="CN97" i="13" s="1"/>
  <c r="P97" i="68"/>
  <c r="S97" i="68" s="1"/>
  <c r="CM97" i="13" s="1"/>
  <c r="E12" i="56"/>
  <c r="G12" i="56" s="1"/>
  <c r="CC12" i="13" s="1"/>
  <c r="E49" i="54"/>
  <c r="L86" i="52"/>
  <c r="O86" i="52" s="1"/>
  <c r="BV86" i="13" s="1"/>
  <c r="P102" i="68"/>
  <c r="M39" i="54"/>
  <c r="O39" i="54" s="1"/>
  <c r="CA39" i="13" s="1"/>
  <c r="DS39" i="13" s="1"/>
  <c r="D79" i="52"/>
  <c r="G79" i="52" s="1"/>
  <c r="BT79" i="13" s="1"/>
  <c r="P99" i="68"/>
  <c r="S99" i="68" s="1"/>
  <c r="CM99" i="13" s="1"/>
  <c r="M38" i="54"/>
  <c r="O38" i="54" s="1"/>
  <c r="CA38" i="13" s="1"/>
  <c r="DS38" i="13" s="1"/>
  <c r="D97" i="52"/>
  <c r="G97" i="52" s="1"/>
  <c r="BT97" i="13" s="1"/>
  <c r="E70" i="54"/>
  <c r="E74" i="54"/>
  <c r="H53" i="67"/>
  <c r="K53" i="67" s="1"/>
  <c r="CH53" i="13" s="1"/>
  <c r="H85" i="67"/>
  <c r="K85" i="67" s="1"/>
  <c r="CH85" i="13" s="1"/>
  <c r="H32" i="67"/>
  <c r="H80" i="67"/>
  <c r="K80" i="67" s="1"/>
  <c r="CH80" i="13" s="1"/>
  <c r="H78" i="67"/>
  <c r="K78" i="67" s="1"/>
  <c r="CH78" i="13" s="1"/>
  <c r="H84" i="67"/>
  <c r="K84" i="67" s="1"/>
  <c r="CH84" i="13" s="1"/>
  <c r="H21" i="67"/>
  <c r="H70" i="67"/>
  <c r="H86" i="67"/>
  <c r="K86" i="67" s="1"/>
  <c r="CH86" i="13" s="1"/>
  <c r="H73" i="67"/>
  <c r="H83" i="67"/>
  <c r="K83" i="67" s="1"/>
  <c r="CH83" i="13" s="1"/>
  <c r="H55" i="67"/>
  <c r="K55" i="67" s="1"/>
  <c r="CH55" i="13" s="1"/>
  <c r="H31" i="67"/>
  <c r="H48" i="67"/>
  <c r="K48" i="67" s="1"/>
  <c r="CH48" i="13" s="1"/>
  <c r="H52" i="67"/>
  <c r="K52" i="67" s="1"/>
  <c r="CH52" i="13" s="1"/>
  <c r="H81" i="67"/>
  <c r="K81" i="67" s="1"/>
  <c r="CH81" i="13" s="1"/>
  <c r="H44" i="67"/>
  <c r="H33" i="67"/>
  <c r="K33" i="67" s="1"/>
  <c r="CH33" i="13" s="1"/>
  <c r="H56" i="67"/>
  <c r="K56" i="67" s="1"/>
  <c r="CH56" i="13" s="1"/>
  <c r="H51" i="67"/>
  <c r="K51" i="67" s="1"/>
  <c r="CH51" i="13" s="1"/>
  <c r="H71" i="67"/>
  <c r="H42" i="67"/>
  <c r="H72" i="67"/>
  <c r="H19" i="67"/>
  <c r="H43" i="67"/>
  <c r="H79" i="67"/>
  <c r="K79" i="67" s="1"/>
  <c r="CH79" i="13" s="1"/>
  <c r="H82" i="67"/>
  <c r="K82" i="67" s="1"/>
  <c r="CH82" i="13" s="1"/>
  <c r="H69" i="67"/>
  <c r="D70" i="67"/>
  <c r="D73" i="67"/>
  <c r="D74" i="67"/>
  <c r="D84" i="67"/>
  <c r="G84" i="67" s="1"/>
  <c r="CG84" i="13" s="1"/>
  <c r="D80" i="67"/>
  <c r="G80" i="67" s="1"/>
  <c r="CG80" i="13" s="1"/>
  <c r="D50" i="67"/>
  <c r="G50" i="67" s="1"/>
  <c r="CG50" i="13" s="1"/>
  <c r="D81" i="67"/>
  <c r="G81" i="67" s="1"/>
  <c r="CG81" i="13" s="1"/>
  <c r="D78" i="67"/>
  <c r="G78" i="67" s="1"/>
  <c r="CG78" i="13" s="1"/>
  <c r="D83" i="67"/>
  <c r="G83" i="67" s="1"/>
  <c r="CG83" i="13" s="1"/>
  <c r="D43" i="67"/>
  <c r="D51" i="67"/>
  <c r="G51" i="67" s="1"/>
  <c r="CG51" i="13" s="1"/>
  <c r="D53" i="67"/>
  <c r="G53" i="67" s="1"/>
  <c r="CG53" i="13" s="1"/>
  <c r="D33" i="67"/>
  <c r="D72" i="67"/>
  <c r="D32" i="67"/>
  <c r="D54" i="67"/>
  <c r="G54" i="67" s="1"/>
  <c r="CG54" i="13" s="1"/>
  <c r="D31" i="67"/>
  <c r="D71" i="67"/>
  <c r="D20" i="67"/>
  <c r="D82" i="67"/>
  <c r="G82" i="67" s="1"/>
  <c r="CG82" i="13" s="1"/>
  <c r="D69" i="67"/>
  <c r="D42" i="67"/>
  <c r="D85" i="67"/>
  <c r="G85" i="67" s="1"/>
  <c r="CG85" i="13" s="1"/>
  <c r="F46" i="67"/>
  <c r="H32" i="54"/>
  <c r="K32" i="54" s="1"/>
  <c r="BZ32" i="13" s="1"/>
  <c r="F6" i="67"/>
  <c r="F44" i="67"/>
  <c r="F33" i="67"/>
  <c r="D44" i="67"/>
  <c r="F101" i="67"/>
  <c r="F9" i="67"/>
  <c r="F73" i="67"/>
  <c r="F42" i="67"/>
  <c r="M40" i="52"/>
  <c r="O40" i="52" s="1"/>
  <c r="BV40" i="13" s="1"/>
  <c r="G30" i="57"/>
  <c r="CE30" i="13" s="1"/>
  <c r="G28" i="57"/>
  <c r="CE28" i="13" s="1"/>
  <c r="M52" i="52"/>
  <c r="F45" i="67"/>
  <c r="F100" i="67"/>
  <c r="F31" i="67"/>
  <c r="G98" i="57"/>
  <c r="CE98" i="13" s="1"/>
  <c r="F72" i="67"/>
  <c r="F5" i="67"/>
  <c r="G34" i="57"/>
  <c r="CE34" i="13" s="1"/>
  <c r="F74" i="67"/>
  <c r="G94" i="57"/>
  <c r="CE94" i="13" s="1"/>
  <c r="F60" i="67"/>
  <c r="F99" i="67"/>
  <c r="E61" i="56"/>
  <c r="E93" i="56"/>
  <c r="G93" i="56" s="1"/>
  <c r="CC93" i="13" s="1"/>
  <c r="D52" i="52"/>
  <c r="G52" i="52" s="1"/>
  <c r="BT52" i="13" s="1"/>
  <c r="D51" i="52"/>
  <c r="G51" i="52" s="1"/>
  <c r="BT51" i="13" s="1"/>
  <c r="F69" i="54"/>
  <c r="E91" i="56"/>
  <c r="G91" i="56" s="1"/>
  <c r="CC91" i="13" s="1"/>
  <c r="I39" i="56"/>
  <c r="K39" i="56" s="1"/>
  <c r="CD39" i="13" s="1"/>
  <c r="J74" i="54"/>
  <c r="D72" i="52"/>
  <c r="G72" i="52" s="1"/>
  <c r="BT72" i="13" s="1"/>
  <c r="D70" i="52"/>
  <c r="G70" i="52" s="1"/>
  <c r="BT70" i="13" s="1"/>
  <c r="E46" i="56"/>
  <c r="G46" i="56" s="1"/>
  <c r="CC46" i="13" s="1"/>
  <c r="E95" i="56"/>
  <c r="G95" i="56" s="1"/>
  <c r="CC95" i="13" s="1"/>
  <c r="E24" i="56"/>
  <c r="G24" i="56" s="1"/>
  <c r="CC24" i="13" s="1"/>
  <c r="I40" i="56"/>
  <c r="K40" i="56" s="1"/>
  <c r="CD40" i="13" s="1"/>
  <c r="F70" i="54"/>
  <c r="J70" i="54"/>
  <c r="D78" i="52"/>
  <c r="G78" i="52" s="1"/>
  <c r="BT78" i="13" s="1"/>
  <c r="D67" i="52"/>
  <c r="G67" i="52" s="1"/>
  <c r="BT67" i="13" s="1"/>
  <c r="H86" i="52"/>
  <c r="K86" i="52" s="1"/>
  <c r="BU86" i="13" s="1"/>
  <c r="E13" i="56"/>
  <c r="G13" i="56" s="1"/>
  <c r="CC13" i="13" s="1"/>
  <c r="F50" i="54"/>
  <c r="J73" i="54"/>
  <c r="D82" i="52"/>
  <c r="G82" i="52" s="1"/>
  <c r="BT82" i="13" s="1"/>
  <c r="D102" i="52"/>
  <c r="G102" i="52" s="1"/>
  <c r="BT102" i="13" s="1"/>
  <c r="E39" i="56"/>
  <c r="G39" i="56" s="1"/>
  <c r="CC39" i="13" s="1"/>
  <c r="I38" i="56"/>
  <c r="K38" i="56" s="1"/>
  <c r="CD38" i="13" s="1"/>
  <c r="DU38" i="13" s="1"/>
  <c r="J50" i="54"/>
  <c r="I45" i="56"/>
  <c r="K45" i="56" s="1"/>
  <c r="CD45" i="13" s="1"/>
  <c r="J69" i="54"/>
  <c r="D32" i="52"/>
  <c r="G32" i="52" s="1"/>
  <c r="BT32" i="13" s="1"/>
  <c r="D55" i="52"/>
  <c r="G55" i="52" s="1"/>
  <c r="BT55" i="13" s="1"/>
  <c r="E104" i="56"/>
  <c r="G104" i="56" s="1"/>
  <c r="CC104" i="13" s="1"/>
  <c r="F49" i="54"/>
  <c r="J72" i="54"/>
  <c r="D101" i="52"/>
  <c r="G101" i="52" s="1"/>
  <c r="BT101" i="13" s="1"/>
  <c r="D100" i="52"/>
  <c r="G100" i="52" s="1"/>
  <c r="BT100" i="13" s="1"/>
  <c r="I47" i="56"/>
  <c r="K47" i="56" s="1"/>
  <c r="CD47" i="13" s="1"/>
  <c r="J49" i="54"/>
  <c r="D85" i="52"/>
  <c r="G85" i="52" s="1"/>
  <c r="BT85" i="13" s="1"/>
  <c r="D48" i="52"/>
  <c r="G48" i="52" s="1"/>
  <c r="BT48" i="13" s="1"/>
  <c r="D71" i="52"/>
  <c r="J71" i="54"/>
  <c r="D50" i="52"/>
  <c r="G50" i="52" s="1"/>
  <c r="BT50" i="13" s="1"/>
  <c r="D69" i="52"/>
  <c r="E60" i="56"/>
  <c r="D80" i="52"/>
  <c r="G80" i="52" s="1"/>
  <c r="BT80" i="13" s="1"/>
  <c r="D86" i="52"/>
  <c r="G86" i="52" s="1"/>
  <c r="BT86" i="13" s="1"/>
  <c r="I46" i="56"/>
  <c r="K46" i="56" s="1"/>
  <c r="CD46" i="13" s="1"/>
  <c r="E62" i="56"/>
  <c r="G62" i="56" s="1"/>
  <c r="CC62" i="13" s="1"/>
  <c r="D53" i="52"/>
  <c r="G53" i="52" s="1"/>
  <c r="BT53" i="13" s="1"/>
  <c r="D83" i="52"/>
  <c r="G83" i="52" s="1"/>
  <c r="BT83" i="13" s="1"/>
  <c r="E92" i="56"/>
  <c r="G92" i="56" s="1"/>
  <c r="CC92" i="13" s="1"/>
  <c r="E105" i="56"/>
  <c r="G105" i="56" s="1"/>
  <c r="CC105" i="13" s="1"/>
  <c r="E40" i="56"/>
  <c r="G40" i="56" s="1"/>
  <c r="CC40" i="13" s="1"/>
  <c r="D56" i="52"/>
  <c r="G56" i="52" s="1"/>
  <c r="BT56" i="13" s="1"/>
  <c r="D99" i="52"/>
  <c r="G99" i="52" s="1"/>
  <c r="BT99" i="13" s="1"/>
  <c r="E96" i="56"/>
  <c r="G96" i="56" s="1"/>
  <c r="CC96" i="13" s="1"/>
  <c r="D84" i="52"/>
  <c r="G84" i="52" s="1"/>
  <c r="BT84" i="13" s="1"/>
  <c r="D66" i="52"/>
  <c r="G66" i="52" s="1"/>
  <c r="BT66" i="13" s="1"/>
  <c r="E94" i="56"/>
  <c r="G94" i="56" s="1"/>
  <c r="CC94" i="13" s="1"/>
  <c r="D73" i="52"/>
  <c r="G73" i="52" s="1"/>
  <c r="BT73" i="13" s="1"/>
  <c r="D81" i="52"/>
  <c r="G81" i="52" s="1"/>
  <c r="BT81" i="13" s="1"/>
  <c r="F73" i="54"/>
  <c r="E24" i="67"/>
  <c r="G24" i="67" s="1"/>
  <c r="CG24" i="13" s="1"/>
  <c r="F71" i="67"/>
  <c r="F103" i="67"/>
  <c r="F7" i="67"/>
  <c r="E35" i="67"/>
  <c r="G35" i="67" s="1"/>
  <c r="CG35" i="13" s="1"/>
  <c r="J47" i="67"/>
  <c r="I71" i="54"/>
  <c r="D48" i="67"/>
  <c r="G48" i="67" s="1"/>
  <c r="CG48" i="13" s="1"/>
  <c r="F98" i="67"/>
  <c r="F19" i="67"/>
  <c r="E104" i="67"/>
  <c r="I72" i="54"/>
  <c r="I69" i="54"/>
  <c r="D49" i="67"/>
  <c r="G49" i="67" s="1"/>
  <c r="CG49" i="13" s="1"/>
  <c r="E60" i="67"/>
  <c r="I73" i="54"/>
  <c r="D84" i="54"/>
  <c r="G84" i="54" s="1"/>
  <c r="BY84" i="13" s="1"/>
  <c r="E100" i="67"/>
  <c r="J97" i="67"/>
  <c r="J19" i="67"/>
  <c r="I74" i="54"/>
  <c r="I49" i="54"/>
  <c r="D85" i="54"/>
  <c r="G85" i="54" s="1"/>
  <c r="BY85" i="13" s="1"/>
  <c r="D56" i="54"/>
  <c r="G56" i="54" s="1"/>
  <c r="BY56" i="13" s="1"/>
  <c r="D86" i="67"/>
  <c r="G86" i="67" s="1"/>
  <c r="CG86" i="13" s="1"/>
  <c r="D54" i="54"/>
  <c r="G54" i="54" s="1"/>
  <c r="BY54" i="13" s="1"/>
  <c r="D55" i="67"/>
  <c r="G55" i="67" s="1"/>
  <c r="CG55" i="13" s="1"/>
  <c r="D79" i="67"/>
  <c r="G79" i="67" s="1"/>
  <c r="CG79" i="13" s="1"/>
  <c r="D79" i="54"/>
  <c r="G79" i="54" s="1"/>
  <c r="BY79" i="13" s="1"/>
  <c r="D31" i="54"/>
  <c r="G31" i="54" s="1"/>
  <c r="BY31" i="13" s="1"/>
  <c r="D82" i="54"/>
  <c r="G82" i="54" s="1"/>
  <c r="BY82" i="13" s="1"/>
  <c r="D68" i="54"/>
  <c r="G68" i="54" s="1"/>
  <c r="BY68" i="13" s="1"/>
  <c r="D48" i="54"/>
  <c r="D21" i="67"/>
  <c r="D19" i="67"/>
  <c r="D53" i="54"/>
  <c r="G53" i="54" s="1"/>
  <c r="BY53" i="13" s="1"/>
  <c r="D81" i="56"/>
  <c r="G81" i="56" s="1"/>
  <c r="CC81" i="13" s="1"/>
  <c r="E73" i="54"/>
  <c r="H49" i="54"/>
  <c r="F61" i="56"/>
  <c r="D81" i="54"/>
  <c r="G81" i="54" s="1"/>
  <c r="BY81" i="13" s="1"/>
  <c r="Q62" i="52"/>
  <c r="S62" i="52" s="1"/>
  <c r="BW62" i="13" s="1"/>
  <c r="P71" i="52"/>
  <c r="D49" i="54"/>
  <c r="D69" i="54"/>
  <c r="D86" i="54"/>
  <c r="G86" i="54" s="1"/>
  <c r="BY86" i="13" s="1"/>
  <c r="D80" i="54"/>
  <c r="G80" i="54" s="1"/>
  <c r="BY80" i="13" s="1"/>
  <c r="H70" i="54"/>
  <c r="H78" i="54"/>
  <c r="K78" i="54" s="1"/>
  <c r="BZ78" i="13" s="1"/>
  <c r="H80" i="54"/>
  <c r="K80" i="54" s="1"/>
  <c r="BZ80" i="13" s="1"/>
  <c r="H33" i="54"/>
  <c r="K33" i="54" s="1"/>
  <c r="BZ33" i="13" s="1"/>
  <c r="D22" i="54"/>
  <c r="G22" i="54" s="1"/>
  <c r="BY22" i="13" s="1"/>
  <c r="D23" i="54"/>
  <c r="G23" i="54" s="1"/>
  <c r="BY23" i="13" s="1"/>
  <c r="H56" i="54"/>
  <c r="K56" i="54" s="1"/>
  <c r="BZ56" i="13" s="1"/>
  <c r="H22" i="54"/>
  <c r="K22" i="54" s="1"/>
  <c r="BZ22" i="13" s="1"/>
  <c r="D72" i="54"/>
  <c r="D66" i="54"/>
  <c r="G66" i="54" s="1"/>
  <c r="BY66" i="13" s="1"/>
  <c r="H50" i="54"/>
  <c r="H48" i="54"/>
  <c r="H31" i="54"/>
  <c r="K31" i="54" s="1"/>
  <c r="BZ31" i="13" s="1"/>
  <c r="D78" i="54"/>
  <c r="G78" i="54" s="1"/>
  <c r="BY78" i="13" s="1"/>
  <c r="D51" i="54"/>
  <c r="G51" i="54" s="1"/>
  <c r="BY51" i="13" s="1"/>
  <c r="H85" i="54"/>
  <c r="K85" i="54" s="1"/>
  <c r="BZ85" i="13" s="1"/>
  <c r="D32" i="54"/>
  <c r="G32" i="54" s="1"/>
  <c r="BY32" i="13" s="1"/>
  <c r="D83" i="54"/>
  <c r="G83" i="54" s="1"/>
  <c r="BY83" i="13" s="1"/>
  <c r="Q24" i="52"/>
  <c r="S24" i="52" s="1"/>
  <c r="BW24" i="13" s="1"/>
  <c r="H74" i="54"/>
  <c r="H53" i="54"/>
  <c r="K53" i="54" s="1"/>
  <c r="BZ53" i="13" s="1"/>
  <c r="P56" i="52"/>
  <c r="S56" i="52" s="1"/>
  <c r="BW56" i="13" s="1"/>
  <c r="D70" i="54"/>
  <c r="D52" i="54"/>
  <c r="G52" i="54" s="1"/>
  <c r="BY52" i="13" s="1"/>
  <c r="D67" i="54"/>
  <c r="G67" i="54" s="1"/>
  <c r="BY67" i="13" s="1"/>
  <c r="H55" i="54"/>
  <c r="K55" i="54" s="1"/>
  <c r="BZ55" i="13" s="1"/>
  <c r="H82" i="54"/>
  <c r="K82" i="54" s="1"/>
  <c r="BZ82" i="13" s="1"/>
  <c r="F60" i="56"/>
  <c r="D55" i="54"/>
  <c r="G55" i="54" s="1"/>
  <c r="BY55" i="13" s="1"/>
  <c r="D24" i="54"/>
  <c r="G24" i="54" s="1"/>
  <c r="BY24" i="13" s="1"/>
  <c r="G51" i="57"/>
  <c r="CE51" i="13" s="1"/>
  <c r="G50" i="57"/>
  <c r="CE50" i="13" s="1"/>
  <c r="G83" i="57"/>
  <c r="CE83" i="13" s="1"/>
  <c r="H86" i="54"/>
  <c r="K86" i="54" s="1"/>
  <c r="BZ86" i="13" s="1"/>
  <c r="G84" i="57"/>
  <c r="CE84" i="13" s="1"/>
  <c r="M70" i="52"/>
  <c r="M38" i="52"/>
  <c r="O38" i="52" s="1"/>
  <c r="BV38" i="13" s="1"/>
  <c r="M69" i="52"/>
  <c r="M49" i="52"/>
  <c r="M51" i="52"/>
  <c r="M71" i="52"/>
  <c r="M53" i="52"/>
  <c r="M39" i="52"/>
  <c r="O39" i="52" s="1"/>
  <c r="BV39" i="13" s="1"/>
  <c r="Q104" i="52"/>
  <c r="S104" i="52" s="1"/>
  <c r="BW104" i="13" s="1"/>
  <c r="Q71" i="52"/>
  <c r="Q23" i="52"/>
  <c r="S23" i="52" s="1"/>
  <c r="BW23" i="13" s="1"/>
  <c r="Q38" i="52"/>
  <c r="S38" i="52" s="1"/>
  <c r="BW38" i="13" s="1"/>
  <c r="Q95" i="52"/>
  <c r="S95" i="52" s="1"/>
  <c r="BW95" i="13" s="1"/>
  <c r="Q40" i="52"/>
  <c r="S40" i="52" s="1"/>
  <c r="BW40" i="13" s="1"/>
  <c r="Q22" i="52"/>
  <c r="Q12" i="52" s="1"/>
  <c r="S12" i="52" s="1"/>
  <c r="BW12" i="13" s="1"/>
  <c r="Q39" i="52"/>
  <c r="S39" i="52" s="1"/>
  <c r="BW39" i="13" s="1"/>
  <c r="Q94" i="52"/>
  <c r="S94" i="52" s="1"/>
  <c r="BW94" i="13" s="1"/>
  <c r="L66" i="52"/>
  <c r="O66" i="52" s="1"/>
  <c r="BV66" i="13" s="1"/>
  <c r="L67" i="52"/>
  <c r="O67" i="52" s="1"/>
  <c r="BV67" i="13" s="1"/>
  <c r="L54" i="52"/>
  <c r="O54" i="52" s="1"/>
  <c r="BV54" i="13" s="1"/>
  <c r="L81" i="52"/>
  <c r="O81" i="52" s="1"/>
  <c r="BV81" i="13" s="1"/>
  <c r="L52" i="52"/>
  <c r="H50" i="52"/>
  <c r="K50" i="52" s="1"/>
  <c r="BU50" i="13" s="1"/>
  <c r="I23" i="52"/>
  <c r="I13" i="52" s="1"/>
  <c r="K13" i="52" s="1"/>
  <c r="BU13" i="13" s="1"/>
  <c r="I39" i="52"/>
  <c r="K39" i="52" s="1"/>
  <c r="BU39" i="13" s="1"/>
  <c r="I69" i="52"/>
  <c r="I105" i="52"/>
  <c r="K105" i="52" s="1"/>
  <c r="BU105" i="13" s="1"/>
  <c r="I93" i="52"/>
  <c r="K93" i="52" s="1"/>
  <c r="BU93" i="13" s="1"/>
  <c r="I96" i="52"/>
  <c r="K96" i="52" s="1"/>
  <c r="BU96" i="13" s="1"/>
  <c r="I71" i="52"/>
  <c r="H48" i="52"/>
  <c r="K48" i="52" s="1"/>
  <c r="BU48" i="13" s="1"/>
  <c r="H53" i="52"/>
  <c r="K53" i="52" s="1"/>
  <c r="BU53" i="13" s="1"/>
  <c r="I62" i="52"/>
  <c r="K62" i="52" s="1"/>
  <c r="BU62" i="13" s="1"/>
  <c r="I70" i="52"/>
  <c r="I104" i="52"/>
  <c r="K104" i="52" s="1"/>
  <c r="BU104" i="13" s="1"/>
  <c r="I94" i="52"/>
  <c r="K94" i="52" s="1"/>
  <c r="BU94" i="13" s="1"/>
  <c r="H51" i="52"/>
  <c r="K51" i="52" s="1"/>
  <c r="BU51" i="13" s="1"/>
  <c r="I40" i="52"/>
  <c r="K40" i="52" s="1"/>
  <c r="BU40" i="13" s="1"/>
  <c r="I22" i="52"/>
  <c r="K22" i="52" s="1"/>
  <c r="BU22" i="13" s="1"/>
  <c r="I92" i="52"/>
  <c r="K92" i="52" s="1"/>
  <c r="BU92" i="13" s="1"/>
  <c r="I38" i="52"/>
  <c r="K38" i="52" s="1"/>
  <c r="BU38" i="13" s="1"/>
  <c r="I60" i="52"/>
  <c r="K60" i="52" s="1"/>
  <c r="BU60" i="13" s="1"/>
  <c r="H49" i="52"/>
  <c r="K49" i="52" s="1"/>
  <c r="BU49" i="13" s="1"/>
  <c r="H52" i="52"/>
  <c r="K52" i="52" s="1"/>
  <c r="BU52" i="13" s="1"/>
  <c r="I24" i="52"/>
  <c r="I14" i="52" s="1"/>
  <c r="K14" i="52" s="1"/>
  <c r="BU14" i="13" s="1"/>
  <c r="M48" i="52"/>
  <c r="L72" i="52"/>
  <c r="O72" i="52" s="1"/>
  <c r="BV72" i="13" s="1"/>
  <c r="E45" i="56"/>
  <c r="G45" i="56" s="1"/>
  <c r="CC45" i="13" s="1"/>
  <c r="D99" i="56"/>
  <c r="G99" i="56" s="1"/>
  <c r="CC99" i="13" s="1"/>
  <c r="E71" i="54"/>
  <c r="E14" i="56"/>
  <c r="G14" i="56" s="1"/>
  <c r="CC14" i="13" s="1"/>
  <c r="H72" i="54"/>
  <c r="H83" i="54"/>
  <c r="K83" i="54" s="1"/>
  <c r="BZ83" i="13" s="1"/>
  <c r="H51" i="54"/>
  <c r="K51" i="54" s="1"/>
  <c r="BZ51" i="13" s="1"/>
  <c r="Q103" i="52"/>
  <c r="S103" i="52" s="1"/>
  <c r="BW103" i="13" s="1"/>
  <c r="Q105" i="52"/>
  <c r="S105" i="52" s="1"/>
  <c r="BW105" i="13" s="1"/>
  <c r="Q93" i="52"/>
  <c r="S93" i="52" s="1"/>
  <c r="BW93" i="13" s="1"/>
  <c r="I70" i="54"/>
  <c r="H24" i="54"/>
  <c r="K24" i="54" s="1"/>
  <c r="BZ24" i="13" s="1"/>
  <c r="Q61" i="52"/>
  <c r="S61" i="52" s="1"/>
  <c r="BW61" i="13" s="1"/>
  <c r="H84" i="54"/>
  <c r="K84" i="54" s="1"/>
  <c r="BZ84" i="13" s="1"/>
  <c r="Q70" i="52"/>
  <c r="Q96" i="52"/>
  <c r="S96" i="52" s="1"/>
  <c r="BW96" i="13" s="1"/>
  <c r="H68" i="54"/>
  <c r="K68" i="54" s="1"/>
  <c r="BZ68" i="13" s="1"/>
  <c r="D74" i="54"/>
  <c r="H79" i="54"/>
  <c r="K79" i="54" s="1"/>
  <c r="BZ79" i="13" s="1"/>
  <c r="H54" i="54"/>
  <c r="K54" i="54" s="1"/>
  <c r="BZ54" i="13" s="1"/>
  <c r="H71" i="54"/>
  <c r="H73" i="54"/>
  <c r="Q91" i="52"/>
  <c r="S91" i="52" s="1"/>
  <c r="BW91" i="13" s="1"/>
  <c r="H69" i="54"/>
  <c r="D33" i="52"/>
  <c r="G33" i="52" s="1"/>
  <c r="BT33" i="13" s="1"/>
  <c r="H66" i="54"/>
  <c r="K66" i="54" s="1"/>
  <c r="BZ66" i="13" s="1"/>
  <c r="H23" i="54"/>
  <c r="K23" i="54" s="1"/>
  <c r="BZ23" i="13" s="1"/>
  <c r="H52" i="54"/>
  <c r="K52" i="54" s="1"/>
  <c r="BZ52" i="13" s="1"/>
  <c r="L79" i="52"/>
  <c r="O79" i="52" s="1"/>
  <c r="BV79" i="13" s="1"/>
  <c r="L68" i="52"/>
  <c r="O68" i="52" s="1"/>
  <c r="BV68" i="13" s="1"/>
  <c r="H80" i="50"/>
  <c r="K80" i="50" s="1"/>
  <c r="BQ80" i="13" s="1"/>
  <c r="L48" i="52"/>
  <c r="P73" i="52"/>
  <c r="S73" i="52" s="1"/>
  <c r="BW73" i="13" s="1"/>
  <c r="P80" i="52"/>
  <c r="S80" i="52" s="1"/>
  <c r="BW80" i="13" s="1"/>
  <c r="P52" i="52"/>
  <c r="S52" i="52" s="1"/>
  <c r="BW52" i="13" s="1"/>
  <c r="P66" i="52"/>
  <c r="S66" i="52" s="1"/>
  <c r="BW66" i="13" s="1"/>
  <c r="L49" i="52"/>
  <c r="P55" i="52"/>
  <c r="S55" i="52" s="1"/>
  <c r="BW55" i="13" s="1"/>
  <c r="P101" i="52"/>
  <c r="S101" i="52" s="1"/>
  <c r="BW101" i="13" s="1"/>
  <c r="P54" i="52"/>
  <c r="S54" i="52" s="1"/>
  <c r="BW54" i="13" s="1"/>
  <c r="L51" i="52"/>
  <c r="P32" i="52"/>
  <c r="S32" i="52" s="1"/>
  <c r="BW32" i="13" s="1"/>
  <c r="P70" i="52"/>
  <c r="L32" i="52"/>
  <c r="O32" i="52" s="1"/>
  <c r="BV32" i="13" s="1"/>
  <c r="P79" i="52"/>
  <c r="S79" i="52" s="1"/>
  <c r="BW79" i="13" s="1"/>
  <c r="L82" i="52"/>
  <c r="O82" i="52" s="1"/>
  <c r="BV82" i="13" s="1"/>
  <c r="P100" i="52"/>
  <c r="S100" i="52" s="1"/>
  <c r="BW100" i="13" s="1"/>
  <c r="P33" i="52"/>
  <c r="S33" i="52" s="1"/>
  <c r="BW33" i="13" s="1"/>
  <c r="L74" i="52"/>
  <c r="O74" i="52" s="1"/>
  <c r="BV74" i="13" s="1"/>
  <c r="L78" i="52"/>
  <c r="O78" i="52" s="1"/>
  <c r="BV78" i="13" s="1"/>
  <c r="P31" i="52"/>
  <c r="S31" i="52" s="1"/>
  <c r="BW31" i="13" s="1"/>
  <c r="P85" i="52"/>
  <c r="S85" i="52" s="1"/>
  <c r="BW85" i="13" s="1"/>
  <c r="L73" i="52"/>
  <c r="O73" i="52" s="1"/>
  <c r="BV73" i="13" s="1"/>
  <c r="P98" i="52"/>
  <c r="S98" i="52" s="1"/>
  <c r="BW98" i="13" s="1"/>
  <c r="L70" i="52"/>
  <c r="P78" i="52"/>
  <c r="S78" i="52" s="1"/>
  <c r="BW78" i="13" s="1"/>
  <c r="P81" i="52"/>
  <c r="S81" i="52" s="1"/>
  <c r="BW81" i="13" s="1"/>
  <c r="P72" i="52"/>
  <c r="S72" i="52" s="1"/>
  <c r="BW72" i="13" s="1"/>
  <c r="P68" i="52"/>
  <c r="S68" i="52" s="1"/>
  <c r="BW68" i="13" s="1"/>
  <c r="P67" i="52"/>
  <c r="S67" i="52" s="1"/>
  <c r="BW67" i="13" s="1"/>
  <c r="L50" i="52"/>
  <c r="O50" i="52" s="1"/>
  <c r="BV50" i="13" s="1"/>
  <c r="L45" i="52"/>
  <c r="O45" i="52" s="1"/>
  <c r="BV45" i="13" s="1"/>
  <c r="DQ45" i="13" s="1"/>
  <c r="P53" i="52"/>
  <c r="S53" i="52" s="1"/>
  <c r="BW53" i="13" s="1"/>
  <c r="P74" i="52"/>
  <c r="S74" i="52" s="1"/>
  <c r="BW74" i="13" s="1"/>
  <c r="P51" i="52"/>
  <c r="S51" i="52" s="1"/>
  <c r="BW51" i="13" s="1"/>
  <c r="P50" i="52"/>
  <c r="S50" i="52" s="1"/>
  <c r="BW50" i="13" s="1"/>
  <c r="P84" i="52"/>
  <c r="S84" i="52" s="1"/>
  <c r="BW84" i="13" s="1"/>
  <c r="L31" i="52"/>
  <c r="O31" i="52" s="1"/>
  <c r="BV31" i="13" s="1"/>
  <c r="P82" i="52"/>
  <c r="S82" i="52" s="1"/>
  <c r="BW82" i="13" s="1"/>
  <c r="P97" i="52"/>
  <c r="S97" i="52" s="1"/>
  <c r="BW97" i="13" s="1"/>
  <c r="P49" i="52"/>
  <c r="S49" i="52" s="1"/>
  <c r="BW49" i="13" s="1"/>
  <c r="L85" i="52"/>
  <c r="O85" i="52" s="1"/>
  <c r="BV85" i="13" s="1"/>
  <c r="L46" i="52"/>
  <c r="O46" i="52" s="1"/>
  <c r="BV46" i="13" s="1"/>
  <c r="DQ46" i="13" s="1"/>
  <c r="L33" i="52"/>
  <c r="O33" i="52" s="1"/>
  <c r="BV33" i="13" s="1"/>
  <c r="L69" i="52"/>
  <c r="P69" i="52"/>
  <c r="P83" i="52"/>
  <c r="S83" i="52" s="1"/>
  <c r="BW83" i="13" s="1"/>
  <c r="L71" i="52"/>
  <c r="H98" i="50"/>
  <c r="K98" i="50" s="1"/>
  <c r="BQ98" i="13" s="1"/>
  <c r="L47" i="52"/>
  <c r="O47" i="52" s="1"/>
  <c r="BV47" i="13" s="1"/>
  <c r="DQ47" i="13" s="1"/>
  <c r="I48" i="54"/>
  <c r="D33" i="54"/>
  <c r="G33" i="54" s="1"/>
  <c r="BY33" i="13" s="1"/>
  <c r="D50" i="54"/>
  <c r="L80" i="52"/>
  <c r="O80" i="52" s="1"/>
  <c r="BV80" i="13" s="1"/>
  <c r="L83" i="52"/>
  <c r="O83" i="52" s="1"/>
  <c r="BV83" i="13" s="1"/>
  <c r="D73" i="54"/>
  <c r="E23" i="50"/>
  <c r="E13" i="50" s="1"/>
  <c r="G13" i="50" s="1"/>
  <c r="BP13" i="13" s="1"/>
  <c r="E96" i="50"/>
  <c r="G96" i="50" s="1"/>
  <c r="BP96" i="13" s="1"/>
  <c r="E72" i="50"/>
  <c r="F38" i="46"/>
  <c r="F74" i="46"/>
  <c r="I61" i="52"/>
  <c r="K61" i="52" s="1"/>
  <c r="BU61" i="13" s="1"/>
  <c r="P48" i="52"/>
  <c r="S48" i="52" s="1"/>
  <c r="BW48" i="13" s="1"/>
  <c r="R92" i="30"/>
  <c r="I103" i="52"/>
  <c r="K103" i="52" s="1"/>
  <c r="BU103" i="13" s="1"/>
  <c r="I91" i="52"/>
  <c r="K91" i="52" s="1"/>
  <c r="BU91" i="13" s="1"/>
  <c r="D102" i="50"/>
  <c r="G102" i="50" s="1"/>
  <c r="BP102" i="13" s="1"/>
  <c r="J39" i="38"/>
  <c r="E69" i="50"/>
  <c r="D85" i="50"/>
  <c r="G85" i="50" s="1"/>
  <c r="BP85" i="13" s="1"/>
  <c r="D49" i="50"/>
  <c r="G49" i="50" s="1"/>
  <c r="BP49" i="13" s="1"/>
  <c r="E71" i="50"/>
  <c r="F38" i="38"/>
  <c r="F96" i="46"/>
  <c r="D97" i="50"/>
  <c r="G97" i="50" s="1"/>
  <c r="BP97" i="13" s="1"/>
  <c r="E70" i="50"/>
  <c r="D101" i="50"/>
  <c r="G101" i="50" s="1"/>
  <c r="BP101" i="13" s="1"/>
  <c r="D80" i="50"/>
  <c r="G80" i="50" s="1"/>
  <c r="BP80" i="13" s="1"/>
  <c r="E103" i="50"/>
  <c r="G103" i="50" s="1"/>
  <c r="BP103" i="13" s="1"/>
  <c r="E93" i="50"/>
  <c r="G93" i="50" s="1"/>
  <c r="BP93" i="13" s="1"/>
  <c r="F72" i="46"/>
  <c r="E24" i="50"/>
  <c r="E14" i="50" s="1"/>
  <c r="G14" i="50" s="1"/>
  <c r="BP14" i="13" s="1"/>
  <c r="E62" i="50"/>
  <c r="G62" i="50" s="1"/>
  <c r="BP62" i="13" s="1"/>
  <c r="E47" i="50"/>
  <c r="G47" i="50" s="1"/>
  <c r="BP47" i="13" s="1"/>
  <c r="D52" i="50"/>
  <c r="G52" i="50" s="1"/>
  <c r="BP52" i="13" s="1"/>
  <c r="E91" i="50"/>
  <c r="G91" i="50" s="1"/>
  <c r="BP91" i="13" s="1"/>
  <c r="E39" i="50"/>
  <c r="G39" i="50" s="1"/>
  <c r="BP39" i="13" s="1"/>
  <c r="D82" i="50"/>
  <c r="G82" i="50" s="1"/>
  <c r="BP82" i="13" s="1"/>
  <c r="D53" i="50"/>
  <c r="G53" i="50" s="1"/>
  <c r="BP53" i="13" s="1"/>
  <c r="E105" i="50"/>
  <c r="G105" i="50" s="1"/>
  <c r="BP105" i="13" s="1"/>
  <c r="D70" i="50"/>
  <c r="D99" i="50"/>
  <c r="G99" i="50" s="1"/>
  <c r="BP99" i="13" s="1"/>
  <c r="D56" i="50"/>
  <c r="G56" i="50" s="1"/>
  <c r="BP56" i="13" s="1"/>
  <c r="D31" i="50"/>
  <c r="G31" i="50" s="1"/>
  <c r="BP31" i="13" s="1"/>
  <c r="E74" i="50"/>
  <c r="E40" i="50"/>
  <c r="G40" i="50" s="1"/>
  <c r="BP40" i="13" s="1"/>
  <c r="D72" i="50"/>
  <c r="D51" i="50"/>
  <c r="G51" i="50" s="1"/>
  <c r="BP51" i="13" s="1"/>
  <c r="D81" i="50"/>
  <c r="G81" i="50" s="1"/>
  <c r="BP81" i="13" s="1"/>
  <c r="D83" i="50"/>
  <c r="G83" i="50" s="1"/>
  <c r="BP83" i="13" s="1"/>
  <c r="E92" i="50"/>
  <c r="G92" i="50" s="1"/>
  <c r="BP92" i="13" s="1"/>
  <c r="D78" i="50"/>
  <c r="G78" i="50" s="1"/>
  <c r="BP78" i="13" s="1"/>
  <c r="D73" i="50"/>
  <c r="E73" i="50"/>
  <c r="D98" i="50"/>
  <c r="G98" i="50" s="1"/>
  <c r="BP98" i="13" s="1"/>
  <c r="D100" i="50"/>
  <c r="G100" i="50" s="1"/>
  <c r="BP100" i="13" s="1"/>
  <c r="E45" i="50"/>
  <c r="G45" i="50" s="1"/>
  <c r="BP45" i="13" s="1"/>
  <c r="E94" i="50"/>
  <c r="G94" i="50" s="1"/>
  <c r="BP94" i="13" s="1"/>
  <c r="E95" i="50"/>
  <c r="G95" i="50" s="1"/>
  <c r="BP95" i="13" s="1"/>
  <c r="D66" i="50"/>
  <c r="G66" i="50" s="1"/>
  <c r="BP66" i="13" s="1"/>
  <c r="D74" i="50"/>
  <c r="E38" i="50"/>
  <c r="G38" i="50" s="1"/>
  <c r="BP38" i="13" s="1"/>
  <c r="D79" i="50"/>
  <c r="G79" i="50" s="1"/>
  <c r="BP79" i="13" s="1"/>
  <c r="D68" i="50"/>
  <c r="G68" i="50" s="1"/>
  <c r="BP68" i="13" s="1"/>
  <c r="E61" i="50"/>
  <c r="G61" i="50" s="1"/>
  <c r="BP61" i="13" s="1"/>
  <c r="I96" i="49"/>
  <c r="K96" i="49" s="1"/>
  <c r="BO96" i="13" s="1"/>
  <c r="H31" i="50"/>
  <c r="K31" i="50" s="1"/>
  <c r="BQ31" i="13" s="1"/>
  <c r="I69" i="49"/>
  <c r="H54" i="50"/>
  <c r="K54" i="50" s="1"/>
  <c r="BQ54" i="13" s="1"/>
  <c r="I13" i="49"/>
  <c r="K13" i="49" s="1"/>
  <c r="BO13" i="13" s="1"/>
  <c r="I71" i="49"/>
  <c r="K51" i="59"/>
  <c r="BB51" i="13" s="1"/>
  <c r="I73" i="49"/>
  <c r="BD56" i="13"/>
  <c r="H101" i="50"/>
  <c r="K101" i="50" s="1"/>
  <c r="BQ101" i="13" s="1"/>
  <c r="H82" i="50"/>
  <c r="K82" i="50" s="1"/>
  <c r="BQ82" i="13" s="1"/>
  <c r="O51" i="59"/>
  <c r="BC51" i="13" s="1"/>
  <c r="D84" i="46"/>
  <c r="G84" i="46" s="1"/>
  <c r="BE84" i="13" s="1"/>
  <c r="H79" i="50"/>
  <c r="K79" i="50" s="1"/>
  <c r="BQ79" i="13" s="1"/>
  <c r="H72" i="50"/>
  <c r="L53" i="52"/>
  <c r="L84" i="52"/>
  <c r="O84" i="52" s="1"/>
  <c r="BV84" i="13" s="1"/>
  <c r="P102" i="52"/>
  <c r="S102" i="52" s="1"/>
  <c r="BW102" i="13" s="1"/>
  <c r="D54" i="52"/>
  <c r="G54" i="52" s="1"/>
  <c r="BT54" i="13" s="1"/>
  <c r="L55" i="52"/>
  <c r="O55" i="52" s="1"/>
  <c r="BV55" i="13" s="1"/>
  <c r="H74" i="50"/>
  <c r="D80" i="46"/>
  <c r="G80" i="46" s="1"/>
  <c r="BE80" i="13" s="1"/>
  <c r="I105" i="49"/>
  <c r="K105" i="49" s="1"/>
  <c r="BO105" i="13" s="1"/>
  <c r="D81" i="49"/>
  <c r="G81" i="49" s="1"/>
  <c r="BN81" i="13" s="1"/>
  <c r="BD51" i="13"/>
  <c r="H99" i="50"/>
  <c r="K99" i="50" s="1"/>
  <c r="BQ99" i="13" s="1"/>
  <c r="I92" i="49"/>
  <c r="K92" i="49" s="1"/>
  <c r="BO92" i="13" s="1"/>
  <c r="D73" i="49"/>
  <c r="D83" i="49"/>
  <c r="G83" i="49" s="1"/>
  <c r="BN83" i="13" s="1"/>
  <c r="D55" i="49"/>
  <c r="G55" i="49" s="1"/>
  <c r="BN55" i="13" s="1"/>
  <c r="H66" i="50"/>
  <c r="K66" i="50" s="1"/>
  <c r="BQ66" i="13" s="1"/>
  <c r="H73" i="50"/>
  <c r="K73" i="50" s="1"/>
  <c r="BQ73" i="13" s="1"/>
  <c r="D56" i="49"/>
  <c r="G56" i="49" s="1"/>
  <c r="BN56" i="13" s="1"/>
  <c r="H32" i="50"/>
  <c r="K32" i="50" s="1"/>
  <c r="BQ32" i="13" s="1"/>
  <c r="H67" i="50"/>
  <c r="K67" i="50" s="1"/>
  <c r="BQ67" i="13" s="1"/>
  <c r="H83" i="50"/>
  <c r="K83" i="50" s="1"/>
  <c r="BQ83" i="13" s="1"/>
  <c r="H33" i="50"/>
  <c r="K33" i="50" s="1"/>
  <c r="BQ33" i="13" s="1"/>
  <c r="D82" i="49"/>
  <c r="G82" i="49" s="1"/>
  <c r="BN82" i="13" s="1"/>
  <c r="D80" i="49"/>
  <c r="G80" i="49" s="1"/>
  <c r="BN80" i="13" s="1"/>
  <c r="D86" i="49"/>
  <c r="G86" i="49" s="1"/>
  <c r="BN86" i="13" s="1"/>
  <c r="D79" i="49"/>
  <c r="G79" i="49" s="1"/>
  <c r="BN79" i="13" s="1"/>
  <c r="H56" i="50"/>
  <c r="K56" i="50" s="1"/>
  <c r="BQ56" i="13" s="1"/>
  <c r="H78" i="50"/>
  <c r="K78" i="50" s="1"/>
  <c r="BQ78" i="13" s="1"/>
  <c r="D54" i="49"/>
  <c r="G54" i="49" s="1"/>
  <c r="BN54" i="13" s="1"/>
  <c r="D74" i="49"/>
  <c r="H70" i="50"/>
  <c r="H86" i="50"/>
  <c r="K86" i="50" s="1"/>
  <c r="BQ86" i="13" s="1"/>
  <c r="H68" i="50"/>
  <c r="K68" i="50" s="1"/>
  <c r="BQ68" i="13" s="1"/>
  <c r="H97" i="50"/>
  <c r="K97" i="50" s="1"/>
  <c r="BQ97" i="13" s="1"/>
  <c r="I45" i="49"/>
  <c r="K45" i="49" s="1"/>
  <c r="BO45" i="13" s="1"/>
  <c r="H71" i="50"/>
  <c r="I91" i="49"/>
  <c r="K91" i="49" s="1"/>
  <c r="BO91" i="13" s="1"/>
  <c r="D84" i="49"/>
  <c r="G84" i="49" s="1"/>
  <c r="BN84" i="13" s="1"/>
  <c r="H100" i="50"/>
  <c r="K100" i="50" s="1"/>
  <c r="BQ100" i="13" s="1"/>
  <c r="H84" i="50"/>
  <c r="K84" i="50" s="1"/>
  <c r="BQ84" i="13" s="1"/>
  <c r="I72" i="49"/>
  <c r="D48" i="49"/>
  <c r="G48" i="49" s="1"/>
  <c r="BN48" i="13" s="1"/>
  <c r="H85" i="50"/>
  <c r="K85" i="50" s="1"/>
  <c r="BQ85" i="13" s="1"/>
  <c r="D51" i="49"/>
  <c r="G51" i="49" s="1"/>
  <c r="BN51" i="13" s="1"/>
  <c r="E72" i="48"/>
  <c r="G72" i="48" s="1"/>
  <c r="BL72" i="13" s="1"/>
  <c r="E71" i="48"/>
  <c r="G71" i="48" s="1"/>
  <c r="BL71" i="13" s="1"/>
  <c r="E38" i="48"/>
  <c r="G38" i="48" s="1"/>
  <c r="BL38" i="13" s="1"/>
  <c r="I105" i="50"/>
  <c r="K105" i="50" s="1"/>
  <c r="BQ105" i="13" s="1"/>
  <c r="I104" i="50"/>
  <c r="K104" i="50" s="1"/>
  <c r="BQ104" i="13" s="1"/>
  <c r="I91" i="50"/>
  <c r="K91" i="50" s="1"/>
  <c r="BQ91" i="13" s="1"/>
  <c r="I95" i="50"/>
  <c r="K95" i="50" s="1"/>
  <c r="BQ95" i="13" s="1"/>
  <c r="I92" i="50"/>
  <c r="K92" i="50" s="1"/>
  <c r="BQ92" i="13" s="1"/>
  <c r="H51" i="50"/>
  <c r="K51" i="50" s="1"/>
  <c r="BQ51" i="13" s="1"/>
  <c r="I74" i="50"/>
  <c r="H48" i="50"/>
  <c r="K48" i="50" s="1"/>
  <c r="BQ48" i="13" s="1"/>
  <c r="I71" i="50"/>
  <c r="D54" i="48"/>
  <c r="G54" i="48" s="1"/>
  <c r="BL54" i="13" s="1"/>
  <c r="DM54" i="13" s="1"/>
  <c r="I40" i="50"/>
  <c r="K40" i="50" s="1"/>
  <c r="BQ40" i="13" s="1"/>
  <c r="H52" i="50"/>
  <c r="K52" i="50" s="1"/>
  <c r="BQ52" i="13" s="1"/>
  <c r="H49" i="50"/>
  <c r="K49" i="50" s="1"/>
  <c r="BQ49" i="13" s="1"/>
  <c r="I94" i="50"/>
  <c r="K94" i="50" s="1"/>
  <c r="BQ94" i="13" s="1"/>
  <c r="I96" i="50"/>
  <c r="K96" i="50" s="1"/>
  <c r="BQ96" i="13" s="1"/>
  <c r="I61" i="50"/>
  <c r="K61" i="50" s="1"/>
  <c r="BQ61" i="13" s="1"/>
  <c r="I24" i="50"/>
  <c r="K24" i="50" s="1"/>
  <c r="BQ24" i="13" s="1"/>
  <c r="I72" i="50"/>
  <c r="D80" i="48"/>
  <c r="G80" i="48" s="1"/>
  <c r="BL80" i="13" s="1"/>
  <c r="I60" i="50"/>
  <c r="K60" i="50" s="1"/>
  <c r="BQ60" i="13" s="1"/>
  <c r="D32" i="50"/>
  <c r="G32" i="50" s="1"/>
  <c r="BP32" i="13" s="1"/>
  <c r="D54" i="50"/>
  <c r="G54" i="50" s="1"/>
  <c r="BP54" i="13" s="1"/>
  <c r="D55" i="50"/>
  <c r="G55" i="50" s="1"/>
  <c r="BP55" i="13" s="1"/>
  <c r="D31" i="49"/>
  <c r="G31" i="49" s="1"/>
  <c r="BN31" i="13" s="1"/>
  <c r="D84" i="50"/>
  <c r="G84" i="50" s="1"/>
  <c r="BP84" i="13" s="1"/>
  <c r="D33" i="49"/>
  <c r="G33" i="49" s="1"/>
  <c r="BN33" i="13" s="1"/>
  <c r="D69" i="50"/>
  <c r="D33" i="50"/>
  <c r="G33" i="50" s="1"/>
  <c r="BP33" i="13" s="1"/>
  <c r="D48" i="50"/>
  <c r="G48" i="50" s="1"/>
  <c r="BP48" i="13" s="1"/>
  <c r="D71" i="50"/>
  <c r="D53" i="49"/>
  <c r="G53" i="49" s="1"/>
  <c r="BN53" i="13" s="1"/>
  <c r="D86" i="50"/>
  <c r="G86" i="50" s="1"/>
  <c r="BP86" i="13" s="1"/>
  <c r="D32" i="49"/>
  <c r="G32" i="49" s="1"/>
  <c r="BN32" i="13" s="1"/>
  <c r="I93" i="50"/>
  <c r="K93" i="50" s="1"/>
  <c r="BQ93" i="13" s="1"/>
  <c r="I69" i="50"/>
  <c r="D49" i="49"/>
  <c r="G49" i="49" s="1"/>
  <c r="BN49" i="13" s="1"/>
  <c r="I45" i="50"/>
  <c r="K45" i="50" s="1"/>
  <c r="BQ45" i="13" s="1"/>
  <c r="H53" i="50"/>
  <c r="K53" i="50" s="1"/>
  <c r="BQ53" i="13" s="1"/>
  <c r="I22" i="50"/>
  <c r="I12" i="50" s="1"/>
  <c r="K12" i="50" s="1"/>
  <c r="BQ12" i="13" s="1"/>
  <c r="R93" i="30"/>
  <c r="I46" i="50"/>
  <c r="K46" i="50" s="1"/>
  <c r="BQ46" i="13" s="1"/>
  <c r="I39" i="50"/>
  <c r="K39" i="50" s="1"/>
  <c r="BQ39" i="13" s="1"/>
  <c r="I47" i="50"/>
  <c r="K47" i="50" s="1"/>
  <c r="BQ47" i="13" s="1"/>
  <c r="R35" i="30"/>
  <c r="S35" i="30" s="1"/>
  <c r="AW35" i="13" s="1"/>
  <c r="R38" i="30"/>
  <c r="S38" i="30" s="1"/>
  <c r="AW38" i="13" s="1"/>
  <c r="H50" i="50"/>
  <c r="K50" i="50" s="1"/>
  <c r="BQ50" i="13" s="1"/>
  <c r="I62" i="50"/>
  <c r="K62" i="50" s="1"/>
  <c r="BQ62" i="13" s="1"/>
  <c r="H69" i="50"/>
  <c r="R70" i="30"/>
  <c r="D78" i="49"/>
  <c r="G78" i="49" s="1"/>
  <c r="BN78" i="13" s="1"/>
  <c r="R48" i="30"/>
  <c r="I23" i="50"/>
  <c r="K23" i="50" s="1"/>
  <c r="BQ23" i="13" s="1"/>
  <c r="D55" i="48"/>
  <c r="G55" i="48" s="1"/>
  <c r="BL55" i="13" s="1"/>
  <c r="D50" i="50"/>
  <c r="G50" i="50" s="1"/>
  <c r="BP50" i="13" s="1"/>
  <c r="D31" i="48"/>
  <c r="G31" i="48" s="1"/>
  <c r="BL31" i="13" s="1"/>
  <c r="D53" i="48"/>
  <c r="G53" i="48" s="1"/>
  <c r="BL53" i="13" s="1"/>
  <c r="D49" i="48"/>
  <c r="G49" i="48" s="1"/>
  <c r="BL49" i="13" s="1"/>
  <c r="H102" i="50"/>
  <c r="K102" i="50" s="1"/>
  <c r="BQ102" i="13" s="1"/>
  <c r="I70" i="50"/>
  <c r="E22" i="50"/>
  <c r="E12" i="50" s="1"/>
  <c r="G12" i="50" s="1"/>
  <c r="BP12" i="13" s="1"/>
  <c r="Q40" i="46"/>
  <c r="Q74" i="46"/>
  <c r="I103" i="50"/>
  <c r="K103" i="50" s="1"/>
  <c r="BQ103" i="13" s="1"/>
  <c r="E60" i="50"/>
  <c r="G60" i="50" s="1"/>
  <c r="BP60" i="13" s="1"/>
  <c r="E46" i="50"/>
  <c r="G46" i="50" s="1"/>
  <c r="BP46" i="13" s="1"/>
  <c r="E99" i="48"/>
  <c r="G99" i="48" s="1"/>
  <c r="BL99" i="13" s="1"/>
  <c r="I95" i="49"/>
  <c r="K95" i="49" s="1"/>
  <c r="BO95" i="13" s="1"/>
  <c r="E97" i="48"/>
  <c r="G97" i="48" s="1"/>
  <c r="BL97" i="13" s="1"/>
  <c r="D50" i="48"/>
  <c r="G50" i="48" s="1"/>
  <c r="BL50" i="13" s="1"/>
  <c r="Q72" i="46"/>
  <c r="I103" i="49"/>
  <c r="K103" i="49" s="1"/>
  <c r="BO103" i="13" s="1"/>
  <c r="DN103" i="13" s="1"/>
  <c r="E98" i="48"/>
  <c r="G98" i="48" s="1"/>
  <c r="BL98" i="13" s="1"/>
  <c r="H79" i="48"/>
  <c r="K79" i="48" s="1"/>
  <c r="BM79" i="13" s="1"/>
  <c r="E40" i="48"/>
  <c r="G40" i="48" s="1"/>
  <c r="BL40" i="13" s="1"/>
  <c r="D78" i="48"/>
  <c r="G78" i="48" s="1"/>
  <c r="BL78" i="13" s="1"/>
  <c r="H56" i="46"/>
  <c r="K56" i="46" s="1"/>
  <c r="BF56" i="13" s="1"/>
  <c r="I60" i="49"/>
  <c r="K60" i="49" s="1"/>
  <c r="BO60" i="13" s="1"/>
  <c r="I94" i="49"/>
  <c r="K94" i="49" s="1"/>
  <c r="BO94" i="13" s="1"/>
  <c r="H80" i="48"/>
  <c r="K80" i="48" s="1"/>
  <c r="BM80" i="13" s="1"/>
  <c r="I39" i="49"/>
  <c r="K39" i="49" s="1"/>
  <c r="BO39" i="13" s="1"/>
  <c r="I23" i="49"/>
  <c r="K23" i="49" s="1"/>
  <c r="BO23" i="13" s="1"/>
  <c r="D56" i="48"/>
  <c r="G56" i="48" s="1"/>
  <c r="BL56" i="13" s="1"/>
  <c r="H81" i="48"/>
  <c r="K81" i="48" s="1"/>
  <c r="BM81" i="13" s="1"/>
  <c r="I70" i="49"/>
  <c r="I47" i="49"/>
  <c r="K47" i="49" s="1"/>
  <c r="BO47" i="13" s="1"/>
  <c r="E91" i="48"/>
  <c r="G91" i="48" s="1"/>
  <c r="BL91" i="13" s="1"/>
  <c r="E61" i="48"/>
  <c r="G61" i="48" s="1"/>
  <c r="BL61" i="13" s="1"/>
  <c r="E93" i="48"/>
  <c r="G93" i="48" s="1"/>
  <c r="BL93" i="13" s="1"/>
  <c r="I40" i="49"/>
  <c r="K40" i="49" s="1"/>
  <c r="BO40" i="13" s="1"/>
  <c r="I61" i="49"/>
  <c r="K61" i="49" s="1"/>
  <c r="BO61" i="13" s="1"/>
  <c r="H82" i="48"/>
  <c r="K82" i="48" s="1"/>
  <c r="BM82" i="13" s="1"/>
  <c r="I94" i="46"/>
  <c r="K94" i="46" s="1"/>
  <c r="BF94" i="13" s="1"/>
  <c r="E102" i="48"/>
  <c r="G102" i="48" s="1"/>
  <c r="BL102" i="13" s="1"/>
  <c r="H55" i="48"/>
  <c r="K55" i="48" s="1"/>
  <c r="BM55" i="13" s="1"/>
  <c r="E73" i="48"/>
  <c r="G73" i="48" s="1"/>
  <c r="BL73" i="13" s="1"/>
  <c r="H79" i="46"/>
  <c r="K79" i="46" s="1"/>
  <c r="BF79" i="13" s="1"/>
  <c r="I62" i="49"/>
  <c r="K62" i="49" s="1"/>
  <c r="BO62" i="13" s="1"/>
  <c r="I93" i="49"/>
  <c r="K93" i="49" s="1"/>
  <c r="BO93" i="13" s="1"/>
  <c r="H83" i="48"/>
  <c r="K83" i="48" s="1"/>
  <c r="BM83" i="13" s="1"/>
  <c r="E69" i="48"/>
  <c r="G69" i="48" s="1"/>
  <c r="BL69" i="13" s="1"/>
  <c r="I74" i="49"/>
  <c r="K74" i="49" s="1"/>
  <c r="BO74" i="13" s="1"/>
  <c r="I104" i="49"/>
  <c r="K104" i="49" s="1"/>
  <c r="BO104" i="13" s="1"/>
  <c r="D82" i="48"/>
  <c r="G82" i="48" s="1"/>
  <c r="BL82" i="13" s="1"/>
  <c r="D33" i="48"/>
  <c r="G33" i="48" s="1"/>
  <c r="BL33" i="13" s="1"/>
  <c r="E62" i="48"/>
  <c r="G62" i="48" s="1"/>
  <c r="BL62" i="13" s="1"/>
  <c r="I12" i="49"/>
  <c r="K12" i="49" s="1"/>
  <c r="BO12" i="13" s="1"/>
  <c r="I14" i="49"/>
  <c r="K14" i="49" s="1"/>
  <c r="BO14" i="13" s="1"/>
  <c r="E74" i="48"/>
  <c r="G74" i="48" s="1"/>
  <c r="BL74" i="13" s="1"/>
  <c r="E100" i="48"/>
  <c r="G100" i="48" s="1"/>
  <c r="BL100" i="13" s="1"/>
  <c r="H86" i="48"/>
  <c r="K86" i="48" s="1"/>
  <c r="BM86" i="13" s="1"/>
  <c r="D85" i="48"/>
  <c r="G85" i="48" s="1"/>
  <c r="BL85" i="13" s="1"/>
  <c r="DM85" i="13" s="1"/>
  <c r="E22" i="48"/>
  <c r="E12" i="48" s="1"/>
  <c r="G12" i="48" s="1"/>
  <c r="BL12" i="13" s="1"/>
  <c r="I24" i="49"/>
  <c r="K24" i="49" s="1"/>
  <c r="BO24" i="13" s="1"/>
  <c r="I22" i="49"/>
  <c r="K22" i="49" s="1"/>
  <c r="BO22" i="13" s="1"/>
  <c r="M32" i="29"/>
  <c r="D81" i="48"/>
  <c r="G81" i="48" s="1"/>
  <c r="BL81" i="13" s="1"/>
  <c r="D79" i="48"/>
  <c r="G79" i="48" s="1"/>
  <c r="BL79" i="13" s="1"/>
  <c r="E103" i="48"/>
  <c r="G103" i="48" s="1"/>
  <c r="BL103" i="13" s="1"/>
  <c r="E23" i="48"/>
  <c r="G23" i="48" s="1"/>
  <c r="BL23" i="13" s="1"/>
  <c r="I38" i="49"/>
  <c r="K38" i="49" s="1"/>
  <c r="BO38" i="13" s="1"/>
  <c r="E104" i="48"/>
  <c r="G104" i="48" s="1"/>
  <c r="BL104" i="13" s="1"/>
  <c r="D69" i="49"/>
  <c r="D50" i="49"/>
  <c r="G50" i="49" s="1"/>
  <c r="BN50" i="13" s="1"/>
  <c r="D70" i="49"/>
  <c r="D52" i="49"/>
  <c r="G52" i="49" s="1"/>
  <c r="BN52" i="13" s="1"/>
  <c r="I38" i="50"/>
  <c r="K38" i="50" s="1"/>
  <c r="BQ38" i="13" s="1"/>
  <c r="H84" i="48"/>
  <c r="K84" i="48" s="1"/>
  <c r="BM84" i="13" s="1"/>
  <c r="H55" i="50"/>
  <c r="K55" i="50" s="1"/>
  <c r="BQ55" i="13" s="1"/>
  <c r="D51" i="48"/>
  <c r="G51" i="48" s="1"/>
  <c r="BL51" i="13" s="1"/>
  <c r="E105" i="48"/>
  <c r="G105" i="48" s="1"/>
  <c r="BL105" i="13" s="1"/>
  <c r="D52" i="48"/>
  <c r="G52" i="48" s="1"/>
  <c r="BL52" i="13" s="1"/>
  <c r="E24" i="48"/>
  <c r="E14" i="48" s="1"/>
  <c r="G14" i="48" s="1"/>
  <c r="BL14" i="13" s="1"/>
  <c r="DM14" i="13" s="1"/>
  <c r="E39" i="48"/>
  <c r="G39" i="48" s="1"/>
  <c r="BL39" i="13" s="1"/>
  <c r="E60" i="48"/>
  <c r="G60" i="48" s="1"/>
  <c r="BL60" i="13" s="1"/>
  <c r="E70" i="48"/>
  <c r="G70" i="48" s="1"/>
  <c r="BL70" i="13" s="1"/>
  <c r="E101" i="48"/>
  <c r="G101" i="48" s="1"/>
  <c r="BL101" i="13" s="1"/>
  <c r="N91" i="46"/>
  <c r="J13" i="38"/>
  <c r="F12" i="38"/>
  <c r="J40" i="46"/>
  <c r="F95" i="46"/>
  <c r="F73" i="46"/>
  <c r="E84" i="30"/>
  <c r="N91" i="38"/>
  <c r="F40" i="46"/>
  <c r="F24" i="46"/>
  <c r="F14" i="46" s="1"/>
  <c r="J82" i="38"/>
  <c r="H5" i="38"/>
  <c r="E46" i="30"/>
  <c r="D33" i="30"/>
  <c r="D14" i="30" s="1"/>
  <c r="Q92" i="30"/>
  <c r="F93" i="46"/>
  <c r="F80" i="38"/>
  <c r="F39" i="46"/>
  <c r="F99" i="38"/>
  <c r="P44" i="30"/>
  <c r="F32" i="38"/>
  <c r="P81" i="30"/>
  <c r="N26" i="38"/>
  <c r="P84" i="30"/>
  <c r="F22" i="46"/>
  <c r="F12" i="46" s="1"/>
  <c r="N39" i="46"/>
  <c r="R73" i="46"/>
  <c r="R71" i="46"/>
  <c r="N70" i="46"/>
  <c r="D20" i="30"/>
  <c r="D86" i="30"/>
  <c r="G86" i="30" s="1"/>
  <c r="AT86" i="13" s="1"/>
  <c r="L58" i="38"/>
  <c r="O58" i="38" s="1"/>
  <c r="AO58" i="13" s="1"/>
  <c r="R95" i="46"/>
  <c r="N96" i="46"/>
  <c r="D104" i="38"/>
  <c r="N71" i="46"/>
  <c r="N40" i="46"/>
  <c r="D43" i="30"/>
  <c r="M104" i="38"/>
  <c r="L95" i="38"/>
  <c r="R39" i="46"/>
  <c r="N74" i="46"/>
  <c r="E103" i="38"/>
  <c r="L93" i="38"/>
  <c r="R70" i="46"/>
  <c r="N94" i="46"/>
  <c r="H58" i="30"/>
  <c r="K58" i="30" s="1"/>
  <c r="AU58" i="13" s="1"/>
  <c r="R93" i="46"/>
  <c r="N93" i="46"/>
  <c r="R40" i="46"/>
  <c r="N92" i="46"/>
  <c r="R74" i="46"/>
  <c r="M61" i="38"/>
  <c r="E92" i="38"/>
  <c r="I38" i="38"/>
  <c r="R94" i="46"/>
  <c r="I40" i="38"/>
  <c r="I60" i="38"/>
  <c r="I29" i="38"/>
  <c r="K29" i="38" s="1"/>
  <c r="AN29" i="13" s="1"/>
  <c r="I61" i="38"/>
  <c r="H23" i="38"/>
  <c r="R91" i="46"/>
  <c r="N38" i="46"/>
  <c r="U45" i="18"/>
  <c r="W45" i="18" s="1"/>
  <c r="Z45" i="13" s="1"/>
  <c r="E39" i="38"/>
  <c r="H24" i="38"/>
  <c r="R72" i="46"/>
  <c r="N95" i="46"/>
  <c r="H13" i="38"/>
  <c r="R96" i="46"/>
  <c r="N72" i="46"/>
  <c r="L14" i="38"/>
  <c r="R38" i="46"/>
  <c r="N73" i="46"/>
  <c r="L25" i="38"/>
  <c r="BD33" i="13"/>
  <c r="O100" i="59"/>
  <c r="BC100" i="13" s="1"/>
  <c r="P82" i="30"/>
  <c r="P57" i="30"/>
  <c r="S57" i="30" s="1"/>
  <c r="AW57" i="13" s="1"/>
  <c r="BD31" i="13"/>
  <c r="G48" i="59"/>
  <c r="BA48" i="13" s="1"/>
  <c r="G99" i="59"/>
  <c r="BA99" i="13" s="1"/>
  <c r="P31" i="30"/>
  <c r="P12" i="30" s="1"/>
  <c r="P85" i="30"/>
  <c r="S85" i="30" s="1"/>
  <c r="AW85" i="13" s="1"/>
  <c r="T31" i="46"/>
  <c r="W31" i="46" s="1"/>
  <c r="BI31" i="13" s="1"/>
  <c r="D79" i="46"/>
  <c r="G79" i="46" s="1"/>
  <c r="BE79" i="13" s="1"/>
  <c r="K100" i="59"/>
  <c r="BB100" i="13" s="1"/>
  <c r="BD55" i="13"/>
  <c r="O49" i="59"/>
  <c r="BC49" i="13" s="1"/>
  <c r="P21" i="30"/>
  <c r="P78" i="30"/>
  <c r="S78" i="30" s="1"/>
  <c r="AW78" i="13" s="1"/>
  <c r="P31" i="46"/>
  <c r="S31" i="46" s="1"/>
  <c r="BH31" i="13" s="1"/>
  <c r="K98" i="59"/>
  <c r="BB98" i="13" s="1"/>
  <c r="BD53" i="13"/>
  <c r="D102" i="46"/>
  <c r="G102" i="46" s="1"/>
  <c r="BE102" i="13" s="1"/>
  <c r="P42" i="30"/>
  <c r="P80" i="30"/>
  <c r="S80" i="30" s="1"/>
  <c r="AW80" i="13" s="1"/>
  <c r="L32" i="46"/>
  <c r="O32" i="46" s="1"/>
  <c r="BG32" i="13" s="1"/>
  <c r="BD49" i="13"/>
  <c r="BD54" i="13"/>
  <c r="T33" i="46"/>
  <c r="W33" i="46" s="1"/>
  <c r="BI33" i="13" s="1"/>
  <c r="P19" i="30"/>
  <c r="D99" i="46"/>
  <c r="G99" i="46" s="1"/>
  <c r="BE99" i="13" s="1"/>
  <c r="BD52" i="13"/>
  <c r="H32" i="46"/>
  <c r="K32" i="46" s="1"/>
  <c r="BF32" i="13" s="1"/>
  <c r="P48" i="30"/>
  <c r="D101" i="46"/>
  <c r="G101" i="46" s="1"/>
  <c r="BE101" i="13" s="1"/>
  <c r="D78" i="46"/>
  <c r="G78" i="46" s="1"/>
  <c r="BE78" i="13" s="1"/>
  <c r="J92" i="46"/>
  <c r="G98" i="59"/>
  <c r="BA98" i="13" s="1"/>
  <c r="BD32" i="13"/>
  <c r="BD50" i="13"/>
  <c r="O54" i="59"/>
  <c r="BC54" i="13" s="1"/>
  <c r="P43" i="30"/>
  <c r="P70" i="30"/>
  <c r="L31" i="46"/>
  <c r="O31" i="46" s="1"/>
  <c r="BG31" i="13" s="1"/>
  <c r="D31" i="46"/>
  <c r="G31" i="46" s="1"/>
  <c r="BE31" i="13" s="1"/>
  <c r="D83" i="46"/>
  <c r="G83" i="46" s="1"/>
  <c r="BE83" i="13" s="1"/>
  <c r="O101" i="59"/>
  <c r="BC101" i="13" s="1"/>
  <c r="G53" i="59"/>
  <c r="BA53" i="13" s="1"/>
  <c r="BD48" i="13"/>
  <c r="O52" i="59"/>
  <c r="BC52" i="13" s="1"/>
  <c r="P53" i="30"/>
  <c r="P73" i="30"/>
  <c r="J69" i="46"/>
  <c r="J38" i="46"/>
  <c r="D82" i="46"/>
  <c r="G82" i="46" s="1"/>
  <c r="BE82" i="13" s="1"/>
  <c r="O99" i="59"/>
  <c r="BC99" i="13" s="1"/>
  <c r="P58" i="30"/>
  <c r="S58" i="30" s="1"/>
  <c r="AW58" i="13" s="1"/>
  <c r="P51" i="30"/>
  <c r="P50" i="30"/>
  <c r="P20" i="30"/>
  <c r="D100" i="46"/>
  <c r="G100" i="46" s="1"/>
  <c r="BE100" i="13" s="1"/>
  <c r="P32" i="46"/>
  <c r="S32" i="46" s="1"/>
  <c r="BH32" i="13" s="1"/>
  <c r="BD101" i="13"/>
  <c r="K99" i="59"/>
  <c r="BB99" i="13" s="1"/>
  <c r="P69" i="30"/>
  <c r="P83" i="30"/>
  <c r="P59" i="30"/>
  <c r="S59" i="30" s="1"/>
  <c r="AW59" i="13" s="1"/>
  <c r="D85" i="46"/>
  <c r="G85" i="46" s="1"/>
  <c r="BE85" i="13" s="1"/>
  <c r="K48" i="59"/>
  <c r="BB48" i="13" s="1"/>
  <c r="BD99" i="13"/>
  <c r="K97" i="59"/>
  <c r="BB97" i="13" s="1"/>
  <c r="BD102" i="13"/>
  <c r="P79" i="30"/>
  <c r="S79" i="30" s="1"/>
  <c r="AW79" i="13" s="1"/>
  <c r="P71" i="30"/>
  <c r="D86" i="46"/>
  <c r="G86" i="46" s="1"/>
  <c r="BE86" i="13" s="1"/>
  <c r="D54" i="46"/>
  <c r="G54" i="46" s="1"/>
  <c r="BE54" i="13" s="1"/>
  <c r="G54" i="59"/>
  <c r="BA54" i="13" s="1"/>
  <c r="BD97" i="13"/>
  <c r="BD100" i="13"/>
  <c r="G32" i="59"/>
  <c r="BA32" i="13" s="1"/>
  <c r="D97" i="46"/>
  <c r="G97" i="46" s="1"/>
  <c r="BE97" i="13" s="1"/>
  <c r="P33" i="30"/>
  <c r="P14" i="30" s="1"/>
  <c r="P74" i="30"/>
  <c r="J70" i="46"/>
  <c r="BD98" i="13"/>
  <c r="P86" i="30"/>
  <c r="P49" i="30"/>
  <c r="D55" i="46"/>
  <c r="G55" i="46" s="1"/>
  <c r="BE55" i="13" s="1"/>
  <c r="H31" i="46"/>
  <c r="K31" i="46" s="1"/>
  <c r="BF31" i="13" s="1"/>
  <c r="D85" i="49"/>
  <c r="G85" i="49" s="1"/>
  <c r="BN85" i="13" s="1"/>
  <c r="D72" i="49"/>
  <c r="D83" i="48"/>
  <c r="G83" i="48" s="1"/>
  <c r="BL83" i="13" s="1"/>
  <c r="P81" i="46"/>
  <c r="S81" i="46" s="1"/>
  <c r="BH81" i="13" s="1"/>
  <c r="P33" i="46"/>
  <c r="S33" i="46" s="1"/>
  <c r="BH33" i="13" s="1"/>
  <c r="D48" i="48"/>
  <c r="G48" i="48" s="1"/>
  <c r="BL48" i="13" s="1"/>
  <c r="D86" i="48"/>
  <c r="G86" i="48" s="1"/>
  <c r="BL86" i="13" s="1"/>
  <c r="D84" i="48"/>
  <c r="G84" i="48" s="1"/>
  <c r="BL84" i="13" s="1"/>
  <c r="T32" i="46"/>
  <c r="W32" i="46" s="1"/>
  <c r="BI32" i="13" s="1"/>
  <c r="H100" i="46"/>
  <c r="K100" i="46" s="1"/>
  <c r="BF100" i="13" s="1"/>
  <c r="I60" i="45"/>
  <c r="K60" i="45" s="1"/>
  <c r="AY60" i="13" s="1"/>
  <c r="H81" i="46"/>
  <c r="K81" i="46" s="1"/>
  <c r="BF81" i="13" s="1"/>
  <c r="H84" i="46"/>
  <c r="K84" i="46" s="1"/>
  <c r="BF84" i="13" s="1"/>
  <c r="L86" i="46"/>
  <c r="O86" i="46" s="1"/>
  <c r="BG86" i="13" s="1"/>
  <c r="H78" i="48"/>
  <c r="K78" i="48" s="1"/>
  <c r="BM78" i="13" s="1"/>
  <c r="L79" i="46"/>
  <c r="O79" i="46" s="1"/>
  <c r="BG79" i="13" s="1"/>
  <c r="L33" i="46"/>
  <c r="O33" i="46" s="1"/>
  <c r="BG33" i="13" s="1"/>
  <c r="D81" i="46"/>
  <c r="G81" i="46" s="1"/>
  <c r="BE81" i="13" s="1"/>
  <c r="D32" i="48"/>
  <c r="G32" i="48" s="1"/>
  <c r="BL32" i="13" s="1"/>
  <c r="L101" i="46"/>
  <c r="O101" i="46" s="1"/>
  <c r="BG101" i="13" s="1"/>
  <c r="L81" i="46"/>
  <c r="O81" i="46" s="1"/>
  <c r="BG81" i="13" s="1"/>
  <c r="P98" i="46"/>
  <c r="S98" i="46" s="1"/>
  <c r="BH98" i="13" s="1"/>
  <c r="I92" i="45"/>
  <c r="K92" i="45" s="1"/>
  <c r="AY92" i="13" s="1"/>
  <c r="H79" i="45"/>
  <c r="K79" i="45" s="1"/>
  <c r="AY79" i="13" s="1"/>
  <c r="L54" i="46"/>
  <c r="O54" i="46" s="1"/>
  <c r="BG54" i="13" s="1"/>
  <c r="R92" i="46"/>
  <c r="L78" i="46"/>
  <c r="O78" i="46" s="1"/>
  <c r="BG78" i="13" s="1"/>
  <c r="P54" i="46"/>
  <c r="S54" i="46" s="1"/>
  <c r="BH54" i="13" s="1"/>
  <c r="I102" i="45"/>
  <c r="P79" i="46"/>
  <c r="S79" i="46" s="1"/>
  <c r="BH79" i="13" s="1"/>
  <c r="L97" i="46"/>
  <c r="O97" i="46" s="1"/>
  <c r="BG97" i="13" s="1"/>
  <c r="H83" i="46"/>
  <c r="K83" i="46" s="1"/>
  <c r="BF83" i="13" s="1"/>
  <c r="F25" i="45"/>
  <c r="G25" i="45" s="1"/>
  <c r="AX25" i="13" s="1"/>
  <c r="H101" i="46"/>
  <c r="K101" i="46" s="1"/>
  <c r="BF101" i="13" s="1"/>
  <c r="H78" i="46"/>
  <c r="K78" i="46" s="1"/>
  <c r="BF78" i="13" s="1"/>
  <c r="L82" i="46"/>
  <c r="O82" i="46" s="1"/>
  <c r="BG82" i="13" s="1"/>
  <c r="H102" i="46"/>
  <c r="K102" i="46" s="1"/>
  <c r="BF102" i="13" s="1"/>
  <c r="P86" i="46"/>
  <c r="S86" i="46" s="1"/>
  <c r="BH86" i="13" s="1"/>
  <c r="P97" i="46"/>
  <c r="S97" i="46" s="1"/>
  <c r="BH97" i="13" s="1"/>
  <c r="H98" i="46"/>
  <c r="K98" i="46" s="1"/>
  <c r="BF98" i="13" s="1"/>
  <c r="L98" i="46"/>
  <c r="O98" i="46" s="1"/>
  <c r="BG98" i="13" s="1"/>
  <c r="L80" i="46"/>
  <c r="O80" i="46" s="1"/>
  <c r="BG80" i="13" s="1"/>
  <c r="H80" i="46"/>
  <c r="K80" i="46" s="1"/>
  <c r="BF80" i="13" s="1"/>
  <c r="H55" i="46"/>
  <c r="K55" i="46" s="1"/>
  <c r="BF55" i="13" s="1"/>
  <c r="L56" i="46"/>
  <c r="O56" i="46" s="1"/>
  <c r="BG56" i="13" s="1"/>
  <c r="P56" i="46"/>
  <c r="S56" i="46" s="1"/>
  <c r="BH56" i="13" s="1"/>
  <c r="L84" i="46"/>
  <c r="O84" i="46" s="1"/>
  <c r="BG84" i="13" s="1"/>
  <c r="P84" i="46"/>
  <c r="S84" i="46" s="1"/>
  <c r="BH84" i="13" s="1"/>
  <c r="L102" i="46"/>
  <c r="O102" i="46" s="1"/>
  <c r="BG102" i="13" s="1"/>
  <c r="P102" i="46"/>
  <c r="S102" i="46" s="1"/>
  <c r="BH102" i="13" s="1"/>
  <c r="J105" i="45"/>
  <c r="I104" i="45"/>
  <c r="L55" i="46"/>
  <c r="O55" i="46" s="1"/>
  <c r="BG55" i="13" s="1"/>
  <c r="P55" i="46"/>
  <c r="S55" i="46" s="1"/>
  <c r="BH55" i="13" s="1"/>
  <c r="F103" i="45"/>
  <c r="H99" i="46"/>
  <c r="K99" i="46" s="1"/>
  <c r="BF99" i="13" s="1"/>
  <c r="H82" i="45"/>
  <c r="K82" i="45" s="1"/>
  <c r="AY82" i="13" s="1"/>
  <c r="H97" i="46"/>
  <c r="K97" i="46" s="1"/>
  <c r="BF97" i="13" s="1"/>
  <c r="P82" i="46"/>
  <c r="S82" i="46" s="1"/>
  <c r="BH82" i="13" s="1"/>
  <c r="H86" i="46"/>
  <c r="K86" i="46" s="1"/>
  <c r="BF86" i="13" s="1"/>
  <c r="L83" i="46"/>
  <c r="O83" i="46" s="1"/>
  <c r="BG83" i="13" s="1"/>
  <c r="P80" i="46"/>
  <c r="S80" i="46" s="1"/>
  <c r="BH80" i="13" s="1"/>
  <c r="P83" i="46"/>
  <c r="S83" i="46" s="1"/>
  <c r="BH83" i="13" s="1"/>
  <c r="J104" i="45"/>
  <c r="L85" i="46"/>
  <c r="O85" i="46" s="1"/>
  <c r="BG85" i="13" s="1"/>
  <c r="P85" i="46"/>
  <c r="S85" i="46" s="1"/>
  <c r="BH85" i="13" s="1"/>
  <c r="I101" i="45"/>
  <c r="H84" i="45"/>
  <c r="K84" i="45" s="1"/>
  <c r="AY84" i="13" s="1"/>
  <c r="F100" i="45"/>
  <c r="P99" i="46"/>
  <c r="S99" i="46" s="1"/>
  <c r="BH99" i="13" s="1"/>
  <c r="H54" i="46"/>
  <c r="K54" i="46" s="1"/>
  <c r="BF54" i="13" s="1"/>
  <c r="L100" i="46"/>
  <c r="O100" i="46" s="1"/>
  <c r="BG100" i="13" s="1"/>
  <c r="P100" i="46"/>
  <c r="S100" i="46" s="1"/>
  <c r="BH100" i="13" s="1"/>
  <c r="I40" i="45"/>
  <c r="K40" i="45" s="1"/>
  <c r="AY40" i="13" s="1"/>
  <c r="P78" i="46"/>
  <c r="S78" i="46" s="1"/>
  <c r="BH78" i="13" s="1"/>
  <c r="I62" i="46"/>
  <c r="K62" i="46" s="1"/>
  <c r="BF62" i="13" s="1"/>
  <c r="M101" i="45"/>
  <c r="D56" i="46"/>
  <c r="G56" i="46" s="1"/>
  <c r="BE56" i="13" s="1"/>
  <c r="H33" i="46"/>
  <c r="K33" i="46" s="1"/>
  <c r="BF33" i="13" s="1"/>
  <c r="I96" i="46"/>
  <c r="I38" i="46"/>
  <c r="I70" i="46"/>
  <c r="I105" i="46"/>
  <c r="K105" i="46" s="1"/>
  <c r="BF105" i="13" s="1"/>
  <c r="I39" i="46"/>
  <c r="I69" i="46"/>
  <c r="I61" i="46"/>
  <c r="K61" i="46" s="1"/>
  <c r="BF61" i="13" s="1"/>
  <c r="I74" i="46"/>
  <c r="I95" i="46"/>
  <c r="M95" i="46"/>
  <c r="I40" i="46"/>
  <c r="I60" i="46"/>
  <c r="K60" i="46" s="1"/>
  <c r="BF60" i="13" s="1"/>
  <c r="M70" i="46"/>
  <c r="M105" i="46"/>
  <c r="O105" i="46" s="1"/>
  <c r="BG105" i="13" s="1"/>
  <c r="M93" i="46"/>
  <c r="I104" i="46"/>
  <c r="K104" i="46" s="1"/>
  <c r="BF104" i="13" s="1"/>
  <c r="M92" i="46"/>
  <c r="I71" i="46"/>
  <c r="M60" i="46"/>
  <c r="O60" i="46" s="1"/>
  <c r="BG60" i="13" s="1"/>
  <c r="I72" i="46"/>
  <c r="L101" i="45"/>
  <c r="D52" i="30"/>
  <c r="M38" i="46"/>
  <c r="M61" i="46"/>
  <c r="O61" i="46" s="1"/>
  <c r="BG61" i="13" s="1"/>
  <c r="P32" i="30"/>
  <c r="P13" i="30" s="1"/>
  <c r="E45" i="30"/>
  <c r="F69" i="46"/>
  <c r="F23" i="46"/>
  <c r="F13" i="46" s="1"/>
  <c r="F94" i="46"/>
  <c r="J93" i="46"/>
  <c r="J39" i="46"/>
  <c r="F70" i="46"/>
  <c r="J74" i="46"/>
  <c r="J71" i="46"/>
  <c r="J91" i="46"/>
  <c r="J95" i="46"/>
  <c r="J72" i="46"/>
  <c r="J96" i="46"/>
  <c r="F92" i="46"/>
  <c r="E85" i="30"/>
  <c r="D32" i="46"/>
  <c r="G32" i="46" s="1"/>
  <c r="BE32" i="13" s="1"/>
  <c r="J73" i="46"/>
  <c r="F91" i="46"/>
  <c r="E40" i="46"/>
  <c r="E104" i="46"/>
  <c r="G104" i="46" s="1"/>
  <c r="BE104" i="13" s="1"/>
  <c r="E73" i="46"/>
  <c r="I24" i="46"/>
  <c r="K24" i="46" s="1"/>
  <c r="BF24" i="13" s="1"/>
  <c r="I23" i="46"/>
  <c r="K23" i="46" s="1"/>
  <c r="BF23" i="13" s="1"/>
  <c r="U24" i="46"/>
  <c r="U14" i="46" s="1"/>
  <c r="W14" i="46" s="1"/>
  <c r="BI14" i="13" s="1"/>
  <c r="E39" i="46"/>
  <c r="I22" i="46"/>
  <c r="I12" i="46" s="1"/>
  <c r="K12" i="46" s="1"/>
  <c r="BF12" i="13" s="1"/>
  <c r="E72" i="46"/>
  <c r="E24" i="46"/>
  <c r="E14" i="46" s="1"/>
  <c r="E96" i="46"/>
  <c r="E95" i="46"/>
  <c r="U22" i="46"/>
  <c r="U12" i="46" s="1"/>
  <c r="W12" i="46" s="1"/>
  <c r="BI12" i="13" s="1"/>
  <c r="E92" i="46"/>
  <c r="E62" i="46"/>
  <c r="G62" i="46" s="1"/>
  <c r="BE62" i="13" s="1"/>
  <c r="L82" i="45"/>
  <c r="O82" i="45" s="1"/>
  <c r="AZ82" i="13" s="1"/>
  <c r="I10" i="29"/>
  <c r="K10" i="29" s="1"/>
  <c r="AQ10" i="13" s="1"/>
  <c r="L80" i="45"/>
  <c r="O80" i="45" s="1"/>
  <c r="AZ80" i="13" s="1"/>
  <c r="E91" i="46"/>
  <c r="Q23" i="46"/>
  <c r="S23" i="46" s="1"/>
  <c r="BH23" i="13" s="1"/>
  <c r="E103" i="46"/>
  <c r="G103" i="46" s="1"/>
  <c r="BE103" i="13" s="1"/>
  <c r="M96" i="45"/>
  <c r="O96" i="45" s="1"/>
  <c r="AZ96" i="13" s="1"/>
  <c r="E28" i="46"/>
  <c r="G28" i="46" s="1"/>
  <c r="BE28" i="13" s="1"/>
  <c r="DK28" i="13" s="1"/>
  <c r="E93" i="46"/>
  <c r="E71" i="46"/>
  <c r="G71" i="46" s="1"/>
  <c r="BE71" i="13" s="1"/>
  <c r="E22" i="46"/>
  <c r="Q22" i="46"/>
  <c r="Q12" i="46" s="1"/>
  <c r="S12" i="46" s="1"/>
  <c r="BH12" i="13" s="1"/>
  <c r="E29" i="46"/>
  <c r="G29" i="46" s="1"/>
  <c r="BE29" i="13" s="1"/>
  <c r="DK29" i="13" s="1"/>
  <c r="DQ14" i="12" s="1"/>
  <c r="E38" i="46"/>
  <c r="U23" i="46"/>
  <c r="W23" i="46" s="1"/>
  <c r="BI23" i="13" s="1"/>
  <c r="E61" i="46"/>
  <c r="G61" i="46" s="1"/>
  <c r="BE61" i="13" s="1"/>
  <c r="E69" i="46"/>
  <c r="E94" i="46"/>
  <c r="M22" i="46"/>
  <c r="M12" i="46" s="1"/>
  <c r="O12" i="46" s="1"/>
  <c r="BG12" i="13" s="1"/>
  <c r="Q24" i="46"/>
  <c r="S24" i="46" s="1"/>
  <c r="BH24" i="13" s="1"/>
  <c r="E70" i="46"/>
  <c r="N40" i="30"/>
  <c r="O40" i="30" s="1"/>
  <c r="AV40" i="13" s="1"/>
  <c r="S69" i="46"/>
  <c r="BH69" i="13" s="1"/>
  <c r="F53" i="80"/>
  <c r="F51" i="80"/>
  <c r="O69" i="46"/>
  <c r="BG69" i="13" s="1"/>
  <c r="J31" i="80"/>
  <c r="N74" i="30"/>
  <c r="D19" i="30"/>
  <c r="N69" i="30"/>
  <c r="D33" i="46"/>
  <c r="G33" i="46" s="1"/>
  <c r="BE33" i="13" s="1"/>
  <c r="Q104" i="46"/>
  <c r="S104" i="46" s="1"/>
  <c r="BH104" i="13" s="1"/>
  <c r="M74" i="46"/>
  <c r="F52" i="80"/>
  <c r="J12" i="80"/>
  <c r="J94" i="80"/>
  <c r="N61" i="30"/>
  <c r="O61" i="30" s="1"/>
  <c r="AV61" i="13" s="1"/>
  <c r="N53" i="30"/>
  <c r="N51" i="30"/>
  <c r="N82" i="30"/>
  <c r="J14" i="80"/>
  <c r="N7" i="30"/>
  <c r="O7" i="30" s="1"/>
  <c r="AV7" i="13" s="1"/>
  <c r="F39" i="80"/>
  <c r="Q38" i="46"/>
  <c r="M62" i="46"/>
  <c r="O62" i="46" s="1"/>
  <c r="BG62" i="13" s="1"/>
  <c r="J82" i="80"/>
  <c r="J22" i="80"/>
  <c r="F32" i="80"/>
  <c r="J96" i="80"/>
  <c r="N92" i="30"/>
  <c r="O92" i="30" s="1"/>
  <c r="AV92" i="13" s="1"/>
  <c r="N47" i="30"/>
  <c r="N62" i="30"/>
  <c r="O62" i="30" s="1"/>
  <c r="AV62" i="13" s="1"/>
  <c r="Q93" i="46"/>
  <c r="J92" i="18"/>
  <c r="N35" i="30"/>
  <c r="O35" i="30" s="1"/>
  <c r="AV35" i="13" s="1"/>
  <c r="N13" i="30"/>
  <c r="E62" i="20"/>
  <c r="G62" i="20" s="1"/>
  <c r="AF62" i="13" s="1"/>
  <c r="Q62" i="46"/>
  <c r="S62" i="46" s="1"/>
  <c r="BH62" i="13" s="1"/>
  <c r="J91" i="18"/>
  <c r="M104" i="46"/>
  <c r="O104" i="46" s="1"/>
  <c r="BG104" i="13" s="1"/>
  <c r="M91" i="46"/>
  <c r="F33" i="80"/>
  <c r="J83" i="80"/>
  <c r="F48" i="80"/>
  <c r="N71" i="30"/>
  <c r="N50" i="30"/>
  <c r="N24" i="30"/>
  <c r="O24" i="30" s="1"/>
  <c r="AV24" i="13" s="1"/>
  <c r="E104" i="20"/>
  <c r="G104" i="20" s="1"/>
  <c r="AF104" i="13" s="1"/>
  <c r="DC104" i="13" s="1"/>
  <c r="J39" i="80"/>
  <c r="E61" i="20"/>
  <c r="G61" i="20" s="1"/>
  <c r="AF61" i="13" s="1"/>
  <c r="J40" i="80"/>
  <c r="N60" i="30"/>
  <c r="O60" i="30" s="1"/>
  <c r="AV60" i="13" s="1"/>
  <c r="J47" i="80"/>
  <c r="J48" i="80"/>
  <c r="J50" i="80"/>
  <c r="N33" i="30"/>
  <c r="Q92" i="46"/>
  <c r="Q60" i="46"/>
  <c r="S60" i="46" s="1"/>
  <c r="BH60" i="13" s="1"/>
  <c r="M72" i="46"/>
  <c r="J62" i="80"/>
  <c r="J25" i="80"/>
  <c r="F20" i="80"/>
  <c r="F83" i="80"/>
  <c r="N43" i="30"/>
  <c r="N14" i="30"/>
  <c r="N36" i="30"/>
  <c r="O36" i="30" s="1"/>
  <c r="AV36" i="13" s="1"/>
  <c r="E60" i="20"/>
  <c r="G60" i="20" s="1"/>
  <c r="AF60" i="13" s="1"/>
  <c r="F27" i="80"/>
  <c r="N48" i="30"/>
  <c r="E103" i="20"/>
  <c r="G103" i="20" s="1"/>
  <c r="AF103" i="13" s="1"/>
  <c r="N45" i="30"/>
  <c r="Q105" i="46"/>
  <c r="S105" i="46" s="1"/>
  <c r="BH105" i="13" s="1"/>
  <c r="M96" i="46"/>
  <c r="F46" i="80"/>
  <c r="N39" i="30"/>
  <c r="O39" i="30" s="1"/>
  <c r="AV39" i="13" s="1"/>
  <c r="N70" i="30"/>
  <c r="N22" i="30"/>
  <c r="O22" i="30" s="1"/>
  <c r="AV22" i="13" s="1"/>
  <c r="N32" i="30"/>
  <c r="F78" i="80"/>
  <c r="N103" i="30"/>
  <c r="O103" i="30" s="1"/>
  <c r="AV103" i="13" s="1"/>
  <c r="N8" i="30"/>
  <c r="O8" i="30" s="1"/>
  <c r="AV8" i="13" s="1"/>
  <c r="Q103" i="46"/>
  <c r="S103" i="46" s="1"/>
  <c r="BH103" i="13" s="1"/>
  <c r="M103" i="46"/>
  <c r="O103" i="46" s="1"/>
  <c r="BG103" i="13" s="1"/>
  <c r="F81" i="80"/>
  <c r="N21" i="30"/>
  <c r="O21" i="30" s="1"/>
  <c r="AV21" i="13" s="1"/>
  <c r="N83" i="30"/>
  <c r="N34" i="30"/>
  <c r="O34" i="30" s="1"/>
  <c r="AV34" i="13" s="1"/>
  <c r="Q61" i="46"/>
  <c r="S61" i="46" s="1"/>
  <c r="BH61" i="13" s="1"/>
  <c r="J38" i="80"/>
  <c r="N23" i="30"/>
  <c r="O23" i="30" s="1"/>
  <c r="AV23" i="13" s="1"/>
  <c r="Q91" i="46"/>
  <c r="J26" i="80"/>
  <c r="N10" i="30"/>
  <c r="O10" i="30" s="1"/>
  <c r="AV10" i="13" s="1"/>
  <c r="N49" i="30"/>
  <c r="Q96" i="46"/>
  <c r="M39" i="46"/>
  <c r="F99" i="80"/>
  <c r="N38" i="30"/>
  <c r="O38" i="30" s="1"/>
  <c r="AV38" i="13" s="1"/>
  <c r="N93" i="30"/>
  <c r="N42" i="30"/>
  <c r="Q73" i="46"/>
  <c r="Q71" i="46"/>
  <c r="M73" i="46"/>
  <c r="J51" i="80"/>
  <c r="N46" i="30"/>
  <c r="N105" i="30"/>
  <c r="O105" i="30" s="1"/>
  <c r="AV105" i="13" s="1"/>
  <c r="N52" i="30"/>
  <c r="N44" i="30"/>
  <c r="Q95" i="46"/>
  <c r="M71" i="46"/>
  <c r="J99" i="80"/>
  <c r="J61" i="80"/>
  <c r="F61" i="80"/>
  <c r="N81" i="30"/>
  <c r="N5" i="30"/>
  <c r="O5" i="30" s="1"/>
  <c r="AV5" i="13" s="1"/>
  <c r="N91" i="30"/>
  <c r="Q70" i="46"/>
  <c r="M94" i="46"/>
  <c r="F92" i="80"/>
  <c r="F38" i="80"/>
  <c r="J78" i="80"/>
  <c r="N6" i="30"/>
  <c r="O6" i="30" s="1"/>
  <c r="AV6" i="13" s="1"/>
  <c r="N73" i="30"/>
  <c r="N19" i="30"/>
  <c r="J40" i="18"/>
  <c r="Q94" i="46"/>
  <c r="M40" i="46"/>
  <c r="J81" i="80"/>
  <c r="F22" i="80"/>
  <c r="J92" i="80"/>
  <c r="N72" i="30"/>
  <c r="N9" i="30"/>
  <c r="O9" i="30" s="1"/>
  <c r="AV9" i="13" s="1"/>
  <c r="N104" i="30"/>
  <c r="O104" i="30" s="1"/>
  <c r="AV104" i="13" s="1"/>
  <c r="N31" i="30"/>
  <c r="N20" i="30"/>
  <c r="Q39" i="46"/>
  <c r="E60" i="46"/>
  <c r="G60" i="46" s="1"/>
  <c r="BE60" i="13" s="1"/>
  <c r="E105" i="46"/>
  <c r="G105" i="46" s="1"/>
  <c r="BE105" i="13" s="1"/>
  <c r="I93" i="46"/>
  <c r="E74" i="46"/>
  <c r="E23" i="46"/>
  <c r="E13" i="46" s="1"/>
  <c r="M23" i="46"/>
  <c r="O23" i="46" s="1"/>
  <c r="BG23" i="13" s="1"/>
  <c r="I91" i="46"/>
  <c r="M24" i="46"/>
  <c r="M14" i="46" s="1"/>
  <c r="O14" i="46" s="1"/>
  <c r="BG14" i="13" s="1"/>
  <c r="I23" i="45"/>
  <c r="I13" i="45" s="1"/>
  <c r="I62" i="45"/>
  <c r="K62" i="45" s="1"/>
  <c r="AY62" i="13" s="1"/>
  <c r="I73" i="46"/>
  <c r="I92" i="46"/>
  <c r="H82" i="46"/>
  <c r="K82" i="46" s="1"/>
  <c r="BF82" i="13" s="1"/>
  <c r="J24" i="45"/>
  <c r="J14" i="45" s="1"/>
  <c r="H74" i="30"/>
  <c r="J23" i="45"/>
  <c r="J13" i="45" s="1"/>
  <c r="J27" i="45"/>
  <c r="K27" i="45" s="1"/>
  <c r="AY27" i="13" s="1"/>
  <c r="J6" i="30"/>
  <c r="K6" i="30" s="1"/>
  <c r="AU6" i="13" s="1"/>
  <c r="H101" i="29"/>
  <c r="K101" i="29" s="1"/>
  <c r="AQ101" i="13" s="1"/>
  <c r="J44" i="30"/>
  <c r="J70" i="30"/>
  <c r="F31" i="45"/>
  <c r="M38" i="45"/>
  <c r="O38" i="45" s="1"/>
  <c r="AZ38" i="13" s="1"/>
  <c r="L31" i="45"/>
  <c r="I38" i="45"/>
  <c r="K38" i="45" s="1"/>
  <c r="AY38" i="13" s="1"/>
  <c r="N103" i="45"/>
  <c r="M60" i="45"/>
  <c r="O60" i="45" s="1"/>
  <c r="AZ60" i="13" s="1"/>
  <c r="M12" i="29"/>
  <c r="O12" i="29" s="1"/>
  <c r="AR12" i="13" s="1"/>
  <c r="I45" i="21"/>
  <c r="J25" i="45"/>
  <c r="K25" i="45" s="1"/>
  <c r="AY25" i="13" s="1"/>
  <c r="L99" i="45"/>
  <c r="O99" i="45" s="1"/>
  <c r="AZ99" i="13" s="1"/>
  <c r="I94" i="45"/>
  <c r="K94" i="45" s="1"/>
  <c r="AY94" i="13" s="1"/>
  <c r="H78" i="45"/>
  <c r="K78" i="45" s="1"/>
  <c r="AY78" i="13" s="1"/>
  <c r="N102" i="45"/>
  <c r="M61" i="45"/>
  <c r="O61" i="45" s="1"/>
  <c r="AZ61" i="13" s="1"/>
  <c r="M100" i="45"/>
  <c r="J71" i="21"/>
  <c r="I100" i="45"/>
  <c r="H85" i="45"/>
  <c r="K85" i="45" s="1"/>
  <c r="AY85" i="13" s="1"/>
  <c r="N104" i="45"/>
  <c r="L86" i="45"/>
  <c r="O86" i="45" s="1"/>
  <c r="AZ86" i="13" s="1"/>
  <c r="I93" i="45"/>
  <c r="K93" i="45" s="1"/>
  <c r="AY93" i="13" s="1"/>
  <c r="I24" i="45"/>
  <c r="I14" i="45" s="1"/>
  <c r="H86" i="45"/>
  <c r="K86" i="45" s="1"/>
  <c r="AY86" i="13" s="1"/>
  <c r="F33" i="45"/>
  <c r="M105" i="45"/>
  <c r="L81" i="45"/>
  <c r="O81" i="45" s="1"/>
  <c r="AZ81" i="13" s="1"/>
  <c r="N100" i="45"/>
  <c r="J51" i="21"/>
  <c r="I91" i="45"/>
  <c r="K91" i="45" s="1"/>
  <c r="AY91" i="13" s="1"/>
  <c r="H80" i="45"/>
  <c r="K80" i="45" s="1"/>
  <c r="AY80" i="13" s="1"/>
  <c r="M22" i="45"/>
  <c r="D83" i="45"/>
  <c r="G83" i="45" s="1"/>
  <c r="AX83" i="13" s="1"/>
  <c r="H81" i="45"/>
  <c r="K81" i="45" s="1"/>
  <c r="AY81" i="13" s="1"/>
  <c r="J100" i="45"/>
  <c r="F24" i="45"/>
  <c r="F14" i="45" s="1"/>
  <c r="L85" i="45"/>
  <c r="O85" i="45" s="1"/>
  <c r="AZ85" i="13" s="1"/>
  <c r="M102" i="45"/>
  <c r="I95" i="45"/>
  <c r="K95" i="45" s="1"/>
  <c r="AY95" i="13" s="1"/>
  <c r="I22" i="45"/>
  <c r="K22" i="45" s="1"/>
  <c r="AY22" i="13" s="1"/>
  <c r="L78" i="45"/>
  <c r="O78" i="45" s="1"/>
  <c r="AZ78" i="13" s="1"/>
  <c r="L98" i="45"/>
  <c r="O98" i="45" s="1"/>
  <c r="AZ98" i="13" s="1"/>
  <c r="D97" i="45"/>
  <c r="G97" i="45" s="1"/>
  <c r="AX97" i="13" s="1"/>
  <c r="N105" i="45"/>
  <c r="M92" i="45"/>
  <c r="O92" i="45" s="1"/>
  <c r="AZ92" i="13" s="1"/>
  <c r="M24" i="45"/>
  <c r="M14" i="45" s="1"/>
  <c r="M95" i="45"/>
  <c r="O95" i="45" s="1"/>
  <c r="AZ95" i="13" s="1"/>
  <c r="F105" i="45"/>
  <c r="F101" i="45"/>
  <c r="L79" i="45"/>
  <c r="O79" i="45" s="1"/>
  <c r="AZ79" i="13" s="1"/>
  <c r="L84" i="45"/>
  <c r="O84" i="45" s="1"/>
  <c r="AZ84" i="13" s="1"/>
  <c r="E94" i="29"/>
  <c r="G94" i="29" s="1"/>
  <c r="AP94" i="13" s="1"/>
  <c r="F23" i="45"/>
  <c r="F13" i="45" s="1"/>
  <c r="L32" i="45"/>
  <c r="M62" i="45"/>
  <c r="O62" i="45" s="1"/>
  <c r="AZ62" i="13" s="1"/>
  <c r="F102" i="45"/>
  <c r="J102" i="45"/>
  <c r="M93" i="45"/>
  <c r="O93" i="45" s="1"/>
  <c r="AZ93" i="13" s="1"/>
  <c r="M104" i="45"/>
  <c r="E103" i="29"/>
  <c r="G103" i="29" s="1"/>
  <c r="AP103" i="13" s="1"/>
  <c r="F27" i="45"/>
  <c r="G27" i="45" s="1"/>
  <c r="AX27" i="13" s="1"/>
  <c r="H83" i="45"/>
  <c r="K83" i="45" s="1"/>
  <c r="AY83" i="13" s="1"/>
  <c r="J101" i="45"/>
  <c r="F32" i="45"/>
  <c r="F104" i="45"/>
  <c r="M94" i="45"/>
  <c r="O94" i="45" s="1"/>
  <c r="AZ94" i="13" s="1"/>
  <c r="L83" i="45"/>
  <c r="O83" i="45" s="1"/>
  <c r="AZ83" i="13" s="1"/>
  <c r="E40" i="29"/>
  <c r="G40" i="29" s="1"/>
  <c r="AP40" i="13" s="1"/>
  <c r="F26" i="45"/>
  <c r="G26" i="45" s="1"/>
  <c r="AX26" i="13" s="1"/>
  <c r="M103" i="45"/>
  <c r="M39" i="45"/>
  <c r="O39" i="45" s="1"/>
  <c r="AZ39" i="13" s="1"/>
  <c r="E60" i="29"/>
  <c r="G60" i="29" s="1"/>
  <c r="AP60" i="13" s="1"/>
  <c r="I105" i="45"/>
  <c r="J103" i="45"/>
  <c r="M23" i="45"/>
  <c r="M91" i="45"/>
  <c r="O91" i="45" s="1"/>
  <c r="AZ91" i="13" s="1"/>
  <c r="D98" i="29"/>
  <c r="G98" i="29" s="1"/>
  <c r="AP98" i="13" s="1"/>
  <c r="L97" i="45"/>
  <c r="O97" i="45" s="1"/>
  <c r="AZ97" i="13" s="1"/>
  <c r="J32" i="45"/>
  <c r="D102" i="29"/>
  <c r="G102" i="29" s="1"/>
  <c r="AP102" i="13" s="1"/>
  <c r="D101" i="45"/>
  <c r="D33" i="29"/>
  <c r="D31" i="45"/>
  <c r="D80" i="45"/>
  <c r="G80" i="45" s="1"/>
  <c r="AX80" i="13" s="1"/>
  <c r="D79" i="45"/>
  <c r="G79" i="45" s="1"/>
  <c r="AX79" i="13" s="1"/>
  <c r="D101" i="29"/>
  <c r="G101" i="29" s="1"/>
  <c r="AP101" i="13" s="1"/>
  <c r="D99" i="45"/>
  <c r="G99" i="45" s="1"/>
  <c r="AX99" i="13" s="1"/>
  <c r="D33" i="45"/>
  <c r="D85" i="45"/>
  <c r="G85" i="45" s="1"/>
  <c r="AX85" i="13" s="1"/>
  <c r="D97" i="29"/>
  <c r="G97" i="29" s="1"/>
  <c r="AP97" i="13" s="1"/>
  <c r="D82" i="45"/>
  <c r="G82" i="45" s="1"/>
  <c r="AX82" i="13" s="1"/>
  <c r="D78" i="45"/>
  <c r="G78" i="45" s="1"/>
  <c r="AX78" i="13" s="1"/>
  <c r="D100" i="29"/>
  <c r="G100" i="29" s="1"/>
  <c r="AP100" i="13" s="1"/>
  <c r="D102" i="45"/>
  <c r="D81" i="45"/>
  <c r="G81" i="45" s="1"/>
  <c r="AX81" i="13" s="1"/>
  <c r="D32" i="29"/>
  <c r="D86" i="45"/>
  <c r="G86" i="45" s="1"/>
  <c r="AX86" i="13" s="1"/>
  <c r="D84" i="45"/>
  <c r="G84" i="45" s="1"/>
  <c r="AX84" i="13" s="1"/>
  <c r="D32" i="45"/>
  <c r="D100" i="45"/>
  <c r="D99" i="29"/>
  <c r="G99" i="29" s="1"/>
  <c r="AP99" i="13" s="1"/>
  <c r="M84" i="30"/>
  <c r="M85" i="30"/>
  <c r="M91" i="30"/>
  <c r="M45" i="30"/>
  <c r="M93" i="30"/>
  <c r="M46" i="30"/>
  <c r="L102" i="45"/>
  <c r="I39" i="45"/>
  <c r="K39" i="45" s="1"/>
  <c r="AY39" i="13" s="1"/>
  <c r="I96" i="45"/>
  <c r="K96" i="45" s="1"/>
  <c r="AY96" i="13" s="1"/>
  <c r="I103" i="45"/>
  <c r="J26" i="45"/>
  <c r="K26" i="45" s="1"/>
  <c r="AY26" i="13" s="1"/>
  <c r="J45" i="30"/>
  <c r="H97" i="29"/>
  <c r="K97" i="29" s="1"/>
  <c r="AQ97" i="13" s="1"/>
  <c r="J43" i="30"/>
  <c r="J49" i="30"/>
  <c r="J82" i="30"/>
  <c r="H32" i="29"/>
  <c r="J5" i="30"/>
  <c r="K5" i="30" s="1"/>
  <c r="AU5" i="13" s="1"/>
  <c r="J14" i="30"/>
  <c r="J40" i="30"/>
  <c r="K40" i="30" s="1"/>
  <c r="AU40" i="13" s="1"/>
  <c r="J9" i="30"/>
  <c r="K9" i="30" s="1"/>
  <c r="AU9" i="13" s="1"/>
  <c r="H98" i="29"/>
  <c r="K98" i="29" s="1"/>
  <c r="AQ98" i="13" s="1"/>
  <c r="J32" i="30"/>
  <c r="J50" i="30"/>
  <c r="J31" i="45"/>
  <c r="J46" i="30"/>
  <c r="J60" i="30"/>
  <c r="K60" i="30" s="1"/>
  <c r="AU60" i="13" s="1"/>
  <c r="J93" i="30"/>
  <c r="H31" i="29"/>
  <c r="J31" i="30"/>
  <c r="J62" i="30"/>
  <c r="K62" i="30" s="1"/>
  <c r="AU62" i="13" s="1"/>
  <c r="J21" i="30"/>
  <c r="J7" i="30"/>
  <c r="K7" i="30" s="1"/>
  <c r="AU7" i="13" s="1"/>
  <c r="J91" i="30"/>
  <c r="K91" i="30" s="1"/>
  <c r="AU91" i="13" s="1"/>
  <c r="J104" i="30"/>
  <c r="K104" i="30" s="1"/>
  <c r="AU104" i="13" s="1"/>
  <c r="H99" i="29"/>
  <c r="K99" i="29" s="1"/>
  <c r="AQ99" i="13" s="1"/>
  <c r="J33" i="30"/>
  <c r="J48" i="30"/>
  <c r="J71" i="30"/>
  <c r="H69" i="21"/>
  <c r="R43" i="30"/>
  <c r="R62" i="30"/>
  <c r="S62" i="30" s="1"/>
  <c r="AW62" i="13" s="1"/>
  <c r="L33" i="45"/>
  <c r="O33" i="45" s="1"/>
  <c r="AZ33" i="13" s="1"/>
  <c r="J8" i="30"/>
  <c r="K8" i="30" s="1"/>
  <c r="AU8" i="13" s="1"/>
  <c r="F22" i="45"/>
  <c r="F12" i="45" s="1"/>
  <c r="J38" i="30"/>
  <c r="K38" i="30" s="1"/>
  <c r="AU38" i="13" s="1"/>
  <c r="J73" i="30"/>
  <c r="J20" i="30"/>
  <c r="J47" i="30"/>
  <c r="J22" i="30"/>
  <c r="K22" i="30" s="1"/>
  <c r="AU22" i="13" s="1"/>
  <c r="J10" i="30"/>
  <c r="K10" i="30" s="1"/>
  <c r="AU10" i="13" s="1"/>
  <c r="J69" i="30"/>
  <c r="J24" i="30"/>
  <c r="K24" i="30" s="1"/>
  <c r="AU24" i="13" s="1"/>
  <c r="J42" i="30"/>
  <c r="J81" i="30"/>
  <c r="J61" i="30"/>
  <c r="K61" i="30" s="1"/>
  <c r="AU61" i="13" s="1"/>
  <c r="J39" i="30"/>
  <c r="K39" i="30" s="1"/>
  <c r="AU39" i="13" s="1"/>
  <c r="J23" i="30"/>
  <c r="K23" i="30" s="1"/>
  <c r="AU23" i="13" s="1"/>
  <c r="J103" i="30"/>
  <c r="K103" i="30" s="1"/>
  <c r="AU103" i="13" s="1"/>
  <c r="J35" i="30"/>
  <c r="K35" i="30" s="1"/>
  <c r="AU35" i="13" s="1"/>
  <c r="J105" i="30"/>
  <c r="K105" i="30" s="1"/>
  <c r="AU105" i="13" s="1"/>
  <c r="J83" i="30"/>
  <c r="J92" i="30"/>
  <c r="J36" i="30"/>
  <c r="K36" i="30" s="1"/>
  <c r="AU36" i="13" s="1"/>
  <c r="J72" i="30"/>
  <c r="J33" i="45"/>
  <c r="J19" i="30"/>
  <c r="J34" i="30"/>
  <c r="K34" i="30" s="1"/>
  <c r="AU34" i="13" s="1"/>
  <c r="H102" i="29"/>
  <c r="K102" i="29" s="1"/>
  <c r="AQ102" i="13" s="1"/>
  <c r="I71" i="21"/>
  <c r="L42" i="38"/>
  <c r="O42" i="38" s="1"/>
  <c r="AO42" i="13" s="1"/>
  <c r="J13" i="30"/>
  <c r="R20" i="30"/>
  <c r="R23" i="30"/>
  <c r="S23" i="30" s="1"/>
  <c r="AW23" i="13" s="1"/>
  <c r="R33" i="30"/>
  <c r="Q47" i="30"/>
  <c r="R82" i="30"/>
  <c r="R45" i="30"/>
  <c r="R31" i="30"/>
  <c r="Q93" i="30"/>
  <c r="R42" i="30"/>
  <c r="R61" i="30"/>
  <c r="S61" i="30" s="1"/>
  <c r="AW61" i="13" s="1"/>
  <c r="R49" i="30"/>
  <c r="R12" i="30"/>
  <c r="Q46" i="30"/>
  <c r="D44" i="20"/>
  <c r="G44" i="20" s="1"/>
  <c r="AF44" i="13" s="1"/>
  <c r="R40" i="30"/>
  <c r="S40" i="30" s="1"/>
  <c r="AW40" i="13" s="1"/>
  <c r="R32" i="30"/>
  <c r="R53" i="30"/>
  <c r="Q91" i="30"/>
  <c r="R6" i="30"/>
  <c r="S6" i="30" s="1"/>
  <c r="AW6" i="13" s="1"/>
  <c r="Q45" i="30"/>
  <c r="R72" i="30"/>
  <c r="S72" i="30" s="1"/>
  <c r="AW72" i="13" s="1"/>
  <c r="R69" i="30"/>
  <c r="Q84" i="30"/>
  <c r="R83" i="30"/>
  <c r="R73" i="30"/>
  <c r="R74" i="30"/>
  <c r="R103" i="30"/>
  <c r="S103" i="30" s="1"/>
  <c r="AW103" i="13" s="1"/>
  <c r="R91" i="30"/>
  <c r="R50" i="30"/>
  <c r="R71" i="30"/>
  <c r="R105" i="30"/>
  <c r="S105" i="30" s="1"/>
  <c r="AW105" i="13" s="1"/>
  <c r="R22" i="30"/>
  <c r="S22" i="30" s="1"/>
  <c r="AW22" i="13" s="1"/>
  <c r="R36" i="30"/>
  <c r="S36" i="30" s="1"/>
  <c r="AW36" i="13" s="1"/>
  <c r="R5" i="30"/>
  <c r="S5" i="30" s="1"/>
  <c r="AW5" i="13" s="1"/>
  <c r="R46" i="30"/>
  <c r="R7" i="30"/>
  <c r="S7" i="30" s="1"/>
  <c r="AW7" i="13" s="1"/>
  <c r="R44" i="30"/>
  <c r="H97" i="38"/>
  <c r="Q86" i="30"/>
  <c r="R24" i="30"/>
  <c r="S24" i="30" s="1"/>
  <c r="AW24" i="13" s="1"/>
  <c r="R39" i="30"/>
  <c r="S39" i="30" s="1"/>
  <c r="AW39" i="13" s="1"/>
  <c r="R9" i="30"/>
  <c r="S9" i="30" s="1"/>
  <c r="AW9" i="13" s="1"/>
  <c r="R21" i="30"/>
  <c r="R13" i="30"/>
  <c r="R51" i="30"/>
  <c r="J95" i="80"/>
  <c r="L101" i="38"/>
  <c r="O101" i="38" s="1"/>
  <c r="AO101" i="13" s="1"/>
  <c r="I30" i="38"/>
  <c r="K30" i="38" s="1"/>
  <c r="AN30" i="13" s="1"/>
  <c r="D79" i="30"/>
  <c r="G79" i="30" s="1"/>
  <c r="AT79" i="13" s="1"/>
  <c r="H69" i="30"/>
  <c r="M95" i="38"/>
  <c r="E12" i="38"/>
  <c r="M91" i="38"/>
  <c r="D52" i="38"/>
  <c r="L5" i="38"/>
  <c r="I9" i="38"/>
  <c r="L57" i="38"/>
  <c r="O57" i="38" s="1"/>
  <c r="AO57" i="13" s="1"/>
  <c r="E91" i="15"/>
  <c r="L12" i="38"/>
  <c r="H42" i="30"/>
  <c r="J98" i="80"/>
  <c r="D51" i="30"/>
  <c r="D32" i="30"/>
  <c r="D53" i="30"/>
  <c r="H81" i="30"/>
  <c r="E104" i="38"/>
  <c r="I91" i="38"/>
  <c r="M5" i="38"/>
  <c r="H80" i="38"/>
  <c r="E46" i="38"/>
  <c r="D12" i="38"/>
  <c r="H21" i="38"/>
  <c r="H94" i="38"/>
  <c r="D94" i="38"/>
  <c r="H20" i="30"/>
  <c r="F14" i="80"/>
  <c r="H49" i="30"/>
  <c r="H50" i="30"/>
  <c r="I94" i="38"/>
  <c r="E9" i="38"/>
  <c r="D22" i="38"/>
  <c r="H19" i="38"/>
  <c r="L60" i="38"/>
  <c r="E7" i="38"/>
  <c r="M45" i="38"/>
  <c r="E61" i="38"/>
  <c r="M9" i="38"/>
  <c r="H82" i="30"/>
  <c r="H44" i="30"/>
  <c r="D21" i="30"/>
  <c r="D44" i="30"/>
  <c r="H72" i="30"/>
  <c r="I10" i="38"/>
  <c r="L22" i="38"/>
  <c r="D62" i="38"/>
  <c r="L10" i="38"/>
  <c r="D35" i="38"/>
  <c r="G35" i="38" s="1"/>
  <c r="AM35" i="13" s="1"/>
  <c r="H48" i="38"/>
  <c r="L6" i="38"/>
  <c r="D82" i="30"/>
  <c r="H52" i="30"/>
  <c r="K52" i="30" s="1"/>
  <c r="AU52" i="13" s="1"/>
  <c r="H86" i="30"/>
  <c r="H80" i="30"/>
  <c r="K80" i="30" s="1"/>
  <c r="AU80" i="13" s="1"/>
  <c r="H70" i="30"/>
  <c r="M47" i="38"/>
  <c r="M8" i="38"/>
  <c r="M94" i="38"/>
  <c r="L97" i="38"/>
  <c r="O97" i="38" s="1"/>
  <c r="AO97" i="13" s="1"/>
  <c r="D8" i="38"/>
  <c r="D24" i="38"/>
  <c r="D92" i="38"/>
  <c r="D19" i="38"/>
  <c r="L105" i="38"/>
  <c r="D50" i="30"/>
  <c r="D59" i="30"/>
  <c r="G59" i="30" s="1"/>
  <c r="AT59" i="13" s="1"/>
  <c r="D49" i="30"/>
  <c r="H58" i="38"/>
  <c r="K58" i="38" s="1"/>
  <c r="AN58" i="13" s="1"/>
  <c r="I95" i="38"/>
  <c r="H31" i="30"/>
  <c r="H12" i="30" s="1"/>
  <c r="H73" i="30"/>
  <c r="M23" i="38"/>
  <c r="I46" i="38"/>
  <c r="D21" i="38"/>
  <c r="L94" i="38"/>
  <c r="E105" i="38"/>
  <c r="L36" i="38"/>
  <c r="O36" i="38" s="1"/>
  <c r="AO36" i="13" s="1"/>
  <c r="D91" i="38"/>
  <c r="D31" i="30"/>
  <c r="D12" i="30" s="1"/>
  <c r="H51" i="30"/>
  <c r="I22" i="38"/>
  <c r="I93" i="38"/>
  <c r="M40" i="38"/>
  <c r="H25" i="38"/>
  <c r="H9" i="38"/>
  <c r="D7" i="38"/>
  <c r="L43" i="38"/>
  <c r="O43" i="38" s="1"/>
  <c r="AO43" i="13" s="1"/>
  <c r="D85" i="30"/>
  <c r="D70" i="30"/>
  <c r="L51" i="38"/>
  <c r="U47" i="18"/>
  <c r="W47" i="18" s="1"/>
  <c r="Z47" i="13" s="1"/>
  <c r="H78" i="30"/>
  <c r="K78" i="30" s="1"/>
  <c r="AU78" i="13" s="1"/>
  <c r="I14" i="38"/>
  <c r="I39" i="38"/>
  <c r="H34" i="38"/>
  <c r="K34" i="38" s="1"/>
  <c r="AN34" i="13" s="1"/>
  <c r="H27" i="38"/>
  <c r="D13" i="38"/>
  <c r="D103" i="38"/>
  <c r="J97" i="80"/>
  <c r="D105" i="38"/>
  <c r="H84" i="30"/>
  <c r="H79" i="30"/>
  <c r="K79" i="30" s="1"/>
  <c r="AU79" i="13" s="1"/>
  <c r="E13" i="38"/>
  <c r="E29" i="38"/>
  <c r="G29" i="38" s="1"/>
  <c r="AM29" i="13" s="1"/>
  <c r="E38" i="38"/>
  <c r="D38" i="38"/>
  <c r="L34" i="38"/>
  <c r="O34" i="38" s="1"/>
  <c r="AO34" i="13" s="1"/>
  <c r="H14" i="38"/>
  <c r="H104" i="38"/>
  <c r="D42" i="30"/>
  <c r="R47" i="30"/>
  <c r="H57" i="30"/>
  <c r="K57" i="30" s="1"/>
  <c r="AU57" i="13" s="1"/>
  <c r="E24" i="38"/>
  <c r="M30" i="38"/>
  <c r="O30" i="38" s="1"/>
  <c r="AO30" i="13" s="1"/>
  <c r="E94" i="38"/>
  <c r="H39" i="38"/>
  <c r="H44" i="38"/>
  <c r="K44" i="38" s="1"/>
  <c r="AN44" i="13" s="1"/>
  <c r="L20" i="38"/>
  <c r="D71" i="30"/>
  <c r="R8" i="30"/>
  <c r="S8" i="30" s="1"/>
  <c r="AW8" i="13" s="1"/>
  <c r="D83" i="30"/>
  <c r="H19" i="30"/>
  <c r="H59" i="30"/>
  <c r="K59" i="30" s="1"/>
  <c r="AU59" i="13" s="1"/>
  <c r="M22" i="38"/>
  <c r="I7" i="38"/>
  <c r="L61" i="38"/>
  <c r="L40" i="38"/>
  <c r="H93" i="38"/>
  <c r="H22" i="38"/>
  <c r="D34" i="38"/>
  <c r="G34" i="38" s="1"/>
  <c r="AM34" i="13" s="1"/>
  <c r="D84" i="30"/>
  <c r="H21" i="30"/>
  <c r="M14" i="38"/>
  <c r="H59" i="38"/>
  <c r="K59" i="38" s="1"/>
  <c r="AN59" i="13" s="1"/>
  <c r="D44" i="38"/>
  <c r="G44" i="38" s="1"/>
  <c r="AM44" i="13" s="1"/>
  <c r="L104" i="38"/>
  <c r="L23" i="38"/>
  <c r="D81" i="30"/>
  <c r="H43" i="30"/>
  <c r="H83" i="30"/>
  <c r="J52" i="80"/>
  <c r="H48" i="30"/>
  <c r="H7" i="38"/>
  <c r="D78" i="30"/>
  <c r="G78" i="30" s="1"/>
  <c r="AT78" i="13" s="1"/>
  <c r="H33" i="30"/>
  <c r="H14" i="30" s="1"/>
  <c r="I13" i="38"/>
  <c r="I104" i="38"/>
  <c r="L54" i="38"/>
  <c r="O54" i="38" s="1"/>
  <c r="AO54" i="13" s="1"/>
  <c r="D96" i="38"/>
  <c r="L7" i="38"/>
  <c r="D25" i="38"/>
  <c r="D58" i="30"/>
  <c r="G58" i="30" s="1"/>
  <c r="AT58" i="13" s="1"/>
  <c r="E22" i="38"/>
  <c r="H32" i="30"/>
  <c r="H13" i="30" s="1"/>
  <c r="J53" i="30"/>
  <c r="K53" i="30" s="1"/>
  <c r="AU53" i="13" s="1"/>
  <c r="F25" i="80"/>
  <c r="M47" i="30"/>
  <c r="J74" i="30"/>
  <c r="F21" i="80"/>
  <c r="L84" i="38"/>
  <c r="O84" i="38" s="1"/>
  <c r="AO84" i="13" s="1"/>
  <c r="J51" i="30"/>
  <c r="J19" i="80"/>
  <c r="J79" i="80"/>
  <c r="R60" i="30"/>
  <c r="S60" i="30" s="1"/>
  <c r="AW60" i="13" s="1"/>
  <c r="R34" i="30"/>
  <c r="S34" i="30" s="1"/>
  <c r="AW34" i="13" s="1"/>
  <c r="F82" i="80"/>
  <c r="J93" i="80"/>
  <c r="F50" i="80"/>
  <c r="F93" i="80"/>
  <c r="J24" i="80"/>
  <c r="F47" i="80"/>
  <c r="H100" i="29"/>
  <c r="K100" i="29" s="1"/>
  <c r="AQ100" i="13" s="1"/>
  <c r="M86" i="30"/>
  <c r="L80" i="38"/>
  <c r="L50" i="38"/>
  <c r="L78" i="38"/>
  <c r="H84" i="38"/>
  <c r="K84" i="38" s="1"/>
  <c r="AN84" i="13" s="1"/>
  <c r="L85" i="38"/>
  <c r="O85" i="38" s="1"/>
  <c r="AO85" i="13" s="1"/>
  <c r="L86" i="38"/>
  <c r="O86" i="38" s="1"/>
  <c r="AO86" i="13" s="1"/>
  <c r="D80" i="38"/>
  <c r="L55" i="38"/>
  <c r="O55" i="38" s="1"/>
  <c r="AO55" i="13" s="1"/>
  <c r="L49" i="38"/>
  <c r="L31" i="38"/>
  <c r="D82" i="38"/>
  <c r="D55" i="38"/>
  <c r="G55" i="38" s="1"/>
  <c r="AM55" i="13" s="1"/>
  <c r="L32" i="38"/>
  <c r="H53" i="38"/>
  <c r="H101" i="38"/>
  <c r="K101" i="38" s="1"/>
  <c r="AN101" i="13" s="1"/>
  <c r="H49" i="38"/>
  <c r="D48" i="38"/>
  <c r="D31" i="38"/>
  <c r="D53" i="38"/>
  <c r="D50" i="38"/>
  <c r="D56" i="38"/>
  <c r="G56" i="38" s="1"/>
  <c r="AM56" i="13" s="1"/>
  <c r="D99" i="38"/>
  <c r="H102" i="38"/>
  <c r="K102" i="38" s="1"/>
  <c r="AN102" i="13" s="1"/>
  <c r="H86" i="38"/>
  <c r="K86" i="38" s="1"/>
  <c r="AN86" i="13" s="1"/>
  <c r="D85" i="38"/>
  <c r="G85" i="38" s="1"/>
  <c r="AM85" i="13" s="1"/>
  <c r="L99" i="38"/>
  <c r="H82" i="38"/>
  <c r="L82" i="38"/>
  <c r="D83" i="38"/>
  <c r="H99" i="38"/>
  <c r="L79" i="38"/>
  <c r="L102" i="38"/>
  <c r="O102" i="38" s="1"/>
  <c r="AO102" i="13" s="1"/>
  <c r="T85" i="19"/>
  <c r="W85" i="19" s="1"/>
  <c r="AE85" i="13" s="1"/>
  <c r="I7" i="29"/>
  <c r="K7" i="29" s="1"/>
  <c r="AQ7" i="13" s="1"/>
  <c r="E5" i="29"/>
  <c r="G5" i="29" s="1"/>
  <c r="AP5" i="13" s="1"/>
  <c r="E35" i="29"/>
  <c r="G35" i="29" s="1"/>
  <c r="AP35" i="13" s="1"/>
  <c r="J50" i="21"/>
  <c r="I92" i="29"/>
  <c r="K92" i="29" s="1"/>
  <c r="AQ92" i="13" s="1"/>
  <c r="E61" i="29"/>
  <c r="G61" i="29" s="1"/>
  <c r="AP61" i="13" s="1"/>
  <c r="E38" i="29"/>
  <c r="G38" i="29" s="1"/>
  <c r="AP38" i="13" s="1"/>
  <c r="J52" i="21"/>
  <c r="I96" i="29"/>
  <c r="K96" i="29" s="1"/>
  <c r="AQ96" i="13" s="1"/>
  <c r="I6" i="29"/>
  <c r="K6" i="29" s="1"/>
  <c r="AQ6" i="13" s="1"/>
  <c r="E23" i="29"/>
  <c r="G23" i="29" s="1"/>
  <c r="AP23" i="13" s="1"/>
  <c r="E62" i="29"/>
  <c r="G62" i="29" s="1"/>
  <c r="AP62" i="13" s="1"/>
  <c r="E93" i="29"/>
  <c r="G93" i="29" s="1"/>
  <c r="AP93" i="13" s="1"/>
  <c r="J55" i="21"/>
  <c r="E74" i="21"/>
  <c r="I34" i="29"/>
  <c r="K34" i="29" s="1"/>
  <c r="AQ34" i="13" s="1"/>
  <c r="I94" i="29"/>
  <c r="K94" i="29" s="1"/>
  <c r="AQ94" i="13" s="1"/>
  <c r="E31" i="29"/>
  <c r="G31" i="29" s="1"/>
  <c r="AP31" i="13" s="1"/>
  <c r="E69" i="29"/>
  <c r="G69" i="29" s="1"/>
  <c r="AP69" i="13" s="1"/>
  <c r="J56" i="21"/>
  <c r="E22" i="21"/>
  <c r="T84" i="19"/>
  <c r="W84" i="19" s="1"/>
  <c r="AE84" i="13" s="1"/>
  <c r="I39" i="29"/>
  <c r="K39" i="29" s="1"/>
  <c r="AQ39" i="13" s="1"/>
  <c r="I104" i="29"/>
  <c r="K104" i="29" s="1"/>
  <c r="AQ104" i="13" s="1"/>
  <c r="E6" i="29"/>
  <c r="G6" i="29" s="1"/>
  <c r="AP6" i="13" s="1"/>
  <c r="E34" i="29"/>
  <c r="G34" i="29" s="1"/>
  <c r="AP34" i="13" s="1"/>
  <c r="E71" i="29"/>
  <c r="G71" i="29" s="1"/>
  <c r="AP71" i="13" s="1"/>
  <c r="J70" i="21"/>
  <c r="I72" i="29"/>
  <c r="K72" i="29" s="1"/>
  <c r="AQ72" i="13" s="1"/>
  <c r="I33" i="29"/>
  <c r="K33" i="29" s="1"/>
  <c r="AQ33" i="13" s="1"/>
  <c r="E13" i="29"/>
  <c r="G13" i="29" s="1"/>
  <c r="AP13" i="13" s="1"/>
  <c r="E7" i="29"/>
  <c r="G7" i="29" s="1"/>
  <c r="AP7" i="13" s="1"/>
  <c r="E73" i="29"/>
  <c r="G73" i="29" s="1"/>
  <c r="AP73" i="13" s="1"/>
  <c r="J54" i="21"/>
  <c r="I93" i="29"/>
  <c r="K93" i="29" s="1"/>
  <c r="AQ93" i="13" s="1"/>
  <c r="I35" i="29"/>
  <c r="K35" i="29" s="1"/>
  <c r="AQ35" i="13" s="1"/>
  <c r="E96" i="29"/>
  <c r="G96" i="29" s="1"/>
  <c r="AP96" i="13" s="1"/>
  <c r="E39" i="29"/>
  <c r="G39" i="29" s="1"/>
  <c r="AP39" i="13" s="1"/>
  <c r="E32" i="29"/>
  <c r="I12" i="29"/>
  <c r="K12" i="29" s="1"/>
  <c r="AQ12" i="13" s="1"/>
  <c r="I38" i="29"/>
  <c r="K38" i="29" s="1"/>
  <c r="AQ38" i="13" s="1"/>
  <c r="E14" i="29"/>
  <c r="G14" i="29" s="1"/>
  <c r="AP14" i="13" s="1"/>
  <c r="E70" i="29"/>
  <c r="G70" i="29" s="1"/>
  <c r="AP70" i="13" s="1"/>
  <c r="I22" i="29"/>
  <c r="K22" i="29" s="1"/>
  <c r="AQ22" i="13" s="1"/>
  <c r="I8" i="29"/>
  <c r="K8" i="29" s="1"/>
  <c r="AQ8" i="13" s="1"/>
  <c r="I40" i="29"/>
  <c r="K40" i="29" s="1"/>
  <c r="AQ40" i="13" s="1"/>
  <c r="E74" i="29"/>
  <c r="G74" i="29" s="1"/>
  <c r="AP74" i="13" s="1"/>
  <c r="E92" i="29"/>
  <c r="G92" i="29" s="1"/>
  <c r="AP92" i="13" s="1"/>
  <c r="E22" i="29"/>
  <c r="G22" i="29" s="1"/>
  <c r="AP22" i="13" s="1"/>
  <c r="E71" i="21"/>
  <c r="I32" i="29"/>
  <c r="I60" i="29"/>
  <c r="K60" i="29" s="1"/>
  <c r="AQ60" i="13" s="1"/>
  <c r="E9" i="29"/>
  <c r="G9" i="29" s="1"/>
  <c r="AP9" i="13" s="1"/>
  <c r="E33" i="29"/>
  <c r="F12" i="80"/>
  <c r="E39" i="21"/>
  <c r="I103" i="29"/>
  <c r="K103" i="29" s="1"/>
  <c r="AQ103" i="13" s="1"/>
  <c r="I62" i="29"/>
  <c r="K62" i="29" s="1"/>
  <c r="AQ62" i="13" s="1"/>
  <c r="E105" i="29"/>
  <c r="G105" i="29" s="1"/>
  <c r="AP105" i="13" s="1"/>
  <c r="E95" i="29"/>
  <c r="G95" i="29" s="1"/>
  <c r="AP95" i="13" s="1"/>
  <c r="J69" i="21"/>
  <c r="E13" i="21"/>
  <c r="G13" i="21" s="1"/>
  <c r="AH13" i="13" s="1"/>
  <c r="I13" i="29"/>
  <c r="K13" i="29" s="1"/>
  <c r="AQ13" i="13" s="1"/>
  <c r="I69" i="29"/>
  <c r="K69" i="29" s="1"/>
  <c r="AQ69" i="13" s="1"/>
  <c r="E12" i="29"/>
  <c r="G12" i="29" s="1"/>
  <c r="AP12" i="13" s="1"/>
  <c r="E104" i="29"/>
  <c r="G104" i="29" s="1"/>
  <c r="AP104" i="13" s="1"/>
  <c r="J53" i="21"/>
  <c r="I24" i="29"/>
  <c r="K24" i="29" s="1"/>
  <c r="AQ24" i="13" s="1"/>
  <c r="I71" i="29"/>
  <c r="K71" i="29" s="1"/>
  <c r="AQ71" i="13" s="1"/>
  <c r="E24" i="29"/>
  <c r="G24" i="29" s="1"/>
  <c r="AP24" i="13" s="1"/>
  <c r="E36" i="29"/>
  <c r="G36" i="29" s="1"/>
  <c r="AP36" i="13" s="1"/>
  <c r="J48" i="21"/>
  <c r="E10" i="29"/>
  <c r="G10" i="29" s="1"/>
  <c r="AP10" i="13" s="1"/>
  <c r="T52" i="19"/>
  <c r="W52" i="19" s="1"/>
  <c r="AE52" i="13" s="1"/>
  <c r="I31" i="29"/>
  <c r="I73" i="29"/>
  <c r="K73" i="29" s="1"/>
  <c r="AQ73" i="13" s="1"/>
  <c r="E8" i="29"/>
  <c r="G8" i="29" s="1"/>
  <c r="AP8" i="13" s="1"/>
  <c r="E72" i="29"/>
  <c r="G72" i="29" s="1"/>
  <c r="AP72" i="13" s="1"/>
  <c r="M74" i="29"/>
  <c r="O74" i="29" s="1"/>
  <c r="AR74" i="13" s="1"/>
  <c r="M34" i="29"/>
  <c r="O34" i="29" s="1"/>
  <c r="AR34" i="13" s="1"/>
  <c r="I74" i="21"/>
  <c r="I56" i="21"/>
  <c r="M60" i="29"/>
  <c r="O60" i="29" s="1"/>
  <c r="AR60" i="13" s="1"/>
  <c r="M61" i="29"/>
  <c r="O61" i="29" s="1"/>
  <c r="AR61" i="13" s="1"/>
  <c r="I49" i="21"/>
  <c r="I31" i="21"/>
  <c r="K31" i="21" s="1"/>
  <c r="AI31" i="13" s="1"/>
  <c r="M69" i="29"/>
  <c r="O69" i="29" s="1"/>
  <c r="AR69" i="13" s="1"/>
  <c r="M6" i="29"/>
  <c r="O6" i="29" s="1"/>
  <c r="AR6" i="13" s="1"/>
  <c r="I23" i="21"/>
  <c r="I51" i="21"/>
  <c r="M73" i="29"/>
  <c r="O73" i="29" s="1"/>
  <c r="AR73" i="13" s="1"/>
  <c r="M8" i="29"/>
  <c r="O8" i="29" s="1"/>
  <c r="AR8" i="13" s="1"/>
  <c r="I32" i="21"/>
  <c r="K32" i="21" s="1"/>
  <c r="AI32" i="13" s="1"/>
  <c r="R81" i="30"/>
  <c r="M38" i="29"/>
  <c r="O38" i="29" s="1"/>
  <c r="AR38" i="13" s="1"/>
  <c r="M10" i="29"/>
  <c r="O10" i="29" s="1"/>
  <c r="AR10" i="13" s="1"/>
  <c r="I53" i="21"/>
  <c r="M71" i="29"/>
  <c r="O71" i="29" s="1"/>
  <c r="AR71" i="13" s="1"/>
  <c r="M13" i="29"/>
  <c r="O13" i="29" s="1"/>
  <c r="AR13" i="13" s="1"/>
  <c r="I40" i="21"/>
  <c r="P52" i="30"/>
  <c r="M7" i="29"/>
  <c r="O7" i="29" s="1"/>
  <c r="AR7" i="13" s="1"/>
  <c r="M23" i="29"/>
  <c r="O23" i="29" s="1"/>
  <c r="AR23" i="13" s="1"/>
  <c r="I72" i="21"/>
  <c r="M72" i="29"/>
  <c r="O72" i="29" s="1"/>
  <c r="AR72" i="13" s="1"/>
  <c r="M91" i="29"/>
  <c r="O91" i="29" s="1"/>
  <c r="AR91" i="13" s="1"/>
  <c r="I24" i="21"/>
  <c r="M24" i="29"/>
  <c r="O24" i="29" s="1"/>
  <c r="AR24" i="13" s="1"/>
  <c r="M93" i="29"/>
  <c r="O93" i="29" s="1"/>
  <c r="AR93" i="13" s="1"/>
  <c r="I70" i="21"/>
  <c r="I38" i="21"/>
  <c r="M40" i="29"/>
  <c r="O40" i="29" s="1"/>
  <c r="AR40" i="13" s="1"/>
  <c r="M35" i="29"/>
  <c r="O35" i="29" s="1"/>
  <c r="AR35" i="13" s="1"/>
  <c r="M95" i="29"/>
  <c r="O95" i="29" s="1"/>
  <c r="AR95" i="13" s="1"/>
  <c r="I47" i="21"/>
  <c r="M62" i="29"/>
  <c r="O62" i="29" s="1"/>
  <c r="AR62" i="13" s="1"/>
  <c r="M103" i="29"/>
  <c r="O103" i="29" s="1"/>
  <c r="AR103" i="13" s="1"/>
  <c r="I54" i="21"/>
  <c r="M31" i="29"/>
  <c r="M92" i="29"/>
  <c r="O92" i="29" s="1"/>
  <c r="AR92" i="13" s="1"/>
  <c r="M105" i="29"/>
  <c r="O105" i="29" s="1"/>
  <c r="AR105" i="13" s="1"/>
  <c r="I68" i="21"/>
  <c r="I67" i="21"/>
  <c r="M22" i="29"/>
  <c r="O22" i="29" s="1"/>
  <c r="AR22" i="13" s="1"/>
  <c r="M33" i="29"/>
  <c r="I48" i="21"/>
  <c r="I13" i="21"/>
  <c r="K13" i="21" s="1"/>
  <c r="AI13" i="13" s="1"/>
  <c r="M36" i="29"/>
  <c r="O36" i="29" s="1"/>
  <c r="AR36" i="13" s="1"/>
  <c r="M39" i="29"/>
  <c r="O39" i="29" s="1"/>
  <c r="AR39" i="13" s="1"/>
  <c r="I55" i="21"/>
  <c r="I22" i="21"/>
  <c r="M96" i="29"/>
  <c r="O96" i="29" s="1"/>
  <c r="AR96" i="13" s="1"/>
  <c r="M70" i="29"/>
  <c r="O70" i="29" s="1"/>
  <c r="AR70" i="13" s="1"/>
  <c r="I69" i="21"/>
  <c r="I50" i="21"/>
  <c r="I66" i="21"/>
  <c r="J60" i="80"/>
  <c r="F23" i="80"/>
  <c r="F60" i="80"/>
  <c r="F79" i="80"/>
  <c r="F40" i="80"/>
  <c r="F94" i="80"/>
  <c r="J21" i="80"/>
  <c r="F98" i="80"/>
  <c r="J20" i="80"/>
  <c r="J33" i="80"/>
  <c r="F62" i="80"/>
  <c r="F13" i="80"/>
  <c r="F31" i="80"/>
  <c r="J23" i="80"/>
  <c r="F80" i="80"/>
  <c r="E93" i="30"/>
  <c r="F26" i="80"/>
  <c r="F45" i="80"/>
  <c r="F96" i="80"/>
  <c r="E91" i="30"/>
  <c r="J27" i="80"/>
  <c r="J13" i="80"/>
  <c r="J32" i="80"/>
  <c r="F91" i="80"/>
  <c r="F24" i="80"/>
  <c r="J80" i="80"/>
  <c r="E92" i="30"/>
  <c r="F19" i="80"/>
  <c r="J49" i="80"/>
  <c r="J45" i="80"/>
  <c r="F97" i="80"/>
  <c r="E47" i="30"/>
  <c r="F50" i="38"/>
  <c r="J91" i="80"/>
  <c r="F95" i="80"/>
  <c r="J46" i="80"/>
  <c r="D73" i="30"/>
  <c r="D74" i="30"/>
  <c r="D80" i="30"/>
  <c r="G80" i="30" s="1"/>
  <c r="AT80" i="13" s="1"/>
  <c r="R52" i="30"/>
  <c r="D57" i="30"/>
  <c r="G57" i="30" s="1"/>
  <c r="AT57" i="13" s="1"/>
  <c r="L100" i="38"/>
  <c r="O100" i="38" s="1"/>
  <c r="AO100" i="13" s="1"/>
  <c r="R14" i="30"/>
  <c r="D48" i="30"/>
  <c r="D72" i="30"/>
  <c r="G72" i="30" s="1"/>
  <c r="AT72" i="13" s="1"/>
  <c r="R10" i="30"/>
  <c r="S10" i="30" s="1"/>
  <c r="AW10" i="13" s="1"/>
  <c r="R19" i="30"/>
  <c r="N23" i="18"/>
  <c r="D80" i="20"/>
  <c r="G80" i="20" s="1"/>
  <c r="AF80" i="13" s="1"/>
  <c r="H85" i="30"/>
  <c r="D101" i="38"/>
  <c r="G101" i="38" s="1"/>
  <c r="AM101" i="13" s="1"/>
  <c r="H71" i="30"/>
  <c r="D85" i="20"/>
  <c r="G85" i="20" s="1"/>
  <c r="AF85" i="13" s="1"/>
  <c r="M9" i="29"/>
  <c r="O9" i="29" s="1"/>
  <c r="AR9" i="13" s="1"/>
  <c r="M94" i="29"/>
  <c r="O94" i="29" s="1"/>
  <c r="AR94" i="13" s="1"/>
  <c r="L56" i="38"/>
  <c r="O56" i="38" s="1"/>
  <c r="AO56" i="13" s="1"/>
  <c r="I14" i="21"/>
  <c r="K14" i="21" s="1"/>
  <c r="AI14" i="13" s="1"/>
  <c r="I14" i="29"/>
  <c r="K14" i="29" s="1"/>
  <c r="AQ14" i="13" s="1"/>
  <c r="D36" i="38"/>
  <c r="G36" i="38" s="1"/>
  <c r="AM36" i="13" s="1"/>
  <c r="I105" i="29"/>
  <c r="K105" i="29" s="1"/>
  <c r="AQ105" i="13" s="1"/>
  <c r="L8" i="38"/>
  <c r="H51" i="38"/>
  <c r="E60" i="38"/>
  <c r="I95" i="29"/>
  <c r="K95" i="29" s="1"/>
  <c r="AQ95" i="13" s="1"/>
  <c r="M38" i="38"/>
  <c r="I23" i="29"/>
  <c r="K23" i="29" s="1"/>
  <c r="AQ23" i="13" s="1"/>
  <c r="I105" i="38"/>
  <c r="I36" i="29"/>
  <c r="K36" i="29" s="1"/>
  <c r="AQ36" i="13" s="1"/>
  <c r="H20" i="38"/>
  <c r="I91" i="29"/>
  <c r="K91" i="29" s="1"/>
  <c r="AQ91" i="13" s="1"/>
  <c r="I46" i="21"/>
  <c r="D40" i="38"/>
  <c r="I74" i="29"/>
  <c r="K74" i="29" s="1"/>
  <c r="AQ74" i="13" s="1"/>
  <c r="I5" i="29"/>
  <c r="K5" i="29" s="1"/>
  <c r="AQ5" i="13" s="1"/>
  <c r="M14" i="29"/>
  <c r="O14" i="29" s="1"/>
  <c r="AR14" i="13" s="1"/>
  <c r="D98" i="38"/>
  <c r="D59" i="38"/>
  <c r="G59" i="38" s="1"/>
  <c r="AM59" i="13" s="1"/>
  <c r="I9" i="29"/>
  <c r="K9" i="29" s="1"/>
  <c r="AQ9" i="13" s="1"/>
  <c r="E96" i="38"/>
  <c r="M10" i="38"/>
  <c r="L52" i="38"/>
  <c r="E47" i="21"/>
  <c r="H83" i="38"/>
  <c r="E56" i="21"/>
  <c r="H32" i="38"/>
  <c r="E49" i="21"/>
  <c r="E62" i="38"/>
  <c r="H53" i="80"/>
  <c r="K53" i="80" s="1"/>
  <c r="AL53" i="13" s="1"/>
  <c r="M5" i="29"/>
  <c r="O5" i="29" s="1"/>
  <c r="AR5" i="13" s="1"/>
  <c r="I24" i="19"/>
  <c r="I14" i="19" s="1"/>
  <c r="N22" i="38"/>
  <c r="F21" i="38"/>
  <c r="J32" i="38"/>
  <c r="N14" i="38"/>
  <c r="N40" i="38"/>
  <c r="F27" i="38"/>
  <c r="N61" i="38"/>
  <c r="J99" i="38"/>
  <c r="J40" i="38"/>
  <c r="N83" i="38"/>
  <c r="N92" i="38"/>
  <c r="J60" i="38"/>
  <c r="F93" i="38"/>
  <c r="I61" i="29"/>
  <c r="K61" i="29" s="1"/>
  <c r="AQ61" i="13" s="1"/>
  <c r="N23" i="38"/>
  <c r="I96" i="19"/>
  <c r="K96" i="19" s="1"/>
  <c r="AB96" i="13" s="1"/>
  <c r="F39" i="38"/>
  <c r="N99" i="38"/>
  <c r="F94" i="38"/>
  <c r="J14" i="38"/>
  <c r="I62" i="19"/>
  <c r="K62" i="19" s="1"/>
  <c r="AB62" i="13" s="1"/>
  <c r="F78" i="38"/>
  <c r="N94" i="38"/>
  <c r="J95" i="38"/>
  <c r="F96" i="38"/>
  <c r="J19" i="38"/>
  <c r="J48" i="38"/>
  <c r="I65" i="18"/>
  <c r="F25" i="38"/>
  <c r="N62" i="38"/>
  <c r="N96" i="38"/>
  <c r="N49" i="38"/>
  <c r="F97" i="38"/>
  <c r="I79" i="18"/>
  <c r="J61" i="38"/>
  <c r="N80" i="38"/>
  <c r="J78" i="38"/>
  <c r="N79" i="38"/>
  <c r="N78" i="38"/>
  <c r="J91" i="38"/>
  <c r="F60" i="38"/>
  <c r="N51" i="38"/>
  <c r="J80" i="38"/>
  <c r="N20" i="38"/>
  <c r="J46" i="38"/>
  <c r="F51" i="38"/>
  <c r="N32" i="38"/>
  <c r="J53" i="38"/>
  <c r="J51" i="38"/>
  <c r="D53" i="80"/>
  <c r="N21" i="38"/>
  <c r="J52" i="38"/>
  <c r="J81" i="38"/>
  <c r="F61" i="38"/>
  <c r="I23" i="19"/>
  <c r="N95" i="38"/>
  <c r="J27" i="38"/>
  <c r="F26" i="38"/>
  <c r="F49" i="38"/>
  <c r="F53" i="38"/>
  <c r="J49" i="38"/>
  <c r="N45" i="38"/>
  <c r="F24" i="38"/>
  <c r="F48" i="38"/>
  <c r="J25" i="38"/>
  <c r="F46" i="38"/>
  <c r="N27" i="38"/>
  <c r="N53" i="38"/>
  <c r="U93" i="19"/>
  <c r="W93" i="19" s="1"/>
  <c r="AE93" i="13" s="1"/>
  <c r="F54" i="21"/>
  <c r="D79" i="38"/>
  <c r="U46" i="19"/>
  <c r="W46" i="19" s="1"/>
  <c r="AE46" i="13" s="1"/>
  <c r="F69" i="21"/>
  <c r="U94" i="19"/>
  <c r="W94" i="19" s="1"/>
  <c r="AE94" i="13" s="1"/>
  <c r="F56" i="21"/>
  <c r="L101" i="29"/>
  <c r="O101" i="29" s="1"/>
  <c r="AR101" i="13" s="1"/>
  <c r="H10" i="38"/>
  <c r="D26" i="38"/>
  <c r="H98" i="38"/>
  <c r="M62" i="38"/>
  <c r="N60" i="38"/>
  <c r="F31" i="38"/>
  <c r="J22" i="38"/>
  <c r="I6" i="38"/>
  <c r="I12" i="38"/>
  <c r="N98" i="38"/>
  <c r="N38" i="38"/>
  <c r="F33" i="38"/>
  <c r="L33" i="29"/>
  <c r="I23" i="38"/>
  <c r="E91" i="38"/>
  <c r="E45" i="38"/>
  <c r="J40" i="19"/>
  <c r="F45" i="38"/>
  <c r="N12" i="38"/>
  <c r="D23" i="38"/>
  <c r="H26" i="38"/>
  <c r="F40" i="38"/>
  <c r="F49" i="80"/>
  <c r="M6" i="38"/>
  <c r="L81" i="38"/>
  <c r="H38" i="38"/>
  <c r="J32" i="19"/>
  <c r="J31" i="38"/>
  <c r="D102" i="38"/>
  <c r="G102" i="38" s="1"/>
  <c r="AM102" i="13" s="1"/>
  <c r="L27" i="38"/>
  <c r="E30" i="38"/>
  <c r="G30" i="38" s="1"/>
  <c r="AM30" i="13" s="1"/>
  <c r="N33" i="38"/>
  <c r="L31" i="29"/>
  <c r="D61" i="38"/>
  <c r="H33" i="38"/>
  <c r="F23" i="38"/>
  <c r="H8" i="38"/>
  <c r="L44" i="38"/>
  <c r="O44" i="38" s="1"/>
  <c r="AO44" i="13" s="1"/>
  <c r="L59" i="38"/>
  <c r="O59" i="38" s="1"/>
  <c r="AO59" i="13" s="1"/>
  <c r="H57" i="38"/>
  <c r="K57" i="38" s="1"/>
  <c r="AN57" i="13" s="1"/>
  <c r="L9" i="38"/>
  <c r="L100" i="29"/>
  <c r="O100" i="29" s="1"/>
  <c r="AR100" i="13" s="1"/>
  <c r="F19" i="38"/>
  <c r="H105" i="38"/>
  <c r="J83" i="38"/>
  <c r="D5" i="38"/>
  <c r="J79" i="38"/>
  <c r="D78" i="38"/>
  <c r="J93" i="38"/>
  <c r="F22" i="38"/>
  <c r="L62" i="38"/>
  <c r="L39" i="38"/>
  <c r="M93" i="38"/>
  <c r="N31" i="38"/>
  <c r="N47" i="38"/>
  <c r="J96" i="38"/>
  <c r="J33" i="38"/>
  <c r="D54" i="38"/>
  <c r="G54" i="38" s="1"/>
  <c r="AM54" i="13" s="1"/>
  <c r="D26" i="20"/>
  <c r="G26" i="20" s="1"/>
  <c r="AF26" i="13" s="1"/>
  <c r="E6" i="38"/>
  <c r="D10" i="38"/>
  <c r="H103" i="38"/>
  <c r="L102" i="29"/>
  <c r="O102" i="29" s="1"/>
  <c r="AR102" i="13" s="1"/>
  <c r="D55" i="20"/>
  <c r="G55" i="20" s="1"/>
  <c r="AF55" i="13" s="1"/>
  <c r="DC55" i="13" s="1"/>
  <c r="H79" i="38"/>
  <c r="H31" i="38"/>
  <c r="L26" i="38"/>
  <c r="M24" i="38"/>
  <c r="M46" i="38"/>
  <c r="H54" i="38"/>
  <c r="K54" i="38" s="1"/>
  <c r="AN54" i="13" s="1"/>
  <c r="D84" i="20"/>
  <c r="G84" i="20" s="1"/>
  <c r="AF84" i="13" s="1"/>
  <c r="J47" i="38"/>
  <c r="F13" i="38"/>
  <c r="J97" i="38"/>
  <c r="L32" i="29"/>
  <c r="D27" i="38"/>
  <c r="L21" i="38"/>
  <c r="E28" i="38"/>
  <c r="G28" i="38" s="1"/>
  <c r="AM28" i="13" s="1"/>
  <c r="E10" i="38"/>
  <c r="N19" i="38"/>
  <c r="L97" i="29"/>
  <c r="O97" i="29" s="1"/>
  <c r="AR97" i="13" s="1"/>
  <c r="D93" i="38"/>
  <c r="H42" i="38"/>
  <c r="K42" i="38" s="1"/>
  <c r="AN42" i="13" s="1"/>
  <c r="H40" i="38"/>
  <c r="H85" i="38"/>
  <c r="K85" i="38" s="1"/>
  <c r="AN85" i="13" s="1"/>
  <c r="D66" i="16"/>
  <c r="F98" i="38"/>
  <c r="D49" i="38"/>
  <c r="F81" i="38"/>
  <c r="L24" i="38"/>
  <c r="M92" i="38"/>
  <c r="H92" i="38"/>
  <c r="L91" i="38"/>
  <c r="D51" i="38"/>
  <c r="J45" i="38"/>
  <c r="L99" i="29"/>
  <c r="O99" i="29" s="1"/>
  <c r="AR99" i="13" s="1"/>
  <c r="I28" i="38"/>
  <c r="K28" i="38" s="1"/>
  <c r="AN28" i="13" s="1"/>
  <c r="M105" i="38"/>
  <c r="D73" i="16"/>
  <c r="N81" i="38"/>
  <c r="J38" i="38"/>
  <c r="N48" i="38"/>
  <c r="M103" i="38"/>
  <c r="I5" i="38"/>
  <c r="F52" i="38"/>
  <c r="J26" i="38"/>
  <c r="D52" i="21"/>
  <c r="D95" i="38"/>
  <c r="D6" i="38"/>
  <c r="L53" i="38"/>
  <c r="J98" i="38"/>
  <c r="D33" i="38"/>
  <c r="F91" i="38"/>
  <c r="I22" i="19"/>
  <c r="I12" i="19" s="1"/>
  <c r="D74" i="21"/>
  <c r="D73" i="21"/>
  <c r="J12" i="38"/>
  <c r="D85" i="21"/>
  <c r="G85" i="21" s="1"/>
  <c r="AH85" i="13" s="1"/>
  <c r="D22" i="21"/>
  <c r="F24" i="18"/>
  <c r="H39" i="21"/>
  <c r="H85" i="21"/>
  <c r="K85" i="21" s="1"/>
  <c r="AI85" i="13" s="1"/>
  <c r="H52" i="17"/>
  <c r="K52" i="17" s="1"/>
  <c r="T52" i="13" s="1"/>
  <c r="H51" i="21"/>
  <c r="D17" i="20"/>
  <c r="G17" i="20" s="1"/>
  <c r="AF17" i="13" s="1"/>
  <c r="CV17" i="13" s="1"/>
  <c r="H45" i="21"/>
  <c r="D43" i="20"/>
  <c r="G43" i="20" s="1"/>
  <c r="AF43" i="13" s="1"/>
  <c r="D54" i="20"/>
  <c r="G54" i="20" s="1"/>
  <c r="AF54" i="13" s="1"/>
  <c r="D27" i="20"/>
  <c r="G27" i="20" s="1"/>
  <c r="AF27" i="13" s="1"/>
  <c r="D79" i="20"/>
  <c r="G79" i="20" s="1"/>
  <c r="AF79" i="13" s="1"/>
  <c r="H50" i="21"/>
  <c r="D81" i="20"/>
  <c r="G81" i="20" s="1"/>
  <c r="AF81" i="13" s="1"/>
  <c r="D83" i="20"/>
  <c r="G83" i="20" s="1"/>
  <c r="AF83" i="13" s="1"/>
  <c r="F40" i="18"/>
  <c r="H22" i="21"/>
  <c r="D86" i="20"/>
  <c r="G86" i="20" s="1"/>
  <c r="AF86" i="13" s="1"/>
  <c r="D102" i="20"/>
  <c r="G102" i="20" s="1"/>
  <c r="AF102" i="13" s="1"/>
  <c r="I54" i="16"/>
  <c r="H24" i="21"/>
  <c r="F97" i="18"/>
  <c r="D33" i="20"/>
  <c r="G33" i="20" s="1"/>
  <c r="AF33" i="13" s="1"/>
  <c r="F103" i="18"/>
  <c r="D42" i="20"/>
  <c r="G42" i="20" s="1"/>
  <c r="AF42" i="13" s="1"/>
  <c r="H66" i="21"/>
  <c r="H82" i="21"/>
  <c r="K82" i="21" s="1"/>
  <c r="AI82" i="13" s="1"/>
  <c r="D50" i="20"/>
  <c r="G50" i="20" s="1"/>
  <c r="AF50" i="13" s="1"/>
  <c r="H47" i="21"/>
  <c r="D56" i="20"/>
  <c r="G56" i="20" s="1"/>
  <c r="AF56" i="13" s="1"/>
  <c r="H73" i="21"/>
  <c r="D78" i="20"/>
  <c r="G78" i="20" s="1"/>
  <c r="AF78" i="13" s="1"/>
  <c r="H40" i="21"/>
  <c r="H23" i="21"/>
  <c r="H78" i="21"/>
  <c r="K78" i="21" s="1"/>
  <c r="AI78" i="13" s="1"/>
  <c r="H70" i="21"/>
  <c r="D25" i="20"/>
  <c r="G25" i="20" s="1"/>
  <c r="AF25" i="13" s="1"/>
  <c r="H56" i="17"/>
  <c r="K56" i="17" s="1"/>
  <c r="T56" i="13" s="1"/>
  <c r="D49" i="20"/>
  <c r="G49" i="20" s="1"/>
  <c r="AF49" i="13" s="1"/>
  <c r="H32" i="17"/>
  <c r="K32" i="17" s="1"/>
  <c r="T32" i="13" s="1"/>
  <c r="H72" i="21"/>
  <c r="H53" i="21"/>
  <c r="D97" i="38"/>
  <c r="E70" i="21"/>
  <c r="E54" i="21"/>
  <c r="L92" i="38"/>
  <c r="M7" i="38"/>
  <c r="H91" i="38"/>
  <c r="I103" i="38"/>
  <c r="D81" i="38"/>
  <c r="E40" i="21"/>
  <c r="E69" i="21"/>
  <c r="L103" i="38"/>
  <c r="E23" i="38"/>
  <c r="H95" i="38"/>
  <c r="U47" i="19"/>
  <c r="W47" i="19" s="1"/>
  <c r="AE47" i="13" s="1"/>
  <c r="E55" i="21"/>
  <c r="E50" i="21"/>
  <c r="E40" i="38"/>
  <c r="H6" i="38"/>
  <c r="L38" i="38"/>
  <c r="E5" i="38"/>
  <c r="D20" i="38"/>
  <c r="H84" i="21"/>
  <c r="K84" i="21" s="1"/>
  <c r="AI84" i="13" s="1"/>
  <c r="L48" i="38"/>
  <c r="E24" i="21"/>
  <c r="I24" i="38"/>
  <c r="M12" i="38"/>
  <c r="M60" i="38"/>
  <c r="H12" i="38"/>
  <c r="L19" i="38"/>
  <c r="D57" i="38"/>
  <c r="G57" i="38" s="1"/>
  <c r="AM57" i="13" s="1"/>
  <c r="H81" i="38"/>
  <c r="H83" i="21"/>
  <c r="K83" i="21" s="1"/>
  <c r="AI83" i="13" s="1"/>
  <c r="E51" i="21"/>
  <c r="I8" i="38"/>
  <c r="H36" i="38"/>
  <c r="K36" i="38" s="1"/>
  <c r="AN36" i="13" s="1"/>
  <c r="E8" i="38"/>
  <c r="H35" i="38"/>
  <c r="K35" i="38" s="1"/>
  <c r="AN35" i="13" s="1"/>
  <c r="H38" i="21"/>
  <c r="H62" i="38"/>
  <c r="E66" i="21"/>
  <c r="I96" i="38"/>
  <c r="H43" i="38"/>
  <c r="K43" i="38" s="1"/>
  <c r="AN43" i="13" s="1"/>
  <c r="L13" i="38"/>
  <c r="D42" i="38"/>
  <c r="G42" i="38" s="1"/>
  <c r="AM42" i="13" s="1"/>
  <c r="F51" i="21"/>
  <c r="E38" i="21"/>
  <c r="E48" i="21"/>
  <c r="H52" i="21"/>
  <c r="D14" i="38"/>
  <c r="E68" i="21"/>
  <c r="E45" i="21"/>
  <c r="H80" i="21"/>
  <c r="K80" i="21" s="1"/>
  <c r="AI80" i="13" s="1"/>
  <c r="L83" i="38"/>
  <c r="E53" i="21"/>
  <c r="E33" i="21"/>
  <c r="G33" i="21" s="1"/>
  <c r="AH33" i="13" s="1"/>
  <c r="D43" i="38"/>
  <c r="G43" i="38" s="1"/>
  <c r="AM43" i="13" s="1"/>
  <c r="H60" i="38"/>
  <c r="E47" i="38"/>
  <c r="I92" i="38"/>
  <c r="D9" i="38"/>
  <c r="E32" i="21"/>
  <c r="G32" i="21" s="1"/>
  <c r="AH32" i="13" s="1"/>
  <c r="F49" i="21"/>
  <c r="H81" i="21"/>
  <c r="K81" i="21" s="1"/>
  <c r="AI81" i="13" s="1"/>
  <c r="E23" i="21"/>
  <c r="E46" i="21"/>
  <c r="D60" i="38"/>
  <c r="E93" i="38"/>
  <c r="I62" i="38"/>
  <c r="L96" i="38"/>
  <c r="P51" i="19"/>
  <c r="S51" i="19" s="1"/>
  <c r="AD51" i="13" s="1"/>
  <c r="H55" i="38"/>
  <c r="K55" i="38" s="1"/>
  <c r="AN55" i="13" s="1"/>
  <c r="F79" i="38"/>
  <c r="L98" i="38"/>
  <c r="D32" i="38"/>
  <c r="F47" i="38"/>
  <c r="F20" i="38"/>
  <c r="H52" i="38"/>
  <c r="N25" i="38"/>
  <c r="J20" i="38"/>
  <c r="N24" i="38"/>
  <c r="D100" i="38"/>
  <c r="G100" i="38" s="1"/>
  <c r="AM100" i="13" s="1"/>
  <c r="H56" i="38"/>
  <c r="K56" i="38" s="1"/>
  <c r="AN56" i="13" s="1"/>
  <c r="F48" i="21"/>
  <c r="F55" i="21"/>
  <c r="N52" i="38"/>
  <c r="F95" i="38"/>
  <c r="L35" i="38"/>
  <c r="O35" i="38" s="1"/>
  <c r="AO35" i="13" s="1"/>
  <c r="E95" i="38"/>
  <c r="H96" i="38"/>
  <c r="H100" i="38"/>
  <c r="K100" i="38" s="1"/>
  <c r="AN100" i="13" s="1"/>
  <c r="M39" i="38"/>
  <c r="H78" i="38"/>
  <c r="M28" i="38"/>
  <c r="O28" i="38" s="1"/>
  <c r="AO28" i="13" s="1"/>
  <c r="M96" i="38"/>
  <c r="H61" i="38"/>
  <c r="D58" i="38"/>
  <c r="G58" i="38" s="1"/>
  <c r="AM58" i="13" s="1"/>
  <c r="M13" i="38"/>
  <c r="I45" i="38"/>
  <c r="M29" i="38"/>
  <c r="O29" i="38" s="1"/>
  <c r="AO29" i="13" s="1"/>
  <c r="I47" i="38"/>
  <c r="D86" i="38"/>
  <c r="G86" i="38" s="1"/>
  <c r="AM86" i="13" s="1"/>
  <c r="R40" i="19"/>
  <c r="R24" i="19"/>
  <c r="N50" i="38"/>
  <c r="F14" i="38"/>
  <c r="F92" i="38"/>
  <c r="N13" i="38"/>
  <c r="F62" i="38"/>
  <c r="F71" i="21"/>
  <c r="F82" i="38"/>
  <c r="N46" i="38"/>
  <c r="R14" i="19"/>
  <c r="R39" i="19"/>
  <c r="S39" i="19" s="1"/>
  <c r="AD39" i="13" s="1"/>
  <c r="N93" i="38"/>
  <c r="J23" i="38"/>
  <c r="R38" i="19"/>
  <c r="J94" i="38"/>
  <c r="F83" i="38"/>
  <c r="N39" i="38"/>
  <c r="R40" i="18"/>
  <c r="R95" i="18"/>
  <c r="F70" i="21"/>
  <c r="J50" i="38"/>
  <c r="J24" i="38"/>
  <c r="R31" i="18"/>
  <c r="R105" i="18"/>
  <c r="J92" i="38"/>
  <c r="J62" i="38"/>
  <c r="F53" i="21"/>
  <c r="H51" i="16"/>
  <c r="N82" i="38"/>
  <c r="J21" i="38"/>
  <c r="D84" i="38"/>
  <c r="G84" i="38" s="1"/>
  <c r="AM84" i="13" s="1"/>
  <c r="H65" i="16"/>
  <c r="H69" i="16"/>
  <c r="D39" i="38"/>
  <c r="H74" i="21"/>
  <c r="H50" i="38"/>
  <c r="H86" i="21"/>
  <c r="K86" i="21" s="1"/>
  <c r="AI86" i="13" s="1"/>
  <c r="D69" i="21"/>
  <c r="D23" i="21"/>
  <c r="D82" i="21"/>
  <c r="G82" i="21" s="1"/>
  <c r="AH82" i="13" s="1"/>
  <c r="D84" i="21"/>
  <c r="G84" i="21" s="1"/>
  <c r="AH84" i="13" s="1"/>
  <c r="D40" i="21"/>
  <c r="D38" i="21"/>
  <c r="F52" i="21"/>
  <c r="D46" i="21"/>
  <c r="D71" i="21"/>
  <c r="D86" i="21"/>
  <c r="G86" i="21" s="1"/>
  <c r="AH86" i="13" s="1"/>
  <c r="F14" i="19"/>
  <c r="G14" i="19" s="1"/>
  <c r="AA14" i="13" s="1"/>
  <c r="D66" i="21"/>
  <c r="L33" i="38"/>
  <c r="L86" i="21"/>
  <c r="O86" i="21" s="1"/>
  <c r="AJ86" i="13" s="1"/>
  <c r="D79" i="21"/>
  <c r="G79" i="21" s="1"/>
  <c r="AH79" i="13" s="1"/>
  <c r="D24" i="21"/>
  <c r="D45" i="21"/>
  <c r="D49" i="21"/>
  <c r="D48" i="21"/>
  <c r="D53" i="21"/>
  <c r="H82" i="19"/>
  <c r="K82" i="19" s="1"/>
  <c r="AB82" i="13" s="1"/>
  <c r="D70" i="21"/>
  <c r="D72" i="21"/>
  <c r="G72" i="21" s="1"/>
  <c r="AH72" i="13" s="1"/>
  <c r="D81" i="21"/>
  <c r="G81" i="21" s="1"/>
  <c r="AH81" i="13" s="1"/>
  <c r="D80" i="21"/>
  <c r="G80" i="21" s="1"/>
  <c r="AH80" i="13" s="1"/>
  <c r="Q80" i="18"/>
  <c r="D68" i="21"/>
  <c r="D50" i="21"/>
  <c r="E12" i="21"/>
  <c r="G12" i="21" s="1"/>
  <c r="AH12" i="13" s="1"/>
  <c r="F23" i="19"/>
  <c r="J14" i="19"/>
  <c r="F22" i="19"/>
  <c r="F33" i="19"/>
  <c r="G33" i="19" s="1"/>
  <c r="AA33" i="13" s="1"/>
  <c r="J38" i="19"/>
  <c r="U33" i="18"/>
  <c r="U9" i="18"/>
  <c r="W9" i="18" s="1"/>
  <c r="Z9" i="13" s="1"/>
  <c r="U49" i="18"/>
  <c r="U23" i="18"/>
  <c r="F13" i="19"/>
  <c r="U48" i="18"/>
  <c r="F24" i="19"/>
  <c r="G24" i="19" s="1"/>
  <c r="AA24" i="13" s="1"/>
  <c r="U63" i="18"/>
  <c r="U86" i="18"/>
  <c r="F31" i="19"/>
  <c r="U84" i="18"/>
  <c r="F38" i="19"/>
  <c r="U22" i="18"/>
  <c r="F32" i="19"/>
  <c r="F39" i="19"/>
  <c r="E73" i="21"/>
  <c r="E31" i="21"/>
  <c r="G31" i="21" s="1"/>
  <c r="AH31" i="13" s="1"/>
  <c r="E52" i="21"/>
  <c r="E67" i="21"/>
  <c r="E14" i="21"/>
  <c r="G14" i="21" s="1"/>
  <c r="AH14" i="13" s="1"/>
  <c r="Q71" i="18"/>
  <c r="G82" i="15"/>
  <c r="M82" i="13" s="1"/>
  <c r="P65" i="18"/>
  <c r="D51" i="15"/>
  <c r="G51" i="15" s="1"/>
  <c r="M51" i="13" s="1"/>
  <c r="P61" i="18"/>
  <c r="P81" i="18"/>
  <c r="Q95" i="18"/>
  <c r="Q104" i="18"/>
  <c r="I47" i="19"/>
  <c r="K47" i="19" s="1"/>
  <c r="AB47" i="13" s="1"/>
  <c r="I61" i="19"/>
  <c r="K61" i="19" s="1"/>
  <c r="AB61" i="13" s="1"/>
  <c r="H68" i="21"/>
  <c r="I12" i="21"/>
  <c r="K12" i="21" s="1"/>
  <c r="AI12" i="13" s="1"/>
  <c r="I92" i="19"/>
  <c r="K92" i="19" s="1"/>
  <c r="AB92" i="13" s="1"/>
  <c r="I40" i="19"/>
  <c r="D18" i="20"/>
  <c r="G18" i="20" s="1"/>
  <c r="AF18" i="13" s="1"/>
  <c r="CV18" i="13" s="1"/>
  <c r="I91" i="19"/>
  <c r="K91" i="19" s="1"/>
  <c r="AB91" i="13" s="1"/>
  <c r="D83" i="21"/>
  <c r="G83" i="21" s="1"/>
  <c r="AH83" i="13" s="1"/>
  <c r="I94" i="19"/>
  <c r="K94" i="19" s="1"/>
  <c r="AB94" i="13" s="1"/>
  <c r="I60" i="19"/>
  <c r="K60" i="19" s="1"/>
  <c r="AB60" i="13" s="1"/>
  <c r="I39" i="19"/>
  <c r="D39" i="21"/>
  <c r="I95" i="19"/>
  <c r="K95" i="19" s="1"/>
  <c r="AB95" i="13" s="1"/>
  <c r="H67" i="21"/>
  <c r="I45" i="19"/>
  <c r="K45" i="19" s="1"/>
  <c r="AB45" i="13" s="1"/>
  <c r="D51" i="21"/>
  <c r="H48" i="21"/>
  <c r="D32" i="20"/>
  <c r="G32" i="20" s="1"/>
  <c r="AF32" i="13" s="1"/>
  <c r="I73" i="21"/>
  <c r="I39" i="21"/>
  <c r="D47" i="21"/>
  <c r="H46" i="21"/>
  <c r="I52" i="21"/>
  <c r="Q105" i="18"/>
  <c r="P82" i="18"/>
  <c r="U82" i="18"/>
  <c r="N32" i="19"/>
  <c r="E69" i="15"/>
  <c r="Q100" i="18"/>
  <c r="S100" i="18" s="1"/>
  <c r="Y100" i="13" s="1"/>
  <c r="Q102" i="18"/>
  <c r="S102" i="18" s="1"/>
  <c r="Y102" i="13" s="1"/>
  <c r="U81" i="18"/>
  <c r="D48" i="15"/>
  <c r="G48" i="15" s="1"/>
  <c r="M48" i="13" s="1"/>
  <c r="U50" i="18"/>
  <c r="U65" i="18"/>
  <c r="M96" i="19"/>
  <c r="O96" i="19" s="1"/>
  <c r="AC96" i="13" s="1"/>
  <c r="D84" i="15"/>
  <c r="G84" i="15" s="1"/>
  <c r="M84" i="13" s="1"/>
  <c r="E22" i="15"/>
  <c r="E38" i="15" s="1"/>
  <c r="E97" i="15"/>
  <c r="J39" i="19"/>
  <c r="H49" i="21"/>
  <c r="P71" i="18"/>
  <c r="U31" i="18"/>
  <c r="U85" i="18"/>
  <c r="M62" i="19"/>
  <c r="O62" i="19" s="1"/>
  <c r="AC62" i="13" s="1"/>
  <c r="N33" i="19"/>
  <c r="D78" i="15"/>
  <c r="G78" i="15" s="1"/>
  <c r="M78" i="13" s="1"/>
  <c r="E100" i="15"/>
  <c r="J22" i="19"/>
  <c r="U62" i="18"/>
  <c r="N31" i="19"/>
  <c r="E103" i="15"/>
  <c r="J31" i="19"/>
  <c r="J23" i="19"/>
  <c r="N22" i="19"/>
  <c r="G79" i="15"/>
  <c r="M79" i="13" s="1"/>
  <c r="E72" i="15"/>
  <c r="J12" i="19"/>
  <c r="J13" i="19"/>
  <c r="P56" i="18"/>
  <c r="D67" i="21"/>
  <c r="U80" i="18"/>
  <c r="D67" i="18"/>
  <c r="Q98" i="18"/>
  <c r="U38" i="18"/>
  <c r="D51" i="18"/>
  <c r="E12" i="15"/>
  <c r="J24" i="19"/>
  <c r="P79" i="18"/>
  <c r="Q97" i="18"/>
  <c r="U7" i="18"/>
  <c r="W7" i="18" s="1"/>
  <c r="Z7" i="13" s="1"/>
  <c r="U55" i="18"/>
  <c r="T33" i="18"/>
  <c r="Q101" i="18"/>
  <c r="S101" i="18" s="1"/>
  <c r="Y101" i="13" s="1"/>
  <c r="Q96" i="18"/>
  <c r="U27" i="18"/>
  <c r="W27" i="18" s="1"/>
  <c r="Z27" i="13" s="1"/>
  <c r="U52" i="18"/>
  <c r="U102" i="18"/>
  <c r="W102" i="18" s="1"/>
  <c r="Z102" i="13" s="1"/>
  <c r="D42" i="15"/>
  <c r="E45" i="15"/>
  <c r="P69" i="18"/>
  <c r="P63" i="18"/>
  <c r="U32" i="18"/>
  <c r="U39" i="18"/>
  <c r="T61" i="18"/>
  <c r="Q92" i="18"/>
  <c r="P83" i="18"/>
  <c r="U54" i="18"/>
  <c r="E98" i="18"/>
  <c r="G98" i="18" s="1"/>
  <c r="V98" i="13" s="1"/>
  <c r="G56" i="15"/>
  <c r="M56" i="13" s="1"/>
  <c r="D19" i="15"/>
  <c r="U24" i="18"/>
  <c r="U46" i="18"/>
  <c r="W46" i="18" s="1"/>
  <c r="Z46" i="13" s="1"/>
  <c r="P52" i="18"/>
  <c r="M91" i="19"/>
  <c r="O91" i="19" s="1"/>
  <c r="AC91" i="13" s="1"/>
  <c r="P62" i="18"/>
  <c r="U83" i="18"/>
  <c r="M46" i="19"/>
  <c r="O46" i="19" s="1"/>
  <c r="AC46" i="13" s="1"/>
  <c r="M40" i="19"/>
  <c r="U95" i="18"/>
  <c r="P49" i="18"/>
  <c r="U30" i="18"/>
  <c r="W30" i="18" s="1"/>
  <c r="Z30" i="13" s="1"/>
  <c r="R23" i="19"/>
  <c r="R22" i="19"/>
  <c r="H71" i="21"/>
  <c r="N40" i="18"/>
  <c r="I46" i="19"/>
  <c r="K46" i="19" s="1"/>
  <c r="AB46" i="13" s="1"/>
  <c r="I38" i="19"/>
  <c r="R12" i="19"/>
  <c r="D48" i="20"/>
  <c r="G48" i="20" s="1"/>
  <c r="AF48" i="13" s="1"/>
  <c r="D100" i="20"/>
  <c r="G100" i="20" s="1"/>
  <c r="AF100" i="13" s="1"/>
  <c r="R32" i="19"/>
  <c r="D31" i="20"/>
  <c r="G31" i="20" s="1"/>
  <c r="AF31" i="13" s="1"/>
  <c r="R31" i="19"/>
  <c r="F12" i="19"/>
  <c r="D101" i="20"/>
  <c r="G101" i="20" s="1"/>
  <c r="AF101" i="13" s="1"/>
  <c r="M93" i="19"/>
  <c r="O93" i="19" s="1"/>
  <c r="AC93" i="13" s="1"/>
  <c r="M10" i="18"/>
  <c r="O10" i="18" s="1"/>
  <c r="X10" i="13" s="1"/>
  <c r="M45" i="19"/>
  <c r="O45" i="19" s="1"/>
  <c r="AC45" i="13" s="1"/>
  <c r="M95" i="19"/>
  <c r="O95" i="19" s="1"/>
  <c r="AC95" i="13" s="1"/>
  <c r="P49" i="19"/>
  <c r="S49" i="19" s="1"/>
  <c r="AD49" i="13" s="1"/>
  <c r="U39" i="19"/>
  <c r="P84" i="19"/>
  <c r="S84" i="19" s="1"/>
  <c r="AD84" i="13" s="1"/>
  <c r="U60" i="19"/>
  <c r="W60" i="19" s="1"/>
  <c r="AE60" i="13" s="1"/>
  <c r="F60" i="16"/>
  <c r="P31" i="19"/>
  <c r="T83" i="19"/>
  <c r="W83" i="19" s="1"/>
  <c r="AE83" i="13" s="1"/>
  <c r="U62" i="19"/>
  <c r="W62" i="19" s="1"/>
  <c r="AE62" i="13" s="1"/>
  <c r="U95" i="19"/>
  <c r="W95" i="19" s="1"/>
  <c r="AE95" i="13" s="1"/>
  <c r="P33" i="19"/>
  <c r="D51" i="19"/>
  <c r="G51" i="19" s="1"/>
  <c r="AA51" i="13" s="1"/>
  <c r="D31" i="19"/>
  <c r="U61" i="19"/>
  <c r="W61" i="19" s="1"/>
  <c r="AE61" i="13" s="1"/>
  <c r="T79" i="19"/>
  <c r="W79" i="19" s="1"/>
  <c r="AE79" i="13" s="1"/>
  <c r="T50" i="19"/>
  <c r="W50" i="19" s="1"/>
  <c r="AE50" i="13" s="1"/>
  <c r="U24" i="19"/>
  <c r="U14" i="19" s="1"/>
  <c r="D49" i="19"/>
  <c r="G49" i="19" s="1"/>
  <c r="AA49" i="13" s="1"/>
  <c r="D32" i="19"/>
  <c r="D53" i="19"/>
  <c r="G53" i="19" s="1"/>
  <c r="AA53" i="13" s="1"/>
  <c r="M22" i="17"/>
  <c r="O22" i="17" s="1"/>
  <c r="U22" i="13" s="1"/>
  <c r="P85" i="19"/>
  <c r="S85" i="19" s="1"/>
  <c r="AD85" i="13" s="1"/>
  <c r="T51" i="19"/>
  <c r="W51" i="19" s="1"/>
  <c r="AE51" i="13" s="1"/>
  <c r="D55" i="19"/>
  <c r="G55" i="19" s="1"/>
  <c r="AA55" i="13" s="1"/>
  <c r="P52" i="19"/>
  <c r="S52" i="19" s="1"/>
  <c r="AD52" i="13" s="1"/>
  <c r="T31" i="19"/>
  <c r="P55" i="19"/>
  <c r="S55" i="19" s="1"/>
  <c r="AD55" i="13" s="1"/>
  <c r="T86" i="19"/>
  <c r="W86" i="19" s="1"/>
  <c r="AE86" i="13" s="1"/>
  <c r="D48" i="19"/>
  <c r="G48" i="19" s="1"/>
  <c r="AA48" i="13" s="1"/>
  <c r="P83" i="19"/>
  <c r="S83" i="19" s="1"/>
  <c r="AD83" i="13" s="1"/>
  <c r="P48" i="19"/>
  <c r="S48" i="19" s="1"/>
  <c r="AD48" i="13" s="1"/>
  <c r="T33" i="19"/>
  <c r="P82" i="19"/>
  <c r="S82" i="19" s="1"/>
  <c r="AD82" i="13" s="1"/>
  <c r="U40" i="19"/>
  <c r="U22" i="19"/>
  <c r="U12" i="19" s="1"/>
  <c r="W12" i="19" s="1"/>
  <c r="AE12" i="13" s="1"/>
  <c r="P53" i="19"/>
  <c r="S53" i="19" s="1"/>
  <c r="AD53" i="13" s="1"/>
  <c r="H32" i="19"/>
  <c r="H49" i="19"/>
  <c r="K49" i="19" s="1"/>
  <c r="AB49" i="13" s="1"/>
  <c r="E60" i="17"/>
  <c r="G60" i="17" s="1"/>
  <c r="S60" i="13" s="1"/>
  <c r="E83" i="17"/>
  <c r="G83" i="17" s="1"/>
  <c r="S83" i="13" s="1"/>
  <c r="H50" i="19"/>
  <c r="K50" i="19" s="1"/>
  <c r="AB50" i="13" s="1"/>
  <c r="H48" i="19"/>
  <c r="K48" i="19" s="1"/>
  <c r="AB48" i="13" s="1"/>
  <c r="M64" i="18"/>
  <c r="M78" i="18"/>
  <c r="M25" i="18"/>
  <c r="O25" i="18" s="1"/>
  <c r="X25" i="13" s="1"/>
  <c r="M29" i="18"/>
  <c r="O29" i="18" s="1"/>
  <c r="X29" i="13" s="1"/>
  <c r="R33" i="19"/>
  <c r="M23" i="18"/>
  <c r="M9" i="18"/>
  <c r="O9" i="18" s="1"/>
  <c r="X9" i="13" s="1"/>
  <c r="D16" i="20"/>
  <c r="G16" i="20" s="1"/>
  <c r="AF16" i="13" s="1"/>
  <c r="CV16" i="13" s="1"/>
  <c r="M86" i="18"/>
  <c r="O86" i="18" s="1"/>
  <c r="X86" i="13" s="1"/>
  <c r="M31" i="18"/>
  <c r="M27" i="18"/>
  <c r="O27" i="18" s="1"/>
  <c r="X27" i="13" s="1"/>
  <c r="U23" i="19"/>
  <c r="U13" i="19" s="1"/>
  <c r="M94" i="19"/>
  <c r="O94" i="19" s="1"/>
  <c r="AC94" i="13" s="1"/>
  <c r="P56" i="19"/>
  <c r="S56" i="19" s="1"/>
  <c r="AD56" i="13" s="1"/>
  <c r="P31" i="18"/>
  <c r="D69" i="15"/>
  <c r="P54" i="19"/>
  <c r="S54" i="19" s="1"/>
  <c r="AD54" i="13" s="1"/>
  <c r="T49" i="19"/>
  <c r="W49" i="19" s="1"/>
  <c r="AE49" i="13" s="1"/>
  <c r="N23" i="19"/>
  <c r="U92" i="19"/>
  <c r="W92" i="19" s="1"/>
  <c r="AE92" i="13" s="1"/>
  <c r="T82" i="19"/>
  <c r="W82" i="19" s="1"/>
  <c r="AE82" i="13" s="1"/>
  <c r="P80" i="19"/>
  <c r="S80" i="19" s="1"/>
  <c r="AD80" i="13" s="1"/>
  <c r="P60" i="18"/>
  <c r="T81" i="19"/>
  <c r="W81" i="19" s="1"/>
  <c r="AE81" i="13" s="1"/>
  <c r="T32" i="19"/>
  <c r="P67" i="18"/>
  <c r="H53" i="18"/>
  <c r="D53" i="18"/>
  <c r="P78" i="18"/>
  <c r="M23" i="19"/>
  <c r="M13" i="19" s="1"/>
  <c r="H84" i="18"/>
  <c r="Q91" i="18"/>
  <c r="U5" i="18"/>
  <c r="W5" i="18" s="1"/>
  <c r="Z5" i="13" s="1"/>
  <c r="U64" i="18"/>
  <c r="M61" i="19"/>
  <c r="O61" i="19" s="1"/>
  <c r="AC61" i="13" s="1"/>
  <c r="M60" i="19"/>
  <c r="O60" i="19" s="1"/>
  <c r="AC60" i="13" s="1"/>
  <c r="P79" i="19"/>
  <c r="S79" i="19" s="1"/>
  <c r="AD79" i="13" s="1"/>
  <c r="Q69" i="18"/>
  <c r="P50" i="19"/>
  <c r="S50" i="19" s="1"/>
  <c r="AD50" i="13" s="1"/>
  <c r="M22" i="19"/>
  <c r="U60" i="18"/>
  <c r="T54" i="19"/>
  <c r="W54" i="19" s="1"/>
  <c r="AE54" i="13" s="1"/>
  <c r="M47" i="19"/>
  <c r="O47" i="19" s="1"/>
  <c r="AC47" i="13" s="1"/>
  <c r="P81" i="19"/>
  <c r="S81" i="19" s="1"/>
  <c r="AD81" i="13" s="1"/>
  <c r="P66" i="18"/>
  <c r="U45" i="19"/>
  <c r="W45" i="19" s="1"/>
  <c r="AE45" i="13" s="1"/>
  <c r="U51" i="18"/>
  <c r="N40" i="19"/>
  <c r="P32" i="19"/>
  <c r="P85" i="18"/>
  <c r="T80" i="19"/>
  <c r="W80" i="19" s="1"/>
  <c r="AE80" i="13" s="1"/>
  <c r="P78" i="19"/>
  <c r="S78" i="19" s="1"/>
  <c r="AD78" i="13" s="1"/>
  <c r="U38" i="19"/>
  <c r="M65" i="18"/>
  <c r="M80" i="18"/>
  <c r="F33" i="18"/>
  <c r="J105" i="18"/>
  <c r="H78" i="19"/>
  <c r="K78" i="19" s="1"/>
  <c r="AB78" i="13" s="1"/>
  <c r="D82" i="16"/>
  <c r="D67" i="16"/>
  <c r="E101" i="16"/>
  <c r="G101" i="16" s="1"/>
  <c r="O95" i="13" s="1"/>
  <c r="H50" i="17"/>
  <c r="K50" i="17" s="1"/>
  <c r="T50" i="13" s="1"/>
  <c r="D49" i="16"/>
  <c r="N104" i="18"/>
  <c r="M51" i="18"/>
  <c r="D52" i="19"/>
  <c r="G52" i="19" s="1"/>
  <c r="AA52" i="13" s="1"/>
  <c r="F22" i="18"/>
  <c r="M52" i="18"/>
  <c r="M45" i="18"/>
  <c r="O45" i="18" s="1"/>
  <c r="X45" i="13" s="1"/>
  <c r="M79" i="18"/>
  <c r="F99" i="18"/>
  <c r="F95" i="18"/>
  <c r="J93" i="18"/>
  <c r="L32" i="18"/>
  <c r="D85" i="19"/>
  <c r="G85" i="19" s="1"/>
  <c r="AA85" i="13" s="1"/>
  <c r="D80" i="19"/>
  <c r="G80" i="19" s="1"/>
  <c r="AA80" i="13" s="1"/>
  <c r="H86" i="19"/>
  <c r="K86" i="19" s="1"/>
  <c r="AB86" i="13" s="1"/>
  <c r="F104" i="16"/>
  <c r="R36" i="16"/>
  <c r="E99" i="16"/>
  <c r="D70" i="16"/>
  <c r="E103" i="16"/>
  <c r="H48" i="17"/>
  <c r="K48" i="17" s="1"/>
  <c r="T48" i="13" s="1"/>
  <c r="H53" i="17"/>
  <c r="K53" i="17" s="1"/>
  <c r="T53" i="13" s="1"/>
  <c r="F91" i="18"/>
  <c r="N22" i="18"/>
  <c r="M54" i="18"/>
  <c r="H52" i="19"/>
  <c r="K52" i="19" s="1"/>
  <c r="AB52" i="13" s="1"/>
  <c r="D86" i="19"/>
  <c r="G86" i="19" s="1"/>
  <c r="AA86" i="13" s="1"/>
  <c r="D84" i="19"/>
  <c r="G84" i="19" s="1"/>
  <c r="AA84" i="13" s="1"/>
  <c r="F94" i="18"/>
  <c r="F23" i="18"/>
  <c r="J95" i="18"/>
  <c r="D56" i="16"/>
  <c r="R13" i="16"/>
  <c r="R97" i="16"/>
  <c r="M62" i="18"/>
  <c r="N94" i="18"/>
  <c r="F93" i="18"/>
  <c r="D78" i="19"/>
  <c r="G78" i="19" s="1"/>
  <c r="AA78" i="13" s="1"/>
  <c r="H55" i="19"/>
  <c r="K55" i="19" s="1"/>
  <c r="AB55" i="13" s="1"/>
  <c r="R99" i="16"/>
  <c r="D50" i="16"/>
  <c r="D85" i="16"/>
  <c r="F104" i="18"/>
  <c r="F96" i="18"/>
  <c r="M7" i="18"/>
  <c r="O7" i="18" s="1"/>
  <c r="X7" i="13" s="1"/>
  <c r="M83" i="18"/>
  <c r="E104" i="16"/>
  <c r="J96" i="18"/>
  <c r="M46" i="18"/>
  <c r="O46" i="18" s="1"/>
  <c r="X46" i="13" s="1"/>
  <c r="H53" i="19"/>
  <c r="K53" i="19" s="1"/>
  <c r="AB53" i="13" s="1"/>
  <c r="M28" i="18"/>
  <c r="O28" i="18" s="1"/>
  <c r="X28" i="13" s="1"/>
  <c r="R35" i="16"/>
  <c r="N33" i="18"/>
  <c r="M38" i="18"/>
  <c r="J24" i="18"/>
  <c r="D56" i="19"/>
  <c r="G56" i="19" s="1"/>
  <c r="AA56" i="13" s="1"/>
  <c r="H85" i="19"/>
  <c r="K85" i="19" s="1"/>
  <c r="AB85" i="13" s="1"/>
  <c r="D63" i="16"/>
  <c r="D71" i="16"/>
  <c r="E96" i="16"/>
  <c r="N93" i="18"/>
  <c r="M33" i="18"/>
  <c r="M30" i="18"/>
  <c r="O30" i="18" s="1"/>
  <c r="X30" i="13" s="1"/>
  <c r="R6" i="16"/>
  <c r="H79" i="19"/>
  <c r="K79" i="19" s="1"/>
  <c r="AB79" i="13" s="1"/>
  <c r="M24" i="18"/>
  <c r="H33" i="19"/>
  <c r="K33" i="19" s="1"/>
  <c r="AB33" i="13" s="1"/>
  <c r="F39" i="18"/>
  <c r="R104" i="16"/>
  <c r="D54" i="16"/>
  <c r="F31" i="18"/>
  <c r="N39" i="18"/>
  <c r="F92" i="18"/>
  <c r="H83" i="19"/>
  <c r="K83" i="19" s="1"/>
  <c r="AB83" i="13" s="1"/>
  <c r="R92" i="16"/>
  <c r="N31" i="18"/>
  <c r="M47" i="18"/>
  <c r="O47" i="18" s="1"/>
  <c r="X47" i="13" s="1"/>
  <c r="N38" i="18"/>
  <c r="M61" i="18"/>
  <c r="J99" i="18"/>
  <c r="D81" i="19"/>
  <c r="G81" i="19" s="1"/>
  <c r="AA81" i="13" s="1"/>
  <c r="H31" i="19"/>
  <c r="D65" i="16"/>
  <c r="E95" i="16"/>
  <c r="E100" i="16"/>
  <c r="G100" i="16" s="1"/>
  <c r="O94" i="13" s="1"/>
  <c r="N24" i="18"/>
  <c r="M85" i="18"/>
  <c r="M40" i="18"/>
  <c r="M45" i="17"/>
  <c r="O45" i="17" s="1"/>
  <c r="U45" i="13" s="1"/>
  <c r="J97" i="18"/>
  <c r="E97" i="16"/>
  <c r="N103" i="18"/>
  <c r="N95" i="18"/>
  <c r="F105" i="18"/>
  <c r="M39" i="18"/>
  <c r="E93" i="16"/>
  <c r="R10" i="16"/>
  <c r="M22" i="18"/>
  <c r="N99" i="18"/>
  <c r="M81" i="18"/>
  <c r="F32" i="18"/>
  <c r="J38" i="18"/>
  <c r="D83" i="19"/>
  <c r="G83" i="19" s="1"/>
  <c r="AA83" i="13" s="1"/>
  <c r="H81" i="19"/>
  <c r="K81" i="19" s="1"/>
  <c r="AB81" i="13" s="1"/>
  <c r="D55" i="16"/>
  <c r="D32" i="16"/>
  <c r="E105" i="16"/>
  <c r="G105" i="16" s="1"/>
  <c r="O99" i="13" s="1"/>
  <c r="N97" i="18"/>
  <c r="M50" i="18"/>
  <c r="M49" i="18"/>
  <c r="D50" i="19"/>
  <c r="G50" i="19" s="1"/>
  <c r="AA50" i="13" s="1"/>
  <c r="E92" i="16"/>
  <c r="M32" i="18"/>
  <c r="D52" i="16"/>
  <c r="N98" i="18"/>
  <c r="M5" i="18"/>
  <c r="O5" i="18" s="1"/>
  <c r="X5" i="13" s="1"/>
  <c r="J94" i="18"/>
  <c r="D54" i="19"/>
  <c r="G54" i="19" s="1"/>
  <c r="AA54" i="13" s="1"/>
  <c r="H80" i="19"/>
  <c r="K80" i="19" s="1"/>
  <c r="AB80" i="13" s="1"/>
  <c r="I12" i="16"/>
  <c r="D72" i="16"/>
  <c r="D48" i="16"/>
  <c r="E102" i="16"/>
  <c r="G102" i="16" s="1"/>
  <c r="O96" i="13" s="1"/>
  <c r="H31" i="17"/>
  <c r="K31" i="17" s="1"/>
  <c r="T31" i="13" s="1"/>
  <c r="H54" i="17"/>
  <c r="K54" i="17" s="1"/>
  <c r="T54" i="13" s="1"/>
  <c r="N91" i="18"/>
  <c r="M56" i="18"/>
  <c r="M6" i="18"/>
  <c r="O6" i="18" s="1"/>
  <c r="X6" i="13" s="1"/>
  <c r="D53" i="16"/>
  <c r="N105" i="18"/>
  <c r="D64" i="16"/>
  <c r="M84" i="18"/>
  <c r="M26" i="18"/>
  <c r="O26" i="18" s="1"/>
  <c r="X26" i="13" s="1"/>
  <c r="J103" i="18"/>
  <c r="D79" i="19"/>
  <c r="G79" i="19" s="1"/>
  <c r="AA79" i="13" s="1"/>
  <c r="H51" i="19"/>
  <c r="K51" i="19" s="1"/>
  <c r="AB51" i="13" s="1"/>
  <c r="M62" i="17"/>
  <c r="O62" i="17" s="1"/>
  <c r="U62" i="13" s="1"/>
  <c r="D74" i="16"/>
  <c r="D51" i="16"/>
  <c r="E94" i="16"/>
  <c r="H51" i="17"/>
  <c r="K51" i="17" s="1"/>
  <c r="T51" i="13" s="1"/>
  <c r="N32" i="18"/>
  <c r="M8" i="18"/>
  <c r="O8" i="18" s="1"/>
  <c r="X8" i="13" s="1"/>
  <c r="M55" i="18"/>
  <c r="D82" i="19"/>
  <c r="G82" i="19" s="1"/>
  <c r="AA82" i="13" s="1"/>
  <c r="D78" i="16"/>
  <c r="N96" i="18"/>
  <c r="D83" i="16"/>
  <c r="R94" i="16"/>
  <c r="J104" i="18"/>
  <c r="D81" i="16"/>
  <c r="G81" i="16" s="1"/>
  <c r="O81" i="13" s="1"/>
  <c r="E91" i="16"/>
  <c r="M82" i="18"/>
  <c r="M60" i="18"/>
  <c r="L33" i="18"/>
  <c r="J22" i="18"/>
  <c r="H84" i="19"/>
  <c r="K84" i="19" s="1"/>
  <c r="AB84" i="13" s="1"/>
  <c r="M47" i="17"/>
  <c r="O47" i="17" s="1"/>
  <c r="U47" i="13" s="1"/>
  <c r="D80" i="16"/>
  <c r="D84" i="16"/>
  <c r="E98" i="16"/>
  <c r="H55" i="17"/>
  <c r="K55" i="17" s="1"/>
  <c r="T55" i="13" s="1"/>
  <c r="M48" i="18"/>
  <c r="O48" i="18" s="1"/>
  <c r="X48" i="13" s="1"/>
  <c r="R7" i="16"/>
  <c r="F38" i="18"/>
  <c r="E66" i="18"/>
  <c r="E97" i="18"/>
  <c r="E69" i="18"/>
  <c r="D55" i="18"/>
  <c r="M92" i="19"/>
  <c r="O92" i="19" s="1"/>
  <c r="AC92" i="13" s="1"/>
  <c r="N38" i="19"/>
  <c r="O38" i="19" s="1"/>
  <c r="AC38" i="13" s="1"/>
  <c r="T53" i="19"/>
  <c r="W53" i="19" s="1"/>
  <c r="AE53" i="13" s="1"/>
  <c r="N12" i="19"/>
  <c r="E99" i="18"/>
  <c r="D66" i="18"/>
  <c r="E91" i="18"/>
  <c r="D65" i="18"/>
  <c r="Q61" i="19"/>
  <c r="S61" i="19" s="1"/>
  <c r="AD61" i="13" s="1"/>
  <c r="T55" i="19"/>
  <c r="W55" i="19" s="1"/>
  <c r="AE55" i="13" s="1"/>
  <c r="D54" i="18"/>
  <c r="E67" i="18"/>
  <c r="E104" i="18"/>
  <c r="D80" i="18"/>
  <c r="G80" i="18" s="1"/>
  <c r="V80" i="13" s="1"/>
  <c r="M39" i="19"/>
  <c r="O39" i="19" s="1"/>
  <c r="AC39" i="13" s="1"/>
  <c r="Q24" i="19"/>
  <c r="Q14" i="19" s="1"/>
  <c r="M24" i="19"/>
  <c r="M14" i="19" s="1"/>
  <c r="H54" i="19"/>
  <c r="K54" i="19" s="1"/>
  <c r="AB54" i="13" s="1"/>
  <c r="D62" i="18"/>
  <c r="D86" i="18"/>
  <c r="Q40" i="19"/>
  <c r="D33" i="18"/>
  <c r="N14" i="19"/>
  <c r="N13" i="19"/>
  <c r="N24" i="19"/>
  <c r="D48" i="18"/>
  <c r="D85" i="18"/>
  <c r="D71" i="18"/>
  <c r="Q92" i="19"/>
  <c r="S92" i="19" s="1"/>
  <c r="AD92" i="13" s="1"/>
  <c r="E100" i="18"/>
  <c r="G100" i="18" s="1"/>
  <c r="V100" i="13" s="1"/>
  <c r="U96" i="19"/>
  <c r="W96" i="19" s="1"/>
  <c r="AE96" i="13" s="1"/>
  <c r="Q96" i="19"/>
  <c r="S96" i="19" s="1"/>
  <c r="AD96" i="13" s="1"/>
  <c r="E102" i="18"/>
  <c r="G102" i="18" s="1"/>
  <c r="V102" i="13" s="1"/>
  <c r="E103" i="18"/>
  <c r="E68" i="18"/>
  <c r="Q38" i="19"/>
  <c r="Q23" i="19"/>
  <c r="D31" i="18"/>
  <c r="D84" i="18"/>
  <c r="D61" i="18"/>
  <c r="Q60" i="19"/>
  <c r="S60" i="19" s="1"/>
  <c r="AD60" i="13" s="1"/>
  <c r="D79" i="18"/>
  <c r="D52" i="18"/>
  <c r="Q94" i="19"/>
  <c r="S94" i="19" s="1"/>
  <c r="AD94" i="13" s="1"/>
  <c r="E19" i="14"/>
  <c r="E95" i="18"/>
  <c r="D70" i="18"/>
  <c r="Q91" i="19"/>
  <c r="S91" i="19" s="1"/>
  <c r="AD91" i="13" s="1"/>
  <c r="D50" i="18"/>
  <c r="E71" i="18"/>
  <c r="Q47" i="19"/>
  <c r="S47" i="19" s="1"/>
  <c r="AD47" i="13" s="1"/>
  <c r="Q62" i="19"/>
  <c r="S62" i="19" s="1"/>
  <c r="AD62" i="13" s="1"/>
  <c r="D83" i="18"/>
  <c r="T78" i="19"/>
  <c r="W78" i="19" s="1"/>
  <c r="AE78" i="13" s="1"/>
  <c r="D56" i="18"/>
  <c r="E93" i="18"/>
  <c r="Q95" i="19"/>
  <c r="S95" i="19" s="1"/>
  <c r="AD95" i="13" s="1"/>
  <c r="E96" i="18"/>
  <c r="D78" i="18"/>
  <c r="E105" i="18"/>
  <c r="D69" i="18"/>
  <c r="E94" i="18"/>
  <c r="Q46" i="19"/>
  <c r="S46" i="19" s="1"/>
  <c r="AD46" i="13" s="1"/>
  <c r="D32" i="18"/>
  <c r="E70" i="18"/>
  <c r="E101" i="18"/>
  <c r="G101" i="18" s="1"/>
  <c r="V101" i="13" s="1"/>
  <c r="D64" i="18"/>
  <c r="D63" i="18"/>
  <c r="E92" i="18"/>
  <c r="Q93" i="19"/>
  <c r="S93" i="19" s="1"/>
  <c r="AD93" i="13" s="1"/>
  <c r="Q22" i="19"/>
  <c r="Q12" i="19" s="1"/>
  <c r="D60" i="18"/>
  <c r="T56" i="19"/>
  <c r="W56" i="19" s="1"/>
  <c r="AE56" i="13" s="1"/>
  <c r="Q45" i="19"/>
  <c r="S45" i="19" s="1"/>
  <c r="AD45" i="13" s="1"/>
  <c r="M53" i="18"/>
  <c r="D82" i="18"/>
  <c r="D81" i="18"/>
  <c r="D68" i="18"/>
  <c r="I28" i="18"/>
  <c r="K28" i="18" s="1"/>
  <c r="W28" i="13" s="1"/>
  <c r="I55" i="18"/>
  <c r="R23" i="18"/>
  <c r="R97" i="18"/>
  <c r="H80" i="16"/>
  <c r="Q32" i="18"/>
  <c r="I50" i="18"/>
  <c r="I31" i="18"/>
  <c r="Q9" i="18"/>
  <c r="S9" i="18" s="1"/>
  <c r="Y9" i="13" s="1"/>
  <c r="I45" i="18"/>
  <c r="K45" i="18" s="1"/>
  <c r="W45" i="13" s="1"/>
  <c r="R94" i="18"/>
  <c r="R32" i="18"/>
  <c r="I24" i="16"/>
  <c r="Q23" i="18"/>
  <c r="Q27" i="18"/>
  <c r="S27" i="18" s="1"/>
  <c r="Y27" i="13" s="1"/>
  <c r="Q78" i="18"/>
  <c r="Q49" i="18"/>
  <c r="I32" i="18"/>
  <c r="Q47" i="18"/>
  <c r="S47" i="18" s="1"/>
  <c r="Y47" i="13" s="1"/>
  <c r="I5" i="18"/>
  <c r="K5" i="18" s="1"/>
  <c r="W5" i="13" s="1"/>
  <c r="I47" i="18"/>
  <c r="K47" i="18" s="1"/>
  <c r="W47" i="13" s="1"/>
  <c r="R104" i="18"/>
  <c r="I91" i="16"/>
  <c r="H73" i="16"/>
  <c r="I85" i="18"/>
  <c r="Q64" i="18"/>
  <c r="Q33" i="18"/>
  <c r="I38" i="18"/>
  <c r="I60" i="18"/>
  <c r="R39" i="18"/>
  <c r="L79" i="16"/>
  <c r="H79" i="16"/>
  <c r="R38" i="18"/>
  <c r="Q6" i="18"/>
  <c r="S6" i="18" s="1"/>
  <c r="Y6" i="13" s="1"/>
  <c r="Q84" i="18"/>
  <c r="I62" i="18"/>
  <c r="I84" i="18"/>
  <c r="R92" i="18"/>
  <c r="I23" i="16"/>
  <c r="Q55" i="18"/>
  <c r="P33" i="18"/>
  <c r="Q24" i="18"/>
  <c r="Q48" i="18"/>
  <c r="Q8" i="18"/>
  <c r="S8" i="18" s="1"/>
  <c r="Y8" i="13" s="1"/>
  <c r="I46" i="18"/>
  <c r="K46" i="18" s="1"/>
  <c r="W46" i="13" s="1"/>
  <c r="I51" i="18"/>
  <c r="R96" i="18"/>
  <c r="H78" i="16"/>
  <c r="I33" i="18"/>
  <c r="Q10" i="18"/>
  <c r="S10" i="18" s="1"/>
  <c r="Y10" i="13" s="1"/>
  <c r="Q79" i="18"/>
  <c r="I25" i="18"/>
  <c r="K25" i="18" s="1"/>
  <c r="W25" i="13" s="1"/>
  <c r="Q29" i="18"/>
  <c r="S29" i="18" s="1"/>
  <c r="Y29" i="13" s="1"/>
  <c r="I40" i="18"/>
  <c r="I80" i="18"/>
  <c r="I48" i="18"/>
  <c r="I64" i="18"/>
  <c r="R22" i="18"/>
  <c r="H82" i="16"/>
  <c r="Q40" i="18"/>
  <c r="I49" i="18"/>
  <c r="I6" i="18"/>
  <c r="K6" i="18" s="1"/>
  <c r="W6" i="13" s="1"/>
  <c r="R91" i="18"/>
  <c r="H83" i="16"/>
  <c r="I92" i="16"/>
  <c r="I83" i="18"/>
  <c r="Q63" i="18"/>
  <c r="I23" i="18"/>
  <c r="I52" i="18"/>
  <c r="I26" i="18"/>
  <c r="K26" i="18" s="1"/>
  <c r="W26" i="13" s="1"/>
  <c r="R33" i="18"/>
  <c r="H81" i="16"/>
  <c r="I22" i="18"/>
  <c r="Q83" i="18"/>
  <c r="I27" i="18"/>
  <c r="K27" i="18" s="1"/>
  <c r="W27" i="13" s="1"/>
  <c r="I81" i="18"/>
  <c r="I86" i="18"/>
  <c r="R93" i="18"/>
  <c r="I63" i="18"/>
  <c r="Q62" i="18"/>
  <c r="I8" i="18"/>
  <c r="K8" i="18" s="1"/>
  <c r="W8" i="13" s="1"/>
  <c r="I30" i="18"/>
  <c r="K30" i="18" s="1"/>
  <c r="W30" i="13" s="1"/>
  <c r="I56" i="18"/>
  <c r="R24" i="18"/>
  <c r="I105" i="16"/>
  <c r="Q56" i="18"/>
  <c r="Q28" i="18"/>
  <c r="S28" i="18" s="1"/>
  <c r="Y28" i="13" s="1"/>
  <c r="Q82" i="18"/>
  <c r="I7" i="18"/>
  <c r="K7" i="18" s="1"/>
  <c r="W7" i="13" s="1"/>
  <c r="I78" i="18"/>
  <c r="R99" i="18"/>
  <c r="I93" i="16"/>
  <c r="Q81" i="18"/>
  <c r="H86" i="16"/>
  <c r="Q61" i="18"/>
  <c r="Q7" i="18"/>
  <c r="S7" i="18" s="1"/>
  <c r="Y7" i="13" s="1"/>
  <c r="Q45" i="18"/>
  <c r="S45" i="18" s="1"/>
  <c r="Y45" i="13" s="1"/>
  <c r="Q85" i="18"/>
  <c r="I9" i="18"/>
  <c r="K9" i="18" s="1"/>
  <c r="W9" i="13" s="1"/>
  <c r="I10" i="18"/>
  <c r="K10" i="18" s="1"/>
  <c r="W10" i="13" s="1"/>
  <c r="R98" i="18"/>
  <c r="I95" i="16"/>
  <c r="H70" i="16"/>
  <c r="P32" i="18"/>
  <c r="L80" i="16"/>
  <c r="T60" i="18"/>
  <c r="U69" i="18"/>
  <c r="T84" i="18"/>
  <c r="T67" i="18"/>
  <c r="T71" i="18"/>
  <c r="U91" i="18"/>
  <c r="U92" i="18"/>
  <c r="T56" i="18"/>
  <c r="T68" i="18"/>
  <c r="T82" i="18"/>
  <c r="U96" i="18"/>
  <c r="T70" i="18"/>
  <c r="T81" i="18"/>
  <c r="T53" i="18"/>
  <c r="U101" i="18"/>
  <c r="W101" i="18" s="1"/>
  <c r="Z101" i="13" s="1"/>
  <c r="T80" i="18"/>
  <c r="T83" i="18"/>
  <c r="T50" i="18"/>
  <c r="U99" i="18"/>
  <c r="U93" i="18"/>
  <c r="U68" i="18"/>
  <c r="T48" i="18"/>
  <c r="U105" i="18"/>
  <c r="U70" i="18"/>
  <c r="T66" i="18"/>
  <c r="T51" i="18"/>
  <c r="U104" i="18"/>
  <c r="U67" i="18"/>
  <c r="U71" i="18"/>
  <c r="T63" i="18"/>
  <c r="T86" i="18"/>
  <c r="T52" i="18"/>
  <c r="T49" i="18"/>
  <c r="T65" i="18"/>
  <c r="T55" i="18"/>
  <c r="T32" i="18"/>
  <c r="U66" i="18"/>
  <c r="T62" i="18"/>
  <c r="T79" i="18"/>
  <c r="W79" i="18" s="1"/>
  <c r="Z79" i="13" s="1"/>
  <c r="T54" i="18"/>
  <c r="T85" i="18"/>
  <c r="U103" i="18"/>
  <c r="T31" i="18"/>
  <c r="T69" i="18"/>
  <c r="U100" i="18"/>
  <c r="W100" i="18" s="1"/>
  <c r="Z100" i="13" s="1"/>
  <c r="U97" i="18"/>
  <c r="U94" i="18"/>
  <c r="U98" i="18"/>
  <c r="T64" i="18"/>
  <c r="E24" i="17"/>
  <c r="G24" i="17" s="1"/>
  <c r="S24" i="13" s="1"/>
  <c r="Q65" i="18"/>
  <c r="Q39" i="18"/>
  <c r="Q54" i="18"/>
  <c r="U28" i="18"/>
  <c r="W28" i="18" s="1"/>
  <c r="Z28" i="13" s="1"/>
  <c r="J23" i="18"/>
  <c r="Q103" i="18"/>
  <c r="S103" i="18" s="1"/>
  <c r="Y103" i="13" s="1"/>
  <c r="P48" i="18"/>
  <c r="I24" i="18"/>
  <c r="R91" i="16"/>
  <c r="E82" i="17"/>
  <c r="G82" i="17" s="1"/>
  <c r="S82" i="13" s="1"/>
  <c r="U61" i="18"/>
  <c r="U25" i="18"/>
  <c r="W25" i="18" s="1"/>
  <c r="Z25" i="13" s="1"/>
  <c r="Q51" i="18"/>
  <c r="Q60" i="18"/>
  <c r="Q86" i="18"/>
  <c r="U6" i="18"/>
  <c r="W6" i="18" s="1"/>
  <c r="Z6" i="13" s="1"/>
  <c r="Q66" i="18"/>
  <c r="P51" i="18"/>
  <c r="Q38" i="18"/>
  <c r="Q26" i="18"/>
  <c r="S26" i="18" s="1"/>
  <c r="Y26" i="13" s="1"/>
  <c r="Q52" i="18"/>
  <c r="U29" i="18"/>
  <c r="W29" i="18" s="1"/>
  <c r="Z29" i="13" s="1"/>
  <c r="J39" i="18"/>
  <c r="R39" i="16"/>
  <c r="P53" i="18"/>
  <c r="S53" i="18" s="1"/>
  <c r="Y53" i="13" s="1"/>
  <c r="P54" i="18"/>
  <c r="Q68" i="18"/>
  <c r="Q99" i="18"/>
  <c r="R46" i="16"/>
  <c r="R60" i="16"/>
  <c r="Q30" i="18"/>
  <c r="S30" i="18" s="1"/>
  <c r="Y30" i="13" s="1"/>
  <c r="J32" i="18"/>
  <c r="I54" i="18"/>
  <c r="E47" i="17"/>
  <c r="G47" i="17" s="1"/>
  <c r="S47" i="13" s="1"/>
  <c r="P55" i="18"/>
  <c r="P64" i="18"/>
  <c r="U8" i="18"/>
  <c r="W8" i="18" s="1"/>
  <c r="Z8" i="13" s="1"/>
  <c r="U26" i="18"/>
  <c r="W26" i="18" s="1"/>
  <c r="Z26" i="13" s="1"/>
  <c r="I29" i="18"/>
  <c r="K29" i="18" s="1"/>
  <c r="W29" i="13" s="1"/>
  <c r="Q31" i="18"/>
  <c r="P80" i="18"/>
  <c r="Q67" i="18"/>
  <c r="U10" i="18"/>
  <c r="W10" i="18" s="1"/>
  <c r="Z10" i="13" s="1"/>
  <c r="R103" i="16"/>
  <c r="M49" i="16"/>
  <c r="Q22" i="18"/>
  <c r="I53" i="18"/>
  <c r="H85" i="16"/>
  <c r="K85" i="16" s="1"/>
  <c r="P85" i="13" s="1"/>
  <c r="Q94" i="18"/>
  <c r="P84" i="18"/>
  <c r="R96" i="16"/>
  <c r="U78" i="18"/>
  <c r="W78" i="18" s="1"/>
  <c r="Z78" i="13" s="1"/>
  <c r="U56" i="18"/>
  <c r="Q46" i="18"/>
  <c r="S46" i="18" s="1"/>
  <c r="Y46" i="13" s="1"/>
  <c r="Q70" i="18"/>
  <c r="S70" i="18" s="1"/>
  <c r="Y70" i="13" s="1"/>
  <c r="P68" i="18"/>
  <c r="M83" i="17"/>
  <c r="O83" i="17" s="1"/>
  <c r="U83" i="13" s="1"/>
  <c r="R105" i="16"/>
  <c r="E45" i="17"/>
  <c r="G45" i="17" s="1"/>
  <c r="S45" i="13" s="1"/>
  <c r="U53" i="18"/>
  <c r="J31" i="18"/>
  <c r="J33" i="18"/>
  <c r="R47" i="16"/>
  <c r="P86" i="18"/>
  <c r="Q93" i="18"/>
  <c r="M46" i="17"/>
  <c r="O46" i="17" s="1"/>
  <c r="U46" i="13" s="1"/>
  <c r="D31" i="17"/>
  <c r="G31" i="17" s="1"/>
  <c r="S31" i="13" s="1"/>
  <c r="D33" i="17"/>
  <c r="G33" i="17" s="1"/>
  <c r="S33" i="13" s="1"/>
  <c r="E84" i="17"/>
  <c r="G84" i="17" s="1"/>
  <c r="S84" i="13" s="1"/>
  <c r="D32" i="17"/>
  <c r="G32" i="17" s="1"/>
  <c r="S32" i="13" s="1"/>
  <c r="I39" i="18"/>
  <c r="H64" i="18"/>
  <c r="H67" i="18"/>
  <c r="I93" i="18"/>
  <c r="H31" i="18"/>
  <c r="I71" i="18"/>
  <c r="I66" i="18"/>
  <c r="K66" i="18" s="1"/>
  <c r="W66" i="13" s="1"/>
  <c r="H78" i="18"/>
  <c r="Q5" i="18"/>
  <c r="S5" i="18" s="1"/>
  <c r="Y5" i="13" s="1"/>
  <c r="H86" i="18"/>
  <c r="I69" i="18"/>
  <c r="H83" i="18"/>
  <c r="H50" i="18"/>
  <c r="I97" i="18"/>
  <c r="Q50" i="18"/>
  <c r="H55" i="18"/>
  <c r="H81" i="18"/>
  <c r="H49" i="18"/>
  <c r="R34" i="16"/>
  <c r="Q25" i="18"/>
  <c r="S25" i="18" s="1"/>
  <c r="Y25" i="13" s="1"/>
  <c r="I100" i="18"/>
  <c r="K100" i="18" s="1"/>
  <c r="W100" i="13" s="1"/>
  <c r="H52" i="18"/>
  <c r="H62" i="18"/>
  <c r="R93" i="16"/>
  <c r="I105" i="18"/>
  <c r="I104" i="18"/>
  <c r="H56" i="18"/>
  <c r="H61" i="18"/>
  <c r="K61" i="18" s="1"/>
  <c r="W61" i="13" s="1"/>
  <c r="H33" i="18"/>
  <c r="I94" i="18"/>
  <c r="I95" i="18"/>
  <c r="I101" i="18"/>
  <c r="K101" i="18" s="1"/>
  <c r="W101" i="13" s="1"/>
  <c r="I92" i="18"/>
  <c r="H63" i="18"/>
  <c r="H68" i="18"/>
  <c r="H71" i="18"/>
  <c r="H54" i="18"/>
  <c r="I91" i="18"/>
  <c r="I70" i="18"/>
  <c r="H32" i="18"/>
  <c r="H70" i="18"/>
  <c r="H79" i="18"/>
  <c r="I102" i="18"/>
  <c r="K102" i="18" s="1"/>
  <c r="W102" i="13" s="1"/>
  <c r="H69" i="18"/>
  <c r="H82" i="18"/>
  <c r="I98" i="18"/>
  <c r="K98" i="18" s="1"/>
  <c r="W98" i="13" s="1"/>
  <c r="I103" i="18"/>
  <c r="H48" i="18"/>
  <c r="H65" i="18"/>
  <c r="H85" i="18"/>
  <c r="I67" i="18"/>
  <c r="I68" i="18"/>
  <c r="H51" i="18"/>
  <c r="I99" i="18"/>
  <c r="H60" i="18"/>
  <c r="I96" i="18"/>
  <c r="H80" i="18"/>
  <c r="U40" i="18"/>
  <c r="I82" i="18"/>
  <c r="F45" i="16"/>
  <c r="G49" i="15"/>
  <c r="M49" i="13" s="1"/>
  <c r="E22" i="17"/>
  <c r="G22" i="17" s="1"/>
  <c r="S22" i="13" s="1"/>
  <c r="L71" i="16"/>
  <c r="M97" i="16"/>
  <c r="L74" i="16"/>
  <c r="L65" i="16"/>
  <c r="L55" i="16"/>
  <c r="M93" i="16"/>
  <c r="L54" i="16"/>
  <c r="M100" i="16"/>
  <c r="O100" i="16" s="1"/>
  <c r="Q94" i="13" s="1"/>
  <c r="L31" i="16"/>
  <c r="M92" i="16"/>
  <c r="M101" i="16"/>
  <c r="O101" i="16" s="1"/>
  <c r="Q95" i="13" s="1"/>
  <c r="P50" i="18"/>
  <c r="M103" i="16"/>
  <c r="L32" i="16"/>
  <c r="L86" i="16"/>
  <c r="L33" i="16"/>
  <c r="L84" i="16"/>
  <c r="L49" i="16"/>
  <c r="M91" i="16"/>
  <c r="L52" i="16"/>
  <c r="M95" i="16"/>
  <c r="L85" i="16"/>
  <c r="M99" i="16"/>
  <c r="M96" i="16"/>
  <c r="M104" i="16"/>
  <c r="L68" i="16"/>
  <c r="F69" i="15"/>
  <c r="F5" i="15"/>
  <c r="E46" i="17"/>
  <c r="G46" i="17" s="1"/>
  <c r="S46" i="13" s="1"/>
  <c r="F72" i="15"/>
  <c r="F103" i="15"/>
  <c r="L82" i="16"/>
  <c r="F91" i="15"/>
  <c r="F31" i="15"/>
  <c r="M23" i="16"/>
  <c r="F12" i="15"/>
  <c r="F97" i="15"/>
  <c r="F38" i="15"/>
  <c r="F45" i="15"/>
  <c r="G36" i="15"/>
  <c r="M36" i="13" s="1"/>
  <c r="F22" i="15"/>
  <c r="F42" i="15"/>
  <c r="E61" i="17"/>
  <c r="G61" i="17" s="1"/>
  <c r="S61" i="13" s="1"/>
  <c r="F100" i="15"/>
  <c r="H74" i="16"/>
  <c r="H54" i="16"/>
  <c r="D55" i="17"/>
  <c r="G55" i="17" s="1"/>
  <c r="S55" i="13" s="1"/>
  <c r="M61" i="17"/>
  <c r="O61" i="17" s="1"/>
  <c r="U61" i="13" s="1"/>
  <c r="H32" i="16"/>
  <c r="H64" i="16"/>
  <c r="I98" i="16"/>
  <c r="E36" i="16"/>
  <c r="R22" i="16"/>
  <c r="R38" i="16"/>
  <c r="M84" i="17"/>
  <c r="O84" i="17" s="1"/>
  <c r="U84" i="13" s="1"/>
  <c r="H48" i="16"/>
  <c r="H68" i="16"/>
  <c r="E62" i="16"/>
  <c r="F103" i="16"/>
  <c r="M60" i="17"/>
  <c r="O60" i="17" s="1"/>
  <c r="U60" i="13" s="1"/>
  <c r="H84" i="16"/>
  <c r="H72" i="16"/>
  <c r="E73" i="16"/>
  <c r="R9" i="16"/>
  <c r="R61" i="16"/>
  <c r="H33" i="16"/>
  <c r="M82" i="17"/>
  <c r="O82" i="17" s="1"/>
  <c r="U82" i="13" s="1"/>
  <c r="D53" i="17"/>
  <c r="G53" i="17" s="1"/>
  <c r="S53" i="13" s="1"/>
  <c r="H31" i="16"/>
  <c r="I101" i="16"/>
  <c r="K101" i="16" s="1"/>
  <c r="P95" i="13" s="1"/>
  <c r="R14" i="16"/>
  <c r="I97" i="16"/>
  <c r="D54" i="15"/>
  <c r="G54" i="15" s="1"/>
  <c r="M54" i="13" s="1"/>
  <c r="D51" i="17"/>
  <c r="G51" i="17" s="1"/>
  <c r="S51" i="13" s="1"/>
  <c r="H55" i="16"/>
  <c r="R62" i="16"/>
  <c r="R23" i="16"/>
  <c r="R8" i="16"/>
  <c r="M24" i="17"/>
  <c r="O24" i="17" s="1"/>
  <c r="U24" i="13" s="1"/>
  <c r="H53" i="16"/>
  <c r="H71" i="16"/>
  <c r="H50" i="16"/>
  <c r="M60" i="16"/>
  <c r="L53" i="16"/>
  <c r="D31" i="16"/>
  <c r="R5" i="16"/>
  <c r="M98" i="16"/>
  <c r="D33" i="16"/>
  <c r="D49" i="17"/>
  <c r="G49" i="17" s="1"/>
  <c r="S49" i="13" s="1"/>
  <c r="E23" i="16"/>
  <c r="D50" i="17"/>
  <c r="G50" i="17" s="1"/>
  <c r="S50" i="13" s="1"/>
  <c r="D86" i="16"/>
  <c r="D48" i="17"/>
  <c r="G48" i="17" s="1"/>
  <c r="S48" i="13" s="1"/>
  <c r="E24" i="16"/>
  <c r="L69" i="16"/>
  <c r="L64" i="16"/>
  <c r="L48" i="16"/>
  <c r="L83" i="16"/>
  <c r="L70" i="16"/>
  <c r="E5" i="15"/>
  <c r="D52" i="17"/>
  <c r="G52" i="17" s="1"/>
  <c r="S52" i="13" s="1"/>
  <c r="M102" i="16"/>
  <c r="O102" i="16" s="1"/>
  <c r="Q96" i="13" s="1"/>
  <c r="L66" i="16"/>
  <c r="L81" i="16"/>
  <c r="R45" i="16"/>
  <c r="H33" i="17"/>
  <c r="K33" i="17" s="1"/>
  <c r="T33" i="13" s="1"/>
  <c r="L78" i="16"/>
  <c r="D56" i="17"/>
  <c r="G56" i="17" s="1"/>
  <c r="S56" i="13" s="1"/>
  <c r="L67" i="16"/>
  <c r="R24" i="16"/>
  <c r="M105" i="16"/>
  <c r="O105" i="16" s="1"/>
  <c r="Q99" i="13" s="1"/>
  <c r="I99" i="16"/>
  <c r="H49" i="16"/>
  <c r="D68" i="16"/>
  <c r="E62" i="17"/>
  <c r="G62" i="17" s="1"/>
  <c r="S62" i="13" s="1"/>
  <c r="H56" i="16"/>
  <c r="I104" i="16"/>
  <c r="I96" i="16"/>
  <c r="H63" i="16"/>
  <c r="I102" i="16"/>
  <c r="K102" i="16" s="1"/>
  <c r="P96" i="13" s="1"/>
  <c r="J91" i="16"/>
  <c r="J60" i="16"/>
  <c r="J35" i="16"/>
  <c r="J8" i="16"/>
  <c r="J62" i="16"/>
  <c r="R95" i="16"/>
  <c r="I100" i="16"/>
  <c r="K100" i="16" s="1"/>
  <c r="P94" i="13" s="1"/>
  <c r="R40" i="16"/>
  <c r="R12" i="16"/>
  <c r="I31" i="16"/>
  <c r="I72" i="16"/>
  <c r="I53" i="16"/>
  <c r="I84" i="16"/>
  <c r="I35" i="16"/>
  <c r="I86" i="16"/>
  <c r="I65" i="16"/>
  <c r="I40" i="16"/>
  <c r="I63" i="16"/>
  <c r="I36" i="16"/>
  <c r="I47" i="16"/>
  <c r="I69" i="16"/>
  <c r="I13" i="16"/>
  <c r="I55" i="16"/>
  <c r="I10" i="16"/>
  <c r="I61" i="16"/>
  <c r="I66" i="16"/>
  <c r="I82" i="16"/>
  <c r="I83" i="16"/>
  <c r="I67" i="16"/>
  <c r="I49" i="16"/>
  <c r="I68" i="16"/>
  <c r="I5" i="16"/>
  <c r="I52" i="16"/>
  <c r="I38" i="16"/>
  <c r="I71" i="16"/>
  <c r="I9" i="16"/>
  <c r="I7" i="16"/>
  <c r="I56" i="16"/>
  <c r="I74" i="16"/>
  <c r="I14" i="16"/>
  <c r="I73" i="16"/>
  <c r="I33" i="16"/>
  <c r="I79" i="16"/>
  <c r="I34" i="16"/>
  <c r="K34" i="16" s="1"/>
  <c r="P34" i="13" s="1"/>
  <c r="I64" i="16"/>
  <c r="I6" i="16"/>
  <c r="I39" i="16"/>
  <c r="I80" i="16"/>
  <c r="I45" i="16"/>
  <c r="I46" i="16"/>
  <c r="I8" i="16"/>
  <c r="I51" i="16"/>
  <c r="I60" i="16"/>
  <c r="I70" i="16"/>
  <c r="I32" i="16"/>
  <c r="I81" i="16"/>
  <c r="I62" i="16"/>
  <c r="I48" i="16"/>
  <c r="I78" i="16"/>
  <c r="I50" i="16"/>
  <c r="J36" i="16"/>
  <c r="E64" i="16"/>
  <c r="F12" i="16"/>
  <c r="F22" i="16"/>
  <c r="F39" i="16"/>
  <c r="J23" i="16"/>
  <c r="E86" i="16"/>
  <c r="E66" i="16"/>
  <c r="E67" i="16"/>
  <c r="F24" i="16"/>
  <c r="F96" i="16"/>
  <c r="J61" i="16"/>
  <c r="J104" i="16"/>
  <c r="E5" i="16"/>
  <c r="E38" i="16"/>
  <c r="F9" i="16"/>
  <c r="F14" i="16"/>
  <c r="J10" i="16"/>
  <c r="E40" i="16"/>
  <c r="E31" i="16"/>
  <c r="E70" i="16"/>
  <c r="J92" i="16"/>
  <c r="F47" i="16"/>
  <c r="J13" i="16"/>
  <c r="J97" i="16"/>
  <c r="E53" i="16"/>
  <c r="J24" i="16"/>
  <c r="J22" i="16"/>
  <c r="K22" i="16" s="1"/>
  <c r="P22" i="13" s="1"/>
  <c r="E79" i="16"/>
  <c r="G79" i="16" s="1"/>
  <c r="O79" i="13" s="1"/>
  <c r="E63" i="16"/>
  <c r="E35" i="16"/>
  <c r="E46" i="16"/>
  <c r="F10" i="16"/>
  <c r="F46" i="16"/>
  <c r="M24" i="16"/>
  <c r="F35" i="16"/>
  <c r="J39" i="16"/>
  <c r="J94" i="16"/>
  <c r="J14" i="16"/>
  <c r="E10" i="16"/>
  <c r="E8" i="16"/>
  <c r="E45" i="16"/>
  <c r="E49" i="16"/>
  <c r="F23" i="16"/>
  <c r="J9" i="16"/>
  <c r="E7" i="16"/>
  <c r="J45" i="16"/>
  <c r="E6" i="16"/>
  <c r="F40" i="16"/>
  <c r="F97" i="16"/>
  <c r="J103" i="16"/>
  <c r="J12" i="16"/>
  <c r="E34" i="16"/>
  <c r="E72" i="16"/>
  <c r="E54" i="16"/>
  <c r="E52" i="16"/>
  <c r="J7" i="16"/>
  <c r="F91" i="16"/>
  <c r="J40" i="16"/>
  <c r="E71" i="16"/>
  <c r="E61" i="16"/>
  <c r="F13" i="16"/>
  <c r="F95" i="16"/>
  <c r="J93" i="16"/>
  <c r="E50" i="16"/>
  <c r="E74" i="16"/>
  <c r="E65" i="16"/>
  <c r="E55" i="16"/>
  <c r="F5" i="16"/>
  <c r="E78" i="16"/>
  <c r="F36" i="16"/>
  <c r="J96" i="16"/>
  <c r="E69" i="16"/>
  <c r="E80" i="16"/>
  <c r="E32" i="16"/>
  <c r="E85" i="16"/>
  <c r="F8" i="16"/>
  <c r="L73" i="16"/>
  <c r="E84" i="16"/>
  <c r="J6" i="16"/>
  <c r="E33" i="16"/>
  <c r="J98" i="16"/>
  <c r="E12" i="16"/>
  <c r="E82" i="16"/>
  <c r="E48" i="16"/>
  <c r="J47" i="16"/>
  <c r="J5" i="16"/>
  <c r="F98" i="16"/>
  <c r="F94" i="16"/>
  <c r="F6" i="16"/>
  <c r="J105" i="16"/>
  <c r="E14" i="16"/>
  <c r="E47" i="16"/>
  <c r="E51" i="16"/>
  <c r="AA95" i="14"/>
  <c r="J95" i="13" s="1"/>
  <c r="J38" i="16"/>
  <c r="F34" i="16"/>
  <c r="F38" i="16"/>
  <c r="F93" i="16"/>
  <c r="J95" i="16"/>
  <c r="E9" i="16"/>
  <c r="E68" i="16"/>
  <c r="E13" i="16"/>
  <c r="F92" i="16"/>
  <c r="F7" i="16"/>
  <c r="F61" i="16"/>
  <c r="E83" i="16"/>
  <c r="E60" i="16"/>
  <c r="F62" i="16"/>
  <c r="J46" i="16"/>
  <c r="J99" i="16"/>
  <c r="E39" i="16"/>
  <c r="E56" i="16"/>
  <c r="F99" i="16"/>
  <c r="M14" i="16"/>
  <c r="M32" i="16"/>
  <c r="M13" i="16"/>
  <c r="M67" i="16"/>
  <c r="M48" i="16"/>
  <c r="M83" i="16"/>
  <c r="E60" i="15"/>
  <c r="M35" i="16"/>
  <c r="M82" i="16"/>
  <c r="M52" i="16"/>
  <c r="M7" i="16"/>
  <c r="M56" i="16"/>
  <c r="M66" i="16"/>
  <c r="M62" i="16"/>
  <c r="M70" i="16"/>
  <c r="M74" i="16"/>
  <c r="M84" i="16"/>
  <c r="M80" i="16"/>
  <c r="M31" i="16"/>
  <c r="M53" i="16"/>
  <c r="M63" i="16"/>
  <c r="O63" i="16" s="1"/>
  <c r="Q63" i="13" s="1"/>
  <c r="M51" i="16"/>
  <c r="M50" i="16"/>
  <c r="M71" i="16"/>
  <c r="M10" i="16"/>
  <c r="M55" i="16"/>
  <c r="M64" i="16"/>
  <c r="M47" i="16"/>
  <c r="M68" i="16"/>
  <c r="M65" i="16"/>
  <c r="M86" i="16"/>
  <c r="M46" i="16"/>
  <c r="M69" i="16"/>
  <c r="M5" i="16"/>
  <c r="M73" i="16"/>
  <c r="M34" i="16"/>
  <c r="M39" i="16"/>
  <c r="M85" i="16"/>
  <c r="M36" i="16"/>
  <c r="M79" i="16"/>
  <c r="M8" i="16"/>
  <c r="I103" i="16"/>
  <c r="L51" i="16"/>
  <c r="H52" i="16"/>
  <c r="L72" i="16"/>
  <c r="H66" i="16"/>
  <c r="M45" i="16"/>
  <c r="H67" i="16"/>
  <c r="L50" i="16"/>
  <c r="M72" i="16"/>
  <c r="M38" i="16"/>
  <c r="M6" i="16"/>
  <c r="M40" i="16"/>
  <c r="L56" i="16"/>
  <c r="M12" i="16"/>
  <c r="E22" i="16"/>
  <c r="D69" i="16"/>
  <c r="M9" i="16"/>
  <c r="I94" i="16"/>
  <c r="M81" i="16"/>
  <c r="M54" i="16"/>
  <c r="M94" i="16"/>
  <c r="M33" i="16"/>
  <c r="M78" i="16"/>
  <c r="E8" i="15"/>
  <c r="D31" i="15"/>
  <c r="D81" i="15"/>
  <c r="G81" i="15" s="1"/>
  <c r="M81" i="13" s="1"/>
  <c r="F60" i="15"/>
  <c r="F34" i="15"/>
  <c r="G34" i="15" s="1"/>
  <c r="M34" i="13" s="1"/>
  <c r="F8" i="15"/>
  <c r="D72" i="15"/>
  <c r="M22" i="16"/>
  <c r="F31" i="14"/>
  <c r="F12" i="14"/>
  <c r="G103" i="14"/>
  <c r="E103" i="13" s="1"/>
  <c r="F91" i="14"/>
  <c r="F22" i="14"/>
  <c r="F45" i="14"/>
  <c r="F72" i="14"/>
  <c r="F34" i="14"/>
  <c r="G34" i="14" s="1"/>
  <c r="E34" i="13" s="1"/>
  <c r="F69" i="14"/>
  <c r="F60" i="14"/>
  <c r="F38" i="14"/>
  <c r="O34" i="14"/>
  <c r="G34" i="13" s="1"/>
  <c r="E38" i="14"/>
  <c r="H101" i="80"/>
  <c r="K101" i="80" s="1"/>
  <c r="AL101" i="13" s="1"/>
  <c r="H86" i="80"/>
  <c r="K86" i="80" s="1"/>
  <c r="AL86" i="13" s="1"/>
  <c r="D83" i="80"/>
  <c r="D48" i="80"/>
  <c r="E42" i="14"/>
  <c r="H80" i="80"/>
  <c r="H78" i="80"/>
  <c r="E28" i="14"/>
  <c r="G28" i="14" s="1"/>
  <c r="E28" i="13" s="1"/>
  <c r="H51" i="80"/>
  <c r="H32" i="80"/>
  <c r="H102" i="80"/>
  <c r="K102" i="80" s="1"/>
  <c r="AL102" i="13" s="1"/>
  <c r="E45" i="14"/>
  <c r="E91" i="14"/>
  <c r="D99" i="80"/>
  <c r="E12" i="14"/>
  <c r="E60" i="14"/>
  <c r="E22" i="14"/>
  <c r="AA94" i="14"/>
  <c r="J94" i="13" s="1"/>
  <c r="D81" i="80"/>
  <c r="H83" i="80"/>
  <c r="D54" i="80"/>
  <c r="G54" i="80" s="1"/>
  <c r="AK54" i="13" s="1"/>
  <c r="H48" i="80"/>
  <c r="H98" i="80"/>
  <c r="S28" i="14"/>
  <c r="H28" i="13" s="1"/>
  <c r="H52" i="80"/>
  <c r="K34" i="14"/>
  <c r="F34" i="13" s="1"/>
  <c r="AA34" i="14"/>
  <c r="J34" i="13" s="1"/>
  <c r="E13" i="80"/>
  <c r="AA61" i="14"/>
  <c r="J61" i="13" s="1"/>
  <c r="AE34" i="14"/>
  <c r="K34" i="13" s="1"/>
  <c r="I7" i="80"/>
  <c r="I95" i="80"/>
  <c r="E28" i="80"/>
  <c r="G28" i="80" s="1"/>
  <c r="AK28" i="13" s="1"/>
  <c r="AA28" i="14"/>
  <c r="J28" i="13" s="1"/>
  <c r="H79" i="80"/>
  <c r="D82" i="80"/>
  <c r="E30" i="80"/>
  <c r="G30" i="80" s="1"/>
  <c r="AK30" i="13" s="1"/>
  <c r="E45" i="80"/>
  <c r="AI29" i="14"/>
  <c r="L29" i="13" s="1"/>
  <c r="W95" i="14"/>
  <c r="I95" i="13" s="1"/>
  <c r="W29" i="14"/>
  <c r="I29" i="13" s="1"/>
  <c r="W92" i="14"/>
  <c r="I92" i="13" s="1"/>
  <c r="E7" i="80"/>
  <c r="I13" i="80"/>
  <c r="I96" i="80"/>
  <c r="I10" i="80"/>
  <c r="H49" i="80"/>
  <c r="D49" i="80"/>
  <c r="D51" i="80"/>
  <c r="I30" i="80"/>
  <c r="K30" i="80" s="1"/>
  <c r="AL30" i="13" s="1"/>
  <c r="E91" i="80"/>
  <c r="H50" i="80"/>
  <c r="D79" i="80"/>
  <c r="I105" i="80"/>
  <c r="E10" i="80"/>
  <c r="I61" i="80"/>
  <c r="I91" i="80"/>
  <c r="D78" i="80"/>
  <c r="D80" i="80"/>
  <c r="E6" i="80"/>
  <c r="I5" i="80"/>
  <c r="I46" i="80"/>
  <c r="I40" i="80"/>
  <c r="I103" i="80"/>
  <c r="E39" i="80"/>
  <c r="I104" i="80"/>
  <c r="E105" i="80"/>
  <c r="E12" i="80"/>
  <c r="E103" i="80"/>
  <c r="D52" i="80"/>
  <c r="I29" i="80"/>
  <c r="K29" i="80" s="1"/>
  <c r="AL29" i="13" s="1"/>
  <c r="E14" i="80"/>
  <c r="H26" i="80"/>
  <c r="H19" i="80"/>
  <c r="H8" i="80"/>
  <c r="D96" i="80"/>
  <c r="D94" i="80"/>
  <c r="D92" i="80"/>
  <c r="H62" i="80"/>
  <c r="H60" i="80"/>
  <c r="D57" i="80"/>
  <c r="G57" i="80" s="1"/>
  <c r="AK57" i="13" s="1"/>
  <c r="H34" i="80"/>
  <c r="K34" i="80" s="1"/>
  <c r="AL34" i="13" s="1"/>
  <c r="D24" i="80"/>
  <c r="D22" i="80"/>
  <c r="D14" i="80"/>
  <c r="D12" i="80"/>
  <c r="D103" i="80"/>
  <c r="D84" i="80"/>
  <c r="G84" i="80" s="1"/>
  <c r="AK84" i="13" s="1"/>
  <c r="H58" i="80"/>
  <c r="K58" i="80" s="1"/>
  <c r="AL58" i="13" s="1"/>
  <c r="H54" i="80"/>
  <c r="K54" i="80" s="1"/>
  <c r="AL54" i="13" s="1"/>
  <c r="H105" i="80"/>
  <c r="H6" i="80"/>
  <c r="H96" i="80"/>
  <c r="H94" i="80"/>
  <c r="H92" i="80"/>
  <c r="D61" i="80"/>
  <c r="D58" i="80"/>
  <c r="G58" i="80" s="1"/>
  <c r="AK58" i="13" s="1"/>
  <c r="H42" i="80"/>
  <c r="K42" i="80" s="1"/>
  <c r="AL42" i="13" s="1"/>
  <c r="H35" i="80"/>
  <c r="K35" i="80" s="1"/>
  <c r="AL35" i="13" s="1"/>
  <c r="D27" i="80"/>
  <c r="H24" i="80"/>
  <c r="H22" i="80"/>
  <c r="D20" i="80"/>
  <c r="H14" i="80"/>
  <c r="H12" i="80"/>
  <c r="D9" i="80"/>
  <c r="D101" i="80"/>
  <c r="G101" i="80" s="1"/>
  <c r="AK101" i="13" s="1"/>
  <c r="D97" i="80"/>
  <c r="H93" i="80"/>
  <c r="D34" i="80"/>
  <c r="G34" i="80" s="1"/>
  <c r="AK34" i="13" s="1"/>
  <c r="H23" i="80"/>
  <c r="H20" i="80"/>
  <c r="H59" i="80"/>
  <c r="K59" i="80" s="1"/>
  <c r="AL59" i="13" s="1"/>
  <c r="H44" i="80"/>
  <c r="K44" i="80" s="1"/>
  <c r="AL44" i="13" s="1"/>
  <c r="H13" i="80"/>
  <c r="H9" i="80"/>
  <c r="H104" i="80"/>
  <c r="D62" i="80"/>
  <c r="H57" i="80"/>
  <c r="K57" i="80" s="1"/>
  <c r="AL57" i="13" s="1"/>
  <c r="H43" i="80"/>
  <c r="K43" i="80" s="1"/>
  <c r="AL43" i="13" s="1"/>
  <c r="H38" i="80"/>
  <c r="D13" i="80"/>
  <c r="D8" i="80"/>
  <c r="H95" i="80"/>
  <c r="D86" i="80"/>
  <c r="G86" i="80" s="1"/>
  <c r="AK86" i="13" s="1"/>
  <c r="D33" i="80"/>
  <c r="H25" i="80"/>
  <c r="H99" i="80"/>
  <c r="H56" i="80"/>
  <c r="K56" i="80" s="1"/>
  <c r="AL56" i="13" s="1"/>
  <c r="D43" i="80"/>
  <c r="G43" i="80" s="1"/>
  <c r="AK43" i="13" s="1"/>
  <c r="D98" i="80"/>
  <c r="D95" i="80"/>
  <c r="H91" i="80"/>
  <c r="D85" i="80"/>
  <c r="G85" i="80" s="1"/>
  <c r="AK85" i="13" s="1"/>
  <c r="H40" i="80"/>
  <c r="H31" i="80"/>
  <c r="H21" i="80"/>
  <c r="D100" i="80"/>
  <c r="G100" i="80" s="1"/>
  <c r="AK100" i="13" s="1"/>
  <c r="H55" i="80"/>
  <c r="K55" i="80" s="1"/>
  <c r="AL55" i="13" s="1"/>
  <c r="D105" i="80"/>
  <c r="D104" i="80"/>
  <c r="D38" i="80"/>
  <c r="D25" i="80"/>
  <c r="D6" i="80"/>
  <c r="H36" i="80"/>
  <c r="K36" i="80" s="1"/>
  <c r="AL36" i="13" s="1"/>
  <c r="H5" i="80"/>
  <c r="D91" i="80"/>
  <c r="D60" i="80"/>
  <c r="D44" i="80"/>
  <c r="G44" i="80" s="1"/>
  <c r="AK44" i="13" s="1"/>
  <c r="D36" i="80"/>
  <c r="G36" i="80" s="1"/>
  <c r="AK36" i="13" s="1"/>
  <c r="H10" i="80"/>
  <c r="D35" i="80"/>
  <c r="G35" i="80" s="1"/>
  <c r="AK35" i="13" s="1"/>
  <c r="H100" i="80"/>
  <c r="K100" i="80" s="1"/>
  <c r="AL100" i="13" s="1"/>
  <c r="D93" i="80"/>
  <c r="D23" i="80"/>
  <c r="D56" i="80"/>
  <c r="G56" i="80" s="1"/>
  <c r="AK56" i="13" s="1"/>
  <c r="D5" i="80"/>
  <c r="D55" i="80"/>
  <c r="G55" i="80" s="1"/>
  <c r="AK55" i="13" s="1"/>
  <c r="H33" i="80"/>
  <c r="H97" i="80"/>
  <c r="D21" i="80"/>
  <c r="H27" i="80"/>
  <c r="D26" i="80"/>
  <c r="D31" i="80"/>
  <c r="D19" i="80"/>
  <c r="D10" i="80"/>
  <c r="H61" i="80"/>
  <c r="D40" i="80"/>
  <c r="H85" i="80"/>
  <c r="K85" i="80" s="1"/>
  <c r="AL85" i="13" s="1"/>
  <c r="H39" i="80"/>
  <c r="D42" i="80"/>
  <c r="G42" i="80" s="1"/>
  <c r="AK42" i="13" s="1"/>
  <c r="H103" i="80"/>
  <c r="E60" i="80"/>
  <c r="D39" i="80"/>
  <c r="D102" i="80"/>
  <c r="G102" i="80" s="1"/>
  <c r="AK102" i="13" s="1"/>
  <c r="D59" i="80"/>
  <c r="G59" i="80" s="1"/>
  <c r="AK59" i="13" s="1"/>
  <c r="I38" i="80"/>
  <c r="E38" i="80"/>
  <c r="I23" i="80"/>
  <c r="D32" i="80"/>
  <c r="E23" i="80"/>
  <c r="H7" i="80"/>
  <c r="H84" i="80"/>
  <c r="K84" i="80" s="1"/>
  <c r="AL84" i="13" s="1"/>
  <c r="D7" i="80"/>
  <c r="I93" i="80"/>
  <c r="H81" i="80"/>
  <c r="E46" i="80"/>
  <c r="E22" i="80"/>
  <c r="E104" i="80"/>
  <c r="E9" i="80"/>
  <c r="E24" i="80"/>
  <c r="E95" i="80"/>
  <c r="AI101" i="14"/>
  <c r="L101" i="13" s="1"/>
  <c r="AI71" i="14"/>
  <c r="L71" i="13" s="1"/>
  <c r="AI53" i="14"/>
  <c r="L53" i="13" s="1"/>
  <c r="AI59" i="14"/>
  <c r="L59" i="13" s="1"/>
  <c r="AI48" i="14"/>
  <c r="L48" i="13" s="1"/>
  <c r="AI49" i="14"/>
  <c r="L49" i="13" s="1"/>
  <c r="I47" i="80"/>
  <c r="I12" i="80"/>
  <c r="E29" i="80"/>
  <c r="G29" i="80" s="1"/>
  <c r="AK29" i="13" s="1"/>
  <c r="D50" i="80"/>
  <c r="K101" i="14"/>
  <c r="F101" i="13" s="1"/>
  <c r="K59" i="14"/>
  <c r="F59" i="13" s="1"/>
  <c r="K80" i="14"/>
  <c r="F80" i="13" s="1"/>
  <c r="K50" i="14"/>
  <c r="F50" i="13" s="1"/>
  <c r="I14" i="80"/>
  <c r="I45" i="80"/>
  <c r="W82" i="14"/>
  <c r="I82" i="13" s="1"/>
  <c r="W100" i="14"/>
  <c r="I100" i="13" s="1"/>
  <c r="W52" i="14"/>
  <c r="I52" i="13" s="1"/>
  <c r="W58" i="14"/>
  <c r="I58" i="13" s="1"/>
  <c r="W81" i="14"/>
  <c r="I81" i="13" s="1"/>
  <c r="W86" i="14"/>
  <c r="I86" i="13" s="1"/>
  <c r="E5" i="80"/>
  <c r="I22" i="80"/>
  <c r="I60" i="80"/>
  <c r="D72" i="14"/>
  <c r="D57" i="14"/>
  <c r="G57" i="14" s="1"/>
  <c r="E57" i="13" s="1"/>
  <c r="D51" i="14"/>
  <c r="G51" i="14" s="1"/>
  <c r="E51" i="13" s="1"/>
  <c r="G49" i="14"/>
  <c r="E49" i="13" s="1"/>
  <c r="D48" i="14"/>
  <c r="G48" i="14" s="1"/>
  <c r="E48" i="13" s="1"/>
  <c r="D42" i="14"/>
  <c r="D31" i="14"/>
  <c r="D100" i="14"/>
  <c r="G100" i="14" s="1"/>
  <c r="E100" i="13" s="1"/>
  <c r="D81" i="14"/>
  <c r="G81" i="14" s="1"/>
  <c r="E81" i="13" s="1"/>
  <c r="G84" i="14"/>
  <c r="E84" i="13" s="1"/>
  <c r="D19" i="14"/>
  <c r="D78" i="14"/>
  <c r="G78" i="14" s="1"/>
  <c r="E78" i="13" s="1"/>
  <c r="D69" i="14"/>
  <c r="I39" i="80"/>
  <c r="I24" i="80"/>
  <c r="I62" i="80"/>
  <c r="E8" i="80"/>
  <c r="AE79" i="14"/>
  <c r="K79" i="13" s="1"/>
  <c r="AE80" i="14"/>
  <c r="K80" i="13" s="1"/>
  <c r="AE50" i="14"/>
  <c r="K50" i="13" s="1"/>
  <c r="AE81" i="14"/>
  <c r="K81" i="13" s="1"/>
  <c r="AE48" i="14"/>
  <c r="K48" i="13" s="1"/>
  <c r="AE51" i="14"/>
  <c r="K51" i="13" s="1"/>
  <c r="AE84" i="14"/>
  <c r="K84" i="13" s="1"/>
  <c r="E47" i="80"/>
  <c r="E93" i="80"/>
  <c r="E61" i="80"/>
  <c r="E92" i="80"/>
  <c r="O79" i="14"/>
  <c r="G79" i="13" s="1"/>
  <c r="O84" i="14"/>
  <c r="G84" i="13" s="1"/>
  <c r="O51" i="14"/>
  <c r="G51" i="13" s="1"/>
  <c r="O100" i="14"/>
  <c r="G100" i="13" s="1"/>
  <c r="O83" i="14"/>
  <c r="G83" i="13" s="1"/>
  <c r="O53" i="14"/>
  <c r="G53" i="13" s="1"/>
  <c r="O48" i="14"/>
  <c r="G48" i="13" s="1"/>
  <c r="I28" i="80"/>
  <c r="K28" i="80" s="1"/>
  <c r="AL28" i="13" s="1"/>
  <c r="I8" i="80"/>
  <c r="H82" i="80"/>
  <c r="I92" i="80"/>
  <c r="E94" i="80"/>
  <c r="AA82" i="14"/>
  <c r="J82" i="13" s="1"/>
  <c r="AA80" i="14"/>
  <c r="J80" i="13" s="1"/>
  <c r="AA50" i="14"/>
  <c r="J50" i="13" s="1"/>
  <c r="AA51" i="14"/>
  <c r="J51" i="13" s="1"/>
  <c r="I6" i="80"/>
  <c r="E40" i="80"/>
  <c r="I9" i="80"/>
  <c r="I94" i="80"/>
  <c r="E96" i="80"/>
  <c r="S81" i="14"/>
  <c r="H81" i="13" s="1"/>
  <c r="S78" i="14"/>
  <c r="H78" i="13" s="1"/>
  <c r="S19" i="14"/>
  <c r="H19" i="13" s="1"/>
  <c r="S102" i="14"/>
  <c r="H102" i="13" s="1"/>
  <c r="S57" i="14"/>
  <c r="H57" i="13" s="1"/>
  <c r="S52" i="14"/>
  <c r="H52" i="13" s="1"/>
  <c r="S51" i="14"/>
  <c r="H51" i="13" s="1"/>
  <c r="S50" i="14"/>
  <c r="H50" i="13" s="1"/>
  <c r="EY39" i="12"/>
  <c r="EZ39" i="12" s="1"/>
  <c r="T46" i="1" s="1"/>
  <c r="EY22" i="12"/>
  <c r="EZ22" i="12" s="1"/>
  <c r="T29" i="1" s="1"/>
  <c r="EY34" i="12"/>
  <c r="EZ34" i="12" s="1"/>
  <c r="T41" i="1" s="1"/>
  <c r="EY31" i="12"/>
  <c r="EZ31" i="12" s="1"/>
  <c r="T38" i="1" s="1"/>
  <c r="EY18" i="12"/>
  <c r="EZ18" i="12" s="1"/>
  <c r="T25" i="1" s="1"/>
  <c r="EY11" i="12"/>
  <c r="EZ11" i="12" s="1"/>
  <c r="T18" i="1" s="1"/>
  <c r="EY41" i="12"/>
  <c r="EZ41" i="12" s="1"/>
  <c r="T48" i="1" s="1"/>
  <c r="EY40" i="12"/>
  <c r="EZ40" i="12" s="1"/>
  <c r="T47" i="1" s="1"/>
  <c r="EY24" i="12"/>
  <c r="EZ24" i="12" s="1"/>
  <c r="T31" i="1" s="1"/>
  <c r="EY25" i="12"/>
  <c r="EZ25" i="12" s="1"/>
  <c r="T32" i="1" s="1"/>
  <c r="EY36" i="12"/>
  <c r="EY33" i="12"/>
  <c r="EZ33" i="12" s="1"/>
  <c r="T40" i="1" s="1"/>
  <c r="EY23" i="12"/>
  <c r="EZ23" i="12" s="1"/>
  <c r="T30" i="1" s="1"/>
  <c r="EY32" i="12"/>
  <c r="EZ32" i="12" s="1"/>
  <c r="T39" i="1" s="1"/>
  <c r="G60" i="59" l="1"/>
  <c r="BA60" i="13" s="1"/>
  <c r="G50" i="14"/>
  <c r="E50" i="13" s="1"/>
  <c r="G99" i="57"/>
  <c r="CE99" i="13" s="1"/>
  <c r="O30" i="14"/>
  <c r="G30" i="13" s="1"/>
  <c r="S79" i="14"/>
  <c r="H79" i="13" s="1"/>
  <c r="W59" i="14"/>
  <c r="I59" i="13" s="1"/>
  <c r="O101" i="14"/>
  <c r="G101" i="13" s="1"/>
  <c r="K85" i="14"/>
  <c r="F85" i="13" s="1"/>
  <c r="AI96" i="14"/>
  <c r="L96" i="13" s="1"/>
  <c r="S83" i="14"/>
  <c r="H83" i="13" s="1"/>
  <c r="O45" i="59"/>
  <c r="BC45" i="13" s="1"/>
  <c r="O50" i="14"/>
  <c r="G50" i="13" s="1"/>
  <c r="K50" i="59"/>
  <c r="BB50" i="13" s="1"/>
  <c r="K24" i="59"/>
  <c r="BB24" i="13" s="1"/>
  <c r="O80" i="59"/>
  <c r="BC80" i="13" s="1"/>
  <c r="G52" i="51"/>
  <c r="BS52" i="13" s="1"/>
  <c r="DP52" i="13" s="1"/>
  <c r="K98" i="57"/>
  <c r="CF98" i="13" s="1"/>
  <c r="K35" i="14"/>
  <c r="F35" i="13" s="1"/>
  <c r="K56" i="14"/>
  <c r="F56" i="13" s="1"/>
  <c r="G59" i="14"/>
  <c r="E59" i="13" s="1"/>
  <c r="O60" i="59"/>
  <c r="BC60" i="13" s="1"/>
  <c r="K62" i="59"/>
  <c r="BB62" i="13" s="1"/>
  <c r="O62" i="59"/>
  <c r="BC62" i="13" s="1"/>
  <c r="G68" i="51"/>
  <c r="BS68" i="13" s="1"/>
  <c r="DP68" i="13" s="1"/>
  <c r="AE68" i="14"/>
  <c r="K68" i="13" s="1"/>
  <c r="G56" i="59"/>
  <c r="BA56" i="13" s="1"/>
  <c r="K82" i="14"/>
  <c r="F82" i="13" s="1"/>
  <c r="O32" i="59"/>
  <c r="BC32" i="13" s="1"/>
  <c r="G36" i="14"/>
  <c r="E36" i="13" s="1"/>
  <c r="G58" i="14"/>
  <c r="E58" i="13" s="1"/>
  <c r="AE29" i="14"/>
  <c r="K29" i="13" s="1"/>
  <c r="AE55" i="14"/>
  <c r="K55" i="13" s="1"/>
  <c r="AI86" i="14"/>
  <c r="L86" i="13" s="1"/>
  <c r="G52" i="14"/>
  <c r="E52" i="13" s="1"/>
  <c r="S101" i="14"/>
  <c r="H101" i="13" s="1"/>
  <c r="O58" i="14"/>
  <c r="G58" i="13" s="1"/>
  <c r="AI35" i="14"/>
  <c r="L35" i="13" s="1"/>
  <c r="AI52" i="14"/>
  <c r="L52" i="13" s="1"/>
  <c r="K86" i="14"/>
  <c r="F86" i="13" s="1"/>
  <c r="S29" i="14"/>
  <c r="H29" i="13" s="1"/>
  <c r="K55" i="59"/>
  <c r="BB55" i="13" s="1"/>
  <c r="K32" i="59"/>
  <c r="BB32" i="13" s="1"/>
  <c r="G55" i="59"/>
  <c r="BA55" i="13" s="1"/>
  <c r="G56" i="51"/>
  <c r="BS56" i="13" s="1"/>
  <c r="DP56" i="13" s="1"/>
  <c r="G61" i="51"/>
  <c r="BS61" i="13" s="1"/>
  <c r="DP61" i="13" s="1"/>
  <c r="G13" i="51"/>
  <c r="BS13" i="13" s="1"/>
  <c r="DP13" i="13" s="1"/>
  <c r="EA8" i="12" s="1"/>
  <c r="G96" i="57"/>
  <c r="CE96" i="13" s="1"/>
  <c r="G24" i="51"/>
  <c r="BS24" i="13" s="1"/>
  <c r="DP24" i="13" s="1"/>
  <c r="K33" i="59"/>
  <c r="BB33" i="13" s="1"/>
  <c r="G24" i="59"/>
  <c r="BA24" i="13" s="1"/>
  <c r="K60" i="14"/>
  <c r="F60" i="13" s="1"/>
  <c r="S86" i="14"/>
  <c r="H86" i="13" s="1"/>
  <c r="G97" i="59"/>
  <c r="BA97" i="13" s="1"/>
  <c r="G92" i="51"/>
  <c r="BS92" i="13" s="1"/>
  <c r="DP92" i="13" s="1"/>
  <c r="EA37" i="12" s="1"/>
  <c r="K31" i="59"/>
  <c r="BB31" i="13" s="1"/>
  <c r="G102" i="59"/>
  <c r="BA102" i="13" s="1"/>
  <c r="O31" i="59"/>
  <c r="BC31" i="13" s="1"/>
  <c r="O53" i="59"/>
  <c r="BC53" i="13" s="1"/>
  <c r="G85" i="15"/>
  <c r="M85" i="13" s="1"/>
  <c r="W67" i="14"/>
  <c r="I67" i="13" s="1"/>
  <c r="AA59" i="14"/>
  <c r="J59" i="13" s="1"/>
  <c r="K56" i="59"/>
  <c r="BB56" i="13" s="1"/>
  <c r="G83" i="15"/>
  <c r="M83" i="13" s="1"/>
  <c r="G55" i="51"/>
  <c r="BS55" i="13" s="1"/>
  <c r="DP55" i="13" s="1"/>
  <c r="K53" i="15"/>
  <c r="N53" i="13" s="1"/>
  <c r="G50" i="51"/>
  <c r="BS50" i="13" s="1"/>
  <c r="DP50" i="13" s="1"/>
  <c r="O50" i="59"/>
  <c r="BC50" i="13" s="1"/>
  <c r="W80" i="14"/>
  <c r="I80" i="13" s="1"/>
  <c r="O72" i="14"/>
  <c r="G72" i="13" s="1"/>
  <c r="AI80" i="14"/>
  <c r="L80" i="13" s="1"/>
  <c r="AE30" i="14"/>
  <c r="K30" i="13" s="1"/>
  <c r="AA49" i="14"/>
  <c r="J49" i="13" s="1"/>
  <c r="K53" i="14"/>
  <c r="F53" i="13" s="1"/>
  <c r="K49" i="14"/>
  <c r="F49" i="13" s="1"/>
  <c r="O86" i="14"/>
  <c r="G86" i="13" s="1"/>
  <c r="AE53" i="14"/>
  <c r="K53" i="13" s="1"/>
  <c r="S95" i="14"/>
  <c r="H95" i="13" s="1"/>
  <c r="AE36" i="14"/>
  <c r="K36" i="13" s="1"/>
  <c r="K67" i="14"/>
  <c r="F67" i="13" s="1"/>
  <c r="AA52" i="14"/>
  <c r="J52" i="13" s="1"/>
  <c r="G100" i="59"/>
  <c r="BA100" i="13" s="1"/>
  <c r="G35" i="57"/>
  <c r="CE35" i="13" s="1"/>
  <c r="DV35" i="13" s="1"/>
  <c r="K68" i="14"/>
  <c r="F68" i="13" s="1"/>
  <c r="S56" i="14"/>
  <c r="H56" i="13" s="1"/>
  <c r="G53" i="57"/>
  <c r="CE53" i="13" s="1"/>
  <c r="AE83" i="14"/>
  <c r="K83" i="13" s="1"/>
  <c r="W68" i="14"/>
  <c r="I68" i="13" s="1"/>
  <c r="AA36" i="14"/>
  <c r="J36" i="13" s="1"/>
  <c r="G33" i="59"/>
  <c r="BA33" i="13" s="1"/>
  <c r="AE82" i="14"/>
  <c r="K82" i="13" s="1"/>
  <c r="AA30" i="14"/>
  <c r="J30" i="13" s="1"/>
  <c r="G56" i="57"/>
  <c r="CE56" i="13" s="1"/>
  <c r="G19" i="15"/>
  <c r="M19" i="13" s="1"/>
  <c r="AI68" i="14"/>
  <c r="L68" i="13" s="1"/>
  <c r="G102" i="57"/>
  <c r="CE102" i="13" s="1"/>
  <c r="G95" i="57"/>
  <c r="CE95" i="13" s="1"/>
  <c r="AE101" i="14"/>
  <c r="K101" i="13" s="1"/>
  <c r="G102" i="51"/>
  <c r="BS102" i="13" s="1"/>
  <c r="DP102" i="13" s="1"/>
  <c r="G46" i="51"/>
  <c r="BS46" i="13" s="1"/>
  <c r="DP46" i="13" s="1"/>
  <c r="EA21" i="12" s="1"/>
  <c r="O82" i="14"/>
  <c r="G82" i="13" s="1"/>
  <c r="G52" i="59"/>
  <c r="BA52" i="13" s="1"/>
  <c r="G49" i="59"/>
  <c r="BA49" i="13" s="1"/>
  <c r="K102" i="14"/>
  <c r="F102" i="13" s="1"/>
  <c r="G91" i="59"/>
  <c r="BA91" i="13" s="1"/>
  <c r="AA56" i="14"/>
  <c r="J56" i="13" s="1"/>
  <c r="W53" i="14"/>
  <c r="I53" i="13" s="1"/>
  <c r="S96" i="14"/>
  <c r="H96" i="13" s="1"/>
  <c r="S36" i="14"/>
  <c r="H36" i="13" s="1"/>
  <c r="K47" i="14"/>
  <c r="F47" i="13" s="1"/>
  <c r="AE59" i="14"/>
  <c r="K59" i="13" s="1"/>
  <c r="W50" i="14"/>
  <c r="I50" i="13" s="1"/>
  <c r="S49" i="14"/>
  <c r="H49" i="13" s="1"/>
  <c r="AA35" i="14"/>
  <c r="J35" i="13" s="1"/>
  <c r="K101" i="59"/>
  <c r="BB101" i="13" s="1"/>
  <c r="AA96" i="14"/>
  <c r="J96" i="13" s="1"/>
  <c r="G82" i="14"/>
  <c r="E82" i="13" s="1"/>
  <c r="O49" i="14"/>
  <c r="G49" i="13" s="1"/>
  <c r="G53" i="14"/>
  <c r="E53" i="13" s="1"/>
  <c r="AA102" i="14"/>
  <c r="J102" i="13" s="1"/>
  <c r="G35" i="59"/>
  <c r="BA35" i="13" s="1"/>
  <c r="G62" i="51"/>
  <c r="BS62" i="13" s="1"/>
  <c r="DP62" i="13" s="1"/>
  <c r="AA29" i="14"/>
  <c r="J29" i="13" s="1"/>
  <c r="DV48" i="13"/>
  <c r="AI79" i="14"/>
  <c r="L79" i="13" s="1"/>
  <c r="K80" i="57"/>
  <c r="CF80" i="13" s="1"/>
  <c r="S80" i="14"/>
  <c r="H80" i="13" s="1"/>
  <c r="W101" i="14"/>
  <c r="I101" i="13" s="1"/>
  <c r="O68" i="14"/>
  <c r="G68" i="13" s="1"/>
  <c r="O56" i="14"/>
  <c r="G56" i="13" s="1"/>
  <c r="G103" i="59"/>
  <c r="BA103" i="13" s="1"/>
  <c r="AI85" i="14"/>
  <c r="L85" i="13" s="1"/>
  <c r="AI36" i="14"/>
  <c r="L36" i="13" s="1"/>
  <c r="AA58" i="14"/>
  <c r="J58" i="13" s="1"/>
  <c r="S53" i="14"/>
  <c r="H53" i="13" s="1"/>
  <c r="O56" i="59"/>
  <c r="BC56" i="13" s="1"/>
  <c r="W56" i="14"/>
  <c r="I56" i="13" s="1"/>
  <c r="S67" i="14"/>
  <c r="H67" i="13" s="1"/>
  <c r="AE85" i="14"/>
  <c r="K85" i="13" s="1"/>
  <c r="AI67" i="14"/>
  <c r="L67" i="13" s="1"/>
  <c r="O55" i="14"/>
  <c r="G55" i="13" s="1"/>
  <c r="S59" i="14"/>
  <c r="H59" i="13" s="1"/>
  <c r="G52" i="57"/>
  <c r="CE52" i="13" s="1"/>
  <c r="W36" i="14"/>
  <c r="I36" i="13" s="1"/>
  <c r="AA55" i="14"/>
  <c r="J55" i="13" s="1"/>
  <c r="S85" i="14"/>
  <c r="H85" i="13" s="1"/>
  <c r="G30" i="51"/>
  <c r="BS30" i="13" s="1"/>
  <c r="DP30" i="13" s="1"/>
  <c r="G86" i="14"/>
  <c r="E86" i="13" s="1"/>
  <c r="G43" i="59"/>
  <c r="BA43" i="13" s="1"/>
  <c r="K83" i="57"/>
  <c r="CF83" i="13" s="1"/>
  <c r="DV83" i="13" s="1"/>
  <c r="W49" i="14"/>
  <c r="I49" i="13" s="1"/>
  <c r="AI50" i="14"/>
  <c r="L50" i="13" s="1"/>
  <c r="AE102" i="14"/>
  <c r="K102" i="13" s="1"/>
  <c r="K53" i="57"/>
  <c r="CF53" i="13" s="1"/>
  <c r="G44" i="59"/>
  <c r="BA44" i="13" s="1"/>
  <c r="G10" i="51"/>
  <c r="BS10" i="13" s="1"/>
  <c r="DP10" i="13" s="1"/>
  <c r="G20" i="59"/>
  <c r="BA20" i="13" s="1"/>
  <c r="AI102" i="14"/>
  <c r="L102" i="13" s="1"/>
  <c r="G38" i="59"/>
  <c r="BA38" i="13" s="1"/>
  <c r="AE52" i="14"/>
  <c r="K52" i="13" s="1"/>
  <c r="G86" i="57"/>
  <c r="CE86" i="13" s="1"/>
  <c r="K52" i="57"/>
  <c r="CF52" i="13" s="1"/>
  <c r="G49" i="57"/>
  <c r="CE49" i="13" s="1"/>
  <c r="W30" i="14"/>
  <c r="I30" i="13" s="1"/>
  <c r="AA79" i="14"/>
  <c r="J79" i="13" s="1"/>
  <c r="G62" i="14"/>
  <c r="E62" i="13" s="1"/>
  <c r="G85" i="57"/>
  <c r="CE85" i="13" s="1"/>
  <c r="DV85" i="13" s="1"/>
  <c r="G55" i="57"/>
  <c r="CE55" i="13" s="1"/>
  <c r="O85" i="14"/>
  <c r="G85" i="13" s="1"/>
  <c r="O59" i="14"/>
  <c r="G59" i="13" s="1"/>
  <c r="K102" i="57"/>
  <c r="CF102" i="13" s="1"/>
  <c r="W102" i="14"/>
  <c r="I102" i="13" s="1"/>
  <c r="G67" i="57"/>
  <c r="CE67" i="13" s="1"/>
  <c r="G93" i="51"/>
  <c r="BS93" i="13" s="1"/>
  <c r="DP93" i="13" s="1"/>
  <c r="K95" i="57"/>
  <c r="CF95" i="13" s="1"/>
  <c r="K52" i="15"/>
  <c r="N52" i="13" s="1"/>
  <c r="CX52" i="13" s="1"/>
  <c r="G85" i="51"/>
  <c r="BS85" i="13" s="1"/>
  <c r="DP85" i="13" s="1"/>
  <c r="K103" i="59"/>
  <c r="BB103" i="13" s="1"/>
  <c r="O33" i="59"/>
  <c r="BC33" i="13" s="1"/>
  <c r="O55" i="59"/>
  <c r="BC55" i="13" s="1"/>
  <c r="G80" i="15"/>
  <c r="M80" i="13" s="1"/>
  <c r="K55" i="57"/>
  <c r="CF55" i="13" s="1"/>
  <c r="K80" i="15"/>
  <c r="N80" i="13" s="1"/>
  <c r="G36" i="57"/>
  <c r="CE36" i="13" s="1"/>
  <c r="DV36" i="13" s="1"/>
  <c r="K91" i="59"/>
  <c r="BB91" i="13" s="1"/>
  <c r="DJ91" i="13" s="1"/>
  <c r="K53" i="59"/>
  <c r="BB53" i="13" s="1"/>
  <c r="G101" i="59"/>
  <c r="BA101" i="13" s="1"/>
  <c r="G50" i="59"/>
  <c r="BA50" i="13" s="1"/>
  <c r="O102" i="59"/>
  <c r="BC102" i="13" s="1"/>
  <c r="G68" i="14"/>
  <c r="E68" i="13" s="1"/>
  <c r="K96" i="14"/>
  <c r="F96" i="13" s="1"/>
  <c r="S68" i="14"/>
  <c r="H68" i="13" s="1"/>
  <c r="G67" i="51"/>
  <c r="BS67" i="13" s="1"/>
  <c r="DP67" i="13" s="1"/>
  <c r="EA28" i="12" s="1"/>
  <c r="S58" i="14"/>
  <c r="H58" i="13" s="1"/>
  <c r="K83" i="14"/>
  <c r="F83" i="13" s="1"/>
  <c r="K55" i="14"/>
  <c r="F55" i="13" s="1"/>
  <c r="G79" i="57"/>
  <c r="CE79" i="13" s="1"/>
  <c r="DV79" i="13" s="1"/>
  <c r="G82" i="57"/>
  <c r="CE82" i="13" s="1"/>
  <c r="W83" i="14"/>
  <c r="I83" i="13" s="1"/>
  <c r="W55" i="14"/>
  <c r="I55" i="13" s="1"/>
  <c r="O80" i="14"/>
  <c r="G80" i="13" s="1"/>
  <c r="AA67" i="14"/>
  <c r="J67" i="13" s="1"/>
  <c r="AI30" i="14"/>
  <c r="L30" i="13" s="1"/>
  <c r="K58" i="14"/>
  <c r="F58" i="13" s="1"/>
  <c r="AE58" i="14"/>
  <c r="K58" i="13" s="1"/>
  <c r="AI83" i="14"/>
  <c r="L83" i="13" s="1"/>
  <c r="AI82" i="14"/>
  <c r="L82" i="13" s="1"/>
  <c r="K82" i="57"/>
  <c r="CF82" i="13" s="1"/>
  <c r="K29" i="14"/>
  <c r="F29" i="13" s="1"/>
  <c r="AI56" i="14"/>
  <c r="L56" i="13" s="1"/>
  <c r="DV26" i="13"/>
  <c r="EM13" i="12" s="1"/>
  <c r="K68" i="57"/>
  <c r="CF68" i="13" s="1"/>
  <c r="G20" i="51"/>
  <c r="BS20" i="13" s="1"/>
  <c r="DP20" i="13" s="1"/>
  <c r="G7" i="51"/>
  <c r="BS7" i="13" s="1"/>
  <c r="DP7" i="13" s="1"/>
  <c r="AE67" i="14"/>
  <c r="K67" i="13" s="1"/>
  <c r="G21" i="51"/>
  <c r="BS21" i="13" s="1"/>
  <c r="DP21" i="13" s="1"/>
  <c r="G35" i="51"/>
  <c r="BS35" i="13" s="1"/>
  <c r="DP35" i="13" s="1"/>
  <c r="EA16" i="12" s="1"/>
  <c r="G43" i="51"/>
  <c r="BS43" i="13" s="1"/>
  <c r="DP43" i="13" s="1"/>
  <c r="EA20" i="12" s="1"/>
  <c r="G58" i="51"/>
  <c r="BS58" i="13" s="1"/>
  <c r="DP58" i="13" s="1"/>
  <c r="G39" i="51"/>
  <c r="BS39" i="13" s="1"/>
  <c r="DP39" i="13" s="1"/>
  <c r="O52" i="14"/>
  <c r="G52" i="13" s="1"/>
  <c r="K86" i="57"/>
  <c r="CF86" i="13" s="1"/>
  <c r="G61" i="59"/>
  <c r="BA61" i="13" s="1"/>
  <c r="DJ61" i="13" s="1"/>
  <c r="G22" i="59"/>
  <c r="BA22" i="13" s="1"/>
  <c r="G9" i="51"/>
  <c r="BS9" i="13" s="1"/>
  <c r="DP9" i="13" s="1"/>
  <c r="EA6" i="12" s="1"/>
  <c r="G59" i="51"/>
  <c r="BS59" i="13" s="1"/>
  <c r="DP59" i="13" s="1"/>
  <c r="O29" i="14"/>
  <c r="G29" i="13" s="1"/>
  <c r="K49" i="57"/>
  <c r="CF49" i="13" s="1"/>
  <c r="DJ78" i="13"/>
  <c r="AI55" i="14"/>
  <c r="L55" i="13" s="1"/>
  <c r="DJ6" i="13"/>
  <c r="DO5" i="12" s="1"/>
  <c r="G6" i="51"/>
  <c r="BS6" i="13" s="1"/>
  <c r="DP6" i="13" s="1"/>
  <c r="EA5" i="12" s="1"/>
  <c r="G29" i="51"/>
  <c r="BS29" i="13" s="1"/>
  <c r="DP29" i="13" s="1"/>
  <c r="EA14" i="12" s="1"/>
  <c r="G36" i="51"/>
  <c r="BS36" i="13" s="1"/>
  <c r="DP36" i="13" s="1"/>
  <c r="O72" i="59"/>
  <c r="BC72" i="13" s="1"/>
  <c r="G21" i="59"/>
  <c r="BA21" i="13" s="1"/>
  <c r="DJ27" i="13"/>
  <c r="G44" i="51"/>
  <c r="BS44" i="13" s="1"/>
  <c r="DP44" i="13" s="1"/>
  <c r="DJ84" i="13"/>
  <c r="DJ81" i="13"/>
  <c r="DJ10" i="13"/>
  <c r="DV27" i="13"/>
  <c r="K83" i="15"/>
  <c r="N83" i="13" s="1"/>
  <c r="K56" i="57"/>
  <c r="CF56" i="13" s="1"/>
  <c r="K101" i="57"/>
  <c r="CF101" i="13" s="1"/>
  <c r="G101" i="57"/>
  <c r="CE101" i="13" s="1"/>
  <c r="G80" i="57"/>
  <c r="CE80" i="13" s="1"/>
  <c r="K60" i="15"/>
  <c r="N60" i="13" s="1"/>
  <c r="G101" i="14"/>
  <c r="E101" i="13" s="1"/>
  <c r="DJ34" i="13"/>
  <c r="K82" i="59"/>
  <c r="BB82" i="13" s="1"/>
  <c r="K79" i="59"/>
  <c r="BB79" i="13" s="1"/>
  <c r="DJ9" i="13"/>
  <c r="DO6" i="12" s="1"/>
  <c r="DJ30" i="13"/>
  <c r="DJ26" i="13"/>
  <c r="DO13" i="12" s="1"/>
  <c r="AE86" i="14"/>
  <c r="K86" i="13" s="1"/>
  <c r="AE56" i="14"/>
  <c r="K56" i="13" s="1"/>
  <c r="G100" i="57"/>
  <c r="CE100" i="13" s="1"/>
  <c r="DV100" i="13" s="1"/>
  <c r="CX30" i="13"/>
  <c r="DJ29" i="13"/>
  <c r="DO14" i="12" s="1"/>
  <c r="K102" i="59"/>
  <c r="BB102" i="13" s="1"/>
  <c r="K68" i="59"/>
  <c r="BB68" i="13" s="1"/>
  <c r="DJ7" i="13"/>
  <c r="O21" i="59"/>
  <c r="BC21" i="13" s="1"/>
  <c r="K36" i="59"/>
  <c r="BB36" i="13" s="1"/>
  <c r="O68" i="59"/>
  <c r="BC68" i="13" s="1"/>
  <c r="K69" i="59"/>
  <c r="BB69" i="13" s="1"/>
  <c r="O35" i="59"/>
  <c r="BC35" i="13" s="1"/>
  <c r="O36" i="59"/>
  <c r="BC36" i="13" s="1"/>
  <c r="K72" i="59"/>
  <c r="BB72" i="13" s="1"/>
  <c r="O69" i="59"/>
  <c r="BC69" i="13" s="1"/>
  <c r="K85" i="59"/>
  <c r="BB85" i="13" s="1"/>
  <c r="O83" i="59"/>
  <c r="BC83" i="13" s="1"/>
  <c r="O86" i="59"/>
  <c r="BC86" i="13" s="1"/>
  <c r="K21" i="59"/>
  <c r="BB21" i="13" s="1"/>
  <c r="K86" i="59"/>
  <c r="BB86" i="13" s="1"/>
  <c r="O85" i="59"/>
  <c r="BC85" i="13" s="1"/>
  <c r="K44" i="59"/>
  <c r="BB44" i="13" s="1"/>
  <c r="K46" i="57"/>
  <c r="CF46" i="13" s="1"/>
  <c r="K8" i="59"/>
  <c r="BB8" i="13" s="1"/>
  <c r="K19" i="59"/>
  <c r="BB19" i="13" s="1"/>
  <c r="O5" i="59"/>
  <c r="BC5" i="13" s="1"/>
  <c r="O44" i="59"/>
  <c r="BC44" i="13" s="1"/>
  <c r="K45" i="59"/>
  <c r="BB45" i="13" s="1"/>
  <c r="K5" i="59"/>
  <c r="BB5" i="13" s="1"/>
  <c r="K42" i="59"/>
  <c r="BB42" i="13" s="1"/>
  <c r="O19" i="59"/>
  <c r="BC19" i="13" s="1"/>
  <c r="K35" i="59"/>
  <c r="BB35" i="13" s="1"/>
  <c r="K20" i="59"/>
  <c r="BB20" i="13" s="1"/>
  <c r="O20" i="59"/>
  <c r="BC20" i="13" s="1"/>
  <c r="O42" i="59"/>
  <c r="BC42" i="13" s="1"/>
  <c r="K83" i="59"/>
  <c r="BB83" i="13" s="1"/>
  <c r="K80" i="59"/>
  <c r="BB80" i="13" s="1"/>
  <c r="K43" i="59"/>
  <c r="BB43" i="13" s="1"/>
  <c r="O82" i="59"/>
  <c r="BC82" i="13" s="1"/>
  <c r="O79" i="59"/>
  <c r="BC79" i="13" s="1"/>
  <c r="O43" i="59"/>
  <c r="BC43" i="13" s="1"/>
  <c r="K67" i="59"/>
  <c r="BB67" i="13" s="1"/>
  <c r="O8" i="59"/>
  <c r="BC8" i="13" s="1"/>
  <c r="O67" i="59"/>
  <c r="BC67" i="13" s="1"/>
  <c r="O95" i="14"/>
  <c r="G95" i="13" s="1"/>
  <c r="S30" i="14"/>
  <c r="H30" i="13" s="1"/>
  <c r="CX27" i="13"/>
  <c r="G67" i="14"/>
  <c r="E67" i="13" s="1"/>
  <c r="G95" i="14"/>
  <c r="E95" i="13" s="1"/>
  <c r="G56" i="14"/>
  <c r="E56" i="13" s="1"/>
  <c r="K67" i="57"/>
  <c r="CF67" i="13" s="1"/>
  <c r="DV67" i="13" s="1"/>
  <c r="EM28" i="12" s="1"/>
  <c r="G72" i="59"/>
  <c r="BA72" i="13" s="1"/>
  <c r="G79" i="59"/>
  <c r="BA79" i="13" s="1"/>
  <c r="G53" i="15"/>
  <c r="M53" i="13" s="1"/>
  <c r="G67" i="59"/>
  <c r="BA67" i="13" s="1"/>
  <c r="G8" i="59"/>
  <c r="BA8" i="13" s="1"/>
  <c r="G82" i="59"/>
  <c r="BA82" i="13" s="1"/>
  <c r="G55" i="14"/>
  <c r="E55" i="13" s="1"/>
  <c r="G59" i="59"/>
  <c r="BA59" i="13" s="1"/>
  <c r="DJ59" i="13" s="1"/>
  <c r="G45" i="59"/>
  <c r="BA45" i="13" s="1"/>
  <c r="DJ45" i="13" s="1"/>
  <c r="G59" i="15"/>
  <c r="M59" i="13" s="1"/>
  <c r="G42" i="59"/>
  <c r="BA42" i="13" s="1"/>
  <c r="G68" i="59"/>
  <c r="BA68" i="13" s="1"/>
  <c r="G97" i="57"/>
  <c r="CE97" i="13" s="1"/>
  <c r="DV97" i="13" s="1"/>
  <c r="G46" i="59"/>
  <c r="BA46" i="13" s="1"/>
  <c r="DJ46" i="13" s="1"/>
  <c r="DO21" i="12" s="1"/>
  <c r="G83" i="59"/>
  <c r="BA83" i="13" s="1"/>
  <c r="G5" i="59"/>
  <c r="BA5" i="13" s="1"/>
  <c r="G80" i="59"/>
  <c r="BA80" i="13" s="1"/>
  <c r="G47" i="59"/>
  <c r="BA47" i="13" s="1"/>
  <c r="DJ47" i="13" s="1"/>
  <c r="G19" i="59"/>
  <c r="BA19" i="13" s="1"/>
  <c r="K67" i="15"/>
  <c r="N67" i="13" s="1"/>
  <c r="G58" i="59"/>
  <c r="BA58" i="13" s="1"/>
  <c r="DJ58" i="13" s="1"/>
  <c r="G69" i="59"/>
  <c r="BA69" i="13" s="1"/>
  <c r="CX26" i="13"/>
  <c r="CQ13" i="12" s="1"/>
  <c r="G86" i="59"/>
  <c r="BA86" i="13" s="1"/>
  <c r="K59" i="15"/>
  <c r="N59" i="13" s="1"/>
  <c r="G55" i="15"/>
  <c r="M55" i="13" s="1"/>
  <c r="G85" i="59"/>
  <c r="BA85" i="13" s="1"/>
  <c r="G80" i="14"/>
  <c r="E80" i="13" s="1"/>
  <c r="G79" i="14"/>
  <c r="E79" i="13" s="1"/>
  <c r="K50" i="15"/>
  <c r="N50" i="13" s="1"/>
  <c r="CX50" i="13" s="1"/>
  <c r="CX29" i="13"/>
  <c r="CQ14" i="12" s="1"/>
  <c r="CW26" i="13"/>
  <c r="CO13" i="12" s="1"/>
  <c r="CW27" i="13"/>
  <c r="K58" i="57"/>
  <c r="CF58" i="13" s="1"/>
  <c r="G83" i="14"/>
  <c r="E83" i="13" s="1"/>
  <c r="G59" i="57"/>
  <c r="CE59" i="13" s="1"/>
  <c r="DV59" i="13" s="1"/>
  <c r="G85" i="14"/>
  <c r="E85" i="13" s="1"/>
  <c r="K82" i="15"/>
  <c r="N82" i="13" s="1"/>
  <c r="CX82" i="13" s="1"/>
  <c r="AI95" i="14"/>
  <c r="L95" i="13" s="1"/>
  <c r="W79" i="14"/>
  <c r="I79" i="13" s="1"/>
  <c r="S55" i="14"/>
  <c r="H55" i="13" s="1"/>
  <c r="AA86" i="14"/>
  <c r="J86" i="13" s="1"/>
  <c r="AA85" i="14"/>
  <c r="J85" i="13" s="1"/>
  <c r="AA101" i="14"/>
  <c r="J101" i="13" s="1"/>
  <c r="AA68" i="14"/>
  <c r="J68" i="13" s="1"/>
  <c r="AE39" i="14"/>
  <c r="K39" i="13" s="1"/>
  <c r="G96" i="14"/>
  <c r="E96" i="13" s="1"/>
  <c r="O36" i="14"/>
  <c r="G36" i="13" s="1"/>
  <c r="G68" i="57"/>
  <c r="CE68" i="13" s="1"/>
  <c r="DV68" i="13" s="1"/>
  <c r="K68" i="15"/>
  <c r="N68" i="13" s="1"/>
  <c r="K58" i="15"/>
  <c r="N58" i="13" s="1"/>
  <c r="G102" i="14"/>
  <c r="E102" i="13" s="1"/>
  <c r="DV54" i="13"/>
  <c r="G58" i="57"/>
  <c r="CE58" i="13" s="1"/>
  <c r="K36" i="14"/>
  <c r="F36" i="13" s="1"/>
  <c r="CX95" i="13"/>
  <c r="CQ38" i="12" s="1"/>
  <c r="G58" i="15"/>
  <c r="M58" i="13" s="1"/>
  <c r="CX96" i="13"/>
  <c r="O35" i="14"/>
  <c r="G35" i="13" s="1"/>
  <c r="G67" i="15"/>
  <c r="M67" i="13" s="1"/>
  <c r="G68" i="15"/>
  <c r="M68" i="13" s="1"/>
  <c r="S35" i="14"/>
  <c r="H35" i="13" s="1"/>
  <c r="AE35" i="14"/>
  <c r="K35" i="13" s="1"/>
  <c r="G35" i="14"/>
  <c r="E35" i="13" s="1"/>
  <c r="O96" i="14"/>
  <c r="G96" i="13" s="1"/>
  <c r="AA47" i="14"/>
  <c r="J47" i="13" s="1"/>
  <c r="W96" i="14"/>
  <c r="I96" i="13" s="1"/>
  <c r="W35" i="14"/>
  <c r="I35" i="13" s="1"/>
  <c r="AI60" i="14"/>
  <c r="L60" i="13" s="1"/>
  <c r="S24" i="14"/>
  <c r="H24" i="13" s="1"/>
  <c r="CW98" i="13"/>
  <c r="CW10" i="13"/>
  <c r="CW99" i="13"/>
  <c r="CW7" i="13"/>
  <c r="CW9" i="13"/>
  <c r="CO6" i="12" s="1"/>
  <c r="CW6" i="13"/>
  <c r="CO5" i="12" s="1"/>
  <c r="K95" i="14"/>
  <c r="F95" i="13" s="1"/>
  <c r="AE95" i="14"/>
  <c r="K95" i="13" s="1"/>
  <c r="CW64" i="13"/>
  <c r="CO27" i="12" s="1"/>
  <c r="CW65" i="13"/>
  <c r="S35" i="16"/>
  <c r="R35" i="13" s="1"/>
  <c r="EA15" i="12"/>
  <c r="EE26" i="12"/>
  <c r="EA26" i="12"/>
  <c r="EA29" i="12"/>
  <c r="EE37" i="12"/>
  <c r="EA12" i="12"/>
  <c r="EA30" i="12"/>
  <c r="EC21" i="12"/>
  <c r="EE15" i="12"/>
  <c r="EI12" i="12"/>
  <c r="EE21" i="12"/>
  <c r="EE28" i="12"/>
  <c r="DV51" i="13"/>
  <c r="N39" i="1"/>
  <c r="N26" i="1"/>
  <c r="EE38" i="12"/>
  <c r="EI16" i="12"/>
  <c r="EI37" i="12"/>
  <c r="EA38" i="12"/>
  <c r="F22" i="91"/>
  <c r="F28" i="91" s="1"/>
  <c r="F22" i="89"/>
  <c r="F28" i="89" s="1"/>
  <c r="D10" i="81"/>
  <c r="E224" i="36" s="1"/>
  <c r="G25" i="88"/>
  <c r="G26" i="91"/>
  <c r="Q43" i="103"/>
  <c r="D12" i="81"/>
  <c r="D13" i="81" s="1"/>
  <c r="C56" i="87"/>
  <c r="K43" i="103"/>
  <c r="O8" i="16"/>
  <c r="Q8" i="13" s="1"/>
  <c r="G24" i="53"/>
  <c r="BX24" i="13" s="1"/>
  <c r="DR24" i="13" s="1"/>
  <c r="EE12" i="12" s="1"/>
  <c r="DC48" i="13"/>
  <c r="O36" i="16"/>
  <c r="Q36" i="13" s="1"/>
  <c r="CX35" i="13"/>
  <c r="O52" i="18"/>
  <c r="X52" i="13" s="1"/>
  <c r="DV94" i="13"/>
  <c r="H49" i="103"/>
  <c r="F54" i="112"/>
  <c r="F27" i="92"/>
  <c r="F33" i="92" s="1"/>
  <c r="O61" i="14"/>
  <c r="G61" i="13" s="1"/>
  <c r="G54" i="112"/>
  <c r="F20" i="97"/>
  <c r="F26" i="97" s="1"/>
  <c r="W96" i="18"/>
  <c r="Z96" i="13" s="1"/>
  <c r="S39" i="16"/>
  <c r="R39" i="13" s="1"/>
  <c r="W38" i="46"/>
  <c r="BI38" i="13" s="1"/>
  <c r="O93" i="18"/>
  <c r="X93" i="13" s="1"/>
  <c r="G60" i="55"/>
  <c r="CB60" i="13" s="1"/>
  <c r="DT60" i="13" s="1"/>
  <c r="F37" i="60"/>
  <c r="B94" i="13" s="1"/>
  <c r="F5" i="60"/>
  <c r="B8" i="13" s="1"/>
  <c r="F27" i="60"/>
  <c r="B66" i="13" s="1"/>
  <c r="F20" i="60"/>
  <c r="B45" i="13" s="1"/>
  <c r="F28" i="60"/>
  <c r="B69" i="13" s="1"/>
  <c r="F29" i="60"/>
  <c r="B72" i="13" s="1"/>
  <c r="F7" i="60"/>
  <c r="B12" i="13" s="1"/>
  <c r="F14" i="60"/>
  <c r="B31" i="13" s="1"/>
  <c r="F12" i="60"/>
  <c r="B25" i="13" s="1"/>
  <c r="F25" i="60"/>
  <c r="B60" i="13" s="1"/>
  <c r="F13" i="60"/>
  <c r="B28" i="13" s="1"/>
  <c r="F26" i="60"/>
  <c r="B63" i="13" s="1"/>
  <c r="F15" i="60"/>
  <c r="B34" i="13" s="1"/>
  <c r="F19" i="60"/>
  <c r="B42" i="13" s="1"/>
  <c r="F9" i="60"/>
  <c r="B16" i="13" s="1"/>
  <c r="F36" i="60"/>
  <c r="B91" i="13" s="1"/>
  <c r="K52" i="82"/>
  <c r="D19" i="81" s="1"/>
  <c r="E236" i="36" s="1"/>
  <c r="E49" i="102"/>
  <c r="F23" i="82"/>
  <c r="F52" i="82" s="1"/>
  <c r="D16" i="81" s="1"/>
  <c r="E228" i="36" s="1"/>
  <c r="G52" i="82"/>
  <c r="D15" i="81" s="1"/>
  <c r="E229" i="36" s="1"/>
  <c r="F21" i="88"/>
  <c r="F27" i="88" s="1"/>
  <c r="G31" i="92"/>
  <c r="D22" i="93"/>
  <c r="D28" i="93" s="1"/>
  <c r="O32" i="67"/>
  <c r="CI32" i="13" s="1"/>
  <c r="W74" i="46"/>
  <c r="BI74" i="13" s="1"/>
  <c r="W98" i="18"/>
  <c r="Z98" i="13" s="1"/>
  <c r="O93" i="14"/>
  <c r="G93" i="13" s="1"/>
  <c r="O98" i="18"/>
  <c r="X98" i="13" s="1"/>
  <c r="S13" i="16"/>
  <c r="R13" i="13" s="1"/>
  <c r="O99" i="18"/>
  <c r="X99" i="13" s="1"/>
  <c r="K84" i="30"/>
  <c r="AU84" i="13" s="1"/>
  <c r="G12" i="55"/>
  <c r="CB12" i="13" s="1"/>
  <c r="DT12" i="13" s="1"/>
  <c r="O23" i="14"/>
  <c r="G23" i="13" s="1"/>
  <c r="O81" i="18"/>
  <c r="X81" i="13" s="1"/>
  <c r="S79" i="16"/>
  <c r="R79" i="13" s="1"/>
  <c r="O68" i="18"/>
  <c r="X68" i="13" s="1"/>
  <c r="EZ36" i="12"/>
  <c r="T43" i="1" s="1"/>
  <c r="O40" i="14"/>
  <c r="G40" i="13" s="1"/>
  <c r="W71" i="14"/>
  <c r="I71" i="13" s="1"/>
  <c r="K38" i="57"/>
  <c r="CF38" i="13" s="1"/>
  <c r="G64" i="18"/>
  <c r="V64" i="13" s="1"/>
  <c r="G23" i="52"/>
  <c r="BT23" i="13" s="1"/>
  <c r="W91" i="18"/>
  <c r="Z91" i="13" s="1"/>
  <c r="DN81" i="13"/>
  <c r="DN82" i="13"/>
  <c r="O42" i="30"/>
  <c r="AV42" i="13" s="1"/>
  <c r="S5" i="16"/>
  <c r="R5" i="13" s="1"/>
  <c r="M13" i="50"/>
  <c r="O13" i="50" s="1"/>
  <c r="BR13" i="13" s="1"/>
  <c r="O49" i="18"/>
  <c r="X49" i="13" s="1"/>
  <c r="BD24" i="13"/>
  <c r="G62" i="18"/>
  <c r="V62" i="13" s="1"/>
  <c r="O95" i="18"/>
  <c r="X95" i="13" s="1"/>
  <c r="DM74" i="13"/>
  <c r="DN92" i="13"/>
  <c r="M12" i="50"/>
  <c r="O12" i="50" s="1"/>
  <c r="BR12" i="13" s="1"/>
  <c r="O65" i="18"/>
  <c r="X65" i="13" s="1"/>
  <c r="O84" i="30"/>
  <c r="AV84" i="13" s="1"/>
  <c r="DC61" i="13"/>
  <c r="G72" i="53"/>
  <c r="BX72" i="13" s="1"/>
  <c r="DR72" i="13" s="1"/>
  <c r="DU94" i="13"/>
  <c r="DU86" i="13"/>
  <c r="DU97" i="13"/>
  <c r="S40" i="16"/>
  <c r="R40" i="13" s="1"/>
  <c r="O74" i="21"/>
  <c r="AJ74" i="13" s="1"/>
  <c r="O104" i="14"/>
  <c r="G104" i="13" s="1"/>
  <c r="O73" i="21"/>
  <c r="AJ73" i="13" s="1"/>
  <c r="W73" i="46"/>
  <c r="BI73" i="13" s="1"/>
  <c r="K8" i="57"/>
  <c r="CF8" i="13" s="1"/>
  <c r="DD78" i="13"/>
  <c r="K93" i="30"/>
  <c r="AU93" i="13" s="1"/>
  <c r="DN78" i="13"/>
  <c r="W23" i="18"/>
  <c r="Z23" i="13" s="1"/>
  <c r="DU99" i="13"/>
  <c r="W69" i="14"/>
  <c r="I69" i="13" s="1"/>
  <c r="O21" i="14"/>
  <c r="G21" i="13" s="1"/>
  <c r="W39" i="18"/>
  <c r="Z39" i="13" s="1"/>
  <c r="O91" i="14"/>
  <c r="G91" i="13" s="1"/>
  <c r="DN86" i="13"/>
  <c r="W23" i="14"/>
  <c r="I23" i="13" s="1"/>
  <c r="O80" i="18"/>
  <c r="X80" i="13" s="1"/>
  <c r="W24" i="18"/>
  <c r="Z24" i="13" s="1"/>
  <c r="O60" i="16"/>
  <c r="Q60" i="13" s="1"/>
  <c r="K47" i="30"/>
  <c r="AU47" i="13" s="1"/>
  <c r="O14" i="30"/>
  <c r="AV14" i="13" s="1"/>
  <c r="DN104" i="13"/>
  <c r="K22" i="57"/>
  <c r="CF22" i="13" s="1"/>
  <c r="K86" i="30"/>
  <c r="AU86" i="13" s="1"/>
  <c r="O35" i="16"/>
  <c r="Q35" i="13" s="1"/>
  <c r="O91" i="16"/>
  <c r="DN55" i="13"/>
  <c r="S85" i="16"/>
  <c r="R85" i="13" s="1"/>
  <c r="DM56" i="13"/>
  <c r="O24" i="16"/>
  <c r="Q24" i="13" s="1"/>
  <c r="G14" i="59"/>
  <c r="BA14" i="13" s="1"/>
  <c r="S45" i="16"/>
  <c r="R45" i="13" s="1"/>
  <c r="G63" i="18"/>
  <c r="V63" i="13" s="1"/>
  <c r="O56" i="18"/>
  <c r="X56" i="13" s="1"/>
  <c r="O61" i="18"/>
  <c r="X61" i="13" s="1"/>
  <c r="O46" i="14"/>
  <c r="G46" i="13" s="1"/>
  <c r="CZ49" i="13"/>
  <c r="O33" i="30"/>
  <c r="AV33" i="13" s="1"/>
  <c r="W22" i="14"/>
  <c r="I22" i="13" s="1"/>
  <c r="DQ95" i="13"/>
  <c r="K45" i="15"/>
  <c r="N45" i="13" s="1"/>
  <c r="K105" i="57"/>
  <c r="CF105" i="13" s="1"/>
  <c r="O98" i="16"/>
  <c r="Q92" i="13" s="1"/>
  <c r="O97" i="18"/>
  <c r="X97" i="13" s="1"/>
  <c r="O103" i="18"/>
  <c r="X103" i="13" s="1"/>
  <c r="O31" i="30"/>
  <c r="AV31" i="13" s="1"/>
  <c r="O83" i="30"/>
  <c r="AV83" i="13" s="1"/>
  <c r="K62" i="57"/>
  <c r="CF62" i="13" s="1"/>
  <c r="DM40" i="13"/>
  <c r="G13" i="59"/>
  <c r="BA13" i="13" s="1"/>
  <c r="O34" i="16"/>
  <c r="Q34" i="13" s="1"/>
  <c r="O24" i="14"/>
  <c r="G24" i="13" s="1"/>
  <c r="DM101" i="13"/>
  <c r="K39" i="57"/>
  <c r="CF39" i="13" s="1"/>
  <c r="G73" i="55"/>
  <c r="CB73" i="13" s="1"/>
  <c r="DT73" i="13" s="1"/>
  <c r="K103" i="57"/>
  <c r="CF103" i="13" s="1"/>
  <c r="G39" i="18"/>
  <c r="V39" i="13" s="1"/>
  <c r="O39" i="16"/>
  <c r="Q39" i="13" s="1"/>
  <c r="W94" i="18"/>
  <c r="Z94" i="13" s="1"/>
  <c r="S34" i="16"/>
  <c r="R34" i="13" s="1"/>
  <c r="DU92" i="13"/>
  <c r="DM73" i="13"/>
  <c r="DU30" i="12" s="1"/>
  <c r="K23" i="59"/>
  <c r="BB23" i="13" s="1"/>
  <c r="W61" i="14"/>
  <c r="I61" i="13" s="1"/>
  <c r="O91" i="18"/>
  <c r="X91" i="13" s="1"/>
  <c r="O103" i="67"/>
  <c r="CI103" i="13" s="1"/>
  <c r="S84" i="16"/>
  <c r="R84" i="13" s="1"/>
  <c r="K40" i="57"/>
  <c r="CF40" i="13" s="1"/>
  <c r="DU31" i="13"/>
  <c r="DC103" i="13"/>
  <c r="DC62" i="13"/>
  <c r="DM62" i="13"/>
  <c r="L43" i="103"/>
  <c r="W93" i="14"/>
  <c r="I93" i="13" s="1"/>
  <c r="H55" i="103"/>
  <c r="O62" i="16"/>
  <c r="Q62" i="13" s="1"/>
  <c r="K33" i="57"/>
  <c r="CF33" i="13" s="1"/>
  <c r="O38" i="21"/>
  <c r="AJ38" i="13" s="1"/>
  <c r="O71" i="18"/>
  <c r="X71" i="13" s="1"/>
  <c r="O72" i="50"/>
  <c r="BR72" i="13" s="1"/>
  <c r="O45" i="21"/>
  <c r="AJ45" i="13" s="1"/>
  <c r="G42" i="55"/>
  <c r="CB42" i="13" s="1"/>
  <c r="DT42" i="13" s="1"/>
  <c r="G6" i="55"/>
  <c r="CB6" i="13" s="1"/>
  <c r="DT6" i="13" s="1"/>
  <c r="EI5" i="12" s="1"/>
  <c r="K60" i="56"/>
  <c r="CD60" i="13" s="1"/>
  <c r="K91" i="57"/>
  <c r="CF91" i="13" s="1"/>
  <c r="G70" i="49"/>
  <c r="BN70" i="13" s="1"/>
  <c r="O55" i="18"/>
  <c r="X55" i="13" s="1"/>
  <c r="S10" i="16"/>
  <c r="R10" i="13" s="1"/>
  <c r="O73" i="30"/>
  <c r="AV73" i="13" s="1"/>
  <c r="G101" i="55"/>
  <c r="CB101" i="13" s="1"/>
  <c r="DT101" i="13" s="1"/>
  <c r="W72" i="14"/>
  <c r="I72" i="13" s="1"/>
  <c r="DC81" i="13"/>
  <c r="G74" i="49"/>
  <c r="BN74" i="13" s="1"/>
  <c r="O70" i="18"/>
  <c r="X70" i="13" s="1"/>
  <c r="S63" i="16"/>
  <c r="R63" i="13" s="1"/>
  <c r="W38" i="14"/>
  <c r="I38" i="13" s="1"/>
  <c r="W103" i="14"/>
  <c r="I103" i="13" s="1"/>
  <c r="W91" i="14"/>
  <c r="I91" i="13" s="1"/>
  <c r="O32" i="19"/>
  <c r="AC32" i="13" s="1"/>
  <c r="S21" i="14"/>
  <c r="H21" i="13" s="1"/>
  <c r="DM93" i="13"/>
  <c r="DU37" i="12" s="1"/>
  <c r="W40" i="18"/>
  <c r="Z40" i="13" s="1"/>
  <c r="K85" i="30"/>
  <c r="AU85" i="13" s="1"/>
  <c r="DV99" i="13"/>
  <c r="W105" i="14"/>
  <c r="I105" i="13" s="1"/>
  <c r="DQ92" i="13"/>
  <c r="W60" i="14"/>
  <c r="I60" i="13" s="1"/>
  <c r="S60" i="16"/>
  <c r="R60" i="13" s="1"/>
  <c r="G23" i="19"/>
  <c r="AA23" i="13" s="1"/>
  <c r="K70" i="49"/>
  <c r="BO70" i="13" s="1"/>
  <c r="K71" i="49"/>
  <c r="BO71" i="13" s="1"/>
  <c r="O47" i="14"/>
  <c r="G47" i="13" s="1"/>
  <c r="O96" i="18"/>
  <c r="X96" i="13" s="1"/>
  <c r="DO104" i="13"/>
  <c r="DV28" i="13"/>
  <c r="G56" i="18"/>
  <c r="V56" i="13" s="1"/>
  <c r="O105" i="18"/>
  <c r="X105" i="13" s="1"/>
  <c r="O64" i="18"/>
  <c r="X64" i="13" s="1"/>
  <c r="O22" i="45"/>
  <c r="AZ22" i="13" s="1"/>
  <c r="O19" i="30"/>
  <c r="AV19" i="13" s="1"/>
  <c r="K69" i="49"/>
  <c r="BO69" i="13" s="1"/>
  <c r="S78" i="16"/>
  <c r="R78" i="13" s="1"/>
  <c r="K9" i="57"/>
  <c r="CF9" i="13" s="1"/>
  <c r="DJ60" i="13"/>
  <c r="K20" i="57"/>
  <c r="CF20" i="13" s="1"/>
  <c r="O22" i="21"/>
  <c r="AJ22" i="13" s="1"/>
  <c r="O23" i="21"/>
  <c r="AJ23" i="13" s="1"/>
  <c r="O53" i="21"/>
  <c r="AJ53" i="13" s="1"/>
  <c r="O48" i="21"/>
  <c r="AJ48" i="13" s="1"/>
  <c r="O23" i="59"/>
  <c r="BC23" i="13" s="1"/>
  <c r="DN54" i="13"/>
  <c r="W103" i="18"/>
  <c r="Z103" i="13" s="1"/>
  <c r="DN52" i="13"/>
  <c r="O50" i="18"/>
  <c r="X50" i="13" s="1"/>
  <c r="DN12" i="13"/>
  <c r="BD22" i="13"/>
  <c r="S12" i="16"/>
  <c r="R12" i="13" s="1"/>
  <c r="S47" i="16"/>
  <c r="R47" i="13" s="1"/>
  <c r="G82" i="18"/>
  <c r="V82" i="13" s="1"/>
  <c r="G78" i="18"/>
  <c r="V78" i="13" s="1"/>
  <c r="S94" i="16"/>
  <c r="R88" i="13" s="1"/>
  <c r="K92" i="30"/>
  <c r="AU92" i="13" s="1"/>
  <c r="DN93" i="13"/>
  <c r="G84" i="18"/>
  <c r="V84" i="13" s="1"/>
  <c r="K6" i="15"/>
  <c r="N6" i="13" s="1"/>
  <c r="O69" i="18"/>
  <c r="X69" i="13" s="1"/>
  <c r="K31" i="57"/>
  <c r="CF31" i="13" s="1"/>
  <c r="K43" i="57"/>
  <c r="CF43" i="13" s="1"/>
  <c r="O40" i="21"/>
  <c r="AJ40" i="13" s="1"/>
  <c r="S82" i="16"/>
  <c r="R82" i="13" s="1"/>
  <c r="K45" i="57"/>
  <c r="CF45" i="13" s="1"/>
  <c r="K12" i="57"/>
  <c r="CF12" i="13" s="1"/>
  <c r="DJ96" i="13"/>
  <c r="W93" i="46"/>
  <c r="BI93" i="13" s="1"/>
  <c r="G21" i="55"/>
  <c r="CB21" i="13" s="1"/>
  <c r="DT21" i="13" s="1"/>
  <c r="W22" i="18"/>
  <c r="Z22" i="13" s="1"/>
  <c r="O105" i="14"/>
  <c r="G105" i="13" s="1"/>
  <c r="G60" i="18"/>
  <c r="V60" i="13" s="1"/>
  <c r="O51" i="18"/>
  <c r="X51" i="13" s="1"/>
  <c r="DU22" i="13"/>
  <c r="CX54" i="13"/>
  <c r="DN50" i="13"/>
  <c r="DN48" i="13"/>
  <c r="W70" i="14"/>
  <c r="I70" i="13" s="1"/>
  <c r="S92" i="16"/>
  <c r="O48" i="30"/>
  <c r="AV48" i="13" s="1"/>
  <c r="G23" i="18"/>
  <c r="V23" i="13" s="1"/>
  <c r="G22" i="52"/>
  <c r="BT22" i="13" s="1"/>
  <c r="O82" i="18"/>
  <c r="X82" i="13" s="1"/>
  <c r="G81" i="30"/>
  <c r="AT81" i="13" s="1"/>
  <c r="DN40" i="13"/>
  <c r="K14" i="59"/>
  <c r="BB14" i="13" s="1"/>
  <c r="O85" i="30"/>
  <c r="AV85" i="13" s="1"/>
  <c r="S38" i="16"/>
  <c r="R38" i="13" s="1"/>
  <c r="O79" i="18"/>
  <c r="X79" i="13" s="1"/>
  <c r="O32" i="45"/>
  <c r="AZ32" i="13" s="1"/>
  <c r="W39" i="14"/>
  <c r="I39" i="13" s="1"/>
  <c r="W24" i="14"/>
  <c r="I24" i="13" s="1"/>
  <c r="S22" i="16"/>
  <c r="R22" i="13" s="1"/>
  <c r="K12" i="59"/>
  <c r="BB12" i="13" s="1"/>
  <c r="O31" i="19"/>
  <c r="AC31" i="13" s="1"/>
  <c r="O43" i="30"/>
  <c r="AV43" i="13" s="1"/>
  <c r="O69" i="30"/>
  <c r="AV69" i="13" s="1"/>
  <c r="S46" i="16"/>
  <c r="R46" i="13" s="1"/>
  <c r="S7" i="16"/>
  <c r="R7" i="13" s="1"/>
  <c r="G22" i="18"/>
  <c r="V22" i="13" s="1"/>
  <c r="DM97" i="13"/>
  <c r="O94" i="18"/>
  <c r="X94" i="13" s="1"/>
  <c r="W95" i="18"/>
  <c r="Z95" i="13" s="1"/>
  <c r="O32" i="30"/>
  <c r="AV32" i="13" s="1"/>
  <c r="K72" i="57"/>
  <c r="CF72" i="13" s="1"/>
  <c r="G104" i="45"/>
  <c r="AX104" i="13" s="1"/>
  <c r="O60" i="18"/>
  <c r="X60" i="13" s="1"/>
  <c r="DZ40" i="13"/>
  <c r="DU96" i="13"/>
  <c r="K10" i="57"/>
  <c r="CF10" i="13" s="1"/>
  <c r="S69" i="16"/>
  <c r="R69" i="13" s="1"/>
  <c r="DU48" i="13"/>
  <c r="G69" i="52"/>
  <c r="BT69" i="13" s="1"/>
  <c r="K13" i="57"/>
  <c r="CF13" i="13" s="1"/>
  <c r="K24" i="57"/>
  <c r="CF24" i="13" s="1"/>
  <c r="K32" i="57"/>
  <c r="CF32" i="13" s="1"/>
  <c r="G74" i="55"/>
  <c r="CB74" i="13" s="1"/>
  <c r="DT74" i="13" s="1"/>
  <c r="K44" i="57"/>
  <c r="CF44" i="13" s="1"/>
  <c r="K23" i="15"/>
  <c r="N23" i="13" s="1"/>
  <c r="K73" i="49"/>
  <c r="BO73" i="13" s="1"/>
  <c r="W62" i="14"/>
  <c r="I62" i="13" s="1"/>
  <c r="O23" i="16"/>
  <c r="Q23" i="13" s="1"/>
  <c r="W38" i="18"/>
  <c r="Z38" i="13" s="1"/>
  <c r="DM39" i="13"/>
  <c r="O40" i="16"/>
  <c r="Q40" i="13" s="1"/>
  <c r="O19" i="14"/>
  <c r="G19" i="13" s="1"/>
  <c r="S8" i="16"/>
  <c r="R8" i="13" s="1"/>
  <c r="G99" i="55"/>
  <c r="CB99" i="13" s="1"/>
  <c r="DT99" i="13" s="1"/>
  <c r="W92" i="18"/>
  <c r="Z92" i="13" s="1"/>
  <c r="DN61" i="13"/>
  <c r="G55" i="18"/>
  <c r="V55" i="13" s="1"/>
  <c r="O82" i="30"/>
  <c r="AV82" i="13" s="1"/>
  <c r="K74" i="57"/>
  <c r="CF74" i="13" s="1"/>
  <c r="DC49" i="13"/>
  <c r="DC60" i="13"/>
  <c r="DM98" i="13"/>
  <c r="O42" i="67"/>
  <c r="CI42" i="13" s="1"/>
  <c r="S86" i="16"/>
  <c r="R86" i="13" s="1"/>
  <c r="DU56" i="13"/>
  <c r="O14" i="45"/>
  <c r="AZ14" i="13" s="1"/>
  <c r="DN96" i="13"/>
  <c r="DN83" i="13"/>
  <c r="DW56" i="13"/>
  <c r="W95" i="46"/>
  <c r="BI95" i="13" s="1"/>
  <c r="O105" i="67"/>
  <c r="CI105" i="13" s="1"/>
  <c r="S68" i="16"/>
  <c r="R68" i="13" s="1"/>
  <c r="K101" i="15"/>
  <c r="N101" i="13" s="1"/>
  <c r="DJ38" i="13"/>
  <c r="K19" i="57"/>
  <c r="CF19" i="13" s="1"/>
  <c r="G61" i="55"/>
  <c r="CB61" i="13" s="1"/>
  <c r="DT61" i="13" s="1"/>
  <c r="W104" i="14"/>
  <c r="I104" i="13" s="1"/>
  <c r="W40" i="14"/>
  <c r="I40" i="13" s="1"/>
  <c r="W46" i="14"/>
  <c r="I46" i="13" s="1"/>
  <c r="DV29" i="13"/>
  <c r="DM100" i="13"/>
  <c r="O67" i="18"/>
  <c r="X67" i="13" s="1"/>
  <c r="K12" i="15"/>
  <c r="N12" i="13" s="1"/>
  <c r="W72" i="46"/>
  <c r="BI72" i="13" s="1"/>
  <c r="G71" i="53"/>
  <c r="BX71" i="13" s="1"/>
  <c r="DR71" i="13" s="1"/>
  <c r="DJ92" i="13"/>
  <c r="K61" i="57"/>
  <c r="CF61" i="13" s="1"/>
  <c r="K21" i="57"/>
  <c r="CF21" i="13" s="1"/>
  <c r="O20" i="30"/>
  <c r="AV20" i="13" s="1"/>
  <c r="DV52" i="13"/>
  <c r="DN31" i="13"/>
  <c r="S99" i="16"/>
  <c r="R93" i="13" s="1"/>
  <c r="S93" i="16"/>
  <c r="O24" i="21"/>
  <c r="AJ24" i="13" s="1"/>
  <c r="G12" i="59"/>
  <c r="BA12" i="13" s="1"/>
  <c r="S105" i="16"/>
  <c r="R99" i="13" s="1"/>
  <c r="O20" i="67"/>
  <c r="CI20" i="13" s="1"/>
  <c r="O67" i="21"/>
  <c r="AJ67" i="13" s="1"/>
  <c r="S73" i="16"/>
  <c r="R73" i="13" s="1"/>
  <c r="O43" i="67"/>
  <c r="CI43" i="13" s="1"/>
  <c r="O56" i="21"/>
  <c r="AJ56" i="13" s="1"/>
  <c r="W70" i="46"/>
  <c r="BI70" i="13" s="1"/>
  <c r="O46" i="21"/>
  <c r="AJ46" i="13" s="1"/>
  <c r="G9" i="55"/>
  <c r="CB9" i="13" s="1"/>
  <c r="DT9" i="13" s="1"/>
  <c r="EI6" i="12" s="1"/>
  <c r="G32" i="55"/>
  <c r="CB32" i="13" s="1"/>
  <c r="DT32" i="13" s="1"/>
  <c r="G10" i="55"/>
  <c r="CB10" i="13" s="1"/>
  <c r="DT10" i="13" s="1"/>
  <c r="K44" i="15"/>
  <c r="N44" i="13" s="1"/>
  <c r="O39" i="21"/>
  <c r="AJ39" i="13" s="1"/>
  <c r="DQ99" i="13"/>
  <c r="DZ92" i="13"/>
  <c r="G74" i="53"/>
  <c r="BX74" i="13" s="1"/>
  <c r="DR74" i="13" s="1"/>
  <c r="O52" i="21"/>
  <c r="AJ52" i="13" s="1"/>
  <c r="K92" i="57"/>
  <c r="CF92" i="13" s="1"/>
  <c r="K72" i="49"/>
  <c r="BO72" i="13" s="1"/>
  <c r="DU49" i="13"/>
  <c r="K10" i="15"/>
  <c r="N10" i="13" s="1"/>
  <c r="G69" i="55"/>
  <c r="CB69" i="13" s="1"/>
  <c r="DT69" i="13" s="1"/>
  <c r="DN80" i="13"/>
  <c r="S33" i="16"/>
  <c r="R33" i="13" s="1"/>
  <c r="K71" i="57"/>
  <c r="CF71" i="13" s="1"/>
  <c r="G31" i="55"/>
  <c r="CB31" i="13" s="1"/>
  <c r="DT31" i="13" s="1"/>
  <c r="DU82" i="13"/>
  <c r="K70" i="57"/>
  <c r="CF70" i="13" s="1"/>
  <c r="K47" i="57"/>
  <c r="CF47" i="13" s="1"/>
  <c r="O100" i="67"/>
  <c r="CI100" i="13" s="1"/>
  <c r="DM72" i="13"/>
  <c r="DU33" i="13"/>
  <c r="EK15" i="12" s="1"/>
  <c r="DV98" i="13"/>
  <c r="K7" i="57"/>
  <c r="CF7" i="13" s="1"/>
  <c r="S65" i="16"/>
  <c r="R65" i="13" s="1"/>
  <c r="O92" i="14"/>
  <c r="G92" i="13" s="1"/>
  <c r="G19" i="55"/>
  <c r="CB19" i="13" s="1"/>
  <c r="DT19" i="13" s="1"/>
  <c r="S74" i="16"/>
  <c r="R74" i="13" s="1"/>
  <c r="G51" i="30"/>
  <c r="AT51" i="13" s="1"/>
  <c r="DU104" i="13"/>
  <c r="W105" i="18"/>
  <c r="Z105" i="13" s="1"/>
  <c r="O54" i="18"/>
  <c r="X54" i="13" s="1"/>
  <c r="DV50" i="13"/>
  <c r="O81" i="30"/>
  <c r="AV81" i="13" s="1"/>
  <c r="O53" i="30"/>
  <c r="AV53" i="13" s="1"/>
  <c r="DU52" i="13"/>
  <c r="S61" i="16"/>
  <c r="R61" i="13" s="1"/>
  <c r="O45" i="14"/>
  <c r="G45" i="13" s="1"/>
  <c r="O78" i="18"/>
  <c r="X78" i="13" s="1"/>
  <c r="O71" i="30"/>
  <c r="AV71" i="13" s="1"/>
  <c r="O66" i="18"/>
  <c r="X66" i="13" s="1"/>
  <c r="S81" i="16"/>
  <c r="R81" i="13" s="1"/>
  <c r="S51" i="16"/>
  <c r="R51" i="13" s="1"/>
  <c r="O47" i="21"/>
  <c r="AJ47" i="13" s="1"/>
  <c r="O70" i="50"/>
  <c r="BR70" i="13" s="1"/>
  <c r="DJ94" i="13"/>
  <c r="G105" i="55"/>
  <c r="CB105" i="13" s="1"/>
  <c r="DT105" i="13" s="1"/>
  <c r="K23" i="57"/>
  <c r="CF23" i="13" s="1"/>
  <c r="O51" i="21"/>
  <c r="AJ51" i="13" s="1"/>
  <c r="S80" i="16"/>
  <c r="R80" i="13" s="1"/>
  <c r="S52" i="16"/>
  <c r="R52" i="13" s="1"/>
  <c r="S33" i="29"/>
  <c r="AS33" i="13" s="1"/>
  <c r="DJ40" i="13"/>
  <c r="G103" i="55"/>
  <c r="CB103" i="13" s="1"/>
  <c r="DT103" i="13" s="1"/>
  <c r="O69" i="21"/>
  <c r="AJ69" i="13" s="1"/>
  <c r="W40" i="46"/>
  <c r="BI40" i="13" s="1"/>
  <c r="S32" i="16"/>
  <c r="R32" i="13" s="1"/>
  <c r="G98" i="55"/>
  <c r="CB98" i="13" s="1"/>
  <c r="DT98" i="13" s="1"/>
  <c r="DU55" i="13"/>
  <c r="O38" i="14"/>
  <c r="G38" i="13" s="1"/>
  <c r="DU85" i="13"/>
  <c r="K7" i="15"/>
  <c r="N7" i="13" s="1"/>
  <c r="W93" i="18"/>
  <c r="Z93" i="13" s="1"/>
  <c r="DW54" i="13"/>
  <c r="G22" i="53"/>
  <c r="BX22" i="13" s="1"/>
  <c r="DR22" i="13" s="1"/>
  <c r="O50" i="30"/>
  <c r="AV50" i="13" s="1"/>
  <c r="DM99" i="13"/>
  <c r="DN56" i="13"/>
  <c r="DV34" i="13"/>
  <c r="DU53" i="13"/>
  <c r="DU102" i="13"/>
  <c r="O69" i="50"/>
  <c r="BR69" i="13" s="1"/>
  <c r="W97" i="18"/>
  <c r="Z97" i="13" s="1"/>
  <c r="G105" i="45"/>
  <c r="AX105" i="13" s="1"/>
  <c r="DU91" i="13"/>
  <c r="DU79" i="13"/>
  <c r="S50" i="16"/>
  <c r="R50" i="13" s="1"/>
  <c r="M14" i="50"/>
  <c r="O14" i="50" s="1"/>
  <c r="BR14" i="13" s="1"/>
  <c r="E14" i="52"/>
  <c r="G14" i="52" s="1"/>
  <c r="BT14" i="13" s="1"/>
  <c r="O22" i="14"/>
  <c r="G22" i="13" s="1"/>
  <c r="S62" i="16"/>
  <c r="R62" i="13" s="1"/>
  <c r="K46" i="30"/>
  <c r="AU46" i="13" s="1"/>
  <c r="DI61" i="13"/>
  <c r="DV81" i="13"/>
  <c r="DU105" i="13"/>
  <c r="DV30" i="13"/>
  <c r="DU83" i="13"/>
  <c r="S70" i="16"/>
  <c r="R70" i="13" s="1"/>
  <c r="O20" i="14"/>
  <c r="G20" i="13" s="1"/>
  <c r="S6" i="16"/>
  <c r="R6" i="13" s="1"/>
  <c r="G103" i="45"/>
  <c r="AX103" i="13" s="1"/>
  <c r="DV78" i="13"/>
  <c r="DU54" i="13"/>
  <c r="DU23" i="13"/>
  <c r="G100" i="55"/>
  <c r="CB100" i="13" s="1"/>
  <c r="DT100" i="13" s="1"/>
  <c r="K61" i="15"/>
  <c r="N61" i="13" s="1"/>
  <c r="W104" i="18"/>
  <c r="Z104" i="13" s="1"/>
  <c r="O33" i="19"/>
  <c r="AC33" i="13" s="1"/>
  <c r="DU12" i="13"/>
  <c r="S56" i="16"/>
  <c r="R56" i="13" s="1"/>
  <c r="S72" i="16"/>
  <c r="R72" i="13" s="1"/>
  <c r="O43" i="14"/>
  <c r="G43" i="13" s="1"/>
  <c r="O42" i="14"/>
  <c r="G42" i="13" s="1"/>
  <c r="DM102" i="13"/>
  <c r="DU93" i="13"/>
  <c r="DU80" i="13"/>
  <c r="DU101" i="13"/>
  <c r="W47" i="14"/>
  <c r="I47" i="13" s="1"/>
  <c r="W73" i="14"/>
  <c r="I73" i="13" s="1"/>
  <c r="O47" i="16"/>
  <c r="Q47" i="13" s="1"/>
  <c r="O86" i="30"/>
  <c r="AV86" i="13" s="1"/>
  <c r="K71" i="52"/>
  <c r="BU71" i="13" s="1"/>
  <c r="K70" i="15"/>
  <c r="N70" i="13" s="1"/>
  <c r="S55" i="16"/>
  <c r="R55" i="13" s="1"/>
  <c r="S71" i="16"/>
  <c r="R71" i="13" s="1"/>
  <c r="K14" i="57"/>
  <c r="CF14" i="13" s="1"/>
  <c r="O44" i="67"/>
  <c r="CI44" i="13" s="1"/>
  <c r="K14" i="15"/>
  <c r="N14" i="13" s="1"/>
  <c r="S54" i="16"/>
  <c r="R54" i="13" s="1"/>
  <c r="O71" i="21"/>
  <c r="AJ71" i="13" s="1"/>
  <c r="AA102" i="68"/>
  <c r="CO102" i="13" s="1"/>
  <c r="S83" i="16"/>
  <c r="R83" i="13" s="1"/>
  <c r="S48" i="16"/>
  <c r="R48" i="13" s="1"/>
  <c r="G45" i="55"/>
  <c r="CB45" i="13" s="1"/>
  <c r="DT45" i="13" s="1"/>
  <c r="W69" i="46"/>
  <c r="BI69" i="13" s="1"/>
  <c r="O71" i="67"/>
  <c r="CI71" i="13" s="1"/>
  <c r="G69" i="53"/>
  <c r="BX69" i="13" s="1"/>
  <c r="DR69" i="13" s="1"/>
  <c r="S49" i="16"/>
  <c r="R49" i="13" s="1"/>
  <c r="G43" i="30"/>
  <c r="AT43" i="13" s="1"/>
  <c r="O54" i="21"/>
  <c r="AJ54" i="13" s="1"/>
  <c r="O19" i="67"/>
  <c r="CI19" i="13" s="1"/>
  <c r="K24" i="15"/>
  <c r="N24" i="13" s="1"/>
  <c r="K20" i="15"/>
  <c r="N20" i="13" s="1"/>
  <c r="DJ39" i="13"/>
  <c r="DJ105" i="13"/>
  <c r="O49" i="21"/>
  <c r="AJ49" i="13" s="1"/>
  <c r="O73" i="54"/>
  <c r="CA73" i="13" s="1"/>
  <c r="W71" i="46"/>
  <c r="BI71" i="13" s="1"/>
  <c r="K92" i="15"/>
  <c r="N92" i="13" s="1"/>
  <c r="DJ62" i="13"/>
  <c r="K42" i="57"/>
  <c r="CF42" i="13" s="1"/>
  <c r="K5" i="57"/>
  <c r="CF5" i="13" s="1"/>
  <c r="O69" i="54"/>
  <c r="CA69" i="13" s="1"/>
  <c r="O72" i="21"/>
  <c r="AJ72" i="13" s="1"/>
  <c r="K62" i="56"/>
  <c r="CD62" i="13" s="1"/>
  <c r="S9" i="16"/>
  <c r="R9" i="13" s="1"/>
  <c r="O84" i="18"/>
  <c r="X84" i="13" s="1"/>
  <c r="O95" i="16"/>
  <c r="Q89" i="13" s="1"/>
  <c r="G61" i="18"/>
  <c r="V61" i="13" s="1"/>
  <c r="G82" i="30"/>
  <c r="AT82" i="13" s="1"/>
  <c r="DU81" i="13"/>
  <c r="G53" i="30"/>
  <c r="AT53" i="13" s="1"/>
  <c r="DM71" i="13"/>
  <c r="O70" i="21"/>
  <c r="AJ70" i="13" s="1"/>
  <c r="S67" i="16"/>
  <c r="R67" i="13" s="1"/>
  <c r="O44" i="14"/>
  <c r="G44" i="13" s="1"/>
  <c r="G86" i="18"/>
  <c r="V86" i="13" s="1"/>
  <c r="O83" i="18"/>
  <c r="X83" i="13" s="1"/>
  <c r="O74" i="30"/>
  <c r="AV74" i="13" s="1"/>
  <c r="DN60" i="13"/>
  <c r="W45" i="14"/>
  <c r="I45" i="13" s="1"/>
  <c r="CZ54" i="13"/>
  <c r="DN51" i="13"/>
  <c r="O103" i="14"/>
  <c r="G103" i="13" s="1"/>
  <c r="S14" i="16"/>
  <c r="R14" i="13" s="1"/>
  <c r="G50" i="18"/>
  <c r="V50" i="13" s="1"/>
  <c r="DC42" i="13"/>
  <c r="G69" i="49"/>
  <c r="BN69" i="13" s="1"/>
  <c r="DU103" i="13"/>
  <c r="DN85" i="13"/>
  <c r="O10" i="16"/>
  <c r="Q10" i="13" s="1"/>
  <c r="W40" i="19"/>
  <c r="AE40" i="13" s="1"/>
  <c r="I53" i="103"/>
  <c r="I55" i="103" s="1"/>
  <c r="O43" i="103"/>
  <c r="O92" i="16"/>
  <c r="DM70" i="13"/>
  <c r="DU78" i="13"/>
  <c r="G83" i="18"/>
  <c r="V83" i="13" s="1"/>
  <c r="O38" i="16"/>
  <c r="Q38" i="13" s="1"/>
  <c r="W99" i="18"/>
  <c r="Z99" i="13" s="1"/>
  <c r="O85" i="18"/>
  <c r="X85" i="13" s="1"/>
  <c r="DC26" i="13"/>
  <c r="DU95" i="13"/>
  <c r="K39" i="15"/>
  <c r="N39" i="13" s="1"/>
  <c r="S24" i="16"/>
  <c r="R24" i="13" s="1"/>
  <c r="G27" i="93"/>
  <c r="G22" i="93"/>
  <c r="G28" i="93" s="1"/>
  <c r="W74" i="14"/>
  <c r="I74" i="13" s="1"/>
  <c r="S103" i="16"/>
  <c r="R97" i="13" s="1"/>
  <c r="G79" i="18"/>
  <c r="V79" i="13" s="1"/>
  <c r="G54" i="18"/>
  <c r="V54" i="13" s="1"/>
  <c r="DC102" i="13"/>
  <c r="F21" i="83"/>
  <c r="E27" i="83" s="1"/>
  <c r="G21" i="83"/>
  <c r="F27" i="83" s="1"/>
  <c r="S31" i="16"/>
  <c r="R31" i="13" s="1"/>
  <c r="DU100" i="13"/>
  <c r="DU51" i="13"/>
  <c r="K98" i="15"/>
  <c r="N98" i="13" s="1"/>
  <c r="I49" i="103"/>
  <c r="K91" i="15"/>
  <c r="N91" i="13" s="1"/>
  <c r="F24" i="86"/>
  <c r="F30" i="86" s="1"/>
  <c r="N43" i="103"/>
  <c r="DZ6" i="13"/>
  <c r="EU5" i="12" s="1"/>
  <c r="G71" i="52"/>
  <c r="BT71" i="13" s="1"/>
  <c r="K93" i="57"/>
  <c r="CF93" i="13" s="1"/>
  <c r="K104" i="15"/>
  <c r="N104" i="13" s="1"/>
  <c r="DU50" i="13"/>
  <c r="K99" i="15"/>
  <c r="N99" i="13" s="1"/>
  <c r="K97" i="15"/>
  <c r="N97" i="13" s="1"/>
  <c r="O66" i="21"/>
  <c r="AJ66" i="13" s="1"/>
  <c r="K102" i="15"/>
  <c r="N102" i="13" s="1"/>
  <c r="O71" i="50"/>
  <c r="BR71" i="13" s="1"/>
  <c r="G24" i="97"/>
  <c r="G20" i="97"/>
  <c r="G26" i="97" s="1"/>
  <c r="F49" i="102"/>
  <c r="DU98" i="13"/>
  <c r="G44" i="102"/>
  <c r="C54" i="111"/>
  <c r="G37" i="110"/>
  <c r="G42" i="110" s="1"/>
  <c r="R43" i="103"/>
  <c r="F34" i="109"/>
  <c r="F39" i="109" s="1"/>
  <c r="C55" i="111"/>
  <c r="F37" i="110"/>
  <c r="F42" i="110" s="1"/>
  <c r="G34" i="109"/>
  <c r="G39" i="109" s="1"/>
  <c r="G37" i="109"/>
  <c r="J59" i="103"/>
  <c r="J61" i="103" s="1"/>
  <c r="S43" i="103"/>
  <c r="I59" i="103"/>
  <c r="I61" i="103" s="1"/>
  <c r="P43" i="103"/>
  <c r="H59" i="103"/>
  <c r="H61" i="103" s="1"/>
  <c r="M43" i="103"/>
  <c r="G47" i="102"/>
  <c r="F44" i="102"/>
  <c r="F27" i="93"/>
  <c r="F22" i="93"/>
  <c r="F28" i="93" s="1"/>
  <c r="G24" i="86"/>
  <c r="G30" i="86" s="1"/>
  <c r="G28" i="86"/>
  <c r="F22" i="83"/>
  <c r="D28" i="83"/>
  <c r="G22" i="83"/>
  <c r="G28" i="83" s="1"/>
  <c r="G27" i="83"/>
  <c r="D23" i="83"/>
  <c r="D29" i="83" s="1"/>
  <c r="W94" i="46"/>
  <c r="BI94" i="13" s="1"/>
  <c r="K69" i="57"/>
  <c r="CF69" i="13" s="1"/>
  <c r="K104" i="57"/>
  <c r="CF104" i="13" s="1"/>
  <c r="K73" i="57"/>
  <c r="CF73" i="13" s="1"/>
  <c r="O6" i="16"/>
  <c r="Q6" i="13" s="1"/>
  <c r="G24" i="18"/>
  <c r="V24" i="13" s="1"/>
  <c r="DV96" i="13"/>
  <c r="O94" i="16"/>
  <c r="Q88" i="13" s="1"/>
  <c r="W31" i="19"/>
  <c r="AE31" i="13" s="1"/>
  <c r="K6" i="57"/>
  <c r="CF6" i="13" s="1"/>
  <c r="K47" i="15"/>
  <c r="N47" i="13" s="1"/>
  <c r="DJ95" i="13"/>
  <c r="DJ93" i="13"/>
  <c r="DN53" i="13"/>
  <c r="G74" i="30"/>
  <c r="AT74" i="13" s="1"/>
  <c r="DM32" i="13"/>
  <c r="O55" i="21"/>
  <c r="AJ55" i="13" s="1"/>
  <c r="O21" i="67"/>
  <c r="CI21" i="13" s="1"/>
  <c r="K19" i="15"/>
  <c r="N19" i="13" s="1"/>
  <c r="G47" i="55"/>
  <c r="CB47" i="13" s="1"/>
  <c r="DT47" i="13" s="1"/>
  <c r="G46" i="55"/>
  <c r="CB46" i="13" s="1"/>
  <c r="DT46" i="13" s="1"/>
  <c r="DJ104" i="13"/>
  <c r="O12" i="59"/>
  <c r="BC12" i="13" s="1"/>
  <c r="W39" i="19"/>
  <c r="AE39" i="13" s="1"/>
  <c r="O14" i="59"/>
  <c r="BC14" i="13" s="1"/>
  <c r="O22" i="16"/>
  <c r="Q22" i="13" s="1"/>
  <c r="O96" i="16"/>
  <c r="Q90" i="13" s="1"/>
  <c r="G85" i="18"/>
  <c r="V85" i="13" s="1"/>
  <c r="G48" i="18"/>
  <c r="V48" i="13" s="1"/>
  <c r="O46" i="16"/>
  <c r="Q46" i="13" s="1"/>
  <c r="CX36" i="13"/>
  <c r="BD23" i="13"/>
  <c r="O14" i="16"/>
  <c r="Q14" i="13" s="1"/>
  <c r="G70" i="55"/>
  <c r="CB70" i="13" s="1"/>
  <c r="DT70" i="13" s="1"/>
  <c r="DZ93" i="13"/>
  <c r="O72" i="67"/>
  <c r="CI72" i="13" s="1"/>
  <c r="S31" i="29"/>
  <c r="AS31" i="13" s="1"/>
  <c r="O74" i="50"/>
  <c r="BR74" i="13" s="1"/>
  <c r="AA101" i="68"/>
  <c r="CO101" i="13" s="1"/>
  <c r="DZ22" i="13"/>
  <c r="G46" i="30"/>
  <c r="AT46" i="13" s="1"/>
  <c r="K32" i="15"/>
  <c r="N32" i="13" s="1"/>
  <c r="K70" i="52"/>
  <c r="BU70" i="13" s="1"/>
  <c r="K13" i="15"/>
  <c r="N13" i="13" s="1"/>
  <c r="K46" i="15"/>
  <c r="N46" i="13" s="1"/>
  <c r="K22" i="15"/>
  <c r="N22" i="13" s="1"/>
  <c r="W92" i="46"/>
  <c r="BI92" i="13" s="1"/>
  <c r="DM91" i="13"/>
  <c r="G73" i="53"/>
  <c r="BX73" i="13" s="1"/>
  <c r="DR73" i="13" s="1"/>
  <c r="EE30" i="12" s="1"/>
  <c r="G44" i="55"/>
  <c r="CB44" i="13" s="1"/>
  <c r="DT44" i="13" s="1"/>
  <c r="G102" i="55"/>
  <c r="CB102" i="13" s="1"/>
  <c r="DT102" i="13" s="1"/>
  <c r="O99" i="67"/>
  <c r="CI99" i="13" s="1"/>
  <c r="S53" i="16"/>
  <c r="R53" i="13" s="1"/>
  <c r="S97" i="16"/>
  <c r="R91" i="13" s="1"/>
  <c r="G45" i="30"/>
  <c r="AT45" i="13" s="1"/>
  <c r="O61" i="67"/>
  <c r="CI61" i="13" s="1"/>
  <c r="K33" i="45"/>
  <c r="AY33" i="13" s="1"/>
  <c r="O50" i="54"/>
  <c r="CA50" i="13" s="1"/>
  <c r="G71" i="55"/>
  <c r="CB71" i="13" s="1"/>
  <c r="DT71" i="13" s="1"/>
  <c r="G52" i="18"/>
  <c r="V52" i="13" s="1"/>
  <c r="G38" i="18"/>
  <c r="V38" i="13" s="1"/>
  <c r="G22" i="19"/>
  <c r="AA22" i="13" s="1"/>
  <c r="CX56" i="13"/>
  <c r="DD79" i="13"/>
  <c r="DN84" i="13"/>
  <c r="DC86" i="13"/>
  <c r="S20" i="14"/>
  <c r="H20" i="13" s="1"/>
  <c r="S36" i="16"/>
  <c r="R36" i="13" s="1"/>
  <c r="DC78" i="13"/>
  <c r="K45" i="30"/>
  <c r="AU45" i="13" s="1"/>
  <c r="DZ23" i="13"/>
  <c r="S91" i="16"/>
  <c r="G50" i="30"/>
  <c r="AT50" i="13" s="1"/>
  <c r="K22" i="48"/>
  <c r="BM22" i="13" s="1"/>
  <c r="DC100" i="13"/>
  <c r="G19" i="30"/>
  <c r="AT19" i="13" s="1"/>
  <c r="DC54" i="13"/>
  <c r="O50" i="21"/>
  <c r="AJ50" i="13" s="1"/>
  <c r="S95" i="16"/>
  <c r="R89" i="13" s="1"/>
  <c r="O60" i="14"/>
  <c r="G60" i="13" s="1"/>
  <c r="W33" i="19"/>
  <c r="AE33" i="13" s="1"/>
  <c r="CX86" i="13"/>
  <c r="O72" i="30"/>
  <c r="AV72" i="13" s="1"/>
  <c r="O51" i="30"/>
  <c r="AV51" i="13" s="1"/>
  <c r="DM49" i="13"/>
  <c r="G53" i="18"/>
  <c r="V53" i="13" s="1"/>
  <c r="DZ38" i="13"/>
  <c r="G81" i="18"/>
  <c r="V81" i="13" s="1"/>
  <c r="G51" i="18"/>
  <c r="V51" i="13" s="1"/>
  <c r="S104" i="16"/>
  <c r="R98" i="13" s="1"/>
  <c r="DM105" i="13"/>
  <c r="K69" i="15"/>
  <c r="N69" i="13" s="1"/>
  <c r="DN23" i="13"/>
  <c r="K23" i="48"/>
  <c r="BM23" i="13" s="1"/>
  <c r="E13" i="53"/>
  <c r="G13" i="53" s="1"/>
  <c r="BX13" i="13" s="1"/>
  <c r="DR13" i="13" s="1"/>
  <c r="EE8" i="12" s="1"/>
  <c r="O103" i="16"/>
  <c r="Q97" i="13" s="1"/>
  <c r="K62" i="15"/>
  <c r="N62" i="13" s="1"/>
  <c r="G43" i="55"/>
  <c r="CB43" i="13" s="1"/>
  <c r="DT43" i="13" s="1"/>
  <c r="DZ39" i="13"/>
  <c r="DU13" i="13"/>
  <c r="EK8" i="12" s="1"/>
  <c r="G8" i="55"/>
  <c r="CB8" i="13" s="1"/>
  <c r="DT8" i="13" s="1"/>
  <c r="AA14" i="68"/>
  <c r="CO14" i="13" s="1"/>
  <c r="O60" i="67"/>
  <c r="CI60" i="13" s="1"/>
  <c r="O74" i="54"/>
  <c r="CA74" i="13" s="1"/>
  <c r="K8" i="15"/>
  <c r="N8" i="13" s="1"/>
  <c r="G104" i="55"/>
  <c r="CB104" i="13" s="1"/>
  <c r="DT104" i="13" s="1"/>
  <c r="G13" i="55"/>
  <c r="CB13" i="13" s="1"/>
  <c r="DT13" i="13" s="1"/>
  <c r="EI8" i="12" s="1"/>
  <c r="S32" i="29"/>
  <c r="AS32" i="13" s="1"/>
  <c r="O48" i="54"/>
  <c r="CA48" i="13" s="1"/>
  <c r="K72" i="15"/>
  <c r="N72" i="13" s="1"/>
  <c r="S66" i="16"/>
  <c r="R66" i="13" s="1"/>
  <c r="DC85" i="13"/>
  <c r="DN38" i="13"/>
  <c r="G20" i="30"/>
  <c r="AT20" i="13" s="1"/>
  <c r="O62" i="18"/>
  <c r="X62" i="13" s="1"/>
  <c r="S23" i="16"/>
  <c r="R23" i="13" s="1"/>
  <c r="G65" i="18"/>
  <c r="V65" i="13" s="1"/>
  <c r="DN49" i="13"/>
  <c r="O70" i="30"/>
  <c r="AV70" i="13" s="1"/>
  <c r="K31" i="45"/>
  <c r="AY31" i="13" s="1"/>
  <c r="O72" i="54"/>
  <c r="CA72" i="13" s="1"/>
  <c r="G70" i="53"/>
  <c r="BX70" i="13" s="1"/>
  <c r="DR70" i="13" s="1"/>
  <c r="W96" i="46"/>
  <c r="BI96" i="13" s="1"/>
  <c r="K31" i="15"/>
  <c r="N31" i="13" s="1"/>
  <c r="O6" i="67"/>
  <c r="CI6" i="13" s="1"/>
  <c r="W39" i="46"/>
  <c r="BI39" i="13" s="1"/>
  <c r="O73" i="67"/>
  <c r="CI73" i="13" s="1"/>
  <c r="O45" i="67"/>
  <c r="CI45" i="13" s="1"/>
  <c r="K40" i="15"/>
  <c r="N40" i="13" s="1"/>
  <c r="O98" i="67"/>
  <c r="CI98" i="13" s="1"/>
  <c r="G40" i="18"/>
  <c r="V40" i="13" s="1"/>
  <c r="DI40" i="13"/>
  <c r="CX85" i="13"/>
  <c r="K32" i="45"/>
  <c r="AY32" i="13" s="1"/>
  <c r="S96" i="16"/>
  <c r="R90" i="13" s="1"/>
  <c r="AA32" i="68"/>
  <c r="CO32" i="13" s="1"/>
  <c r="G39" i="19"/>
  <c r="AA39" i="13" s="1"/>
  <c r="DZ7" i="13"/>
  <c r="CX79" i="13"/>
  <c r="O46" i="67"/>
  <c r="CI46" i="13" s="1"/>
  <c r="W14" i="19"/>
  <c r="AE14" i="13" s="1"/>
  <c r="DM61" i="13"/>
  <c r="K42" i="15"/>
  <c r="N42" i="13" s="1"/>
  <c r="G5" i="55"/>
  <c r="CB5" i="13" s="1"/>
  <c r="DT5" i="13" s="1"/>
  <c r="DS81" i="13"/>
  <c r="DO81" i="13"/>
  <c r="G14" i="55"/>
  <c r="CB14" i="13" s="1"/>
  <c r="DT14" i="13" s="1"/>
  <c r="G33" i="55"/>
  <c r="CB33" i="13" s="1"/>
  <c r="DT33" i="13" s="1"/>
  <c r="AA24" i="68"/>
  <c r="CO24" i="13" s="1"/>
  <c r="K5" i="15"/>
  <c r="N5" i="13" s="1"/>
  <c r="CX48" i="13"/>
  <c r="W13" i="19"/>
  <c r="AE13" i="13" s="1"/>
  <c r="K71" i="15"/>
  <c r="N71" i="13" s="1"/>
  <c r="O10" i="67"/>
  <c r="CI10" i="13" s="1"/>
  <c r="CX55" i="13"/>
  <c r="G91" i="30"/>
  <c r="AT91" i="13" s="1"/>
  <c r="G44" i="30"/>
  <c r="AT44" i="13" s="1"/>
  <c r="O9" i="16"/>
  <c r="Q9" i="13" s="1"/>
  <c r="CX84" i="13"/>
  <c r="DM48" i="13"/>
  <c r="O104" i="16"/>
  <c r="Q98" i="13" s="1"/>
  <c r="DN79" i="13"/>
  <c r="DC101" i="13"/>
  <c r="O12" i="16"/>
  <c r="Q12" i="13" s="1"/>
  <c r="DN13" i="13"/>
  <c r="DW8" i="12" s="1"/>
  <c r="O7" i="16"/>
  <c r="Q7" i="13" s="1"/>
  <c r="O52" i="30"/>
  <c r="AV52" i="13" s="1"/>
  <c r="DN39" i="13"/>
  <c r="G42" i="30"/>
  <c r="AT42" i="13" s="1"/>
  <c r="DI98" i="13"/>
  <c r="O8" i="67"/>
  <c r="CI8" i="13" s="1"/>
  <c r="DM31" i="13"/>
  <c r="CX78" i="13"/>
  <c r="G92" i="30"/>
  <c r="AT92" i="13" s="1"/>
  <c r="G32" i="30"/>
  <c r="AT32" i="13" s="1"/>
  <c r="G72" i="49"/>
  <c r="BN72" i="13" s="1"/>
  <c r="DM50" i="13"/>
  <c r="DM52" i="13"/>
  <c r="K100" i="15"/>
  <c r="N100" i="13" s="1"/>
  <c r="O101" i="67"/>
  <c r="CI101" i="13" s="1"/>
  <c r="O31" i="67"/>
  <c r="CI31" i="13" s="1"/>
  <c r="G62" i="55"/>
  <c r="CB62" i="13" s="1"/>
  <c r="DT62" i="13" s="1"/>
  <c r="O33" i="67"/>
  <c r="CI33" i="13" s="1"/>
  <c r="AA33" i="68"/>
  <c r="CO33" i="13" s="1"/>
  <c r="O70" i="54"/>
  <c r="CA70" i="13" s="1"/>
  <c r="O47" i="67"/>
  <c r="CI47" i="13" s="1"/>
  <c r="O62" i="67"/>
  <c r="CI62" i="13" s="1"/>
  <c r="O9" i="67"/>
  <c r="CI9" i="13" s="1"/>
  <c r="K33" i="15"/>
  <c r="N33" i="13" s="1"/>
  <c r="K43" i="15"/>
  <c r="N43" i="13" s="1"/>
  <c r="K74" i="15"/>
  <c r="N74" i="13" s="1"/>
  <c r="W38" i="19"/>
  <c r="AE38" i="13" s="1"/>
  <c r="O93" i="16"/>
  <c r="CX49" i="13"/>
  <c r="DM12" i="13"/>
  <c r="DM38" i="13"/>
  <c r="G12" i="30"/>
  <c r="AT12" i="13" s="1"/>
  <c r="G73" i="30"/>
  <c r="AT73" i="13" s="1"/>
  <c r="DN47" i="13"/>
  <c r="DW21" i="12" s="1"/>
  <c r="DM51" i="13"/>
  <c r="DN62" i="13"/>
  <c r="O31" i="68"/>
  <c r="CL31" i="13" s="1"/>
  <c r="G72" i="55"/>
  <c r="CB72" i="13" s="1"/>
  <c r="DT72" i="13" s="1"/>
  <c r="K93" i="15"/>
  <c r="N93" i="13" s="1"/>
  <c r="O71" i="54"/>
  <c r="CA71" i="13" s="1"/>
  <c r="K9" i="15"/>
  <c r="N9" i="13" s="1"/>
  <c r="DN91" i="13"/>
  <c r="CX81" i="13"/>
  <c r="O45" i="16"/>
  <c r="Q45" i="13" s="1"/>
  <c r="CX51" i="13"/>
  <c r="O97" i="67"/>
  <c r="CI97" i="13" s="1"/>
  <c r="AA12" i="68"/>
  <c r="CO12" i="13" s="1"/>
  <c r="G93" i="30"/>
  <c r="AT93" i="13" s="1"/>
  <c r="G48" i="30"/>
  <c r="AT48" i="13" s="1"/>
  <c r="DC50" i="13"/>
  <c r="G38" i="19"/>
  <c r="AA38" i="13" s="1"/>
  <c r="W32" i="19"/>
  <c r="AE32" i="13" s="1"/>
  <c r="O5" i="16"/>
  <c r="Q5" i="13" s="1"/>
  <c r="K73" i="15"/>
  <c r="N73" i="13" s="1"/>
  <c r="O49" i="54"/>
  <c r="CA49" i="13" s="1"/>
  <c r="O101" i="68"/>
  <c r="CL101" i="13" s="1"/>
  <c r="AA31" i="68"/>
  <c r="CO31" i="13" s="1"/>
  <c r="O102" i="67"/>
  <c r="CI102" i="13" s="1"/>
  <c r="O70" i="67"/>
  <c r="CI70" i="13" s="1"/>
  <c r="O5" i="67"/>
  <c r="CI5" i="13" s="1"/>
  <c r="K105" i="15"/>
  <c r="N105" i="13" s="1"/>
  <c r="DM69" i="13"/>
  <c r="G49" i="30"/>
  <c r="AT49" i="13" s="1"/>
  <c r="O7" i="67"/>
  <c r="CI7" i="13" s="1"/>
  <c r="K38" i="15"/>
  <c r="N38" i="13" s="1"/>
  <c r="DC43" i="13"/>
  <c r="G52" i="30"/>
  <c r="AT52" i="13" s="1"/>
  <c r="DC44" i="13"/>
  <c r="O23" i="45"/>
  <c r="AZ23" i="13" s="1"/>
  <c r="DC33" i="13"/>
  <c r="G73" i="49"/>
  <c r="BN73" i="13" s="1"/>
  <c r="O74" i="67"/>
  <c r="CI74" i="13" s="1"/>
  <c r="K103" i="15"/>
  <c r="N103" i="13" s="1"/>
  <c r="O13" i="16"/>
  <c r="Q13" i="13" s="1"/>
  <c r="DC25" i="13"/>
  <c r="G83" i="30"/>
  <c r="AT83" i="13" s="1"/>
  <c r="G70" i="30"/>
  <c r="AT70" i="13" s="1"/>
  <c r="G21" i="30"/>
  <c r="AT21" i="13" s="1"/>
  <c r="O39" i="14"/>
  <c r="G39" i="13" s="1"/>
  <c r="O97" i="16"/>
  <c r="Q91" i="13" s="1"/>
  <c r="O104" i="18"/>
  <c r="X104" i="13" s="1"/>
  <c r="G47" i="30"/>
  <c r="AT47" i="13" s="1"/>
  <c r="K12" i="30"/>
  <c r="AU12" i="13" s="1"/>
  <c r="G14" i="30"/>
  <c r="AT14" i="13" s="1"/>
  <c r="O31" i="45"/>
  <c r="AZ31" i="13" s="1"/>
  <c r="DV53" i="13" l="1"/>
  <c r="DV82" i="13"/>
  <c r="DJ103" i="13"/>
  <c r="DV95" i="13"/>
  <c r="CX83" i="13"/>
  <c r="CW68" i="13"/>
  <c r="DV102" i="13"/>
  <c r="DV80" i="13"/>
  <c r="CX53" i="13"/>
  <c r="DV49" i="13"/>
  <c r="DV86" i="13"/>
  <c r="DV101" i="13"/>
  <c r="CX80" i="13"/>
  <c r="CW67" i="13"/>
  <c r="CO28" i="12" s="1"/>
  <c r="DJ35" i="13"/>
  <c r="DO16" i="12" s="1"/>
  <c r="DJ68" i="13"/>
  <c r="CW56" i="13"/>
  <c r="DJ69" i="13"/>
  <c r="DJ80" i="13"/>
  <c r="CX67" i="13"/>
  <c r="CQ28" i="12" s="1"/>
  <c r="DV58" i="13"/>
  <c r="DJ82" i="13"/>
  <c r="DJ85" i="13"/>
  <c r="DJ72" i="13"/>
  <c r="DJ5" i="13"/>
  <c r="DJ21" i="13"/>
  <c r="DJ83" i="13"/>
  <c r="DJ86" i="13"/>
  <c r="DJ20" i="13"/>
  <c r="DJ42" i="13"/>
  <c r="DJ36" i="13"/>
  <c r="DJ19" i="13"/>
  <c r="DJ43" i="13"/>
  <c r="DO20" i="12" s="1"/>
  <c r="DJ44" i="13"/>
  <c r="DJ79" i="13"/>
  <c r="DJ8" i="13"/>
  <c r="DJ67" i="13"/>
  <c r="DO28" i="12" s="1"/>
  <c r="CW55" i="13"/>
  <c r="CX59" i="13"/>
  <c r="CX68" i="13"/>
  <c r="CX58" i="13"/>
  <c r="DW26" i="12"/>
  <c r="EI21" i="12"/>
  <c r="EI20" i="12"/>
  <c r="DA26" i="12"/>
  <c r="EI29" i="12"/>
  <c r="DU26" i="12"/>
  <c r="N30" i="1"/>
  <c r="EI26" i="12"/>
  <c r="DU29" i="12"/>
  <c r="DO26" i="12"/>
  <c r="EI30" i="12"/>
  <c r="EE29" i="12"/>
  <c r="N32" i="1" s="1"/>
  <c r="DO38" i="12"/>
  <c r="EM16" i="12"/>
  <c r="DA20" i="12"/>
  <c r="EK37" i="12"/>
  <c r="EK38" i="12"/>
  <c r="DO37" i="12"/>
  <c r="DW37" i="12"/>
  <c r="EU37" i="12"/>
  <c r="EM38" i="12"/>
  <c r="EI15" i="12"/>
  <c r="EM14" i="12"/>
  <c r="CQ16" i="12"/>
  <c r="D30" i="81"/>
  <c r="K49" i="103"/>
  <c r="D22" i="81"/>
  <c r="D23" i="81" s="1"/>
  <c r="K55" i="103"/>
  <c r="AZ107" i="13"/>
  <c r="BX108" i="13"/>
  <c r="AY109" i="13"/>
  <c r="BU112" i="13"/>
  <c r="BU116" i="13"/>
  <c r="BU111" i="13"/>
  <c r="AG109" i="13"/>
  <c r="AG108" i="13"/>
  <c r="CU114" i="13"/>
  <c r="AJ112" i="13"/>
  <c r="AJ110" i="13"/>
  <c r="AE108" i="13"/>
  <c r="AG107" i="13"/>
  <c r="BS116" i="13"/>
  <c r="CL107" i="13"/>
  <c r="BS110" i="13"/>
  <c r="BS112" i="13"/>
  <c r="CU112" i="13"/>
  <c r="BM111" i="13"/>
  <c r="AG118" i="13"/>
  <c r="CM109" i="13"/>
  <c r="T118" i="13"/>
  <c r="CT117" i="13"/>
  <c r="CA118" i="13"/>
  <c r="BM116" i="13"/>
  <c r="AG113" i="13"/>
  <c r="U116" i="13"/>
  <c r="AI112" i="13"/>
  <c r="AG116" i="13"/>
  <c r="BM112" i="13"/>
  <c r="T114" i="13"/>
  <c r="BS109" i="13"/>
  <c r="BX109" i="13"/>
  <c r="AG115" i="13"/>
  <c r="BN117" i="13"/>
  <c r="AE109" i="13"/>
  <c r="U111" i="13"/>
  <c r="BR117" i="13"/>
  <c r="AG117" i="13"/>
  <c r="AS117" i="13"/>
  <c r="CU117" i="13"/>
  <c r="BR112" i="13"/>
  <c r="CU111" i="13"/>
  <c r="AG112" i="13"/>
  <c r="BX107" i="13"/>
  <c r="BM110" i="13"/>
  <c r="CD110" i="13"/>
  <c r="BV108" i="13"/>
  <c r="BG109" i="13"/>
  <c r="BI108" i="13"/>
  <c r="AZ109" i="13"/>
  <c r="CA117" i="13"/>
  <c r="BU109" i="13"/>
  <c r="AH107" i="13"/>
  <c r="BP107" i="13"/>
  <c r="CU107" i="13"/>
  <c r="CA116" i="13"/>
  <c r="U117" i="13"/>
  <c r="BH107" i="13"/>
  <c r="CK108" i="13"/>
  <c r="CU118" i="13"/>
  <c r="AJ111" i="13"/>
  <c r="BS118" i="13"/>
  <c r="AI108" i="13"/>
  <c r="BR108" i="13"/>
  <c r="CA112" i="13"/>
  <c r="CU109" i="13"/>
  <c r="CT108" i="13"/>
  <c r="AG111" i="13"/>
  <c r="BZ109" i="13"/>
  <c r="CD118" i="13"/>
  <c r="AJ118" i="13"/>
  <c r="BO112" i="13"/>
  <c r="BM109" i="13"/>
  <c r="BQ108" i="13"/>
  <c r="BS108" i="13"/>
  <c r="BO116" i="13"/>
  <c r="BR116" i="13"/>
  <c r="U110" i="13"/>
  <c r="CL108" i="13"/>
  <c r="BS107" i="13"/>
  <c r="BS117" i="13"/>
  <c r="AC109" i="13"/>
  <c r="BI109" i="13"/>
  <c r="BZ108" i="13"/>
  <c r="CN108" i="13"/>
  <c r="AY108" i="13"/>
  <c r="BM118" i="13"/>
  <c r="BR118" i="13"/>
  <c r="CD112" i="13"/>
  <c r="U112" i="13"/>
  <c r="BF107" i="13"/>
  <c r="BZ107" i="13"/>
  <c r="BY112" i="13"/>
  <c r="CA110" i="13"/>
  <c r="T113" i="13"/>
  <c r="AS107" i="13"/>
  <c r="AS109" i="13"/>
  <c r="BD109" i="13"/>
  <c r="AF110" i="13"/>
  <c r="BF109" i="13"/>
  <c r="CD109" i="13"/>
  <c r="BD108" i="13"/>
  <c r="S109" i="13"/>
  <c r="BP109" i="13"/>
  <c r="CK107" i="13"/>
  <c r="BY108" i="13"/>
  <c r="AI107" i="13"/>
  <c r="BE107" i="13"/>
  <c r="BW109" i="13"/>
  <c r="BS115" i="13"/>
  <c r="CU115" i="13"/>
  <c r="CU108" i="13"/>
  <c r="S117" i="13"/>
  <c r="BA109" i="13"/>
  <c r="BE108" i="13"/>
  <c r="AJ109" i="13"/>
  <c r="U107" i="13"/>
  <c r="BR111" i="13"/>
  <c r="AG110" i="13"/>
  <c r="BO108" i="13"/>
  <c r="BF108" i="13"/>
  <c r="BE109" i="13"/>
  <c r="S107" i="13"/>
  <c r="BM108" i="13"/>
  <c r="U109" i="13"/>
  <c r="CP107" i="13"/>
  <c r="BJ107" i="13"/>
  <c r="BK107" i="13"/>
  <c r="CS109" i="13"/>
  <c r="CR109" i="13"/>
  <c r="CP108" i="13"/>
  <c r="BJ108" i="13"/>
  <c r="AI109" i="13"/>
  <c r="CQ109" i="13"/>
  <c r="CD108" i="13"/>
  <c r="BK109" i="13"/>
  <c r="CS107" i="13"/>
  <c r="CP109" i="13"/>
  <c r="BJ109" i="13"/>
  <c r="CS108" i="13"/>
  <c r="CR107" i="13"/>
  <c r="CR108" i="13"/>
  <c r="CQ107" i="13"/>
  <c r="CQ108" i="13"/>
  <c r="BK108" i="13"/>
  <c r="BB109" i="13"/>
  <c r="BV116" i="13"/>
  <c r="BT107" i="13"/>
  <c r="CA109" i="13"/>
  <c r="CK109" i="13"/>
  <c r="BR107" i="13"/>
  <c r="CT110" i="13"/>
  <c r="CR111" i="13"/>
  <c r="CP110" i="13"/>
  <c r="BJ110" i="13"/>
  <c r="CS112" i="13"/>
  <c r="CS110" i="13"/>
  <c r="CQ111" i="13"/>
  <c r="BK111" i="13"/>
  <c r="CR112" i="13"/>
  <c r="CP111" i="13"/>
  <c r="BK112" i="13"/>
  <c r="CS111" i="13"/>
  <c r="CR110" i="13"/>
  <c r="BJ111" i="13"/>
  <c r="CQ112" i="13"/>
  <c r="CQ110" i="13"/>
  <c r="CP112" i="13"/>
  <c r="BK110" i="13"/>
  <c r="BJ112" i="13"/>
  <c r="BA107" i="13"/>
  <c r="BI107" i="13"/>
  <c r="BQ109" i="13"/>
  <c r="BO109" i="13"/>
  <c r="BJ113" i="13"/>
  <c r="CP118" i="13"/>
  <c r="CS114" i="13"/>
  <c r="BJ118" i="13"/>
  <c r="BK118" i="13"/>
  <c r="CR117" i="13"/>
  <c r="CS115" i="13"/>
  <c r="CS118" i="13"/>
  <c r="CR113" i="13"/>
  <c r="CP114" i="13"/>
  <c r="CQ117" i="13"/>
  <c r="CR114" i="13"/>
  <c r="BJ114" i="13"/>
  <c r="BK117" i="13"/>
  <c r="CQ113" i="13"/>
  <c r="CR115" i="13"/>
  <c r="CP116" i="13"/>
  <c r="BK113" i="13"/>
  <c r="CD117" i="13"/>
  <c r="BJ116" i="13"/>
  <c r="CS116" i="13"/>
  <c r="CQ115" i="13"/>
  <c r="CR118" i="13"/>
  <c r="BK115" i="13"/>
  <c r="CP117" i="13"/>
  <c r="CQ114" i="13"/>
  <c r="CS117" i="13"/>
  <c r="BJ117" i="13"/>
  <c r="BJ115" i="13"/>
  <c r="CR116" i="13"/>
  <c r="CS113" i="13"/>
  <c r="CP115" i="13"/>
  <c r="CQ118" i="13"/>
  <c r="BK114" i="13"/>
  <c r="CQ116" i="13"/>
  <c r="CP113" i="13"/>
  <c r="BK116" i="13"/>
  <c r="CT107" i="13"/>
  <c r="BY110" i="13"/>
  <c r="BO107" i="13"/>
  <c r="BG108" i="13"/>
  <c r="CD111" i="13"/>
  <c r="BS113" i="13"/>
  <c r="BS111" i="13"/>
  <c r="AJ117" i="13"/>
  <c r="U118" i="13"/>
  <c r="AC108" i="13"/>
  <c r="BN118" i="13"/>
  <c r="AJ108" i="13"/>
  <c r="BD107" i="13"/>
  <c r="BC107" i="13"/>
  <c r="U108" i="13"/>
  <c r="BM107" i="13"/>
  <c r="AB109" i="13"/>
  <c r="BR109" i="13"/>
  <c r="AG114" i="13"/>
  <c r="BM114" i="13"/>
  <c r="BM115" i="13"/>
  <c r="AJ116" i="13"/>
  <c r="BU107" i="13"/>
  <c r="CN107" i="13"/>
  <c r="BG107" i="13"/>
  <c r="BA108" i="13"/>
  <c r="BB107" i="13"/>
  <c r="CT109" i="13"/>
  <c r="AJ107" i="13"/>
  <c r="CA107" i="13"/>
  <c r="CJ108" i="13"/>
  <c r="BB108" i="13"/>
  <c r="BH109" i="13"/>
  <c r="BW107" i="13"/>
  <c r="CN109" i="13"/>
  <c r="BW108" i="13"/>
  <c r="BT108" i="13"/>
  <c r="BQ107" i="13"/>
  <c r="BU108" i="13"/>
  <c r="BT109" i="13"/>
  <c r="CD116" i="13"/>
  <c r="BL109" i="13"/>
  <c r="CD107" i="13"/>
  <c r="BO118" i="13"/>
  <c r="CT112" i="13"/>
  <c r="BH108" i="13"/>
  <c r="G49" i="102"/>
  <c r="H23" i="82"/>
  <c r="H52" i="82" s="1"/>
  <c r="D14" i="81" s="1"/>
  <c r="E230" i="36" s="1"/>
  <c r="D6" i="36" s="1"/>
  <c r="D31" i="81"/>
  <c r="K61" i="103"/>
  <c r="G23" i="83"/>
  <c r="G29" i="83" s="1"/>
  <c r="F28" i="83"/>
  <c r="F23" i="83"/>
  <c r="F29" i="83" s="1"/>
  <c r="G7" i="55"/>
  <c r="CB7" i="13" s="1"/>
  <c r="DT7" i="13" s="1"/>
  <c r="O69" i="67"/>
  <c r="CI69" i="13" s="1"/>
  <c r="CI113" i="13" s="1"/>
  <c r="DC80" i="13"/>
  <c r="G71" i="30"/>
  <c r="AT71" i="13" s="1"/>
  <c r="CU116" i="13"/>
  <c r="DC84" i="13"/>
  <c r="CU113" i="13"/>
  <c r="DC56" i="13"/>
  <c r="O49" i="30"/>
  <c r="AV49" i="13" s="1"/>
  <c r="DN45" i="13"/>
  <c r="CA108" i="13"/>
  <c r="O44" i="30"/>
  <c r="AV44" i="13" s="1"/>
  <c r="AV109" i="13" s="1"/>
  <c r="CA111" i="13"/>
  <c r="BS114" i="13"/>
  <c r="CU110" i="13"/>
  <c r="DC79" i="13"/>
  <c r="O62" i="14"/>
  <c r="G62" i="13" s="1"/>
  <c r="CX34" i="13"/>
  <c r="DM104" i="13"/>
  <c r="DV84" i="13"/>
  <c r="S32" i="68"/>
  <c r="CM32" i="13" s="1"/>
  <c r="DX32" i="13" s="1"/>
  <c r="K69" i="52"/>
  <c r="BU69" i="13" s="1"/>
  <c r="BU113" i="13" s="1"/>
  <c r="DM103" i="13"/>
  <c r="DN94" i="13"/>
  <c r="O33" i="68"/>
  <c r="CL33" i="13" s="1"/>
  <c r="CL109" i="13" s="1"/>
  <c r="G102" i="68"/>
  <c r="CJ102" i="13" s="1"/>
  <c r="G101" i="68"/>
  <c r="CJ101" i="13" s="1"/>
  <c r="S31" i="68"/>
  <c r="CM31" i="13" s="1"/>
  <c r="CM107" i="13" s="1"/>
  <c r="O102" i="68"/>
  <c r="CL102" i="13" s="1"/>
  <c r="DM60" i="13"/>
  <c r="DN105" i="13"/>
  <c r="AA23" i="68"/>
  <c r="CO23" i="13" s="1"/>
  <c r="CO114" i="13" s="1"/>
  <c r="G100" i="68"/>
  <c r="CJ100" i="13" s="1"/>
  <c r="O53" i="18"/>
  <c r="X53" i="13" s="1"/>
  <c r="O99" i="16"/>
  <c r="Q93" i="13" s="1"/>
  <c r="DC83" i="13"/>
  <c r="G33" i="68"/>
  <c r="CJ33" i="13" s="1"/>
  <c r="CJ109" i="13" s="1"/>
  <c r="DM53" i="13"/>
  <c r="O100" i="68"/>
  <c r="CL100" i="13" s="1"/>
  <c r="DN95" i="13"/>
  <c r="DW38" i="12" s="1"/>
  <c r="G31" i="68"/>
  <c r="CJ31" i="13" s="1"/>
  <c r="CJ107" i="13" s="1"/>
  <c r="O49" i="52"/>
  <c r="BV49" i="13" s="1"/>
  <c r="DQ49" i="13" s="1"/>
  <c r="CT116" i="13"/>
  <c r="CT111" i="13"/>
  <c r="DZ8" i="13"/>
  <c r="DZ10" i="13"/>
  <c r="CT118" i="13"/>
  <c r="DZ24" i="13"/>
  <c r="EU12" i="12" s="1"/>
  <c r="CT115" i="13"/>
  <c r="G38" i="57"/>
  <c r="CE38" i="13" s="1"/>
  <c r="DV38" i="13" s="1"/>
  <c r="CT113" i="13"/>
  <c r="CT114" i="13"/>
  <c r="DZ9" i="13"/>
  <c r="EU6" i="12" s="1"/>
  <c r="G60" i="57"/>
  <c r="CE60" i="13" s="1"/>
  <c r="DV60" i="13" s="1"/>
  <c r="DO67" i="13"/>
  <c r="G74" i="50"/>
  <c r="BP74" i="13" s="1"/>
  <c r="DI27" i="13"/>
  <c r="BI112" i="13"/>
  <c r="G72" i="57"/>
  <c r="CE72" i="13" s="1"/>
  <c r="DV72" i="13" s="1"/>
  <c r="G92" i="57"/>
  <c r="CE92" i="13" s="1"/>
  <c r="DV92" i="13" s="1"/>
  <c r="K9" i="67"/>
  <c r="CH9" i="13" s="1"/>
  <c r="G47" i="57"/>
  <c r="CE47" i="13" s="1"/>
  <c r="DV47" i="13" s="1"/>
  <c r="K100" i="67"/>
  <c r="CH100" i="13" s="1"/>
  <c r="K102" i="67"/>
  <c r="CH102" i="13" s="1"/>
  <c r="G69" i="46"/>
  <c r="BE69" i="13" s="1"/>
  <c r="Y13" i="68"/>
  <c r="AA13" i="68" s="1"/>
  <c r="CO13" i="13" s="1"/>
  <c r="CO111" i="13" s="1"/>
  <c r="K24" i="68"/>
  <c r="CK24" i="13" s="1"/>
  <c r="CK115" i="13" s="1"/>
  <c r="DX93" i="13"/>
  <c r="G24" i="68"/>
  <c r="CJ24" i="13" s="1"/>
  <c r="DX94" i="13"/>
  <c r="W12" i="68"/>
  <c r="CN12" i="13" s="1"/>
  <c r="CN110" i="13" s="1"/>
  <c r="G8" i="57"/>
  <c r="CE8" i="13" s="1"/>
  <c r="DV8" i="13" s="1"/>
  <c r="W22" i="68"/>
  <c r="CN22" i="13" s="1"/>
  <c r="CN116" i="13" s="1"/>
  <c r="DX95" i="13"/>
  <c r="DX91" i="13"/>
  <c r="DX103" i="13"/>
  <c r="DX96" i="13"/>
  <c r="AA22" i="68"/>
  <c r="CO22" i="13" s="1"/>
  <c r="CO113" i="13" s="1"/>
  <c r="S14" i="68"/>
  <c r="CM14" i="13" s="1"/>
  <c r="CM112" i="13" s="1"/>
  <c r="S24" i="68"/>
  <c r="CM24" i="13" s="1"/>
  <c r="CM115" i="13" s="1"/>
  <c r="G23" i="68"/>
  <c r="CJ23" i="13" s="1"/>
  <c r="CJ114" i="13" s="1"/>
  <c r="G24" i="57"/>
  <c r="CE24" i="13" s="1"/>
  <c r="DV24" i="13" s="1"/>
  <c r="G39" i="57"/>
  <c r="CE39" i="13" s="1"/>
  <c r="DV39" i="13" s="1"/>
  <c r="DX60" i="13"/>
  <c r="K22" i="68"/>
  <c r="CK22" i="13" s="1"/>
  <c r="CK116" i="13" s="1"/>
  <c r="K23" i="68"/>
  <c r="CK23" i="13" s="1"/>
  <c r="CK114" i="13" s="1"/>
  <c r="DX40" i="13"/>
  <c r="G9" i="57"/>
  <c r="CE9" i="13" s="1"/>
  <c r="DV9" i="13" s="1"/>
  <c r="EM6" i="12" s="1"/>
  <c r="DX61" i="13"/>
  <c r="DX62" i="13"/>
  <c r="DW52" i="13"/>
  <c r="CC109" i="13"/>
  <c r="DX92" i="13"/>
  <c r="DX39" i="13"/>
  <c r="K13" i="68"/>
  <c r="CK13" i="13" s="1"/>
  <c r="CK111" i="13" s="1"/>
  <c r="W14" i="68"/>
  <c r="CN14" i="13" s="1"/>
  <c r="CN112" i="13" s="1"/>
  <c r="DX105" i="13"/>
  <c r="G10" i="57"/>
  <c r="CE10" i="13" s="1"/>
  <c r="DV10" i="13" s="1"/>
  <c r="G22" i="68"/>
  <c r="CJ22" i="13" s="1"/>
  <c r="DX38" i="13"/>
  <c r="S69" i="52"/>
  <c r="BW69" i="13" s="1"/>
  <c r="K97" i="67"/>
  <c r="CH97" i="13" s="1"/>
  <c r="DX104" i="13"/>
  <c r="O22" i="68"/>
  <c r="CL22" i="13" s="1"/>
  <c r="CL116" i="13" s="1"/>
  <c r="O12" i="68"/>
  <c r="CL12" i="13" s="1"/>
  <c r="CL110" i="13" s="1"/>
  <c r="BT116" i="13"/>
  <c r="BT110" i="13"/>
  <c r="K62" i="67"/>
  <c r="CH62" i="13" s="1"/>
  <c r="DW62" i="13" s="1"/>
  <c r="K70" i="67"/>
  <c r="CH70" i="13" s="1"/>
  <c r="K46" i="67"/>
  <c r="CH46" i="13" s="1"/>
  <c r="DW93" i="13"/>
  <c r="S13" i="68"/>
  <c r="CM13" i="13" s="1"/>
  <c r="S23" i="68"/>
  <c r="CM23" i="13" s="1"/>
  <c r="CC118" i="13"/>
  <c r="K14" i="68"/>
  <c r="CK14" i="13" s="1"/>
  <c r="CK112" i="13" s="1"/>
  <c r="CC107" i="13"/>
  <c r="CC112" i="13"/>
  <c r="DW49" i="13"/>
  <c r="DW92" i="13"/>
  <c r="K101" i="67"/>
  <c r="CH101" i="13" s="1"/>
  <c r="K105" i="45"/>
  <c r="AY105" i="13" s="1"/>
  <c r="G97" i="67"/>
  <c r="CG97" i="13" s="1"/>
  <c r="K20" i="67"/>
  <c r="CH20" i="13" s="1"/>
  <c r="DW36" i="13"/>
  <c r="K8" i="67"/>
  <c r="CH8" i="13" s="1"/>
  <c r="K31" i="67"/>
  <c r="CH31" i="13" s="1"/>
  <c r="G33" i="45"/>
  <c r="AX33" i="13" s="1"/>
  <c r="AX109" i="13" s="1"/>
  <c r="G104" i="67"/>
  <c r="CG104" i="13" s="1"/>
  <c r="DW24" i="13"/>
  <c r="DH104" i="13"/>
  <c r="CC116" i="13"/>
  <c r="G14" i="68"/>
  <c r="CJ14" i="13" s="1"/>
  <c r="BZ110" i="13"/>
  <c r="G9" i="67"/>
  <c r="CG9" i="13" s="1"/>
  <c r="K43" i="67"/>
  <c r="CH43" i="13" s="1"/>
  <c r="G48" i="54"/>
  <c r="BY48" i="13" s="1"/>
  <c r="G10" i="67"/>
  <c r="CG10" i="13" s="1"/>
  <c r="G5" i="67"/>
  <c r="CG5" i="13" s="1"/>
  <c r="G47" i="67"/>
  <c r="CG47" i="13" s="1"/>
  <c r="DX98" i="13"/>
  <c r="K61" i="67"/>
  <c r="CH61" i="13" s="1"/>
  <c r="DW61" i="13" s="1"/>
  <c r="O23" i="68"/>
  <c r="CL23" i="13" s="1"/>
  <c r="CL114" i="13" s="1"/>
  <c r="CC110" i="13"/>
  <c r="O13" i="68"/>
  <c r="CL13" i="13" s="1"/>
  <c r="CL111" i="13" s="1"/>
  <c r="W24" i="68"/>
  <c r="CN24" i="13" s="1"/>
  <c r="CN115" i="13" s="1"/>
  <c r="DW53" i="13"/>
  <c r="DW40" i="13"/>
  <c r="DW84" i="13"/>
  <c r="DQ61" i="13"/>
  <c r="G69" i="67"/>
  <c r="CG69" i="13" s="1"/>
  <c r="DW23" i="13"/>
  <c r="DW85" i="13"/>
  <c r="DO84" i="13"/>
  <c r="G20" i="67"/>
  <c r="CG20" i="13" s="1"/>
  <c r="G101" i="67"/>
  <c r="CG101" i="13" s="1"/>
  <c r="G43" i="67"/>
  <c r="CG43" i="13" s="1"/>
  <c r="G13" i="57"/>
  <c r="CE13" i="13" s="1"/>
  <c r="DV13" i="13" s="1"/>
  <c r="EM8" i="12" s="1"/>
  <c r="G32" i="57"/>
  <c r="CE32" i="13" s="1"/>
  <c r="DV32" i="13" s="1"/>
  <c r="K21" i="67"/>
  <c r="CH21" i="13" s="1"/>
  <c r="G21" i="67"/>
  <c r="CG21" i="13" s="1"/>
  <c r="Q13" i="52"/>
  <c r="S13" i="52" s="1"/>
  <c r="BW13" i="13" s="1"/>
  <c r="BW111" i="13" s="1"/>
  <c r="CC108" i="13"/>
  <c r="DW50" i="13"/>
  <c r="G72" i="54"/>
  <c r="BY72" i="13" s="1"/>
  <c r="CC117" i="13"/>
  <c r="DW48" i="13"/>
  <c r="K6" i="67"/>
  <c r="CH6" i="13" s="1"/>
  <c r="DS67" i="13"/>
  <c r="G6" i="67"/>
  <c r="CG6" i="13" s="1"/>
  <c r="G74" i="54"/>
  <c r="BY74" i="13" s="1"/>
  <c r="G103" i="67"/>
  <c r="CG103" i="13" s="1"/>
  <c r="W23" i="68"/>
  <c r="CN23" i="13" s="1"/>
  <c r="CN114" i="13" s="1"/>
  <c r="W13" i="68"/>
  <c r="CN13" i="13" s="1"/>
  <c r="CN111" i="13" s="1"/>
  <c r="DW34" i="13"/>
  <c r="G60" i="67"/>
  <c r="CG60" i="13" s="1"/>
  <c r="G102" i="67"/>
  <c r="CG102" i="13" s="1"/>
  <c r="DW102" i="13" s="1"/>
  <c r="K72" i="67"/>
  <c r="CH72" i="13" s="1"/>
  <c r="K19" i="67"/>
  <c r="CH19" i="13" s="1"/>
  <c r="S102" i="68"/>
  <c r="CM102" i="13" s="1"/>
  <c r="DV55" i="13"/>
  <c r="DS82" i="13"/>
  <c r="G5" i="57"/>
  <c r="CE5" i="13" s="1"/>
  <c r="DV5" i="13" s="1"/>
  <c r="K71" i="67"/>
  <c r="CH71" i="13" s="1"/>
  <c r="G8" i="67"/>
  <c r="CG8" i="13" s="1"/>
  <c r="K44" i="67"/>
  <c r="CH44" i="13" s="1"/>
  <c r="DW91" i="13"/>
  <c r="CC111" i="13"/>
  <c r="DS24" i="13"/>
  <c r="G69" i="54"/>
  <c r="BY69" i="13" s="1"/>
  <c r="DW80" i="13"/>
  <c r="W100" i="68"/>
  <c r="CN100" i="13" s="1"/>
  <c r="K104" i="67"/>
  <c r="CH104" i="13" s="1"/>
  <c r="K42" i="67"/>
  <c r="CH42" i="13" s="1"/>
  <c r="K98" i="67"/>
  <c r="CH98" i="13" s="1"/>
  <c r="G42" i="67"/>
  <c r="CG42" i="13" s="1"/>
  <c r="G12" i="68"/>
  <c r="CJ12" i="13" s="1"/>
  <c r="O24" i="68"/>
  <c r="CL24" i="13" s="1"/>
  <c r="O14" i="68"/>
  <c r="CL14" i="13" s="1"/>
  <c r="G98" i="67"/>
  <c r="CG98" i="13" s="1"/>
  <c r="DW12" i="13"/>
  <c r="G46" i="67"/>
  <c r="CG46" i="13" s="1"/>
  <c r="G71" i="54"/>
  <c r="BY71" i="13" s="1"/>
  <c r="S22" i="52"/>
  <c r="BW22" i="13" s="1"/>
  <c r="BW116" i="13" s="1"/>
  <c r="K74" i="67"/>
  <c r="CH74" i="13" s="1"/>
  <c r="K5" i="67"/>
  <c r="CH5" i="13" s="1"/>
  <c r="G49" i="54"/>
  <c r="BY49" i="13" s="1"/>
  <c r="DX27" i="13"/>
  <c r="K60" i="67"/>
  <c r="CH60" i="13" s="1"/>
  <c r="G45" i="67"/>
  <c r="CG45" i="13" s="1"/>
  <c r="DW78" i="13"/>
  <c r="DQ84" i="13"/>
  <c r="K12" i="68"/>
  <c r="CK12" i="13" s="1"/>
  <c r="CK110" i="13" s="1"/>
  <c r="G12" i="57"/>
  <c r="CE12" i="13" s="1"/>
  <c r="DV12" i="13" s="1"/>
  <c r="DW51" i="13"/>
  <c r="DX97" i="13"/>
  <c r="DU47" i="13"/>
  <c r="DW13" i="13"/>
  <c r="EO8" i="12" s="1"/>
  <c r="G61" i="57"/>
  <c r="CE61" i="13" s="1"/>
  <c r="DV61" i="13" s="1"/>
  <c r="K32" i="67"/>
  <c r="CH32" i="13" s="1"/>
  <c r="DQ86" i="13"/>
  <c r="G40" i="57"/>
  <c r="CE40" i="13" s="1"/>
  <c r="DV40" i="13" s="1"/>
  <c r="G23" i="57"/>
  <c r="CE23" i="13" s="1"/>
  <c r="DV23" i="13" s="1"/>
  <c r="K7" i="67"/>
  <c r="CH7" i="13" s="1"/>
  <c r="CH112" i="13" s="1"/>
  <c r="DW38" i="13"/>
  <c r="K10" i="67"/>
  <c r="CH10" i="13" s="1"/>
  <c r="CD114" i="13"/>
  <c r="BZ111" i="13"/>
  <c r="DS31" i="13"/>
  <c r="K99" i="67"/>
  <c r="CH99" i="13" s="1"/>
  <c r="BY107" i="13"/>
  <c r="K69" i="67"/>
  <c r="CH69" i="13" s="1"/>
  <c r="DX99" i="13"/>
  <c r="DW39" i="13"/>
  <c r="G105" i="67"/>
  <c r="CG105" i="13" s="1"/>
  <c r="DW105" i="13" s="1"/>
  <c r="G72" i="67"/>
  <c r="CG72" i="13" s="1"/>
  <c r="G43" i="57"/>
  <c r="CE43" i="13" s="1"/>
  <c r="DV43" i="13" s="1"/>
  <c r="G103" i="57"/>
  <c r="CE103" i="13" s="1"/>
  <c r="DV103" i="13" s="1"/>
  <c r="G19" i="57"/>
  <c r="CE19" i="13" s="1"/>
  <c r="DV19" i="13" s="1"/>
  <c r="G70" i="67"/>
  <c r="CG70" i="13" s="1"/>
  <c r="G99" i="67"/>
  <c r="CG99" i="13" s="1"/>
  <c r="DW22" i="13"/>
  <c r="DW14" i="13"/>
  <c r="K45" i="67"/>
  <c r="CH45" i="13" s="1"/>
  <c r="K47" i="67"/>
  <c r="CH47" i="13" s="1"/>
  <c r="G93" i="57"/>
  <c r="CE93" i="13" s="1"/>
  <c r="DV93" i="13" s="1"/>
  <c r="G32" i="67"/>
  <c r="CG32" i="13" s="1"/>
  <c r="DW35" i="13"/>
  <c r="G100" i="67"/>
  <c r="CG100" i="13" s="1"/>
  <c r="DQ60" i="13"/>
  <c r="G105" i="57"/>
  <c r="CE105" i="13" s="1"/>
  <c r="DV105" i="13" s="1"/>
  <c r="G71" i="67"/>
  <c r="CG71" i="13" s="1"/>
  <c r="K103" i="67"/>
  <c r="CH103" i="13" s="1"/>
  <c r="DX26" i="13"/>
  <c r="DX25" i="13"/>
  <c r="G44" i="67"/>
  <c r="CG44" i="13" s="1"/>
  <c r="DQ97" i="13"/>
  <c r="DQ98" i="13"/>
  <c r="G74" i="67"/>
  <c r="CG74" i="13" s="1"/>
  <c r="DQ56" i="13"/>
  <c r="DW79" i="13"/>
  <c r="K73" i="67"/>
  <c r="CH73" i="13" s="1"/>
  <c r="S12" i="68"/>
  <c r="CM12" i="13" s="1"/>
  <c r="G7" i="67"/>
  <c r="CG7" i="13" s="1"/>
  <c r="S22" i="68"/>
  <c r="CM22" i="13" s="1"/>
  <c r="G13" i="68"/>
  <c r="CJ13" i="13" s="1"/>
  <c r="CJ111" i="13" s="1"/>
  <c r="DS51" i="13"/>
  <c r="G44" i="57"/>
  <c r="CE44" i="13" s="1"/>
  <c r="DV44" i="13" s="1"/>
  <c r="G104" i="57"/>
  <c r="CE104" i="13" s="1"/>
  <c r="DV104" i="13" s="1"/>
  <c r="G6" i="57"/>
  <c r="CE6" i="13" s="1"/>
  <c r="DW83" i="13"/>
  <c r="DQ79" i="13"/>
  <c r="G91" i="57"/>
  <c r="CE91" i="13" s="1"/>
  <c r="DV91" i="13" s="1"/>
  <c r="O52" i="52"/>
  <c r="BV52" i="13" s="1"/>
  <c r="DQ52" i="13" s="1"/>
  <c r="DU39" i="13"/>
  <c r="G46" i="57"/>
  <c r="CE46" i="13" s="1"/>
  <c r="DV46" i="13" s="1"/>
  <c r="W101" i="68"/>
  <c r="CN101" i="13" s="1"/>
  <c r="G50" i="54"/>
  <c r="BY50" i="13" s="1"/>
  <c r="G45" i="57"/>
  <c r="CE45" i="13" s="1"/>
  <c r="DV45" i="13" s="1"/>
  <c r="G22" i="57"/>
  <c r="CE22" i="13" s="1"/>
  <c r="DV22" i="13" s="1"/>
  <c r="DQ102" i="13"/>
  <c r="G23" i="50"/>
  <c r="BP23" i="13" s="1"/>
  <c r="BP117" i="13" s="1"/>
  <c r="DU14" i="13"/>
  <c r="DW55" i="13"/>
  <c r="DS23" i="13"/>
  <c r="EG12" i="12" s="1"/>
  <c r="G31" i="67"/>
  <c r="CG31" i="13" s="1"/>
  <c r="G73" i="67"/>
  <c r="CG73" i="13" s="1"/>
  <c r="G21" i="57"/>
  <c r="CE21" i="13" s="1"/>
  <c r="DV21" i="13" s="1"/>
  <c r="DW82" i="13"/>
  <c r="DW81" i="13"/>
  <c r="DW86" i="13"/>
  <c r="DS83" i="13"/>
  <c r="G33" i="57"/>
  <c r="CE33" i="13" s="1"/>
  <c r="DV33" i="13" s="1"/>
  <c r="G73" i="57"/>
  <c r="CE73" i="13" s="1"/>
  <c r="DV73" i="13" s="1"/>
  <c r="G7" i="57"/>
  <c r="CE7" i="13" s="1"/>
  <c r="DV7" i="13" s="1"/>
  <c r="G20" i="57"/>
  <c r="CE20" i="13" s="1"/>
  <c r="DV20" i="13" s="1"/>
  <c r="G74" i="57"/>
  <c r="CE74" i="13" s="1"/>
  <c r="DV74" i="13" s="1"/>
  <c r="G73" i="54"/>
  <c r="BY73" i="13" s="1"/>
  <c r="DV62" i="13"/>
  <c r="DS55" i="13"/>
  <c r="G33" i="67"/>
  <c r="CG33" i="13" s="1"/>
  <c r="G61" i="56"/>
  <c r="CC61" i="13" s="1"/>
  <c r="CC114" i="13" s="1"/>
  <c r="G14" i="57"/>
  <c r="CE14" i="13" s="1"/>
  <c r="DV14" i="13" s="1"/>
  <c r="BZ116" i="13"/>
  <c r="G69" i="57"/>
  <c r="CE69" i="13" s="1"/>
  <c r="DV69" i="13" s="1"/>
  <c r="G71" i="57"/>
  <c r="CE71" i="13" s="1"/>
  <c r="DV71" i="13" s="1"/>
  <c r="G70" i="54"/>
  <c r="BY70" i="13" s="1"/>
  <c r="DS53" i="13"/>
  <c r="G31" i="57"/>
  <c r="CE31" i="13" s="1"/>
  <c r="DV31" i="13" s="1"/>
  <c r="G70" i="57"/>
  <c r="CE70" i="13" s="1"/>
  <c r="O7" i="38"/>
  <c r="AO7" i="13" s="1"/>
  <c r="S71" i="52"/>
  <c r="BW71" i="13" s="1"/>
  <c r="BW115" i="13" s="1"/>
  <c r="DU40" i="13"/>
  <c r="DQ93" i="13"/>
  <c r="EC37" i="12" s="1"/>
  <c r="G60" i="56"/>
  <c r="CC60" i="13" s="1"/>
  <c r="CC113" i="13" s="1"/>
  <c r="K49" i="54"/>
  <c r="BZ49" i="13" s="1"/>
  <c r="G19" i="67"/>
  <c r="CG19" i="13" s="1"/>
  <c r="DS86" i="13"/>
  <c r="K50" i="54"/>
  <c r="BZ50" i="13" s="1"/>
  <c r="DU46" i="13"/>
  <c r="DQ101" i="13"/>
  <c r="K74" i="54"/>
  <c r="BZ74" i="13" s="1"/>
  <c r="DS84" i="13"/>
  <c r="K69" i="54"/>
  <c r="BZ69" i="13" s="1"/>
  <c r="DS56" i="13"/>
  <c r="BZ117" i="13"/>
  <c r="K71" i="54"/>
  <c r="BZ71" i="13" s="1"/>
  <c r="K72" i="54"/>
  <c r="BZ72" i="13" s="1"/>
  <c r="DS66" i="13"/>
  <c r="DU24" i="13"/>
  <c r="EK12" i="12" s="1"/>
  <c r="DU62" i="13"/>
  <c r="DU45" i="13"/>
  <c r="I12" i="52"/>
  <c r="K12" i="52" s="1"/>
  <c r="BU12" i="13" s="1"/>
  <c r="BU110" i="13" s="1"/>
  <c r="CD113" i="13"/>
  <c r="CC115" i="13"/>
  <c r="DQ100" i="13"/>
  <c r="K73" i="54"/>
  <c r="BZ73" i="13" s="1"/>
  <c r="BY116" i="13"/>
  <c r="G42" i="57"/>
  <c r="CE42" i="13" s="1"/>
  <c r="DV42" i="13" s="1"/>
  <c r="DS54" i="13"/>
  <c r="K70" i="54"/>
  <c r="BZ70" i="13" s="1"/>
  <c r="DQ55" i="13"/>
  <c r="DS22" i="13"/>
  <c r="DS79" i="13"/>
  <c r="O70" i="52"/>
  <c r="BV70" i="13" s="1"/>
  <c r="BV114" i="13" s="1"/>
  <c r="DS68" i="13"/>
  <c r="DS85" i="13"/>
  <c r="DS80" i="13"/>
  <c r="BY111" i="13"/>
  <c r="DS32" i="13"/>
  <c r="BY117" i="13"/>
  <c r="BY118" i="13"/>
  <c r="DS78" i="13"/>
  <c r="K48" i="54"/>
  <c r="BZ48" i="13" s="1"/>
  <c r="DS52" i="13"/>
  <c r="BV110" i="13"/>
  <c r="DQ104" i="13"/>
  <c r="DQ38" i="13"/>
  <c r="G74" i="46"/>
  <c r="BE74" i="13" s="1"/>
  <c r="DQ94" i="13"/>
  <c r="DQ67" i="13"/>
  <c r="O69" i="52"/>
  <c r="BV69" i="13" s="1"/>
  <c r="BV113" i="13" s="1"/>
  <c r="DQ66" i="13"/>
  <c r="DQ62" i="13"/>
  <c r="DQ103" i="13"/>
  <c r="DV56" i="13"/>
  <c r="BV107" i="13"/>
  <c r="BZ112" i="13"/>
  <c r="BN111" i="13"/>
  <c r="BZ118" i="13"/>
  <c r="S70" i="52"/>
  <c r="BW70" i="13" s="1"/>
  <c r="BW114" i="13" s="1"/>
  <c r="DQ40" i="13"/>
  <c r="DQ31" i="13"/>
  <c r="Q14" i="52"/>
  <c r="S14" i="52" s="1"/>
  <c r="BW14" i="13" s="1"/>
  <c r="BW112" i="13" s="1"/>
  <c r="DQ81" i="13"/>
  <c r="O51" i="52"/>
  <c r="BV51" i="13" s="1"/>
  <c r="DQ51" i="13" s="1"/>
  <c r="BW110" i="13"/>
  <c r="DQ39" i="13"/>
  <c r="DQ105" i="13"/>
  <c r="K24" i="52"/>
  <c r="BU24" i="13" s="1"/>
  <c r="BU118" i="13" s="1"/>
  <c r="O71" i="52"/>
  <c r="BV71" i="13" s="1"/>
  <c r="BV115" i="13" s="1"/>
  <c r="O53" i="52"/>
  <c r="BV53" i="13" s="1"/>
  <c r="DQ53" i="13" s="1"/>
  <c r="DQ96" i="13"/>
  <c r="EC38" i="12" s="1"/>
  <c r="DQ80" i="13"/>
  <c r="K23" i="52"/>
  <c r="BU23" i="13" s="1"/>
  <c r="BU117" i="13" s="1"/>
  <c r="BT112" i="13"/>
  <c r="BY109" i="13"/>
  <c r="DS33" i="13"/>
  <c r="DQ73" i="13"/>
  <c r="DQ91" i="13"/>
  <c r="DQ72" i="13"/>
  <c r="DO98" i="13"/>
  <c r="DO79" i="13"/>
  <c r="O48" i="52"/>
  <c r="BV48" i="13" s="1"/>
  <c r="DQ48" i="13" s="1"/>
  <c r="DQ74" i="13"/>
  <c r="DQ82" i="13"/>
  <c r="DQ83" i="13"/>
  <c r="BW118" i="13"/>
  <c r="DO78" i="13"/>
  <c r="DO85" i="13"/>
  <c r="DQ68" i="13"/>
  <c r="DO91" i="13"/>
  <c r="DQ50" i="13"/>
  <c r="DQ85" i="13"/>
  <c r="DQ78" i="13"/>
  <c r="DO40" i="13"/>
  <c r="BV117" i="13"/>
  <c r="BV111" i="13"/>
  <c r="DO68" i="13"/>
  <c r="S92" i="30"/>
  <c r="AW92" i="13" s="1"/>
  <c r="DH92" i="13" s="1"/>
  <c r="DO80" i="13"/>
  <c r="K74" i="50"/>
  <c r="BQ74" i="13" s="1"/>
  <c r="DQ33" i="13"/>
  <c r="DO54" i="13"/>
  <c r="G72" i="50"/>
  <c r="BP72" i="13" s="1"/>
  <c r="BV112" i="13"/>
  <c r="DQ32" i="13"/>
  <c r="BV118" i="13"/>
  <c r="DQ54" i="13"/>
  <c r="DO96" i="13"/>
  <c r="BV109" i="13"/>
  <c r="BP111" i="13"/>
  <c r="G38" i="46"/>
  <c r="BE38" i="13" s="1"/>
  <c r="G24" i="50"/>
  <c r="BP24" i="13" s="1"/>
  <c r="BP118" i="13" s="1"/>
  <c r="DO61" i="13"/>
  <c r="G73" i="50"/>
  <c r="BP73" i="13" s="1"/>
  <c r="DO73" i="13" s="1"/>
  <c r="DO32" i="13"/>
  <c r="DO92" i="13"/>
  <c r="DO83" i="13"/>
  <c r="DO53" i="13"/>
  <c r="DO47" i="13"/>
  <c r="DO102" i="13"/>
  <c r="DO100" i="13"/>
  <c r="DO95" i="13"/>
  <c r="G71" i="50"/>
  <c r="BP71" i="13" s="1"/>
  <c r="BO111" i="13"/>
  <c r="G72" i="46"/>
  <c r="BE72" i="13" s="1"/>
  <c r="DO49" i="13"/>
  <c r="G70" i="50"/>
  <c r="BP70" i="13" s="1"/>
  <c r="DO39" i="13"/>
  <c r="DO82" i="13"/>
  <c r="DO101" i="13"/>
  <c r="BQ110" i="13"/>
  <c r="DO51" i="13"/>
  <c r="DO45" i="13"/>
  <c r="DO97" i="13"/>
  <c r="DO62" i="13"/>
  <c r="G69" i="50"/>
  <c r="BP69" i="13" s="1"/>
  <c r="DO93" i="13"/>
  <c r="DO99" i="13"/>
  <c r="G24" i="48"/>
  <c r="BL24" i="13" s="1"/>
  <c r="BL115" i="13" s="1"/>
  <c r="BP108" i="13"/>
  <c r="DO31" i="13"/>
  <c r="G96" i="46"/>
  <c r="BE96" i="13" s="1"/>
  <c r="DO52" i="13"/>
  <c r="BP110" i="13"/>
  <c r="DO56" i="13"/>
  <c r="DN71" i="13"/>
  <c r="DO105" i="13"/>
  <c r="DO66" i="13"/>
  <c r="DO38" i="13"/>
  <c r="DO103" i="13"/>
  <c r="DO94" i="13"/>
  <c r="K72" i="50"/>
  <c r="BQ72" i="13" s="1"/>
  <c r="DN14" i="13"/>
  <c r="G39" i="46"/>
  <c r="BE39" i="13" s="1"/>
  <c r="DO33" i="13"/>
  <c r="BP112" i="13"/>
  <c r="BC110" i="13"/>
  <c r="BC113" i="13"/>
  <c r="DM80" i="13"/>
  <c r="K71" i="50"/>
  <c r="BQ71" i="13" s="1"/>
  <c r="G32" i="38"/>
  <c r="AM32" i="13" s="1"/>
  <c r="BA112" i="13"/>
  <c r="BA118" i="13"/>
  <c r="BQ118" i="13"/>
  <c r="S81" i="30"/>
  <c r="AW81" i="13" s="1"/>
  <c r="DO50" i="13"/>
  <c r="DO86" i="13"/>
  <c r="I14" i="50"/>
  <c r="K14" i="50" s="1"/>
  <c r="BQ14" i="13" s="1"/>
  <c r="DO14" i="13" s="1"/>
  <c r="DN32" i="13"/>
  <c r="BN108" i="13"/>
  <c r="DJ51" i="13"/>
  <c r="S70" i="30"/>
  <c r="AW70" i="13" s="1"/>
  <c r="BQ117" i="13"/>
  <c r="S22" i="46"/>
  <c r="BH22" i="13" s="1"/>
  <c r="BH116" i="13" s="1"/>
  <c r="BA111" i="13"/>
  <c r="DM82" i="13"/>
  <c r="G22" i="50"/>
  <c r="BP22" i="13" s="1"/>
  <c r="BP116" i="13" s="1"/>
  <c r="DO48" i="13"/>
  <c r="O45" i="30"/>
  <c r="AV45" i="13" s="1"/>
  <c r="K70" i="50"/>
  <c r="BQ70" i="13" s="1"/>
  <c r="BQ114" i="13" s="1"/>
  <c r="S93" i="46"/>
  <c r="BH93" i="13" s="1"/>
  <c r="O38" i="46"/>
  <c r="BG38" i="13" s="1"/>
  <c r="BO110" i="13"/>
  <c r="S93" i="30"/>
  <c r="AW93" i="13" s="1"/>
  <c r="DM79" i="13"/>
  <c r="DJ56" i="13"/>
  <c r="DM81" i="13"/>
  <c r="K69" i="50"/>
  <c r="BQ69" i="13" s="1"/>
  <c r="BN116" i="13"/>
  <c r="BN112" i="13"/>
  <c r="K21" i="38"/>
  <c r="AN21" i="13" s="1"/>
  <c r="DN33" i="13"/>
  <c r="E13" i="48"/>
  <c r="G13" i="48" s="1"/>
  <c r="BL13" i="13" s="1"/>
  <c r="BL111" i="13" s="1"/>
  <c r="BL107" i="13"/>
  <c r="DM33" i="13"/>
  <c r="DU15" i="12" s="1"/>
  <c r="K22" i="50"/>
  <c r="BQ22" i="13" s="1"/>
  <c r="BQ116" i="13" s="1"/>
  <c r="BN109" i="13"/>
  <c r="BN107" i="13"/>
  <c r="BL112" i="13"/>
  <c r="DO60" i="13"/>
  <c r="BN110" i="13"/>
  <c r="S48" i="30"/>
  <c r="AW48" i="13" s="1"/>
  <c r="DO55" i="13"/>
  <c r="G31" i="30"/>
  <c r="AT31" i="13" s="1"/>
  <c r="AT116" i="13" s="1"/>
  <c r="DN22" i="13"/>
  <c r="DO46" i="13"/>
  <c r="O32" i="29"/>
  <c r="AR32" i="13" s="1"/>
  <c r="AR117" i="13" s="1"/>
  <c r="I13" i="50"/>
  <c r="K13" i="50" s="1"/>
  <c r="BQ13" i="13" s="1"/>
  <c r="BQ111" i="13" s="1"/>
  <c r="K33" i="80"/>
  <c r="AL33" i="13" s="1"/>
  <c r="G103" i="38"/>
  <c r="AM103" i="13" s="1"/>
  <c r="O73" i="46"/>
  <c r="BG73" i="13" s="1"/>
  <c r="G22" i="46"/>
  <c r="BE22" i="13" s="1"/>
  <c r="BE116" i="13" s="1"/>
  <c r="G14" i="46"/>
  <c r="BE14" i="13" s="1"/>
  <c r="BE112" i="13" s="1"/>
  <c r="DM55" i="13"/>
  <c r="DM83" i="13"/>
  <c r="S21" i="30"/>
  <c r="AW21" i="13" s="1"/>
  <c r="BF110" i="13"/>
  <c r="DK99" i="13"/>
  <c r="DJ53" i="13"/>
  <c r="K69" i="46"/>
  <c r="BF69" i="13" s="1"/>
  <c r="S40" i="46"/>
  <c r="BH40" i="13" s="1"/>
  <c r="O39" i="46"/>
  <c r="BG39" i="13" s="1"/>
  <c r="O74" i="46"/>
  <c r="BG74" i="13" s="1"/>
  <c r="G22" i="48"/>
  <c r="BL22" i="13" s="1"/>
  <c r="DM22" i="13" s="1"/>
  <c r="DN24" i="13"/>
  <c r="DW12" i="12" s="1"/>
  <c r="O72" i="46"/>
  <c r="BG72" i="13" s="1"/>
  <c r="BO117" i="13"/>
  <c r="O104" i="38"/>
  <c r="AO104" i="13" s="1"/>
  <c r="G95" i="46"/>
  <c r="BE95" i="13" s="1"/>
  <c r="K72" i="46"/>
  <c r="BF72" i="13" s="1"/>
  <c r="S74" i="46"/>
  <c r="BH74" i="13" s="1"/>
  <c r="G84" i="30"/>
  <c r="AT84" i="13" s="1"/>
  <c r="O26" i="38"/>
  <c r="AO26" i="13" s="1"/>
  <c r="O93" i="38"/>
  <c r="AO93" i="13" s="1"/>
  <c r="DN74" i="13"/>
  <c r="DJ49" i="13"/>
  <c r="O70" i="46"/>
  <c r="BG70" i="13" s="1"/>
  <c r="BD118" i="13"/>
  <c r="BD112" i="13"/>
  <c r="DJ33" i="13"/>
  <c r="BB112" i="13"/>
  <c r="DJ99" i="13"/>
  <c r="S72" i="46"/>
  <c r="BH72" i="13" s="1"/>
  <c r="DK86" i="13"/>
  <c r="BB114" i="13"/>
  <c r="BD110" i="13"/>
  <c r="O96" i="46"/>
  <c r="BG96" i="13" s="1"/>
  <c r="O91" i="46"/>
  <c r="BG91" i="13" s="1"/>
  <c r="BL108" i="13"/>
  <c r="BB111" i="13"/>
  <c r="BH110" i="13"/>
  <c r="O92" i="46"/>
  <c r="BG92" i="13" s="1"/>
  <c r="BC109" i="13"/>
  <c r="DM78" i="13"/>
  <c r="DJ54" i="13"/>
  <c r="BL114" i="13"/>
  <c r="S19" i="30"/>
  <c r="AW19" i="13" s="1"/>
  <c r="O93" i="46"/>
  <c r="BG93" i="13" s="1"/>
  <c r="K31" i="80"/>
  <c r="AL31" i="13" s="1"/>
  <c r="G80" i="38"/>
  <c r="AM80" i="13" s="1"/>
  <c r="S69" i="30"/>
  <c r="AW69" i="13" s="1"/>
  <c r="BC112" i="13"/>
  <c r="G99" i="38"/>
  <c r="AM99" i="13" s="1"/>
  <c r="S44" i="30"/>
  <c r="AW44" i="13" s="1"/>
  <c r="S82" i="30"/>
  <c r="AW82" i="13" s="1"/>
  <c r="BG110" i="13"/>
  <c r="K13" i="38"/>
  <c r="AN13" i="13" s="1"/>
  <c r="O71" i="46"/>
  <c r="BG71" i="13" s="1"/>
  <c r="G24" i="46"/>
  <c r="BE24" i="13" s="1"/>
  <c r="BE118" i="13" s="1"/>
  <c r="S95" i="46"/>
  <c r="BH95" i="13" s="1"/>
  <c r="K40" i="46"/>
  <c r="BF40" i="13" s="1"/>
  <c r="E12" i="46"/>
  <c r="G12" i="46" s="1"/>
  <c r="BE12" i="13" s="1"/>
  <c r="BE110" i="13" s="1"/>
  <c r="BC118" i="13"/>
  <c r="G104" i="38"/>
  <c r="AM104" i="13" s="1"/>
  <c r="O95" i="46"/>
  <c r="BG95" i="13" s="1"/>
  <c r="S43" i="30"/>
  <c r="AW43" i="13" s="1"/>
  <c r="DM84" i="13"/>
  <c r="BD113" i="13"/>
  <c r="DM86" i="13"/>
  <c r="G40" i="46"/>
  <c r="BE40" i="13" s="1"/>
  <c r="S51" i="30"/>
  <c r="AW51" i="13" s="1"/>
  <c r="O101" i="45"/>
  <c r="AZ101" i="13" s="1"/>
  <c r="O40" i="46"/>
  <c r="BG40" i="13" s="1"/>
  <c r="S71" i="46"/>
  <c r="BH71" i="13" s="1"/>
  <c r="G93" i="46"/>
  <c r="BE93" i="13" s="1"/>
  <c r="DH58" i="13"/>
  <c r="S83" i="30"/>
  <c r="AW83" i="13" s="1"/>
  <c r="S84" i="30"/>
  <c r="AW84" i="13" s="1"/>
  <c r="G100" i="45"/>
  <c r="AX100" i="13" s="1"/>
  <c r="G73" i="46"/>
  <c r="BE73" i="13" s="1"/>
  <c r="DJ55" i="13"/>
  <c r="S96" i="46"/>
  <c r="BH96" i="13" s="1"/>
  <c r="DK55" i="13"/>
  <c r="DJ32" i="13"/>
  <c r="DJ100" i="13"/>
  <c r="DJ50" i="13"/>
  <c r="DK78" i="13"/>
  <c r="DJ102" i="13"/>
  <c r="DK97" i="13"/>
  <c r="BB118" i="13"/>
  <c r="BC108" i="13"/>
  <c r="S86" i="30"/>
  <c r="AW86" i="13" s="1"/>
  <c r="DH86" i="13" s="1"/>
  <c r="BA110" i="13"/>
  <c r="O25" i="38"/>
  <c r="AO25" i="13" s="1"/>
  <c r="S53" i="30"/>
  <c r="AW53" i="13" s="1"/>
  <c r="DH53" i="13" s="1"/>
  <c r="S20" i="30"/>
  <c r="AW20" i="13" s="1"/>
  <c r="S91" i="46"/>
  <c r="BH91" i="13" s="1"/>
  <c r="DK98" i="13"/>
  <c r="DJ48" i="13"/>
  <c r="DJ97" i="13"/>
  <c r="BA113" i="13"/>
  <c r="BI110" i="13"/>
  <c r="DK54" i="13"/>
  <c r="DJ52" i="13"/>
  <c r="DJ98" i="13"/>
  <c r="BD114" i="13"/>
  <c r="K25" i="80"/>
  <c r="AL25" i="13" s="1"/>
  <c r="DK31" i="13"/>
  <c r="G33" i="30"/>
  <c r="AT33" i="13" s="1"/>
  <c r="AT118" i="13" s="1"/>
  <c r="BD111" i="13"/>
  <c r="O94" i="46"/>
  <c r="BG94" i="13" s="1"/>
  <c r="S73" i="46"/>
  <c r="BH73" i="13" s="1"/>
  <c r="BC114" i="13"/>
  <c r="K82" i="38"/>
  <c r="AN82" i="13" s="1"/>
  <c r="K92" i="46"/>
  <c r="BF92" i="13" s="1"/>
  <c r="BC111" i="13"/>
  <c r="K5" i="38"/>
  <c r="AN5" i="13" s="1"/>
  <c r="S73" i="30"/>
  <c r="AW73" i="13" s="1"/>
  <c r="DK100" i="13"/>
  <c r="DJ101" i="13"/>
  <c r="K38" i="46"/>
  <c r="BF38" i="13" s="1"/>
  <c r="K50" i="30"/>
  <c r="AU50" i="13" s="1"/>
  <c r="DJ31" i="13"/>
  <c r="S39" i="46"/>
  <c r="BH39" i="13" s="1"/>
  <c r="S38" i="46"/>
  <c r="BH38" i="13" s="1"/>
  <c r="S50" i="30"/>
  <c r="AW50" i="13" s="1"/>
  <c r="S70" i="46"/>
  <c r="BH70" i="13" s="1"/>
  <c r="S94" i="46"/>
  <c r="BH94" i="13" s="1"/>
  <c r="K82" i="80"/>
  <c r="AL82" i="13" s="1"/>
  <c r="S33" i="30"/>
  <c r="AW33" i="13" s="1"/>
  <c r="S71" i="30"/>
  <c r="AW71" i="13" s="1"/>
  <c r="BB110" i="13"/>
  <c r="BB113" i="13"/>
  <c r="S49" i="30"/>
  <c r="AW49" i="13" s="1"/>
  <c r="K70" i="46"/>
  <c r="BF70" i="13" s="1"/>
  <c r="S74" i="30"/>
  <c r="AW74" i="13" s="1"/>
  <c r="K83" i="80"/>
  <c r="AL83" i="13" s="1"/>
  <c r="S42" i="30"/>
  <c r="AW42" i="13" s="1"/>
  <c r="K96" i="46"/>
  <c r="BF96" i="13" s="1"/>
  <c r="DK84" i="13"/>
  <c r="DK79" i="13"/>
  <c r="W22" i="46"/>
  <c r="BI22" i="13" s="1"/>
  <c r="BI116" i="13" s="1"/>
  <c r="S31" i="30"/>
  <c r="AW31" i="13" s="1"/>
  <c r="BG117" i="13"/>
  <c r="G70" i="46"/>
  <c r="BE70" i="13" s="1"/>
  <c r="BF118" i="13"/>
  <c r="BH118" i="13"/>
  <c r="BI117" i="13"/>
  <c r="S92" i="46"/>
  <c r="BH92" i="13" s="1"/>
  <c r="K102" i="45"/>
  <c r="AY102" i="13" s="1"/>
  <c r="DK83" i="13"/>
  <c r="DK56" i="13"/>
  <c r="K39" i="46"/>
  <c r="BF39" i="13" s="1"/>
  <c r="DI92" i="13"/>
  <c r="DK82" i="13"/>
  <c r="DK101" i="13"/>
  <c r="DK81" i="13"/>
  <c r="K71" i="46"/>
  <c r="BF71" i="13" s="1"/>
  <c r="DI60" i="13"/>
  <c r="K104" i="45"/>
  <c r="AY104" i="13" s="1"/>
  <c r="DK103" i="13"/>
  <c r="DK80" i="13"/>
  <c r="I14" i="46"/>
  <c r="K14" i="46" s="1"/>
  <c r="BF14" i="13" s="1"/>
  <c r="BF112" i="13" s="1"/>
  <c r="G82" i="80"/>
  <c r="AK82" i="13" s="1"/>
  <c r="K22" i="46"/>
  <c r="BF22" i="13" s="1"/>
  <c r="BF116" i="13" s="1"/>
  <c r="I13" i="46"/>
  <c r="K13" i="46" s="1"/>
  <c r="BF13" i="13" s="1"/>
  <c r="BF111" i="13" s="1"/>
  <c r="BG112" i="13"/>
  <c r="DK85" i="13"/>
  <c r="G99" i="80"/>
  <c r="AK99" i="13" s="1"/>
  <c r="K91" i="46"/>
  <c r="BF91" i="13" s="1"/>
  <c r="K47" i="80"/>
  <c r="AL47" i="13" s="1"/>
  <c r="Q13" i="46"/>
  <c r="S13" i="46" s="1"/>
  <c r="BH13" i="13" s="1"/>
  <c r="BH111" i="13" s="1"/>
  <c r="W24" i="46"/>
  <c r="BI24" i="13" s="1"/>
  <c r="BI118" i="13" s="1"/>
  <c r="K92" i="18"/>
  <c r="W92" i="13" s="1"/>
  <c r="K45" i="21"/>
  <c r="AI45" i="13" s="1"/>
  <c r="O91" i="30"/>
  <c r="AV91" i="13" s="1"/>
  <c r="DK102" i="13"/>
  <c r="G51" i="80"/>
  <c r="AK51" i="13" s="1"/>
  <c r="DI25" i="13"/>
  <c r="G81" i="80"/>
  <c r="AK81" i="13" s="1"/>
  <c r="O31" i="38"/>
  <c r="AO31" i="13" s="1"/>
  <c r="K44" i="30"/>
  <c r="AU44" i="13" s="1"/>
  <c r="K73" i="46"/>
  <c r="BF73" i="13" s="1"/>
  <c r="K101" i="45"/>
  <c r="AY101" i="13" s="1"/>
  <c r="DK33" i="13"/>
  <c r="G92" i="46"/>
  <c r="BE92" i="13" s="1"/>
  <c r="K95" i="46"/>
  <c r="BF95" i="13" s="1"/>
  <c r="G27" i="80"/>
  <c r="AK27" i="13" s="1"/>
  <c r="K74" i="46"/>
  <c r="BF74" i="13" s="1"/>
  <c r="O13" i="30"/>
  <c r="AV13" i="13" s="1"/>
  <c r="AV111" i="13" s="1"/>
  <c r="G26" i="80"/>
  <c r="AK26" i="13" s="1"/>
  <c r="I12" i="45"/>
  <c r="K12" i="45" s="1"/>
  <c r="AY12" i="13" s="1"/>
  <c r="AY110" i="13" s="1"/>
  <c r="DH6" i="13"/>
  <c r="DK5" i="12" s="1"/>
  <c r="W24" i="19"/>
  <c r="AE24" i="13" s="1"/>
  <c r="AE118" i="13" s="1"/>
  <c r="U13" i="46"/>
  <c r="W13" i="46" s="1"/>
  <c r="BI13" i="13" s="1"/>
  <c r="BI111" i="13" s="1"/>
  <c r="S32" i="30"/>
  <c r="AW32" i="13" s="1"/>
  <c r="G33" i="80"/>
  <c r="AK33" i="13" s="1"/>
  <c r="T117" i="13"/>
  <c r="S13" i="30"/>
  <c r="AW13" i="13" s="1"/>
  <c r="G46" i="80"/>
  <c r="AK46" i="13" s="1"/>
  <c r="DK32" i="13"/>
  <c r="DQ15" i="12" s="1"/>
  <c r="T108" i="13"/>
  <c r="G101" i="45"/>
  <c r="AX101" i="13" s="1"/>
  <c r="DH38" i="13"/>
  <c r="G32" i="45"/>
  <c r="AX32" i="13" s="1"/>
  <c r="AX108" i="13" s="1"/>
  <c r="G91" i="46"/>
  <c r="BE91" i="13" s="1"/>
  <c r="K93" i="46"/>
  <c r="BF93" i="13" s="1"/>
  <c r="O23" i="18"/>
  <c r="X23" i="13" s="1"/>
  <c r="K19" i="80"/>
  <c r="AL19" i="13" s="1"/>
  <c r="O22" i="46"/>
  <c r="BG22" i="13" s="1"/>
  <c r="BG116" i="13" s="1"/>
  <c r="DI84" i="13"/>
  <c r="K99" i="80"/>
  <c r="AL99" i="13" s="1"/>
  <c r="G94" i="46"/>
  <c r="BE94" i="13" s="1"/>
  <c r="O24" i="46"/>
  <c r="BG24" i="13" s="1"/>
  <c r="BG118" i="13" s="1"/>
  <c r="O46" i="30"/>
  <c r="AV46" i="13" s="1"/>
  <c r="AV114" i="13" s="1"/>
  <c r="K81" i="80"/>
  <c r="AL81" i="13" s="1"/>
  <c r="Q14" i="46"/>
  <c r="S14" i="46" s="1"/>
  <c r="BH14" i="13" s="1"/>
  <c r="BH112" i="13" s="1"/>
  <c r="O103" i="45"/>
  <c r="AZ103" i="13" s="1"/>
  <c r="DI62" i="13"/>
  <c r="DM26" i="12" s="1"/>
  <c r="G13" i="46"/>
  <c r="BE13" i="13" s="1"/>
  <c r="BE111" i="13" s="1"/>
  <c r="K103" i="45"/>
  <c r="AY103" i="13" s="1"/>
  <c r="AQ109" i="13"/>
  <c r="DK62" i="13"/>
  <c r="DI82" i="13"/>
  <c r="G85" i="30"/>
  <c r="AT85" i="13" s="1"/>
  <c r="DH85" i="13" s="1"/>
  <c r="K9" i="38"/>
  <c r="AN9" i="13" s="1"/>
  <c r="K51" i="30"/>
  <c r="AU51" i="13" s="1"/>
  <c r="K72" i="21"/>
  <c r="AI72" i="13" s="1"/>
  <c r="DD72" i="13" s="1"/>
  <c r="O49" i="38"/>
  <c r="AO49" i="13" s="1"/>
  <c r="K70" i="30"/>
  <c r="AU70" i="13" s="1"/>
  <c r="DF57" i="13"/>
  <c r="DG12" i="13"/>
  <c r="O10" i="38"/>
  <c r="AO10" i="13" s="1"/>
  <c r="DH79" i="13"/>
  <c r="DH5" i="13"/>
  <c r="DH23" i="13"/>
  <c r="DI96" i="13"/>
  <c r="G25" i="38"/>
  <c r="AM25" i="13" s="1"/>
  <c r="DI78" i="13"/>
  <c r="DK61" i="13"/>
  <c r="DH9" i="13"/>
  <c r="G53" i="80"/>
  <c r="AK53" i="13" s="1"/>
  <c r="DE53" i="13" s="1"/>
  <c r="DI38" i="13"/>
  <c r="K32" i="29"/>
  <c r="AQ32" i="13" s="1"/>
  <c r="AQ111" i="13" s="1"/>
  <c r="G50" i="38"/>
  <c r="AM50" i="13" s="1"/>
  <c r="S47" i="30"/>
  <c r="AW47" i="13" s="1"/>
  <c r="DH35" i="13"/>
  <c r="K100" i="45"/>
  <c r="AY100" i="13" s="1"/>
  <c r="G78" i="80"/>
  <c r="AK78" i="13" s="1"/>
  <c r="W86" i="18"/>
  <c r="Z86" i="13" s="1"/>
  <c r="G21" i="80"/>
  <c r="AK21" i="13" s="1"/>
  <c r="G52" i="80"/>
  <c r="AK52" i="13" s="1"/>
  <c r="G9" i="38"/>
  <c r="AM9" i="13" s="1"/>
  <c r="O47" i="30"/>
  <c r="AV47" i="13" s="1"/>
  <c r="W63" i="18"/>
  <c r="Z63" i="13" s="1"/>
  <c r="G83" i="80"/>
  <c r="AK83" i="13" s="1"/>
  <c r="K40" i="18"/>
  <c r="W40" i="13" s="1"/>
  <c r="S14" i="30"/>
  <c r="AW14" i="13" s="1"/>
  <c r="S46" i="30"/>
  <c r="AW46" i="13" s="1"/>
  <c r="K33" i="30"/>
  <c r="AU33" i="13" s="1"/>
  <c r="O100" i="45"/>
  <c r="AZ100" i="13" s="1"/>
  <c r="DI94" i="13"/>
  <c r="DK104" i="13"/>
  <c r="M13" i="46"/>
  <c r="O13" i="46" s="1"/>
  <c r="BG13" i="13" s="1"/>
  <c r="BG111" i="13" s="1"/>
  <c r="K69" i="30"/>
  <c r="AU69" i="13" s="1"/>
  <c r="O93" i="30"/>
  <c r="AV93" i="13" s="1"/>
  <c r="DI81" i="13"/>
  <c r="DI99" i="13"/>
  <c r="K26" i="80"/>
  <c r="AL26" i="13" s="1"/>
  <c r="T111" i="13"/>
  <c r="G20" i="80"/>
  <c r="AK20" i="13" s="1"/>
  <c r="K80" i="80"/>
  <c r="AL80" i="13" s="1"/>
  <c r="M12" i="45"/>
  <c r="O12" i="45" s="1"/>
  <c r="AZ12" i="13" s="1"/>
  <c r="AZ110" i="13" s="1"/>
  <c r="G48" i="80"/>
  <c r="AK48" i="13" s="1"/>
  <c r="G32" i="80"/>
  <c r="AK32" i="13" s="1"/>
  <c r="G62" i="80"/>
  <c r="AK62" i="13" s="1"/>
  <c r="G23" i="46"/>
  <c r="BE23" i="13" s="1"/>
  <c r="BE117" i="13" s="1"/>
  <c r="K21" i="30"/>
  <c r="AU21" i="13" s="1"/>
  <c r="DK60" i="13"/>
  <c r="DK105" i="13"/>
  <c r="O105" i="45"/>
  <c r="AZ105" i="13" s="1"/>
  <c r="DH7" i="13"/>
  <c r="G98" i="38"/>
  <c r="AM98" i="13" s="1"/>
  <c r="DH22" i="13"/>
  <c r="G102" i="45"/>
  <c r="AX102" i="13" s="1"/>
  <c r="M13" i="45"/>
  <c r="O13" i="45" s="1"/>
  <c r="AZ13" i="13" s="1"/>
  <c r="AZ111" i="13" s="1"/>
  <c r="K13" i="45"/>
  <c r="AY13" i="13" s="1"/>
  <c r="AY111" i="13" s="1"/>
  <c r="K23" i="45"/>
  <c r="AY23" i="13" s="1"/>
  <c r="AY114" i="13" s="1"/>
  <c r="K78" i="80"/>
  <c r="AL78" i="13" s="1"/>
  <c r="DH34" i="13"/>
  <c r="K14" i="45"/>
  <c r="AY14" i="13" s="1"/>
  <c r="K91" i="18"/>
  <c r="W91" i="13" s="1"/>
  <c r="DH10" i="13"/>
  <c r="K48" i="80"/>
  <c r="AL48" i="13" s="1"/>
  <c r="K51" i="80"/>
  <c r="AL51" i="13" s="1"/>
  <c r="K71" i="21"/>
  <c r="AI71" i="13" s="1"/>
  <c r="K14" i="30"/>
  <c r="AU14" i="13" s="1"/>
  <c r="K50" i="80"/>
  <c r="AL50" i="13" s="1"/>
  <c r="DG102" i="13"/>
  <c r="K81" i="38"/>
  <c r="AN81" i="13" s="1"/>
  <c r="O40" i="38"/>
  <c r="AO40" i="13" s="1"/>
  <c r="O31" i="29"/>
  <c r="AR31" i="13" s="1"/>
  <c r="AR107" i="13" s="1"/>
  <c r="DG69" i="13"/>
  <c r="G32" i="29"/>
  <c r="AP32" i="13" s="1"/>
  <c r="AP114" i="13" s="1"/>
  <c r="DF44" i="13"/>
  <c r="G12" i="38"/>
  <c r="AM12" i="13" s="1"/>
  <c r="O5" i="38"/>
  <c r="AO5" i="13" s="1"/>
  <c r="DH24" i="13"/>
  <c r="K82" i="30"/>
  <c r="AU82" i="13" s="1"/>
  <c r="K54" i="21"/>
  <c r="AI54" i="13" s="1"/>
  <c r="G33" i="29"/>
  <c r="AP33" i="13" s="1"/>
  <c r="AP109" i="13" s="1"/>
  <c r="DH60" i="13"/>
  <c r="DH62" i="13"/>
  <c r="DI79" i="13"/>
  <c r="DI26" i="13"/>
  <c r="DI93" i="13"/>
  <c r="DG103" i="13"/>
  <c r="DG92" i="13"/>
  <c r="G7" i="38"/>
  <c r="AM7" i="13" s="1"/>
  <c r="S45" i="30"/>
  <c r="AW45" i="13" s="1"/>
  <c r="K31" i="30"/>
  <c r="AU31" i="13" s="1"/>
  <c r="DI85" i="13"/>
  <c r="DI86" i="13"/>
  <c r="K93" i="38"/>
  <c r="AN93" i="13" s="1"/>
  <c r="DG97" i="13"/>
  <c r="G31" i="45"/>
  <c r="AX31" i="13" s="1"/>
  <c r="AX107" i="13" s="1"/>
  <c r="O104" i="45"/>
  <c r="AZ104" i="13" s="1"/>
  <c r="G97" i="80"/>
  <c r="AK97" i="13" s="1"/>
  <c r="G22" i="45"/>
  <c r="AX22" i="13" s="1"/>
  <c r="DI22" i="13" s="1"/>
  <c r="G12" i="45"/>
  <c r="AX12" i="13" s="1"/>
  <c r="K79" i="80"/>
  <c r="AL79" i="13" s="1"/>
  <c r="G19" i="80"/>
  <c r="AK19" i="13" s="1"/>
  <c r="K49" i="80"/>
  <c r="AL49" i="13" s="1"/>
  <c r="DG99" i="13"/>
  <c r="G14" i="45"/>
  <c r="AX14" i="13" s="1"/>
  <c r="K74" i="30"/>
  <c r="AU74" i="13" s="1"/>
  <c r="G24" i="45"/>
  <c r="AX24" i="13" s="1"/>
  <c r="DI95" i="13"/>
  <c r="DH105" i="13"/>
  <c r="DH40" i="13"/>
  <c r="DI39" i="13"/>
  <c r="DI83" i="13"/>
  <c r="G23" i="45"/>
  <c r="AX23" i="13" s="1"/>
  <c r="K97" i="80"/>
  <c r="AL97" i="13" s="1"/>
  <c r="G13" i="45"/>
  <c r="AX13" i="13" s="1"/>
  <c r="G80" i="80"/>
  <c r="AK80" i="13" s="1"/>
  <c r="K24" i="45"/>
  <c r="AY24" i="13" s="1"/>
  <c r="AY118" i="13" s="1"/>
  <c r="S52" i="30"/>
  <c r="AW52" i="13" s="1"/>
  <c r="DH52" i="13" s="1"/>
  <c r="DH39" i="13"/>
  <c r="AY116" i="13"/>
  <c r="K7" i="38"/>
  <c r="AN7" i="13" s="1"/>
  <c r="K104" i="38"/>
  <c r="AN104" i="13" s="1"/>
  <c r="G24" i="38"/>
  <c r="AM24" i="13" s="1"/>
  <c r="DH61" i="13"/>
  <c r="DI97" i="13"/>
  <c r="DI80" i="13"/>
  <c r="K55" i="21"/>
  <c r="AI55" i="13" s="1"/>
  <c r="K83" i="30"/>
  <c r="AU83" i="13" s="1"/>
  <c r="DH78" i="13"/>
  <c r="K10" i="38"/>
  <c r="AN10" i="13" s="1"/>
  <c r="K49" i="30"/>
  <c r="AU49" i="13" s="1"/>
  <c r="K81" i="30"/>
  <c r="AU81" i="13" s="1"/>
  <c r="DG98" i="13"/>
  <c r="AZ112" i="13"/>
  <c r="DI91" i="13"/>
  <c r="O102" i="45"/>
  <c r="AZ102" i="13" s="1"/>
  <c r="D13" i="30"/>
  <c r="G13" i="30" s="1"/>
  <c r="AT13" i="13" s="1"/>
  <c r="AT111" i="13" s="1"/>
  <c r="DH36" i="13"/>
  <c r="O22" i="38"/>
  <c r="AO22" i="13" s="1"/>
  <c r="S23" i="19"/>
  <c r="AD23" i="13" s="1"/>
  <c r="AF112" i="13"/>
  <c r="K52" i="80"/>
  <c r="AL52" i="13" s="1"/>
  <c r="O24" i="45"/>
  <c r="AZ24" i="13" s="1"/>
  <c r="AZ115" i="13" s="1"/>
  <c r="K32" i="80"/>
  <c r="AL32" i="13" s="1"/>
  <c r="G25" i="80"/>
  <c r="AK25" i="13" s="1"/>
  <c r="DH59" i="13"/>
  <c r="K31" i="29"/>
  <c r="AQ31" i="13" s="1"/>
  <c r="AQ107" i="13" s="1"/>
  <c r="K22" i="38"/>
  <c r="AN22" i="13" s="1"/>
  <c r="DF85" i="13"/>
  <c r="O53" i="38"/>
  <c r="AO53" i="13" s="1"/>
  <c r="K14" i="38"/>
  <c r="AN14" i="13" s="1"/>
  <c r="O14" i="38"/>
  <c r="AO14" i="13" s="1"/>
  <c r="G105" i="38"/>
  <c r="AM105" i="13" s="1"/>
  <c r="K25" i="38"/>
  <c r="AN25" i="13" s="1"/>
  <c r="K73" i="30"/>
  <c r="AU73" i="13" s="1"/>
  <c r="K56" i="21"/>
  <c r="AI56" i="13" s="1"/>
  <c r="G45" i="38"/>
  <c r="AM45" i="13" s="1"/>
  <c r="DG101" i="13"/>
  <c r="O46" i="38"/>
  <c r="AO46" i="13" s="1"/>
  <c r="AH111" i="13"/>
  <c r="O45" i="38"/>
  <c r="AO45" i="13" s="1"/>
  <c r="DG40" i="13"/>
  <c r="G48" i="38"/>
  <c r="AM48" i="13" s="1"/>
  <c r="O80" i="38"/>
  <c r="AO80" i="13" s="1"/>
  <c r="K48" i="30"/>
  <c r="AU48" i="13" s="1"/>
  <c r="K39" i="38"/>
  <c r="AN39" i="13" s="1"/>
  <c r="CZ56" i="13"/>
  <c r="K71" i="30"/>
  <c r="AU71" i="13" s="1"/>
  <c r="K13" i="30"/>
  <c r="AU13" i="13" s="1"/>
  <c r="K19" i="30"/>
  <c r="AU19" i="13" s="1"/>
  <c r="K42" i="30"/>
  <c r="AU42" i="13" s="1"/>
  <c r="DG100" i="13"/>
  <c r="DH80" i="13"/>
  <c r="DF102" i="13"/>
  <c r="O20" i="38"/>
  <c r="AO20" i="13" s="1"/>
  <c r="G92" i="38"/>
  <c r="AM92" i="13" s="1"/>
  <c r="K80" i="38"/>
  <c r="AN80" i="13" s="1"/>
  <c r="K48" i="38"/>
  <c r="AN48" i="13" s="1"/>
  <c r="K43" i="30"/>
  <c r="AU43" i="13" s="1"/>
  <c r="DF34" i="13"/>
  <c r="K72" i="30"/>
  <c r="AU72" i="13" s="1"/>
  <c r="DH72" i="13" s="1"/>
  <c r="G39" i="38"/>
  <c r="AM39" i="13" s="1"/>
  <c r="K19" i="38"/>
  <c r="AN19" i="13" s="1"/>
  <c r="G38" i="38"/>
  <c r="AM38" i="13" s="1"/>
  <c r="K26" i="38"/>
  <c r="AN26" i="13" s="1"/>
  <c r="K97" i="38"/>
  <c r="AN97" i="13" s="1"/>
  <c r="G96" i="38"/>
  <c r="AM96" i="13" s="1"/>
  <c r="K20" i="30"/>
  <c r="AU20" i="13" s="1"/>
  <c r="S91" i="30"/>
  <c r="AW91" i="13" s="1"/>
  <c r="G52" i="38"/>
  <c r="AM52" i="13" s="1"/>
  <c r="G13" i="38"/>
  <c r="AM13" i="13" s="1"/>
  <c r="O9" i="38"/>
  <c r="AO9" i="13" s="1"/>
  <c r="O95" i="38"/>
  <c r="AO95" i="13" s="1"/>
  <c r="G82" i="38"/>
  <c r="AM82" i="13" s="1"/>
  <c r="DH8" i="13"/>
  <c r="DH103" i="13"/>
  <c r="K94" i="38"/>
  <c r="AN94" i="13" s="1"/>
  <c r="O61" i="38"/>
  <c r="AO61" i="13" s="1"/>
  <c r="G98" i="80"/>
  <c r="AK98" i="13" s="1"/>
  <c r="G46" i="38"/>
  <c r="AM46" i="13" s="1"/>
  <c r="S12" i="30"/>
  <c r="AW12" i="13" s="1"/>
  <c r="DH12" i="13" s="1"/>
  <c r="G104" i="16"/>
  <c r="O98" i="13" s="1"/>
  <c r="G50" i="80"/>
  <c r="AK50" i="13" s="1"/>
  <c r="O47" i="38"/>
  <c r="AO47" i="13" s="1"/>
  <c r="O51" i="38"/>
  <c r="AO51" i="13" s="1"/>
  <c r="G91" i="15"/>
  <c r="M91" i="13" s="1"/>
  <c r="CX91" i="13" s="1"/>
  <c r="DF29" i="13"/>
  <c r="G94" i="38"/>
  <c r="AM94" i="13" s="1"/>
  <c r="AF109" i="13"/>
  <c r="G39" i="21"/>
  <c r="AH39" i="13" s="1"/>
  <c r="DF58" i="13"/>
  <c r="K66" i="21"/>
  <c r="AI66" i="13" s="1"/>
  <c r="DG104" i="13"/>
  <c r="DG39" i="13"/>
  <c r="G19" i="38"/>
  <c r="AM19" i="13" s="1"/>
  <c r="G21" i="38"/>
  <c r="AM21" i="13" s="1"/>
  <c r="K38" i="38"/>
  <c r="AN38" i="13" s="1"/>
  <c r="K27" i="38"/>
  <c r="AN27" i="13" s="1"/>
  <c r="O23" i="38"/>
  <c r="AO23" i="13" s="1"/>
  <c r="K46" i="38"/>
  <c r="AN46" i="13" s="1"/>
  <c r="K40" i="21"/>
  <c r="AI40" i="13" s="1"/>
  <c r="O105" i="38"/>
  <c r="AO105" i="13" s="1"/>
  <c r="K79" i="38"/>
  <c r="AN79" i="13" s="1"/>
  <c r="DF30" i="13"/>
  <c r="G51" i="38"/>
  <c r="AM51" i="13" s="1"/>
  <c r="DG61" i="13"/>
  <c r="O91" i="38"/>
  <c r="AO91" i="13" s="1"/>
  <c r="G47" i="80"/>
  <c r="AK47" i="13" s="1"/>
  <c r="O6" i="38"/>
  <c r="AO6" i="13" s="1"/>
  <c r="O94" i="38"/>
  <c r="AO94" i="13" s="1"/>
  <c r="K32" i="30"/>
  <c r="AU32" i="13" s="1"/>
  <c r="O8" i="38"/>
  <c r="AO8" i="13" s="1"/>
  <c r="G22" i="38"/>
  <c r="AM22" i="13" s="1"/>
  <c r="G55" i="21"/>
  <c r="AH55" i="13" s="1"/>
  <c r="DG60" i="13"/>
  <c r="DH57" i="13"/>
  <c r="DG35" i="13"/>
  <c r="DG94" i="13"/>
  <c r="DG7" i="13"/>
  <c r="G31" i="38"/>
  <c r="AM31" i="13" s="1"/>
  <c r="K98" i="80"/>
  <c r="AL98" i="13" s="1"/>
  <c r="DF55" i="13"/>
  <c r="DF101" i="13"/>
  <c r="O78" i="38"/>
  <c r="AO78" i="13" s="1"/>
  <c r="K48" i="21"/>
  <c r="AI48" i="13" s="1"/>
  <c r="O79" i="38"/>
  <c r="AO79" i="13" s="1"/>
  <c r="DG10" i="13"/>
  <c r="K46" i="80"/>
  <c r="AL46" i="13" s="1"/>
  <c r="DG14" i="13"/>
  <c r="AA118" i="13"/>
  <c r="G91" i="38"/>
  <c r="AM91" i="13" s="1"/>
  <c r="DD13" i="13"/>
  <c r="DC8" i="12" s="1"/>
  <c r="DG38" i="13"/>
  <c r="DG74" i="13"/>
  <c r="DG13" i="13"/>
  <c r="DI8" i="12" s="1"/>
  <c r="K49" i="38"/>
  <c r="AN49" i="13" s="1"/>
  <c r="DD85" i="13"/>
  <c r="K69" i="21"/>
  <c r="AI69" i="13" s="1"/>
  <c r="K49" i="21"/>
  <c r="AI49" i="13" s="1"/>
  <c r="DG5" i="13"/>
  <c r="K74" i="21"/>
  <c r="AI74" i="13" s="1"/>
  <c r="G47" i="21"/>
  <c r="AH47" i="13" s="1"/>
  <c r="K20" i="38"/>
  <c r="AN20" i="13" s="1"/>
  <c r="DG72" i="13"/>
  <c r="K53" i="38"/>
  <c r="AN53" i="13" s="1"/>
  <c r="O50" i="38"/>
  <c r="AO50" i="13" s="1"/>
  <c r="E109" i="38"/>
  <c r="K23" i="21"/>
  <c r="AI23" i="13" s="1"/>
  <c r="AI117" i="13" s="1"/>
  <c r="DF54" i="13"/>
  <c r="DG22" i="13"/>
  <c r="K12" i="38"/>
  <c r="AN12" i="13" s="1"/>
  <c r="F109" i="80"/>
  <c r="DG105" i="13"/>
  <c r="DG70" i="13"/>
  <c r="DG71" i="13"/>
  <c r="AH108" i="13"/>
  <c r="DF84" i="13"/>
  <c r="K38" i="21"/>
  <c r="AI38" i="13" s="1"/>
  <c r="K23" i="19"/>
  <c r="AB23" i="13" s="1"/>
  <c r="AP116" i="13"/>
  <c r="K21" i="80"/>
  <c r="AL21" i="13" s="1"/>
  <c r="K20" i="80"/>
  <c r="AL20" i="13" s="1"/>
  <c r="G74" i="21"/>
  <c r="AH74" i="13" s="1"/>
  <c r="O33" i="38"/>
  <c r="AO33" i="13" s="1"/>
  <c r="K96" i="38"/>
  <c r="AN96" i="13" s="1"/>
  <c r="F110" i="80"/>
  <c r="AP107" i="13"/>
  <c r="K99" i="38"/>
  <c r="AN99" i="13" s="1"/>
  <c r="G81" i="38"/>
  <c r="AM81" i="13" s="1"/>
  <c r="AQ118" i="13"/>
  <c r="DG73" i="13"/>
  <c r="DG95" i="13"/>
  <c r="DG62" i="13"/>
  <c r="O32" i="38"/>
  <c r="AO32" i="13" s="1"/>
  <c r="DG23" i="13"/>
  <c r="F108" i="80"/>
  <c r="DF86" i="13"/>
  <c r="G22" i="21"/>
  <c r="AH22" i="13" s="1"/>
  <c r="AH116" i="13" s="1"/>
  <c r="G78" i="38"/>
  <c r="AM78" i="13" s="1"/>
  <c r="DG6" i="13"/>
  <c r="DI5" i="12" s="1"/>
  <c r="DG96" i="13"/>
  <c r="K50" i="21"/>
  <c r="AI50" i="13" s="1"/>
  <c r="G53" i="38"/>
  <c r="AM53" i="13" s="1"/>
  <c r="K27" i="80"/>
  <c r="AL27" i="13" s="1"/>
  <c r="DG34" i="13"/>
  <c r="K51" i="21"/>
  <c r="AI51" i="13" s="1"/>
  <c r="AP110" i="13"/>
  <c r="G49" i="80"/>
  <c r="AK49" i="13" s="1"/>
  <c r="G12" i="15"/>
  <c r="M12" i="13" s="1"/>
  <c r="CX12" i="13" s="1"/>
  <c r="K70" i="21"/>
  <c r="AI70" i="13" s="1"/>
  <c r="G27" i="38"/>
  <c r="AM27" i="13" s="1"/>
  <c r="G49" i="38"/>
  <c r="AM49" i="13" s="1"/>
  <c r="DG91" i="13"/>
  <c r="K68" i="21"/>
  <c r="AI68" i="13" s="1"/>
  <c r="I13" i="19"/>
  <c r="K13" i="19" s="1"/>
  <c r="AB13" i="13" s="1"/>
  <c r="O82" i="38"/>
  <c r="AO82" i="13" s="1"/>
  <c r="G45" i="80"/>
  <c r="AK45" i="13" s="1"/>
  <c r="O52" i="38"/>
  <c r="AO52" i="13" s="1"/>
  <c r="G38" i="21"/>
  <c r="AH38" i="13" s="1"/>
  <c r="DG93" i="13"/>
  <c r="AI111" i="13"/>
  <c r="AP113" i="13"/>
  <c r="O99" i="38"/>
  <c r="AO99" i="13" s="1"/>
  <c r="G83" i="38"/>
  <c r="AM83" i="13" s="1"/>
  <c r="S110" i="13"/>
  <c r="W82" i="18"/>
  <c r="Z82" i="13" s="1"/>
  <c r="O98" i="38"/>
  <c r="AO98" i="13" s="1"/>
  <c r="AQ112" i="13"/>
  <c r="DG24" i="13"/>
  <c r="DG8" i="13"/>
  <c r="G95" i="16"/>
  <c r="O89" i="13" s="1"/>
  <c r="AI110" i="13"/>
  <c r="K22" i="21"/>
  <c r="AI22" i="13" s="1"/>
  <c r="AI116" i="13" s="1"/>
  <c r="K54" i="16"/>
  <c r="P54" i="13" s="1"/>
  <c r="K47" i="21"/>
  <c r="AI47" i="13" s="1"/>
  <c r="K24" i="19"/>
  <c r="AB24" i="13" s="1"/>
  <c r="AB115" i="13" s="1"/>
  <c r="DD32" i="13"/>
  <c r="DD14" i="13"/>
  <c r="K24" i="21"/>
  <c r="AI24" i="13" s="1"/>
  <c r="AI118" i="13" s="1"/>
  <c r="K105" i="38"/>
  <c r="AN105" i="13" s="1"/>
  <c r="G49" i="21"/>
  <c r="AH49" i="13" s="1"/>
  <c r="DG36" i="13"/>
  <c r="AQ115" i="13"/>
  <c r="G54" i="21"/>
  <c r="AH54" i="13" s="1"/>
  <c r="K67" i="21"/>
  <c r="AI67" i="13" s="1"/>
  <c r="DF56" i="13"/>
  <c r="O81" i="38"/>
  <c r="AO81" i="13" s="1"/>
  <c r="K40" i="38"/>
  <c r="AN40" i="13" s="1"/>
  <c r="G23" i="38"/>
  <c r="AM23" i="13" s="1"/>
  <c r="O27" i="38"/>
  <c r="AO27" i="13" s="1"/>
  <c r="K61" i="38"/>
  <c r="AN61" i="13" s="1"/>
  <c r="DG9" i="13"/>
  <c r="DI6" i="12" s="1"/>
  <c r="K51" i="38"/>
  <c r="AN51" i="13" s="1"/>
  <c r="G40" i="21"/>
  <c r="AH40" i="13" s="1"/>
  <c r="K32" i="38"/>
  <c r="AN32" i="13" s="1"/>
  <c r="DF59" i="13"/>
  <c r="K53" i="21"/>
  <c r="AI53" i="13" s="1"/>
  <c r="G61" i="38"/>
  <c r="AM61" i="13" s="1"/>
  <c r="G79" i="80"/>
  <c r="AK79" i="13" s="1"/>
  <c r="O103" i="38"/>
  <c r="AO103" i="13" s="1"/>
  <c r="O33" i="29"/>
  <c r="AR33" i="13" s="1"/>
  <c r="AR112" i="13" s="1"/>
  <c r="K45" i="80"/>
  <c r="AL45" i="13" s="1"/>
  <c r="G26" i="38"/>
  <c r="AM26" i="13" s="1"/>
  <c r="K95" i="38"/>
  <c r="AN95" i="13" s="1"/>
  <c r="K79" i="18"/>
  <c r="W79" i="13" s="1"/>
  <c r="G79" i="38"/>
  <c r="AM79" i="13" s="1"/>
  <c r="G31" i="80"/>
  <c r="AK31" i="13" s="1"/>
  <c r="DF36" i="13"/>
  <c r="K50" i="38"/>
  <c r="AN50" i="13" s="1"/>
  <c r="G6" i="38"/>
  <c r="AM6" i="13" s="1"/>
  <c r="K83" i="38"/>
  <c r="AN83" i="13" s="1"/>
  <c r="G56" i="21"/>
  <c r="AH56" i="13" s="1"/>
  <c r="K60" i="38"/>
  <c r="AN60" i="13" s="1"/>
  <c r="G62" i="38"/>
  <c r="AM62" i="13" s="1"/>
  <c r="G60" i="38"/>
  <c r="AM60" i="13" s="1"/>
  <c r="DF42" i="13"/>
  <c r="K33" i="38"/>
  <c r="AN33" i="13" s="1"/>
  <c r="K91" i="38"/>
  <c r="AN91" i="13" s="1"/>
  <c r="K78" i="38"/>
  <c r="AN78" i="13" s="1"/>
  <c r="O39" i="38"/>
  <c r="AO39" i="13" s="1"/>
  <c r="F110" i="38"/>
  <c r="O60" i="38"/>
  <c r="AO60" i="13" s="1"/>
  <c r="O21" i="38"/>
  <c r="AO21" i="13" s="1"/>
  <c r="S98" i="18"/>
  <c r="Y98" i="13" s="1"/>
  <c r="DA98" i="13" s="1"/>
  <c r="K46" i="21"/>
  <c r="AI46" i="13" s="1"/>
  <c r="G66" i="16"/>
  <c r="O66" i="13" s="1"/>
  <c r="G40" i="38"/>
  <c r="AM40" i="13" s="1"/>
  <c r="O62" i="38"/>
  <c r="AO62" i="13" s="1"/>
  <c r="O24" i="38"/>
  <c r="AO24" i="13" s="1"/>
  <c r="G47" i="38"/>
  <c r="AM47" i="13" s="1"/>
  <c r="G33" i="38"/>
  <c r="AM33" i="13" s="1"/>
  <c r="G73" i="21"/>
  <c r="AH73" i="13" s="1"/>
  <c r="G23" i="21"/>
  <c r="AH23" i="13" s="1"/>
  <c r="AH117" i="13" s="1"/>
  <c r="K52" i="38"/>
  <c r="AN52" i="13" s="1"/>
  <c r="O19" i="38"/>
  <c r="AO19" i="13" s="1"/>
  <c r="G10" i="38"/>
  <c r="AM10" i="13" s="1"/>
  <c r="S112" i="13"/>
  <c r="W48" i="18"/>
  <c r="Z48" i="13" s="1"/>
  <c r="O83" i="38"/>
  <c r="AO83" i="13" s="1"/>
  <c r="CZ52" i="13"/>
  <c r="G97" i="18"/>
  <c r="V97" i="13" s="1"/>
  <c r="K32" i="19"/>
  <c r="AB32" i="13" s="1"/>
  <c r="AB108" i="13" s="1"/>
  <c r="O38" i="38"/>
  <c r="AO38" i="13" s="1"/>
  <c r="G13" i="19"/>
  <c r="AA13" i="13" s="1"/>
  <c r="O13" i="38"/>
  <c r="AO13" i="13" s="1"/>
  <c r="DF100" i="13"/>
  <c r="D110" i="38"/>
  <c r="G97" i="38"/>
  <c r="AM97" i="13" s="1"/>
  <c r="DD82" i="13"/>
  <c r="O12" i="38"/>
  <c r="AO12" i="13" s="1"/>
  <c r="S52" i="18"/>
  <c r="Y52" i="13" s="1"/>
  <c r="K92" i="38"/>
  <c r="AN92" i="13" s="1"/>
  <c r="K52" i="21"/>
  <c r="AI52" i="13" s="1"/>
  <c r="AF118" i="13"/>
  <c r="K31" i="38"/>
  <c r="AN31" i="13" s="1"/>
  <c r="K65" i="18"/>
  <c r="W65" i="13" s="1"/>
  <c r="K14" i="19"/>
  <c r="AB14" i="13" s="1"/>
  <c r="AB112" i="13" s="1"/>
  <c r="G14" i="38"/>
  <c r="AM14" i="13" s="1"/>
  <c r="DC27" i="13"/>
  <c r="DA13" i="12" s="1"/>
  <c r="G48" i="21"/>
  <c r="AH48" i="13" s="1"/>
  <c r="F108" i="38"/>
  <c r="O40" i="18"/>
  <c r="X40" i="13" s="1"/>
  <c r="S69" i="18"/>
  <c r="Y69" i="13" s="1"/>
  <c r="AF115" i="13"/>
  <c r="K39" i="19"/>
  <c r="AB39" i="13" s="1"/>
  <c r="DB39" i="13" s="1"/>
  <c r="G69" i="21"/>
  <c r="AH69" i="13" s="1"/>
  <c r="DF28" i="13"/>
  <c r="K98" i="38"/>
  <c r="AN98" i="13" s="1"/>
  <c r="S105" i="18"/>
  <c r="Y105" i="13" s="1"/>
  <c r="DD83" i="13"/>
  <c r="S71" i="18"/>
  <c r="Y71" i="13" s="1"/>
  <c r="K22" i="19"/>
  <c r="AB22" i="13" s="1"/>
  <c r="K40" i="19"/>
  <c r="AB40" i="13" s="1"/>
  <c r="G73" i="16"/>
  <c r="O73" i="13" s="1"/>
  <c r="K32" i="16"/>
  <c r="P32" i="13" s="1"/>
  <c r="S61" i="18"/>
  <c r="Y61" i="13" s="1"/>
  <c r="S14" i="19"/>
  <c r="AD14" i="13" s="1"/>
  <c r="K12" i="19"/>
  <c r="AB12" i="13" s="1"/>
  <c r="G32" i="19"/>
  <c r="AA32" i="13" s="1"/>
  <c r="AA108" i="13" s="1"/>
  <c r="DD81" i="13"/>
  <c r="K47" i="38"/>
  <c r="AN47" i="13" s="1"/>
  <c r="O92" i="38"/>
  <c r="AO92" i="13" s="1"/>
  <c r="G45" i="21"/>
  <c r="AH45" i="13" s="1"/>
  <c r="S82" i="18"/>
  <c r="Y82" i="13" s="1"/>
  <c r="G24" i="21"/>
  <c r="AH24" i="13" s="1"/>
  <c r="AH118" i="13" s="1"/>
  <c r="O96" i="38"/>
  <c r="AO96" i="13" s="1"/>
  <c r="G103" i="18"/>
  <c r="V103" i="13" s="1"/>
  <c r="AF117" i="13"/>
  <c r="O48" i="38"/>
  <c r="AO48" i="13" s="1"/>
  <c r="K103" i="38"/>
  <c r="AN103" i="13" s="1"/>
  <c r="O74" i="14"/>
  <c r="G74" i="13" s="1"/>
  <c r="Q13" i="19"/>
  <c r="S13" i="19" s="1"/>
  <c r="AD13" i="13" s="1"/>
  <c r="G51" i="21"/>
  <c r="AH51" i="13" s="1"/>
  <c r="DC17" i="13"/>
  <c r="D109" i="38"/>
  <c r="K69" i="16"/>
  <c r="P69" i="13" s="1"/>
  <c r="G46" i="21"/>
  <c r="AH46" i="13" s="1"/>
  <c r="K23" i="38"/>
  <c r="AN23" i="13" s="1"/>
  <c r="E108" i="38"/>
  <c r="G5" i="38"/>
  <c r="AM5" i="13" s="1"/>
  <c r="K45" i="38"/>
  <c r="AN45" i="13" s="1"/>
  <c r="K8" i="38"/>
  <c r="AN8" i="13" s="1"/>
  <c r="K6" i="38"/>
  <c r="AN6" i="13" s="1"/>
  <c r="G98" i="15"/>
  <c r="M98" i="13" s="1"/>
  <c r="CX98" i="13" s="1"/>
  <c r="K94" i="18"/>
  <c r="W94" i="13" s="1"/>
  <c r="S108" i="13"/>
  <c r="K39" i="21"/>
  <c r="AI39" i="13" s="1"/>
  <c r="W85" i="18"/>
  <c r="Z85" i="13" s="1"/>
  <c r="S95" i="18"/>
  <c r="Y95" i="13" s="1"/>
  <c r="G70" i="21"/>
  <c r="AH70" i="13" s="1"/>
  <c r="E110" i="38"/>
  <c r="G50" i="21"/>
  <c r="AH50" i="13" s="1"/>
  <c r="G92" i="18"/>
  <c r="V92" i="13" s="1"/>
  <c r="G7" i="15"/>
  <c r="M7" i="13" s="1"/>
  <c r="CX7" i="13" s="1"/>
  <c r="W61" i="18"/>
  <c r="Z61" i="13" s="1"/>
  <c r="W31" i="18"/>
  <c r="Z31" i="13" s="1"/>
  <c r="Z110" i="13" s="1"/>
  <c r="DB82" i="13"/>
  <c r="G20" i="38"/>
  <c r="AM20" i="13" s="1"/>
  <c r="K73" i="21"/>
  <c r="AI73" i="13" s="1"/>
  <c r="DF35" i="13"/>
  <c r="DE16" i="12" s="1"/>
  <c r="AH112" i="13"/>
  <c r="G71" i="21"/>
  <c r="AH71" i="13" s="1"/>
  <c r="G95" i="38"/>
  <c r="AM95" i="13" s="1"/>
  <c r="G93" i="38"/>
  <c r="AM93" i="13" s="1"/>
  <c r="K51" i="16"/>
  <c r="P51" i="13" s="1"/>
  <c r="DD80" i="13"/>
  <c r="G53" i="21"/>
  <c r="AH53" i="13" s="1"/>
  <c r="G8" i="38"/>
  <c r="AM8" i="13" s="1"/>
  <c r="D108" i="38"/>
  <c r="S62" i="18"/>
  <c r="Y62" i="13" s="1"/>
  <c r="G68" i="21"/>
  <c r="AH68" i="13" s="1"/>
  <c r="W32" i="18"/>
  <c r="Z32" i="13" s="1"/>
  <c r="Z117" i="13" s="1"/>
  <c r="K62" i="38"/>
  <c r="AN62" i="13" s="1"/>
  <c r="F109" i="38"/>
  <c r="DD33" i="13"/>
  <c r="G47" i="15"/>
  <c r="M47" i="13" s="1"/>
  <c r="CX47" i="13" s="1"/>
  <c r="S104" i="18"/>
  <c r="Y104" i="13" s="1"/>
  <c r="G31" i="18"/>
  <c r="V31" i="13" s="1"/>
  <c r="V107" i="13" s="1"/>
  <c r="G104" i="15"/>
  <c r="M104" i="13" s="1"/>
  <c r="CX104" i="13" s="1"/>
  <c r="AH109" i="13"/>
  <c r="K24" i="38"/>
  <c r="AN24" i="13" s="1"/>
  <c r="DF43" i="13"/>
  <c r="S38" i="19"/>
  <c r="AD38" i="13" s="1"/>
  <c r="S40" i="19"/>
  <c r="AD40" i="13" s="1"/>
  <c r="S97" i="18"/>
  <c r="Y97" i="13" s="1"/>
  <c r="K70" i="16"/>
  <c r="P70" i="13" s="1"/>
  <c r="G66" i="21"/>
  <c r="AH66" i="13" s="1"/>
  <c r="K38" i="19"/>
  <c r="AB38" i="13" s="1"/>
  <c r="K65" i="16"/>
  <c r="P65" i="13" s="1"/>
  <c r="CZ82" i="13"/>
  <c r="S12" i="19"/>
  <c r="AD12" i="13" s="1"/>
  <c r="DD84" i="13"/>
  <c r="G55" i="16"/>
  <c r="O55" i="13" s="1"/>
  <c r="G33" i="15"/>
  <c r="M33" i="13" s="1"/>
  <c r="CX33" i="13" s="1"/>
  <c r="G92" i="15"/>
  <c r="M92" i="13" s="1"/>
  <c r="CX92" i="13" s="1"/>
  <c r="K12" i="16"/>
  <c r="P12" i="13" s="1"/>
  <c r="DD86" i="13"/>
  <c r="W49" i="18"/>
  <c r="Z49" i="13" s="1"/>
  <c r="S40" i="18"/>
  <c r="Y40" i="13" s="1"/>
  <c r="G74" i="15"/>
  <c r="M74" i="13" s="1"/>
  <c r="CX74" i="13" s="1"/>
  <c r="O31" i="16"/>
  <c r="Q31" i="13" s="1"/>
  <c r="Q110" i="13" s="1"/>
  <c r="G103" i="15"/>
  <c r="M103" i="13" s="1"/>
  <c r="CX103" i="13" s="1"/>
  <c r="W83" i="18"/>
  <c r="Z83" i="13" s="1"/>
  <c r="W33" i="18"/>
  <c r="Z33" i="13" s="1"/>
  <c r="Z112" i="13" s="1"/>
  <c r="K62" i="18"/>
  <c r="W62" i="13" s="1"/>
  <c r="G52" i="21"/>
  <c r="AH52" i="13" s="1"/>
  <c r="G10" i="15"/>
  <c r="M10" i="13" s="1"/>
  <c r="CX10" i="13" s="1"/>
  <c r="DD31" i="13"/>
  <c r="CZ62" i="13"/>
  <c r="W60" i="18"/>
  <c r="Z60" i="13" s="1"/>
  <c r="AE69" i="14"/>
  <c r="K69" i="13" s="1"/>
  <c r="S80" i="18"/>
  <c r="Y80" i="13" s="1"/>
  <c r="DD12" i="13"/>
  <c r="W65" i="18"/>
  <c r="Z65" i="13" s="1"/>
  <c r="AH110" i="13"/>
  <c r="AV112" i="13"/>
  <c r="G46" i="15"/>
  <c r="M46" i="13" s="1"/>
  <c r="CX46" i="13" s="1"/>
  <c r="W84" i="18"/>
  <c r="Z84" i="13" s="1"/>
  <c r="S81" i="18"/>
  <c r="Y81" i="13" s="1"/>
  <c r="G67" i="21"/>
  <c r="AH67" i="13" s="1"/>
  <c r="O22" i="19"/>
  <c r="AC22" i="13" s="1"/>
  <c r="AC113" i="13" s="1"/>
  <c r="G62" i="15"/>
  <c r="M62" i="13" s="1"/>
  <c r="CX62" i="13" s="1"/>
  <c r="G93" i="15"/>
  <c r="M93" i="13" s="1"/>
  <c r="CX93" i="13" s="1"/>
  <c r="S85" i="18"/>
  <c r="Y85" i="13" s="1"/>
  <c r="G31" i="19"/>
  <c r="AA31" i="13" s="1"/>
  <c r="AA116" i="13" s="1"/>
  <c r="G97" i="15"/>
  <c r="M97" i="13" s="1"/>
  <c r="CX97" i="13" s="1"/>
  <c r="U114" i="13"/>
  <c r="G100" i="15"/>
  <c r="M100" i="13" s="1"/>
  <c r="G45" i="15"/>
  <c r="M45" i="13" s="1"/>
  <c r="CX45" i="13" s="1"/>
  <c r="W50" i="18"/>
  <c r="Z50" i="13" s="1"/>
  <c r="G95" i="18"/>
  <c r="V95" i="13" s="1"/>
  <c r="G73" i="15"/>
  <c r="M73" i="13" s="1"/>
  <c r="CX73" i="13" s="1"/>
  <c r="CQ30" i="12" s="1"/>
  <c r="G49" i="16"/>
  <c r="O49" i="13" s="1"/>
  <c r="AF108" i="13"/>
  <c r="DC32" i="13"/>
  <c r="DA15" i="12" s="1"/>
  <c r="G60" i="16"/>
  <c r="O60" i="13" s="1"/>
  <c r="S65" i="18"/>
  <c r="Y65" i="13" s="1"/>
  <c r="DB46" i="13"/>
  <c r="G105" i="15"/>
  <c r="M105" i="13" s="1"/>
  <c r="CX105" i="13" s="1"/>
  <c r="G43" i="15"/>
  <c r="M43" i="13" s="1"/>
  <c r="CX43" i="13" s="1"/>
  <c r="K52" i="18"/>
  <c r="W52" i="13" s="1"/>
  <c r="W55" i="18"/>
  <c r="Z55" i="13" s="1"/>
  <c r="O31" i="18"/>
  <c r="X31" i="13" s="1"/>
  <c r="X107" i="13" s="1"/>
  <c r="S92" i="18"/>
  <c r="Y92" i="13" s="1"/>
  <c r="AF111" i="13"/>
  <c r="G99" i="15"/>
  <c r="M99" i="13" s="1"/>
  <c r="CX99" i="13" s="1"/>
  <c r="AF114" i="13"/>
  <c r="G50" i="16"/>
  <c r="O50" i="13" s="1"/>
  <c r="CZ22" i="13"/>
  <c r="W81" i="18"/>
  <c r="Z81" i="13" s="1"/>
  <c r="G42" i="15"/>
  <c r="M42" i="13" s="1"/>
  <c r="CX42" i="13" s="1"/>
  <c r="S56" i="18"/>
  <c r="Y56" i="13" s="1"/>
  <c r="G102" i="15"/>
  <c r="M102" i="13" s="1"/>
  <c r="K31" i="19"/>
  <c r="AB31" i="13" s="1"/>
  <c r="AB107" i="13" s="1"/>
  <c r="DB93" i="13"/>
  <c r="G22" i="15"/>
  <c r="M22" i="13" s="1"/>
  <c r="CX22" i="13" s="1"/>
  <c r="DC18" i="13"/>
  <c r="M12" i="19"/>
  <c r="O12" i="19" s="1"/>
  <c r="AC12" i="13" s="1"/>
  <c r="AC110" i="13" s="1"/>
  <c r="W22" i="19"/>
  <c r="AE22" i="13" s="1"/>
  <c r="AE113" i="13" s="1"/>
  <c r="W62" i="18"/>
  <c r="Z62" i="13" s="1"/>
  <c r="S49" i="18"/>
  <c r="Y49" i="13" s="1"/>
  <c r="AE110" i="13"/>
  <c r="S33" i="19"/>
  <c r="AD33" i="13" s="1"/>
  <c r="AD109" i="13" s="1"/>
  <c r="DB62" i="13"/>
  <c r="DC16" i="13"/>
  <c r="W52" i="18"/>
  <c r="Z52" i="13" s="1"/>
  <c r="S24" i="18"/>
  <c r="Y24" i="13" s="1"/>
  <c r="O40" i="19"/>
  <c r="AC40" i="13" s="1"/>
  <c r="S96" i="18"/>
  <c r="Y96" i="13" s="1"/>
  <c r="DB91" i="13"/>
  <c r="O23" i="19"/>
  <c r="AC23" i="13" s="1"/>
  <c r="AC117" i="13" s="1"/>
  <c r="W80" i="18"/>
  <c r="Z80" i="13" s="1"/>
  <c r="S83" i="18"/>
  <c r="Y83" i="13" s="1"/>
  <c r="G67" i="18"/>
  <c r="V67" i="13" s="1"/>
  <c r="G23" i="15"/>
  <c r="M23" i="13" s="1"/>
  <c r="CX23" i="13" s="1"/>
  <c r="G12" i="19"/>
  <c r="AA12" i="13" s="1"/>
  <c r="G6" i="15"/>
  <c r="M6" i="13" s="1"/>
  <c r="CX6" i="13" s="1"/>
  <c r="CQ5" i="12" s="1"/>
  <c r="W54" i="18"/>
  <c r="Z54" i="13" s="1"/>
  <c r="S63" i="18"/>
  <c r="Y63" i="13" s="1"/>
  <c r="S79" i="18"/>
  <c r="Y79" i="13" s="1"/>
  <c r="S93" i="18"/>
  <c r="Y93" i="13" s="1"/>
  <c r="S32" i="19"/>
  <c r="AD32" i="13" s="1"/>
  <c r="AD108" i="13" s="1"/>
  <c r="AF116" i="13"/>
  <c r="DC31" i="13"/>
  <c r="G66" i="18"/>
  <c r="V66" i="13" s="1"/>
  <c r="K103" i="18"/>
  <c r="W103" i="13" s="1"/>
  <c r="S31" i="19"/>
  <c r="AD31" i="13" s="1"/>
  <c r="AD107" i="13" s="1"/>
  <c r="AF107" i="13"/>
  <c r="AF113" i="13"/>
  <c r="K69" i="14"/>
  <c r="F69" i="13" s="1"/>
  <c r="S22" i="18"/>
  <c r="Y22" i="13" s="1"/>
  <c r="DB45" i="13"/>
  <c r="O33" i="16"/>
  <c r="Q33" i="13" s="1"/>
  <c r="Q118" i="13" s="1"/>
  <c r="BM113" i="13"/>
  <c r="G63" i="16"/>
  <c r="O63" i="13" s="1"/>
  <c r="DB49" i="13"/>
  <c r="DB83" i="13"/>
  <c r="CZ60" i="13"/>
  <c r="K53" i="18"/>
  <c r="W53" i="13" s="1"/>
  <c r="W66" i="18"/>
  <c r="Z66" i="13" s="1"/>
  <c r="W68" i="18"/>
  <c r="Z68" i="13" s="1"/>
  <c r="T107" i="13"/>
  <c r="T116" i="13"/>
  <c r="T110" i="13"/>
  <c r="CZ83" i="13"/>
  <c r="DB95" i="13"/>
  <c r="K24" i="18"/>
  <c r="W24" i="13" s="1"/>
  <c r="W69" i="18"/>
  <c r="Z69" i="13" s="1"/>
  <c r="G67" i="16"/>
  <c r="O67" i="13" s="1"/>
  <c r="CZ31" i="13"/>
  <c r="W64" i="18"/>
  <c r="Z64" i="13" s="1"/>
  <c r="DB48" i="13"/>
  <c r="DB47" i="13"/>
  <c r="DB86" i="13"/>
  <c r="K84" i="18"/>
  <c r="W84" i="13" s="1"/>
  <c r="S31" i="18"/>
  <c r="Y31" i="13" s="1"/>
  <c r="G84" i="16"/>
  <c r="O84" i="13" s="1"/>
  <c r="G96" i="18"/>
  <c r="V96" i="13" s="1"/>
  <c r="K67" i="18"/>
  <c r="W67" i="13" s="1"/>
  <c r="K93" i="18"/>
  <c r="W93" i="13" s="1"/>
  <c r="G85" i="16"/>
  <c r="O85" i="13" s="1"/>
  <c r="G33" i="18"/>
  <c r="V33" i="13" s="1"/>
  <c r="V112" i="13" s="1"/>
  <c r="DB60" i="13"/>
  <c r="G91" i="18"/>
  <c r="V91" i="13" s="1"/>
  <c r="S91" i="18"/>
  <c r="Y91" i="13" s="1"/>
  <c r="K99" i="18"/>
  <c r="W99" i="13" s="1"/>
  <c r="DB85" i="13"/>
  <c r="S78" i="18"/>
  <c r="Y78" i="13" s="1"/>
  <c r="DB94" i="13"/>
  <c r="S68" i="18"/>
  <c r="Y68" i="13" s="1"/>
  <c r="DB51" i="13"/>
  <c r="O39" i="18"/>
  <c r="X39" i="13" s="1"/>
  <c r="K96" i="18"/>
  <c r="W96" i="13" s="1"/>
  <c r="K95" i="18"/>
  <c r="W95" i="13" s="1"/>
  <c r="K39" i="18"/>
  <c r="W39" i="13" s="1"/>
  <c r="S55" i="18"/>
  <c r="Y55" i="13" s="1"/>
  <c r="DB55" i="13"/>
  <c r="G69" i="15"/>
  <c r="M69" i="13" s="1"/>
  <c r="CX69" i="13" s="1"/>
  <c r="DA46" i="13"/>
  <c r="DB61" i="13"/>
  <c r="CZ51" i="13"/>
  <c r="CZ84" i="13"/>
  <c r="DB80" i="13"/>
  <c r="W51" i="18"/>
  <c r="Z51" i="13" s="1"/>
  <c r="DB56" i="13"/>
  <c r="O13" i="19"/>
  <c r="AC13" i="13" s="1"/>
  <c r="AC111" i="13" s="1"/>
  <c r="DA29" i="13"/>
  <c r="DA9" i="13"/>
  <c r="CW6" i="12" s="1"/>
  <c r="G93" i="18"/>
  <c r="V93" i="13" s="1"/>
  <c r="DA26" i="13"/>
  <c r="K50" i="18"/>
  <c r="W50" i="13" s="1"/>
  <c r="W70" i="18"/>
  <c r="Z70" i="13" s="1"/>
  <c r="W56" i="18"/>
  <c r="Z56" i="13" s="1"/>
  <c r="O22" i="18"/>
  <c r="X22" i="13" s="1"/>
  <c r="K84" i="16"/>
  <c r="P84" i="13" s="1"/>
  <c r="DA45" i="13"/>
  <c r="CZ55" i="13"/>
  <c r="K105" i="18"/>
  <c r="W105" i="13" s="1"/>
  <c r="O67" i="16"/>
  <c r="Q67" i="13" s="1"/>
  <c r="K23" i="16"/>
  <c r="P23" i="13" s="1"/>
  <c r="G32" i="18"/>
  <c r="V32" i="13" s="1"/>
  <c r="V108" i="13" s="1"/>
  <c r="DB50" i="13"/>
  <c r="G71" i="15"/>
  <c r="M71" i="13" s="1"/>
  <c r="CX71" i="13" s="1"/>
  <c r="K105" i="16"/>
  <c r="P99" i="13" s="1"/>
  <c r="CY99" i="13" s="1"/>
  <c r="G78" i="16"/>
  <c r="O78" i="13" s="1"/>
  <c r="G54" i="16"/>
  <c r="O54" i="13" s="1"/>
  <c r="S60" i="18"/>
  <c r="Y60" i="13" s="1"/>
  <c r="G82" i="16"/>
  <c r="O82" i="13" s="1"/>
  <c r="G20" i="15"/>
  <c r="M20" i="13" s="1"/>
  <c r="CX20" i="13" s="1"/>
  <c r="K38" i="18"/>
  <c r="W38" i="13" s="1"/>
  <c r="G69" i="18"/>
  <c r="V69" i="13" s="1"/>
  <c r="DB78" i="13"/>
  <c r="S22" i="19"/>
  <c r="AD22" i="13" s="1"/>
  <c r="G21" i="15"/>
  <c r="M21" i="13" s="1"/>
  <c r="CX21" i="13" s="1"/>
  <c r="K85" i="18"/>
  <c r="W85" i="13" s="1"/>
  <c r="S67" i="18"/>
  <c r="Y67" i="13" s="1"/>
  <c r="K82" i="16"/>
  <c r="P82" i="13" s="1"/>
  <c r="S33" i="18"/>
  <c r="Y33" i="13" s="1"/>
  <c r="Y109" i="13" s="1"/>
  <c r="S32" i="18"/>
  <c r="Y32" i="13" s="1"/>
  <c r="Y108" i="13" s="1"/>
  <c r="G104" i="18"/>
  <c r="V104" i="13" s="1"/>
  <c r="DB79" i="13"/>
  <c r="G32" i="16"/>
  <c r="O32" i="13" s="1"/>
  <c r="CX24" i="13"/>
  <c r="S111" i="13"/>
  <c r="O32" i="16"/>
  <c r="Q32" i="13" s="1"/>
  <c r="Q111" i="13" s="1"/>
  <c r="G5" i="15"/>
  <c r="M5" i="13" s="1"/>
  <c r="CX5" i="13" s="1"/>
  <c r="O52" i="16"/>
  <c r="Q52" i="13" s="1"/>
  <c r="DA27" i="13"/>
  <c r="G94" i="18"/>
  <c r="V94" i="13" s="1"/>
  <c r="DB92" i="13"/>
  <c r="CZ32" i="13"/>
  <c r="G97" i="16"/>
  <c r="O91" i="13" s="1"/>
  <c r="AA104" i="14"/>
  <c r="J104" i="13" s="1"/>
  <c r="S116" i="13"/>
  <c r="AA103" i="14"/>
  <c r="J103" i="13" s="1"/>
  <c r="K81" i="16"/>
  <c r="P81" i="13" s="1"/>
  <c r="G91" i="16"/>
  <c r="DB52" i="13"/>
  <c r="G83" i="16"/>
  <c r="O83" i="13" s="1"/>
  <c r="S66" i="18"/>
  <c r="Y66" i="13" s="1"/>
  <c r="DB81" i="13"/>
  <c r="O24" i="18"/>
  <c r="X24" i="13" s="1"/>
  <c r="W23" i="19"/>
  <c r="AE23" i="13" s="1"/>
  <c r="AE117" i="13" s="1"/>
  <c r="O80" i="16"/>
  <c r="Q80" i="13" s="1"/>
  <c r="G19" i="14"/>
  <c r="E19" i="13" s="1"/>
  <c r="G38" i="15"/>
  <c r="M38" i="13" s="1"/>
  <c r="CX38" i="13" s="1"/>
  <c r="G72" i="16"/>
  <c r="O72" i="13" s="1"/>
  <c r="K24" i="16"/>
  <c r="P24" i="13" s="1"/>
  <c r="W67" i="18"/>
  <c r="Z67" i="13" s="1"/>
  <c r="O14" i="19"/>
  <c r="AC14" i="13" s="1"/>
  <c r="O38" i="18"/>
  <c r="X38" i="13" s="1"/>
  <c r="G39" i="14"/>
  <c r="E39" i="13" s="1"/>
  <c r="CZ53" i="13"/>
  <c r="G9" i="15"/>
  <c r="M9" i="13" s="1"/>
  <c r="CX9" i="13" s="1"/>
  <c r="CQ6" i="12" s="1"/>
  <c r="K74" i="16"/>
  <c r="P74" i="13" s="1"/>
  <c r="G65" i="16"/>
  <c r="O65" i="13" s="1"/>
  <c r="W53" i="18"/>
  <c r="Z53" i="13" s="1"/>
  <c r="G74" i="16"/>
  <c r="O74" i="13" s="1"/>
  <c r="G64" i="16"/>
  <c r="O64" i="13" s="1"/>
  <c r="K80" i="16"/>
  <c r="P80" i="13" s="1"/>
  <c r="DA25" i="13"/>
  <c r="G98" i="16"/>
  <c r="O92" i="13" s="1"/>
  <c r="K56" i="18"/>
  <c r="W56" i="13" s="1"/>
  <c r="DA30" i="13"/>
  <c r="DA47" i="13"/>
  <c r="G99" i="18"/>
  <c r="V99" i="13" s="1"/>
  <c r="G80" i="16"/>
  <c r="O80" i="13" s="1"/>
  <c r="O32" i="18"/>
  <c r="X32" i="13" s="1"/>
  <c r="X111" i="13" s="1"/>
  <c r="K104" i="18"/>
  <c r="W104" i="13" s="1"/>
  <c r="S94" i="18"/>
  <c r="Y94" i="13" s="1"/>
  <c r="K54" i="18"/>
  <c r="W54" i="13" s="1"/>
  <c r="DA8" i="13"/>
  <c r="CZ47" i="13"/>
  <c r="DB53" i="13"/>
  <c r="G52" i="16"/>
  <c r="O52" i="13" s="1"/>
  <c r="S86" i="18"/>
  <c r="Y86" i="13" s="1"/>
  <c r="DA7" i="13"/>
  <c r="S38" i="18"/>
  <c r="Y38" i="13" s="1"/>
  <c r="S23" i="18"/>
  <c r="Y23" i="13" s="1"/>
  <c r="G71" i="18"/>
  <c r="V71" i="13" s="1"/>
  <c r="DB84" i="13"/>
  <c r="K60" i="18"/>
  <c r="W60" i="13" s="1"/>
  <c r="K78" i="18"/>
  <c r="W78" i="13" s="1"/>
  <c r="W71" i="18"/>
  <c r="Z71" i="13" s="1"/>
  <c r="K55" i="18"/>
  <c r="W55" i="13" s="1"/>
  <c r="DB54" i="13"/>
  <c r="K22" i="18"/>
  <c r="W22" i="13" s="1"/>
  <c r="K86" i="16"/>
  <c r="P86" i="13" s="1"/>
  <c r="DA28" i="13"/>
  <c r="O33" i="18"/>
  <c r="X33" i="13" s="1"/>
  <c r="X109" i="13" s="1"/>
  <c r="G51" i="16"/>
  <c r="O51" i="13" s="1"/>
  <c r="G105" i="18"/>
  <c r="V105" i="13" s="1"/>
  <c r="DA100" i="13"/>
  <c r="K81" i="18"/>
  <c r="W81" i="13" s="1"/>
  <c r="G48" i="16"/>
  <c r="O48" i="13" s="1"/>
  <c r="G96" i="16"/>
  <c r="O90" i="13" s="1"/>
  <c r="K97" i="18"/>
  <c r="W97" i="13" s="1"/>
  <c r="G71" i="16"/>
  <c r="O71" i="13" s="1"/>
  <c r="CZ48" i="13"/>
  <c r="S48" i="18"/>
  <c r="Y48" i="13" s="1"/>
  <c r="CZ50" i="13"/>
  <c r="DA102" i="13"/>
  <c r="K83" i="18"/>
  <c r="W83" i="13" s="1"/>
  <c r="U115" i="13"/>
  <c r="U113" i="13"/>
  <c r="S84" i="18"/>
  <c r="Y84" i="13" s="1"/>
  <c r="O79" i="16"/>
  <c r="Q79" i="13" s="1"/>
  <c r="O55" i="16"/>
  <c r="Q55" i="13" s="1"/>
  <c r="G94" i="16"/>
  <c r="O88" i="13" s="1"/>
  <c r="O65" i="16"/>
  <c r="Q65" i="13" s="1"/>
  <c r="K71" i="18"/>
  <c r="W71" i="13" s="1"/>
  <c r="S115" i="13"/>
  <c r="DA6" i="13"/>
  <c r="CW5" i="12" s="1"/>
  <c r="K51" i="18"/>
  <c r="W51" i="13" s="1"/>
  <c r="S39" i="18"/>
  <c r="Y39" i="13" s="1"/>
  <c r="G68" i="18"/>
  <c r="V68" i="13" s="1"/>
  <c r="G70" i="18"/>
  <c r="V70" i="13" s="1"/>
  <c r="DB96" i="13"/>
  <c r="G103" i="16"/>
  <c r="O97" i="13" s="1"/>
  <c r="CA113" i="13"/>
  <c r="G99" i="16"/>
  <c r="O93" i="13" s="1"/>
  <c r="K68" i="16"/>
  <c r="P68" i="13" s="1"/>
  <c r="O49" i="16"/>
  <c r="Q49" i="13" s="1"/>
  <c r="S99" i="18"/>
  <c r="Y99" i="13" s="1"/>
  <c r="G92" i="16"/>
  <c r="G56" i="16"/>
  <c r="O56" i="13" s="1"/>
  <c r="G53" i="16"/>
  <c r="O53" i="13" s="1"/>
  <c r="K63" i="18"/>
  <c r="W63" i="13" s="1"/>
  <c r="O24" i="19"/>
  <c r="AC24" i="13" s="1"/>
  <c r="AC115" i="13" s="1"/>
  <c r="G93" i="16"/>
  <c r="K97" i="16"/>
  <c r="P91" i="13" s="1"/>
  <c r="DA101" i="13"/>
  <c r="G61" i="15"/>
  <c r="M61" i="13" s="1"/>
  <c r="CX61" i="13" s="1"/>
  <c r="K78" i="16"/>
  <c r="P78" i="13" s="1"/>
  <c r="K79" i="16"/>
  <c r="P79" i="13" s="1"/>
  <c r="AI69" i="14"/>
  <c r="L69" i="13" s="1"/>
  <c r="K92" i="16"/>
  <c r="K83" i="16"/>
  <c r="P83" i="13" s="1"/>
  <c r="G39" i="15"/>
  <c r="M39" i="13" s="1"/>
  <c r="CX39" i="13" s="1"/>
  <c r="G70" i="16"/>
  <c r="O70" i="13" s="1"/>
  <c r="S64" i="18"/>
  <c r="Y64" i="13" s="1"/>
  <c r="K91" i="16"/>
  <c r="S24" i="19"/>
  <c r="AD24" i="13" s="1"/>
  <c r="AZ116" i="13"/>
  <c r="K93" i="16"/>
  <c r="K36" i="16"/>
  <c r="P36" i="13" s="1"/>
  <c r="K5" i="16"/>
  <c r="P5" i="13" s="1"/>
  <c r="K39" i="16"/>
  <c r="P39" i="13" s="1"/>
  <c r="K49" i="18"/>
  <c r="W49" i="13" s="1"/>
  <c r="K64" i="18"/>
  <c r="W64" i="13" s="1"/>
  <c r="O54" i="16"/>
  <c r="Q54" i="13" s="1"/>
  <c r="K99" i="16"/>
  <c r="P93" i="13" s="1"/>
  <c r="DA10" i="13"/>
  <c r="K48" i="18"/>
  <c r="W48" i="13" s="1"/>
  <c r="S118" i="13"/>
  <c r="K73" i="16"/>
  <c r="P73" i="13" s="1"/>
  <c r="AA44" i="14"/>
  <c r="J44" i="13" s="1"/>
  <c r="K80" i="18"/>
  <c r="W80" i="13" s="1"/>
  <c r="K86" i="18"/>
  <c r="W86" i="13" s="1"/>
  <c r="K32" i="18"/>
  <c r="W32" i="13" s="1"/>
  <c r="W111" i="13" s="1"/>
  <c r="DA5" i="13"/>
  <c r="K23" i="18"/>
  <c r="W23" i="13" s="1"/>
  <c r="O85" i="16"/>
  <c r="Q85" i="13" s="1"/>
  <c r="K95" i="16"/>
  <c r="P89" i="13" s="1"/>
  <c r="K68" i="18"/>
  <c r="W68" i="13" s="1"/>
  <c r="K31" i="18"/>
  <c r="W31" i="13" s="1"/>
  <c r="W110" i="13" s="1"/>
  <c r="K14" i="16"/>
  <c r="P14" i="13" s="1"/>
  <c r="K48" i="16"/>
  <c r="P48" i="13" s="1"/>
  <c r="S113" i="13"/>
  <c r="S51" i="18"/>
  <c r="Y51" i="13" s="1"/>
  <c r="K50" i="16"/>
  <c r="P50" i="13" s="1"/>
  <c r="O82" i="16"/>
  <c r="Q82" i="13" s="1"/>
  <c r="K35" i="16"/>
  <c r="P35" i="13" s="1"/>
  <c r="S114" i="13"/>
  <c r="S54" i="18"/>
  <c r="Y54" i="13" s="1"/>
  <c r="CZ24" i="13"/>
  <c r="CU12" i="12" s="1"/>
  <c r="K52" i="16"/>
  <c r="P52" i="13" s="1"/>
  <c r="O69" i="16"/>
  <c r="Q69" i="13" s="1"/>
  <c r="O86" i="16"/>
  <c r="Q86" i="13" s="1"/>
  <c r="CZ46" i="13"/>
  <c r="K56" i="16"/>
  <c r="P56" i="13" s="1"/>
  <c r="K72" i="16"/>
  <c r="P72" i="13" s="1"/>
  <c r="AS114" i="13"/>
  <c r="K69" i="18"/>
  <c r="W69" i="13" s="1"/>
  <c r="K33" i="18"/>
  <c r="W33" i="13" s="1"/>
  <c r="AS111" i="13"/>
  <c r="CZ45" i="13"/>
  <c r="G13" i="15"/>
  <c r="M13" i="13" s="1"/>
  <c r="CX13" i="13" s="1"/>
  <c r="CQ8" i="12" s="1"/>
  <c r="O70" i="16"/>
  <c r="Q70" i="13" s="1"/>
  <c r="G10" i="16"/>
  <c r="O10" i="13" s="1"/>
  <c r="K46" i="16"/>
  <c r="P46" i="13" s="1"/>
  <c r="K96" i="16"/>
  <c r="P90" i="13" s="1"/>
  <c r="K70" i="18"/>
  <c r="W70" i="13" s="1"/>
  <c r="AS108" i="13"/>
  <c r="O71" i="16"/>
  <c r="Q71" i="13" s="1"/>
  <c r="CX19" i="13"/>
  <c r="G31" i="15"/>
  <c r="M31" i="13" s="1"/>
  <c r="K53" i="16"/>
  <c r="P53" i="13" s="1"/>
  <c r="O78" i="16"/>
  <c r="Q78" i="13" s="1"/>
  <c r="S50" i="18"/>
  <c r="Y50" i="13" s="1"/>
  <c r="K82" i="18"/>
  <c r="W82" i="13" s="1"/>
  <c r="G72" i="15"/>
  <c r="M72" i="13" s="1"/>
  <c r="CX72" i="13" s="1"/>
  <c r="O64" i="16"/>
  <c r="Q64" i="13" s="1"/>
  <c r="CY95" i="13"/>
  <c r="O68" i="16"/>
  <c r="Q68" i="13" s="1"/>
  <c r="K55" i="16"/>
  <c r="P55" i="13" s="1"/>
  <c r="G70" i="15"/>
  <c r="M70" i="13" s="1"/>
  <c r="CX70" i="13" s="1"/>
  <c r="G45" i="16"/>
  <c r="O45" i="13" s="1"/>
  <c r="G73" i="14"/>
  <c r="E73" i="13" s="1"/>
  <c r="K49" i="16"/>
  <c r="P49" i="13" s="1"/>
  <c r="G14" i="15"/>
  <c r="M14" i="13" s="1"/>
  <c r="CX14" i="13" s="1"/>
  <c r="G44" i="15"/>
  <c r="M44" i="13" s="1"/>
  <c r="G38" i="16"/>
  <c r="O38" i="13" s="1"/>
  <c r="AA93" i="14"/>
  <c r="J93" i="13" s="1"/>
  <c r="G31" i="16"/>
  <c r="O31" i="13" s="1"/>
  <c r="G86" i="16"/>
  <c r="O86" i="13" s="1"/>
  <c r="R108" i="13"/>
  <c r="K10" i="16"/>
  <c r="P10" i="13" s="1"/>
  <c r="K64" i="16"/>
  <c r="P64" i="13" s="1"/>
  <c r="K7" i="16"/>
  <c r="P7" i="13" s="1"/>
  <c r="O74" i="16"/>
  <c r="Q74" i="13" s="1"/>
  <c r="G9" i="16"/>
  <c r="O9" i="13" s="1"/>
  <c r="T109" i="13"/>
  <c r="BX118" i="13"/>
  <c r="G72" i="14"/>
  <c r="E72" i="13" s="1"/>
  <c r="K66" i="16"/>
  <c r="P66" i="13" s="1"/>
  <c r="T112" i="13"/>
  <c r="O73" i="16"/>
  <c r="Q73" i="13" s="1"/>
  <c r="CY94" i="13"/>
  <c r="CZ33" i="13"/>
  <c r="T115" i="13"/>
  <c r="O53" i="16"/>
  <c r="Q53" i="13" s="1"/>
  <c r="G62" i="16"/>
  <c r="O62" i="13" s="1"/>
  <c r="AA40" i="14"/>
  <c r="J40" i="13" s="1"/>
  <c r="K60" i="16"/>
  <c r="P60" i="13" s="1"/>
  <c r="O84" i="16"/>
  <c r="Q84" i="13" s="1"/>
  <c r="K98" i="16"/>
  <c r="P92" i="13" s="1"/>
  <c r="CZ61" i="13"/>
  <c r="O81" i="16"/>
  <c r="Q81" i="13" s="1"/>
  <c r="K71" i="16"/>
  <c r="P71" i="13" s="1"/>
  <c r="G32" i="15"/>
  <c r="M32" i="13" s="1"/>
  <c r="CX32" i="13" s="1"/>
  <c r="K47" i="16"/>
  <c r="P47" i="13" s="1"/>
  <c r="O83" i="16"/>
  <c r="Q83" i="13" s="1"/>
  <c r="AA20" i="14"/>
  <c r="J20" i="13" s="1"/>
  <c r="G101" i="15"/>
  <c r="M101" i="13" s="1"/>
  <c r="CX101" i="13" s="1"/>
  <c r="AA24" i="14"/>
  <c r="J24" i="13" s="1"/>
  <c r="K31" i="16"/>
  <c r="P31" i="13" s="1"/>
  <c r="K33" i="16"/>
  <c r="P33" i="13" s="1"/>
  <c r="O48" i="16"/>
  <c r="Q48" i="13" s="1"/>
  <c r="G36" i="16"/>
  <c r="O36" i="13" s="1"/>
  <c r="G24" i="16"/>
  <c r="O24" i="13" s="1"/>
  <c r="K62" i="16"/>
  <c r="P62" i="13" s="1"/>
  <c r="G8" i="15"/>
  <c r="M8" i="13" s="1"/>
  <c r="CX8" i="13" s="1"/>
  <c r="G35" i="16"/>
  <c r="O35" i="13" s="1"/>
  <c r="O66" i="16"/>
  <c r="Q66" i="13" s="1"/>
  <c r="CY96" i="13"/>
  <c r="G22" i="16"/>
  <c r="O22" i="13" s="1"/>
  <c r="CY22" i="13" s="1"/>
  <c r="G6" i="16"/>
  <c r="O6" i="13" s="1"/>
  <c r="G12" i="16"/>
  <c r="O12" i="13" s="1"/>
  <c r="K9" i="16"/>
  <c r="P9" i="13" s="1"/>
  <c r="G23" i="16"/>
  <c r="O23" i="13" s="1"/>
  <c r="G33" i="16"/>
  <c r="O33" i="13" s="1"/>
  <c r="AA105" i="14"/>
  <c r="J105" i="13" s="1"/>
  <c r="K104" i="16"/>
  <c r="P98" i="13" s="1"/>
  <c r="K63" i="16"/>
  <c r="P63" i="13" s="1"/>
  <c r="G13" i="16"/>
  <c r="O13" i="13" s="1"/>
  <c r="G5" i="16"/>
  <c r="O5" i="13" s="1"/>
  <c r="G68" i="16"/>
  <c r="O68" i="13" s="1"/>
  <c r="K8" i="16"/>
  <c r="P8" i="13" s="1"/>
  <c r="O56" i="16"/>
  <c r="Q56" i="13" s="1"/>
  <c r="K40" i="16"/>
  <c r="P40" i="13" s="1"/>
  <c r="G34" i="16"/>
  <c r="O34" i="13" s="1"/>
  <c r="CY34" i="13" s="1"/>
  <c r="G39" i="16"/>
  <c r="O39" i="13" s="1"/>
  <c r="K45" i="16"/>
  <c r="P45" i="13" s="1"/>
  <c r="O51" i="16"/>
  <c r="Q51" i="13" s="1"/>
  <c r="K103" i="16"/>
  <c r="P97" i="13" s="1"/>
  <c r="K38" i="16"/>
  <c r="P38" i="13" s="1"/>
  <c r="K13" i="16"/>
  <c r="P13" i="13" s="1"/>
  <c r="CI109" i="13"/>
  <c r="K61" i="16"/>
  <c r="P61" i="13" s="1"/>
  <c r="G47" i="16"/>
  <c r="O47" i="13" s="1"/>
  <c r="G46" i="16"/>
  <c r="O46" i="13" s="1"/>
  <c r="G61" i="16"/>
  <c r="O61" i="13" s="1"/>
  <c r="G14" i="16"/>
  <c r="O14" i="13" s="1"/>
  <c r="G40" i="16"/>
  <c r="O40" i="13" s="1"/>
  <c r="O50" i="16"/>
  <c r="Q50" i="13" s="1"/>
  <c r="K94" i="16"/>
  <c r="P88" i="13" s="1"/>
  <c r="AI23" i="14"/>
  <c r="L23" i="13" s="1"/>
  <c r="AE74" i="14"/>
  <c r="K74" i="13" s="1"/>
  <c r="AA39" i="14"/>
  <c r="J39" i="13" s="1"/>
  <c r="AE93" i="14"/>
  <c r="K93" i="13" s="1"/>
  <c r="G7" i="16"/>
  <c r="O7" i="13" s="1"/>
  <c r="AE40" i="14"/>
  <c r="K40" i="13" s="1"/>
  <c r="K6" i="16"/>
  <c r="P6" i="13" s="1"/>
  <c r="K67" i="16"/>
  <c r="P67" i="13" s="1"/>
  <c r="G8" i="16"/>
  <c r="O8" i="13" s="1"/>
  <c r="AE70" i="14"/>
  <c r="K70" i="13" s="1"/>
  <c r="AI93" i="14"/>
  <c r="L93" i="13" s="1"/>
  <c r="AA43" i="14"/>
  <c r="J43" i="13" s="1"/>
  <c r="AV116" i="13"/>
  <c r="AA42" i="14"/>
  <c r="J42" i="13" s="1"/>
  <c r="G24" i="14"/>
  <c r="E24" i="13" s="1"/>
  <c r="AY107" i="13"/>
  <c r="G69" i="16"/>
  <c r="O69" i="13" s="1"/>
  <c r="AI46" i="14"/>
  <c r="L46" i="13" s="1"/>
  <c r="AA92" i="14"/>
  <c r="J92" i="13" s="1"/>
  <c r="AT108" i="13"/>
  <c r="AI38" i="14"/>
  <c r="L38" i="13" s="1"/>
  <c r="O72" i="16"/>
  <c r="Q72" i="13" s="1"/>
  <c r="G60" i="15"/>
  <c r="M60" i="13" s="1"/>
  <c r="CX60" i="13" s="1"/>
  <c r="G47" i="14"/>
  <c r="E47" i="13" s="1"/>
  <c r="AI61" i="14"/>
  <c r="L61" i="13" s="1"/>
  <c r="AE107" i="13"/>
  <c r="AI104" i="14"/>
  <c r="L104" i="13" s="1"/>
  <c r="G74" i="14"/>
  <c r="E74" i="13" s="1"/>
  <c r="AE45" i="14"/>
  <c r="K45" i="13" s="1"/>
  <c r="AA73" i="14"/>
  <c r="J73" i="13" s="1"/>
  <c r="G46" i="14"/>
  <c r="E46" i="13" s="1"/>
  <c r="AE42" i="14"/>
  <c r="K42" i="13" s="1"/>
  <c r="O69" i="14"/>
  <c r="G69" i="13" s="1"/>
  <c r="AI70" i="14"/>
  <c r="L70" i="13" s="1"/>
  <c r="DN70" i="13"/>
  <c r="DW29" i="12" s="1"/>
  <c r="AE23" i="14"/>
  <c r="K23" i="13" s="1"/>
  <c r="G40" i="14"/>
  <c r="E40" i="13" s="1"/>
  <c r="AE103" i="14"/>
  <c r="K103" i="13" s="1"/>
  <c r="G70" i="14"/>
  <c r="E70" i="13" s="1"/>
  <c r="AE71" i="14"/>
  <c r="K71" i="13" s="1"/>
  <c r="AE22" i="14"/>
  <c r="K22" i="13" s="1"/>
  <c r="AI39" i="14"/>
  <c r="L39" i="13" s="1"/>
  <c r="AI62" i="14"/>
  <c r="L62" i="13" s="1"/>
  <c r="AI105" i="14"/>
  <c r="L105" i="13" s="1"/>
  <c r="AE47" i="14"/>
  <c r="K47" i="13" s="1"/>
  <c r="K71" i="14"/>
  <c r="F71" i="13" s="1"/>
  <c r="AI91" i="14"/>
  <c r="L91" i="13" s="1"/>
  <c r="AI20" i="14"/>
  <c r="L20" i="13" s="1"/>
  <c r="AE92" i="14"/>
  <c r="K92" i="13" s="1"/>
  <c r="G69" i="14"/>
  <c r="E69" i="13" s="1"/>
  <c r="AY113" i="13"/>
  <c r="G91" i="14"/>
  <c r="E91" i="13" s="1"/>
  <c r="K70" i="14"/>
  <c r="F70" i="13" s="1"/>
  <c r="G104" i="14"/>
  <c r="E104" i="13" s="1"/>
  <c r="G92" i="14"/>
  <c r="E92" i="13" s="1"/>
  <c r="AI24" i="14"/>
  <c r="L24" i="13" s="1"/>
  <c r="BO113" i="13"/>
  <c r="CI110" i="13"/>
  <c r="CF107" i="13"/>
  <c r="AE91" i="14"/>
  <c r="K91" i="13" s="1"/>
  <c r="AI74" i="14"/>
  <c r="L74" i="13" s="1"/>
  <c r="G22" i="14"/>
  <c r="E22" i="13" s="1"/>
  <c r="AE73" i="14"/>
  <c r="K73" i="13" s="1"/>
  <c r="G105" i="14"/>
  <c r="E105" i="13" s="1"/>
  <c r="AE105" i="14"/>
  <c r="K105" i="13" s="1"/>
  <c r="AI73" i="14"/>
  <c r="L73" i="13" s="1"/>
  <c r="O71" i="14"/>
  <c r="G71" i="13" s="1"/>
  <c r="K43" i="14"/>
  <c r="F43" i="13" s="1"/>
  <c r="AE62" i="14"/>
  <c r="K62" i="13" s="1"/>
  <c r="K45" i="14"/>
  <c r="F45" i="13" s="1"/>
  <c r="W19" i="14"/>
  <c r="I19" i="13" s="1"/>
  <c r="G71" i="14"/>
  <c r="E71" i="13" s="1"/>
  <c r="AA74" i="14"/>
  <c r="J74" i="13" s="1"/>
  <c r="AE72" i="14"/>
  <c r="K72" i="13" s="1"/>
  <c r="AE46" i="14"/>
  <c r="K46" i="13" s="1"/>
  <c r="G93" i="14"/>
  <c r="E93" i="13" s="1"/>
  <c r="AI22" i="14"/>
  <c r="L22" i="13" s="1"/>
  <c r="AA22" i="14"/>
  <c r="J22" i="13" s="1"/>
  <c r="AE104" i="14"/>
  <c r="K104" i="13" s="1"/>
  <c r="G38" i="14"/>
  <c r="E38" i="13" s="1"/>
  <c r="K7" i="80"/>
  <c r="AL7" i="13" s="1"/>
  <c r="BB115" i="13"/>
  <c r="W21" i="14"/>
  <c r="I21" i="13" s="1"/>
  <c r="AE61" i="14"/>
  <c r="K61" i="13" s="1"/>
  <c r="G60" i="14"/>
  <c r="E60" i="13" s="1"/>
  <c r="DE54" i="13"/>
  <c r="K104" i="14"/>
  <c r="F104" i="13" s="1"/>
  <c r="G44" i="14"/>
  <c r="E44" i="13" s="1"/>
  <c r="BX117" i="13"/>
  <c r="BC117" i="13"/>
  <c r="S71" i="14"/>
  <c r="H71" i="13" s="1"/>
  <c r="G43" i="14"/>
  <c r="E43" i="13" s="1"/>
  <c r="K42" i="14"/>
  <c r="F42" i="13" s="1"/>
  <c r="BO114" i="13"/>
  <c r="BO115" i="13"/>
  <c r="AI43" i="14"/>
  <c r="L43" i="13" s="1"/>
  <c r="AI19" i="14"/>
  <c r="L19" i="13" s="1"/>
  <c r="AE24" i="14"/>
  <c r="K24" i="13" s="1"/>
  <c r="G61" i="14"/>
  <c r="E61" i="13" s="1"/>
  <c r="K93" i="14"/>
  <c r="F93" i="13" s="1"/>
  <c r="AI92" i="14"/>
  <c r="L92" i="13" s="1"/>
  <c r="G45" i="14"/>
  <c r="E45" i="13" s="1"/>
  <c r="AI72" i="14"/>
  <c r="L72" i="13" s="1"/>
  <c r="G23" i="14"/>
  <c r="E23" i="13" s="1"/>
  <c r="AI103" i="14"/>
  <c r="L103" i="13" s="1"/>
  <c r="CI116" i="13"/>
  <c r="AE60" i="14"/>
  <c r="K60" i="13" s="1"/>
  <c r="CI107" i="13"/>
  <c r="BC116" i="13"/>
  <c r="AI45" i="14"/>
  <c r="L45" i="13" s="1"/>
  <c r="R111" i="13"/>
  <c r="AI40" i="14"/>
  <c r="L40" i="13" s="1"/>
  <c r="K46" i="14"/>
  <c r="F46" i="13" s="1"/>
  <c r="R117" i="13"/>
  <c r="K95" i="80"/>
  <c r="AL95" i="13" s="1"/>
  <c r="AE38" i="14"/>
  <c r="K38" i="13" s="1"/>
  <c r="S47" i="14"/>
  <c r="H47" i="13" s="1"/>
  <c r="N118" i="13"/>
  <c r="AS110" i="13"/>
  <c r="AS113" i="13"/>
  <c r="AI47" i="14"/>
  <c r="L47" i="13" s="1"/>
  <c r="N111" i="13"/>
  <c r="BB117" i="13"/>
  <c r="DE102" i="13"/>
  <c r="AV108" i="13"/>
  <c r="K74" i="14"/>
  <c r="F74" i="13" s="1"/>
  <c r="AS116" i="13"/>
  <c r="K19" i="14"/>
  <c r="F19" i="13" s="1"/>
  <c r="G13" i="80"/>
  <c r="AK13" i="13" s="1"/>
  <c r="K21" i="14"/>
  <c r="F21" i="13" s="1"/>
  <c r="AA115" i="13"/>
  <c r="K22" i="14"/>
  <c r="F22" i="13" s="1"/>
  <c r="BX111" i="13"/>
  <c r="K92" i="14"/>
  <c r="F92" i="13" s="1"/>
  <c r="S73" i="14"/>
  <c r="H73" i="13" s="1"/>
  <c r="N110" i="13"/>
  <c r="S93" i="14"/>
  <c r="H93" i="13" s="1"/>
  <c r="K91" i="14"/>
  <c r="F91" i="13" s="1"/>
  <c r="S38" i="14"/>
  <c r="H38" i="13" s="1"/>
  <c r="DN69" i="13"/>
  <c r="DN72" i="13"/>
  <c r="AT117" i="13"/>
  <c r="BT115" i="13"/>
  <c r="K23" i="14"/>
  <c r="F23" i="13" s="1"/>
  <c r="S103" i="14"/>
  <c r="H103" i="13" s="1"/>
  <c r="AA23" i="14"/>
  <c r="J23" i="13" s="1"/>
  <c r="S62" i="14"/>
  <c r="H62" i="13" s="1"/>
  <c r="CI112" i="13"/>
  <c r="AA60" i="14"/>
  <c r="J60" i="13" s="1"/>
  <c r="CI117" i="13"/>
  <c r="S45" i="14"/>
  <c r="H45" i="13" s="1"/>
  <c r="K39" i="14"/>
  <c r="F39" i="13" s="1"/>
  <c r="R110" i="13"/>
  <c r="BL117" i="13"/>
  <c r="AA91" i="14"/>
  <c r="J91" i="13" s="1"/>
  <c r="S39" i="14"/>
  <c r="H39" i="13" s="1"/>
  <c r="BN115" i="13"/>
  <c r="S42" i="14"/>
  <c r="H42" i="13" s="1"/>
  <c r="AA62" i="14"/>
  <c r="J62" i="13" s="1"/>
  <c r="AS115" i="13"/>
  <c r="AI44" i="14"/>
  <c r="L44" i="13" s="1"/>
  <c r="K72" i="14"/>
  <c r="F72" i="13" s="1"/>
  <c r="BC115" i="13"/>
  <c r="O73" i="14"/>
  <c r="G73" i="13" s="1"/>
  <c r="DN73" i="13"/>
  <c r="DE86" i="13"/>
  <c r="G105" i="80"/>
  <c r="AK105" i="13" s="1"/>
  <c r="CO112" i="13"/>
  <c r="N109" i="13"/>
  <c r="BR113" i="13"/>
  <c r="R107" i="13"/>
  <c r="K61" i="14"/>
  <c r="F61" i="13" s="1"/>
  <c r="CO109" i="13"/>
  <c r="R116" i="13"/>
  <c r="AA70" i="14"/>
  <c r="J70" i="13" s="1"/>
  <c r="O70" i="14"/>
  <c r="G70" i="13" s="1"/>
  <c r="K105" i="14"/>
  <c r="F105" i="13" s="1"/>
  <c r="AA109" i="13"/>
  <c r="DE101" i="13"/>
  <c r="AA38" i="14"/>
  <c r="J38" i="13" s="1"/>
  <c r="CB109" i="13"/>
  <c r="CF116" i="13"/>
  <c r="S104" i="14"/>
  <c r="H104" i="13" s="1"/>
  <c r="AZ117" i="13"/>
  <c r="S91" i="14"/>
  <c r="H91" i="13" s="1"/>
  <c r="AI21" i="14"/>
  <c r="L21" i="13" s="1"/>
  <c r="AZ108" i="13"/>
  <c r="S44" i="14"/>
  <c r="H44" i="13" s="1"/>
  <c r="CF110" i="13"/>
  <c r="S70" i="14"/>
  <c r="H70" i="13" s="1"/>
  <c r="CW94" i="13"/>
  <c r="S22" i="14"/>
  <c r="H22" i="13" s="1"/>
  <c r="AE19" i="14"/>
  <c r="K19" i="13" s="1"/>
  <c r="AA45" i="14"/>
  <c r="J45" i="13" s="1"/>
  <c r="AS118" i="13"/>
  <c r="AA69" i="14"/>
  <c r="J69" i="13" s="1"/>
  <c r="K44" i="14"/>
  <c r="F44" i="13" s="1"/>
  <c r="AI42" i="14"/>
  <c r="L42" i="13" s="1"/>
  <c r="AA112" i="13"/>
  <c r="W43" i="14"/>
  <c r="I43" i="13" s="1"/>
  <c r="AS112" i="13"/>
  <c r="BA115" i="13"/>
  <c r="S43" i="14"/>
  <c r="H43" i="13" s="1"/>
  <c r="AA72" i="14"/>
  <c r="J72" i="13" s="1"/>
  <c r="G21" i="14"/>
  <c r="E21" i="13" s="1"/>
  <c r="AZ114" i="13"/>
  <c r="S69" i="14"/>
  <c r="H69" i="13" s="1"/>
  <c r="S60" i="14"/>
  <c r="H60" i="13" s="1"/>
  <c r="K40" i="14"/>
  <c r="F40" i="13" s="1"/>
  <c r="CO115" i="13"/>
  <c r="BM117" i="13"/>
  <c r="CD115" i="13"/>
  <c r="CF108" i="13"/>
  <c r="K38" i="14"/>
  <c r="F38" i="13" s="1"/>
  <c r="AE112" i="13"/>
  <c r="R109" i="13"/>
  <c r="S72" i="14"/>
  <c r="H72" i="13" s="1"/>
  <c r="AA46" i="14"/>
  <c r="J46" i="13" s="1"/>
  <c r="BD115" i="13"/>
  <c r="S92" i="14"/>
  <c r="H92" i="13" s="1"/>
  <c r="S61" i="14"/>
  <c r="H61" i="13" s="1"/>
  <c r="AE20" i="14"/>
  <c r="K20" i="13" s="1"/>
  <c r="S105" i="14"/>
  <c r="H105" i="13" s="1"/>
  <c r="CW36" i="13"/>
  <c r="CW96" i="13"/>
  <c r="R113" i="13"/>
  <c r="K103" i="14"/>
  <c r="F103" i="13" s="1"/>
  <c r="AE44" i="14"/>
  <c r="K44" i="13" s="1"/>
  <c r="S40" i="14"/>
  <c r="H40" i="13" s="1"/>
  <c r="R114" i="13"/>
  <c r="BN113" i="13"/>
  <c r="K13" i="80"/>
  <c r="AL13" i="13" s="1"/>
  <c r="K24" i="14"/>
  <c r="F24" i="13" s="1"/>
  <c r="G20" i="14"/>
  <c r="E20" i="13" s="1"/>
  <c r="S23" i="14"/>
  <c r="H23" i="13" s="1"/>
  <c r="S46" i="14"/>
  <c r="H46" i="13" s="1"/>
  <c r="CF117" i="13"/>
  <c r="CO107" i="13"/>
  <c r="BR114" i="13"/>
  <c r="CF114" i="13"/>
  <c r="CF113" i="13"/>
  <c r="K62" i="14"/>
  <c r="F62" i="13" s="1"/>
  <c r="G42" i="14"/>
  <c r="E42" i="13" s="1"/>
  <c r="CF111" i="13"/>
  <c r="AV110" i="13"/>
  <c r="G104" i="80"/>
  <c r="AK104" i="13" s="1"/>
  <c r="AZ113" i="13"/>
  <c r="K20" i="14"/>
  <c r="F20" i="13" s="1"/>
  <c r="DO12" i="13"/>
  <c r="K10" i="80"/>
  <c r="AL10" i="13" s="1"/>
  <c r="CX40" i="13"/>
  <c r="DE28" i="13"/>
  <c r="BA116" i="13"/>
  <c r="CO110" i="13"/>
  <c r="AC107" i="13"/>
  <c r="BX112" i="13"/>
  <c r="S74" i="14"/>
  <c r="H74" i="13" s="1"/>
  <c r="CW95" i="13"/>
  <c r="CB113" i="13"/>
  <c r="BX116" i="13"/>
  <c r="G38" i="80"/>
  <c r="AK38" i="13" s="1"/>
  <c r="DE42" i="13"/>
  <c r="K105" i="80"/>
  <c r="AL105" i="13" s="1"/>
  <c r="CI108" i="13"/>
  <c r="BN114" i="13"/>
  <c r="CI111" i="13"/>
  <c r="CI114" i="13"/>
  <c r="BX110" i="13"/>
  <c r="CA114" i="13"/>
  <c r="CI115" i="13"/>
  <c r="K73" i="14"/>
  <c r="F73" i="13" s="1"/>
  <c r="DE44" i="13"/>
  <c r="BF117" i="13"/>
  <c r="BX114" i="13"/>
  <c r="BI114" i="13"/>
  <c r="AE21" i="14"/>
  <c r="K21" i="13" s="1"/>
  <c r="CB116" i="13"/>
  <c r="CB111" i="13"/>
  <c r="BX115" i="13"/>
  <c r="G6" i="80"/>
  <c r="AK6" i="13" s="1"/>
  <c r="AA19" i="14"/>
  <c r="J19" i="13" s="1"/>
  <c r="AJ115" i="13"/>
  <c r="BW117" i="13"/>
  <c r="AA21" i="14"/>
  <c r="J21" i="13" s="1"/>
  <c r="BT113" i="13"/>
  <c r="BT118" i="13"/>
  <c r="BT117" i="13"/>
  <c r="CI118" i="13"/>
  <c r="CW34" i="13"/>
  <c r="CF109" i="13"/>
  <c r="AV107" i="13"/>
  <c r="N112" i="13"/>
  <c r="AA71" i="14"/>
  <c r="J71" i="13" s="1"/>
  <c r="CO118" i="13"/>
  <c r="K40" i="80"/>
  <c r="AL40" i="13" s="1"/>
  <c r="N108" i="13"/>
  <c r="CB107" i="13"/>
  <c r="BX113" i="13"/>
  <c r="CW35" i="13"/>
  <c r="DM23" i="13"/>
  <c r="CB117" i="13"/>
  <c r="N115" i="13"/>
  <c r="BR115" i="13"/>
  <c r="CB108" i="13"/>
  <c r="CB110" i="13"/>
  <c r="W20" i="14"/>
  <c r="I20" i="13" s="1"/>
  <c r="K5" i="80"/>
  <c r="AL5" i="13" s="1"/>
  <c r="K96" i="80"/>
  <c r="AL96" i="13" s="1"/>
  <c r="K103" i="80"/>
  <c r="AL103" i="13" s="1"/>
  <c r="BD117" i="13"/>
  <c r="BB116" i="13"/>
  <c r="AJ114" i="13"/>
  <c r="BH117" i="13"/>
  <c r="BR110" i="13"/>
  <c r="W44" i="14"/>
  <c r="I44" i="13" s="1"/>
  <c r="N117" i="13"/>
  <c r="G7" i="80"/>
  <c r="AK7" i="13" s="1"/>
  <c r="DE35" i="13"/>
  <c r="DE84" i="13"/>
  <c r="AE111" i="13"/>
  <c r="BT111" i="13"/>
  <c r="CF115" i="13"/>
  <c r="G91" i="80"/>
  <c r="AK91" i="13" s="1"/>
  <c r="AJ113" i="13"/>
  <c r="CA115" i="13"/>
  <c r="AT114" i="13"/>
  <c r="BD116" i="13"/>
  <c r="CO108" i="13"/>
  <c r="R112" i="13"/>
  <c r="R118" i="13"/>
  <c r="DE56" i="13"/>
  <c r="CF112" i="13"/>
  <c r="AE43" i="14"/>
  <c r="K43" i="13" s="1"/>
  <c r="CW29" i="13"/>
  <c r="N116" i="13"/>
  <c r="G12" i="80"/>
  <c r="AK12" i="13" s="1"/>
  <c r="CW30" i="13"/>
  <c r="CB114" i="13"/>
  <c r="N114" i="13"/>
  <c r="K91" i="80"/>
  <c r="AL91" i="13" s="1"/>
  <c r="K104" i="80"/>
  <c r="AL104" i="13" s="1"/>
  <c r="CF118" i="13"/>
  <c r="BL110" i="13"/>
  <c r="DJ23" i="13"/>
  <c r="R115" i="13"/>
  <c r="W42" i="14"/>
  <c r="I42" i="13" s="1"/>
  <c r="G60" i="80"/>
  <c r="AK60" i="13" s="1"/>
  <c r="G95" i="80"/>
  <c r="AK95" i="13" s="1"/>
  <c r="K9" i="80"/>
  <c r="AL9" i="13" s="1"/>
  <c r="G22" i="80"/>
  <c r="AK22" i="13" s="1"/>
  <c r="CW28" i="13"/>
  <c r="N107" i="13"/>
  <c r="DE29" i="13"/>
  <c r="DE59" i="13"/>
  <c r="N113" i="13"/>
  <c r="BT114" i="13"/>
  <c r="G39" i="80"/>
  <c r="AK39" i="13" s="1"/>
  <c r="DE55" i="13"/>
  <c r="AE31" i="14"/>
  <c r="K31" i="13" s="1"/>
  <c r="AE12" i="14"/>
  <c r="K12" i="13" s="1"/>
  <c r="CW78" i="13"/>
  <c r="G14" i="14"/>
  <c r="E14" i="13" s="1"/>
  <c r="G33" i="14"/>
  <c r="E33" i="13" s="1"/>
  <c r="G61" i="80"/>
  <c r="AK61" i="13" s="1"/>
  <c r="K60" i="80"/>
  <c r="AL60" i="13" s="1"/>
  <c r="CV29" i="13"/>
  <c r="E108" i="80"/>
  <c r="K23" i="80"/>
  <c r="AL23" i="13" s="1"/>
  <c r="K92" i="80"/>
  <c r="AL92" i="13" s="1"/>
  <c r="K62" i="80"/>
  <c r="AL62" i="13" s="1"/>
  <c r="AV117" i="13"/>
  <c r="S12" i="14"/>
  <c r="H12" i="13" s="1"/>
  <c r="S31" i="14"/>
  <c r="H31" i="13" s="1"/>
  <c r="O32" i="14"/>
  <c r="G32" i="13" s="1"/>
  <c r="O13" i="14"/>
  <c r="G13" i="13" s="1"/>
  <c r="G13" i="14"/>
  <c r="E13" i="13" s="1"/>
  <c r="G32" i="14"/>
  <c r="E32" i="13" s="1"/>
  <c r="DE34" i="13"/>
  <c r="K94" i="80"/>
  <c r="AL94" i="13" s="1"/>
  <c r="G92" i="80"/>
  <c r="AK92" i="13" s="1"/>
  <c r="S14" i="14"/>
  <c r="H14" i="13" s="1"/>
  <c r="S33" i="14"/>
  <c r="H33" i="13" s="1"/>
  <c r="CW80" i="13"/>
  <c r="CW48" i="13"/>
  <c r="G5" i="80"/>
  <c r="AK5" i="13" s="1"/>
  <c r="K93" i="80"/>
  <c r="AL93" i="13" s="1"/>
  <c r="G94" i="80"/>
  <c r="AK94" i="13" s="1"/>
  <c r="CW102" i="13"/>
  <c r="CW49" i="13"/>
  <c r="K6" i="80"/>
  <c r="AL6" i="13" s="1"/>
  <c r="G96" i="80"/>
  <c r="AK96" i="13" s="1"/>
  <c r="CW84" i="13"/>
  <c r="CW50" i="13"/>
  <c r="G23" i="80"/>
  <c r="AK23" i="13" s="1"/>
  <c r="G8" i="80"/>
  <c r="AK8" i="13" s="1"/>
  <c r="D108" i="80"/>
  <c r="K8" i="80"/>
  <c r="AL8" i="13" s="1"/>
  <c r="AA32" i="14"/>
  <c r="J32" i="13" s="1"/>
  <c r="AA13" i="14"/>
  <c r="J13" i="13" s="1"/>
  <c r="CW86" i="13"/>
  <c r="CW51" i="13"/>
  <c r="K39" i="80"/>
  <c r="AL39" i="13" s="1"/>
  <c r="G93" i="80"/>
  <c r="AK93" i="13" s="1"/>
  <c r="DE100" i="13"/>
  <c r="D109" i="80"/>
  <c r="G9" i="80"/>
  <c r="AK9" i="13" s="1"/>
  <c r="CV30" i="13"/>
  <c r="DE30" i="13"/>
  <c r="CW79" i="13"/>
  <c r="CW52" i="13"/>
  <c r="K38" i="80"/>
  <c r="AL38" i="13" s="1"/>
  <c r="K12" i="80"/>
  <c r="AL12" i="13" s="1"/>
  <c r="DJ12" i="13"/>
  <c r="CV28" i="13"/>
  <c r="BA114" i="13"/>
  <c r="CW53" i="13"/>
  <c r="K13" i="14"/>
  <c r="F13" i="13" s="1"/>
  <c r="K32" i="14"/>
  <c r="F32" i="13" s="1"/>
  <c r="G40" i="80"/>
  <c r="AK40" i="13" s="1"/>
  <c r="K14" i="80"/>
  <c r="AL14" i="13" s="1"/>
  <c r="DJ22" i="13"/>
  <c r="DJ14" i="13"/>
  <c r="CW57" i="13"/>
  <c r="CV57" i="13"/>
  <c r="W12" i="14"/>
  <c r="I12" i="13" s="1"/>
  <c r="W31" i="14"/>
  <c r="I31" i="13" s="1"/>
  <c r="K61" i="80"/>
  <c r="AL61" i="13" s="1"/>
  <c r="G103" i="80"/>
  <c r="AK103" i="13" s="1"/>
  <c r="DJ24" i="13"/>
  <c r="S32" i="14"/>
  <c r="H32" i="13" s="1"/>
  <c r="S13" i="14"/>
  <c r="H13" i="13" s="1"/>
  <c r="CW81" i="13"/>
  <c r="CV58" i="13"/>
  <c r="CW58" i="13"/>
  <c r="W13" i="14"/>
  <c r="I13" i="13" s="1"/>
  <c r="W32" i="14"/>
  <c r="I32" i="13" s="1"/>
  <c r="K33" i="14"/>
  <c r="F33" i="13" s="1"/>
  <c r="K14" i="14"/>
  <c r="F14" i="13" s="1"/>
  <c r="D110" i="80"/>
  <c r="G10" i="80"/>
  <c r="AK10" i="13" s="1"/>
  <c r="DE36" i="13"/>
  <c r="DE85" i="13"/>
  <c r="K22" i="80"/>
  <c r="AL22" i="13" s="1"/>
  <c r="BA117" i="13"/>
  <c r="DJ13" i="13"/>
  <c r="DO8" i="12" s="1"/>
  <c r="O12" i="14"/>
  <c r="G12" i="13" s="1"/>
  <c r="O31" i="14"/>
  <c r="G31" i="13" s="1"/>
  <c r="CW101" i="13"/>
  <c r="CW59" i="13"/>
  <c r="CV59" i="13"/>
  <c r="AI32" i="14"/>
  <c r="L32" i="13" s="1"/>
  <c r="AI13" i="14"/>
  <c r="L13" i="13" s="1"/>
  <c r="AI31" i="14"/>
  <c r="L31" i="13" s="1"/>
  <c r="AI12" i="14"/>
  <c r="L12" i="13" s="1"/>
  <c r="K24" i="80"/>
  <c r="AL24" i="13" s="1"/>
  <c r="G14" i="80"/>
  <c r="AK14" i="13" s="1"/>
  <c r="O33" i="14"/>
  <c r="G33" i="13" s="1"/>
  <c r="O14" i="14"/>
  <c r="G14" i="13" s="1"/>
  <c r="AE32" i="14"/>
  <c r="K32" i="13" s="1"/>
  <c r="AE13" i="14"/>
  <c r="K13" i="13" s="1"/>
  <c r="CW82" i="13"/>
  <c r="W14" i="14"/>
  <c r="I14" i="13" s="1"/>
  <c r="W33" i="14"/>
  <c r="I33" i="13" s="1"/>
  <c r="K31" i="14"/>
  <c r="F31" i="13" s="1"/>
  <c r="K12" i="14"/>
  <c r="F12" i="13" s="1"/>
  <c r="AI33" i="14"/>
  <c r="L33" i="13" s="1"/>
  <c r="AI14" i="14"/>
  <c r="L14" i="13" s="1"/>
  <c r="AA33" i="14"/>
  <c r="J33" i="13" s="1"/>
  <c r="AA14" i="14"/>
  <c r="J14" i="13" s="1"/>
  <c r="CW83" i="13"/>
  <c r="CW100" i="13"/>
  <c r="E109" i="80"/>
  <c r="G24" i="80"/>
  <c r="AK24" i="13" s="1"/>
  <c r="AA31" i="14"/>
  <c r="J31" i="13" s="1"/>
  <c r="AA12" i="14"/>
  <c r="J12" i="13" s="1"/>
  <c r="AE33" i="14"/>
  <c r="K33" i="13" s="1"/>
  <c r="AE14" i="14"/>
  <c r="K14" i="13" s="1"/>
  <c r="CW85" i="13"/>
  <c r="DE43" i="13"/>
  <c r="E110" i="80"/>
  <c r="D12" i="14"/>
  <c r="G12" i="14" s="1"/>
  <c r="E12" i="13" s="1"/>
  <c r="G31" i="14"/>
  <c r="E31" i="13" s="1"/>
  <c r="DE58" i="13"/>
  <c r="DE57" i="13"/>
  <c r="AF17" i="1"/>
  <c r="AJ11" i="1"/>
  <c r="AI15" i="1"/>
  <c r="AG16" i="1"/>
  <c r="AJ28" i="1"/>
  <c r="AK22" i="1"/>
  <c r="AL22" i="1"/>
  <c r="AH24" i="1"/>
  <c r="AH27" i="1"/>
  <c r="AO25" i="1"/>
  <c r="AM28" i="1"/>
  <c r="AP14" i="1"/>
  <c r="AI31" i="1"/>
  <c r="AL26" i="1"/>
  <c r="AJ30" i="1"/>
  <c r="AP11" i="1"/>
  <c r="AN19" i="1"/>
  <c r="AQ24" i="1"/>
  <c r="AG19" i="1"/>
  <c r="AP21" i="1"/>
  <c r="AJ20" i="1"/>
  <c r="AF26" i="1"/>
  <c r="AN10" i="1"/>
  <c r="AJ24" i="1"/>
  <c r="AL5" i="1"/>
  <c r="AG5" i="1"/>
  <c r="AJ14" i="1"/>
  <c r="AJ27" i="1"/>
  <c r="AO19" i="1"/>
  <c r="AN7" i="1"/>
  <c r="AG24" i="1"/>
  <c r="AJ15" i="1"/>
  <c r="AQ16" i="1"/>
  <c r="AQ19" i="1"/>
  <c r="AM30" i="1"/>
  <c r="AM19" i="1"/>
  <c r="AF7" i="1"/>
  <c r="AP26" i="1"/>
  <c r="AM20" i="1"/>
  <c r="AO26" i="1"/>
  <c r="AI10" i="1"/>
  <c r="AO20" i="1"/>
  <c r="AK25" i="1"/>
  <c r="AO16" i="1"/>
  <c r="AG7" i="1"/>
  <c r="AF13" i="1"/>
  <c r="AM10" i="1"/>
  <c r="AH25" i="1"/>
  <c r="AJ22" i="1"/>
  <c r="AM31" i="1"/>
  <c r="AP32" i="1"/>
  <c r="AL15" i="1"/>
  <c r="AN5" i="1"/>
  <c r="AI32" i="1"/>
  <c r="AH26" i="1"/>
  <c r="AK16" i="1"/>
  <c r="AP7" i="1"/>
  <c r="AF22" i="1"/>
  <c r="AF20" i="1"/>
  <c r="AK17" i="1"/>
  <c r="AK27" i="1"/>
  <c r="AP22" i="1"/>
  <c r="AL32" i="1"/>
  <c r="AH21" i="1"/>
  <c r="AH23" i="1"/>
  <c r="AJ25" i="1"/>
  <c r="AP16" i="1"/>
  <c r="AG28" i="1"/>
  <c r="AP23" i="1"/>
  <c r="AN28" i="1"/>
  <c r="AH15" i="1"/>
  <c r="AQ7" i="1"/>
  <c r="AK19" i="1"/>
  <c r="AL24" i="1"/>
  <c r="AK32" i="1"/>
  <c r="AL27" i="1"/>
  <c r="AP5" i="1"/>
  <c r="AJ16" i="1"/>
  <c r="AF32" i="1"/>
  <c r="AP24" i="1"/>
  <c r="AG23" i="1"/>
  <c r="AJ21" i="1"/>
  <c r="AM16" i="1"/>
  <c r="AM32" i="1"/>
  <c r="AG30" i="1"/>
  <c r="AH22" i="1"/>
  <c r="AI19" i="1"/>
  <c r="AI28" i="1"/>
  <c r="AI22" i="1"/>
  <c r="AF5" i="1"/>
  <c r="AI23" i="1"/>
  <c r="AK24" i="1"/>
  <c r="AH30" i="1"/>
  <c r="AK7" i="1"/>
  <c r="AG20" i="1"/>
  <c r="AQ22" i="1"/>
  <c r="AF9" i="1"/>
  <c r="AN9" i="1"/>
  <c r="AK10" i="1"/>
  <c r="AO10" i="1"/>
  <c r="AH20" i="1"/>
  <c r="AF25" i="1"/>
  <c r="AF16" i="1"/>
  <c r="AG26" i="1"/>
  <c r="AQ5" i="1"/>
  <c r="AF15" i="1"/>
  <c r="AI21" i="1"/>
  <c r="AF24" i="1"/>
  <c r="AK31" i="1"/>
  <c r="AI17" i="1"/>
  <c r="AH31" i="1"/>
  <c r="AJ26" i="1"/>
  <c r="AI24" i="1"/>
  <c r="AP25" i="1"/>
  <c r="AP19" i="1"/>
  <c r="AH28" i="1"/>
  <c r="AQ27" i="1"/>
  <c r="AL31" i="1"/>
  <c r="AQ20" i="1"/>
  <c r="AQ25" i="1"/>
  <c r="AN20" i="1"/>
  <c r="AJ31" i="1"/>
  <c r="AO15" i="1"/>
  <c r="AK28" i="1"/>
  <c r="AQ17" i="1"/>
  <c r="AM7" i="1"/>
  <c r="AG14" i="1"/>
  <c r="AO11" i="1"/>
  <c r="AO17" i="1"/>
  <c r="AJ23" i="1"/>
  <c r="AM27" i="1"/>
  <c r="AI27" i="1"/>
  <c r="AH11" i="1"/>
  <c r="AG25" i="1"/>
  <c r="AL7" i="1"/>
  <c r="AG27" i="1"/>
  <c r="AN27" i="1"/>
  <c r="AH16" i="1"/>
  <c r="AQ11" i="1"/>
  <c r="AP17" i="1"/>
  <c r="AQ32" i="1"/>
  <c r="AH7" i="1"/>
  <c r="AM15" i="1"/>
  <c r="AF28" i="1"/>
  <c r="AP10" i="1"/>
  <c r="AP27" i="1"/>
  <c r="AF21" i="1"/>
  <c r="AG31" i="1"/>
  <c r="AG22" i="1"/>
  <c r="AJ19" i="1"/>
  <c r="AI5" i="1"/>
  <c r="AI20" i="1"/>
  <c r="AM26" i="1"/>
  <c r="AO23" i="1"/>
  <c r="AM14" i="1"/>
  <c r="AF19" i="1"/>
  <c r="AP28" i="1"/>
  <c r="AL19" i="1"/>
  <c r="AH32" i="1"/>
  <c r="AG15" i="1"/>
  <c r="AJ17" i="1"/>
  <c r="AM21" i="1"/>
  <c r="AJ10" i="1"/>
  <c r="AG17" i="1"/>
  <c r="AG32" i="1"/>
  <c r="AM24" i="1"/>
  <c r="AN22" i="1"/>
  <c r="AF11" i="1"/>
  <c r="AI16" i="1"/>
  <c r="AJ32" i="1"/>
  <c r="AH5" i="1"/>
  <c r="AL16" i="1"/>
  <c r="AF27" i="1"/>
  <c r="AO22" i="1"/>
  <c r="AN32" i="1"/>
  <c r="AG21" i="1"/>
  <c r="AF10" i="1"/>
  <c r="AH9" i="1"/>
  <c r="AF23" i="1"/>
  <c r="AK5" i="1"/>
  <c r="AI26" i="1"/>
  <c r="AQ14" i="1"/>
  <c r="AL28" i="1"/>
  <c r="AK11" i="1"/>
  <c r="AP31" i="1"/>
  <c r="AN16" i="1"/>
  <c r="AI30" i="1"/>
  <c r="AO14" i="1"/>
  <c r="AO7" i="1"/>
  <c r="AG11" i="1"/>
  <c r="AO28" i="1"/>
  <c r="AJ7" i="1"/>
  <c r="AI25" i="1"/>
  <c r="AP20" i="1"/>
  <c r="AH17" i="1"/>
  <c r="AM22" i="1"/>
  <c r="AN24" i="1"/>
  <c r="AI7" i="1"/>
  <c r="AN31" i="1"/>
  <c r="AK29" i="1"/>
  <c r="AI11" i="1"/>
  <c r="AK23" i="1"/>
  <c r="AO27" i="1"/>
  <c r="AF30" i="1"/>
  <c r="AQ21" i="1"/>
  <c r="AF31" i="1"/>
  <c r="AH19" i="1"/>
  <c r="AO24" i="1"/>
  <c r="AQ23" i="1"/>
  <c r="AK20" i="1"/>
  <c r="AQ28" i="1"/>
  <c r="AQ10" i="1"/>
  <c r="AG9" i="1"/>
  <c r="AL20" i="1"/>
  <c r="AJ5" i="1"/>
  <c r="AO32" i="1"/>
  <c r="AM5" i="1"/>
  <c r="AO5" i="1"/>
  <c r="AL10" i="1"/>
  <c r="AO31" i="1"/>
  <c r="AH10" i="1"/>
  <c r="AO21" i="1"/>
  <c r="AG10" i="1"/>
  <c r="AQ31" i="1"/>
  <c r="DQ26" i="12" l="1"/>
  <c r="EO26" i="12"/>
  <c r="CY21" i="12"/>
  <c r="EQ37" i="12"/>
  <c r="DG14" i="12"/>
  <c r="CO16" i="12"/>
  <c r="DI26" i="12"/>
  <c r="EO16" i="12"/>
  <c r="CQ29" i="12"/>
  <c r="DE20" i="12"/>
  <c r="EM30" i="12"/>
  <c r="EC26" i="12"/>
  <c r="DW30" i="12"/>
  <c r="DK26" i="12"/>
  <c r="DY28" i="12"/>
  <c r="DM13" i="12"/>
  <c r="EC30" i="12"/>
  <c r="DI29" i="12"/>
  <c r="EC15" i="12"/>
  <c r="N34" i="1"/>
  <c r="EK21" i="12"/>
  <c r="EM12" i="12"/>
  <c r="CQ26" i="12"/>
  <c r="CU21" i="12"/>
  <c r="DM38" i="12"/>
  <c r="DY37" i="12"/>
  <c r="EQ26" i="12"/>
  <c r="EM26" i="12"/>
  <c r="CQ15" i="12"/>
  <c r="CQ21" i="12"/>
  <c r="DY26" i="12"/>
  <c r="EC28" i="12"/>
  <c r="EG28" i="12"/>
  <c r="EO12" i="12"/>
  <c r="EO37" i="12"/>
  <c r="DG20" i="12"/>
  <c r="CU26" i="12"/>
  <c r="CY37" i="12"/>
  <c r="DY21" i="12"/>
  <c r="CY26" i="12"/>
  <c r="DI38" i="12"/>
  <c r="DM37" i="12"/>
  <c r="EM21" i="12"/>
  <c r="CW21" i="12"/>
  <c r="DI30" i="12"/>
  <c r="DA10" i="12"/>
  <c r="EX10" i="12" s="1"/>
  <c r="DC15" i="12"/>
  <c r="DO12" i="12"/>
  <c r="CU15" i="12"/>
  <c r="CW14" i="12"/>
  <c r="CQ12" i="12"/>
  <c r="CQ37" i="12"/>
  <c r="DI12" i="12"/>
  <c r="DE14" i="12"/>
  <c r="DY15" i="12"/>
  <c r="EM15" i="12"/>
  <c r="EQ38" i="12"/>
  <c r="CW13" i="12"/>
  <c r="CY38" i="12"/>
  <c r="DK12" i="12"/>
  <c r="DO15" i="12"/>
  <c r="DY38" i="12"/>
  <c r="EG15" i="12"/>
  <c r="EQ13" i="12"/>
  <c r="N40" i="1"/>
  <c r="CS38" i="12"/>
  <c r="CO14" i="12"/>
  <c r="DG16" i="12"/>
  <c r="CO38" i="12"/>
  <c r="DI16" i="12"/>
  <c r="DK16" i="12"/>
  <c r="DW15" i="12"/>
  <c r="EM20" i="12"/>
  <c r="EM37" i="12"/>
  <c r="DI37" i="12"/>
  <c r="E246" i="36"/>
  <c r="E245" i="36"/>
  <c r="DK6" i="12"/>
  <c r="CB112" i="13"/>
  <c r="CB118" i="13"/>
  <c r="D29" i="81"/>
  <c r="D32" i="81" s="1"/>
  <c r="D33" i="81" s="1"/>
  <c r="D17" i="81"/>
  <c r="D18" i="81" s="1"/>
  <c r="CB115" i="13"/>
  <c r="CM108" i="13"/>
  <c r="CJ110" i="13"/>
  <c r="CM111" i="13"/>
  <c r="DX33" i="13"/>
  <c r="EQ15" i="12" s="1"/>
  <c r="AV118" i="13"/>
  <c r="DX31" i="13"/>
  <c r="CM110" i="13"/>
  <c r="DX102" i="13"/>
  <c r="CO117" i="13"/>
  <c r="DX101" i="13"/>
  <c r="CM114" i="13"/>
  <c r="CL112" i="13"/>
  <c r="CL118" i="13"/>
  <c r="CM113" i="13"/>
  <c r="CJ116" i="13"/>
  <c r="DX100" i="13"/>
  <c r="CJ118" i="13"/>
  <c r="CJ112" i="13"/>
  <c r="DO74" i="13"/>
  <c r="DY30" i="12" s="1"/>
  <c r="CK118" i="13"/>
  <c r="CJ117" i="13"/>
  <c r="CK117" i="13"/>
  <c r="CJ115" i="13"/>
  <c r="CK113" i="13"/>
  <c r="CL113" i="13"/>
  <c r="DW9" i="13"/>
  <c r="EO6" i="12" s="1"/>
  <c r="CN113" i="13"/>
  <c r="DW100" i="13"/>
  <c r="DK69" i="13"/>
  <c r="CO116" i="13"/>
  <c r="CH110" i="13"/>
  <c r="CM118" i="13"/>
  <c r="AX118" i="13"/>
  <c r="CJ113" i="13"/>
  <c r="CL115" i="13"/>
  <c r="DW97" i="13"/>
  <c r="DW74" i="13"/>
  <c r="DO23" i="13"/>
  <c r="DQ69" i="13"/>
  <c r="DW70" i="13"/>
  <c r="DW8" i="13"/>
  <c r="DS72" i="13"/>
  <c r="CM117" i="13"/>
  <c r="DW72" i="13"/>
  <c r="DW45" i="13"/>
  <c r="DW46" i="13"/>
  <c r="CH107" i="13"/>
  <c r="CL117" i="13"/>
  <c r="DW101" i="13"/>
  <c r="DW20" i="13"/>
  <c r="AX112" i="13"/>
  <c r="DQ13" i="13"/>
  <c r="EC8" i="12" s="1"/>
  <c r="DI33" i="13"/>
  <c r="CN118" i="13"/>
  <c r="DX24" i="13"/>
  <c r="DI105" i="13"/>
  <c r="DW98" i="13"/>
  <c r="DW71" i="13"/>
  <c r="DW99" i="13"/>
  <c r="DX14" i="13"/>
  <c r="DW104" i="13"/>
  <c r="DW10" i="13"/>
  <c r="DW6" i="13"/>
  <c r="EO5" i="12" s="1"/>
  <c r="DW21" i="13"/>
  <c r="BY115" i="13"/>
  <c r="DS48" i="13"/>
  <c r="DW60" i="13"/>
  <c r="CH108" i="13"/>
  <c r="DW43" i="13"/>
  <c r="DS49" i="13"/>
  <c r="DW5" i="13"/>
  <c r="DW44" i="13"/>
  <c r="DS74" i="13"/>
  <c r="CN117" i="13"/>
  <c r="DQ22" i="13"/>
  <c r="BW113" i="13"/>
  <c r="DX23" i="13"/>
  <c r="CH109" i="13"/>
  <c r="DW19" i="13"/>
  <c r="BY113" i="13"/>
  <c r="CH118" i="13"/>
  <c r="DW42" i="13"/>
  <c r="DW103" i="13"/>
  <c r="DS71" i="13"/>
  <c r="CG117" i="13"/>
  <c r="CH116" i="13"/>
  <c r="CE108" i="13"/>
  <c r="DS70" i="13"/>
  <c r="CG113" i="13"/>
  <c r="DW7" i="13"/>
  <c r="DW73" i="13"/>
  <c r="CH113" i="13"/>
  <c r="DS69" i="13"/>
  <c r="CH115" i="13"/>
  <c r="CG108" i="13"/>
  <c r="DW47" i="13"/>
  <c r="CG111" i="13"/>
  <c r="BZ114" i="13"/>
  <c r="CE117" i="13"/>
  <c r="DW69" i="13"/>
  <c r="DX12" i="13"/>
  <c r="CH117" i="13"/>
  <c r="DW32" i="13"/>
  <c r="CH114" i="13"/>
  <c r="CM116" i="13"/>
  <c r="CH111" i="13"/>
  <c r="DX22" i="13"/>
  <c r="CG118" i="13"/>
  <c r="DV6" i="13"/>
  <c r="EM5" i="12" s="1"/>
  <c r="CG107" i="13"/>
  <c r="CG110" i="13"/>
  <c r="CG116" i="13"/>
  <c r="CE111" i="13"/>
  <c r="DW31" i="13"/>
  <c r="DS73" i="13"/>
  <c r="CG114" i="13"/>
  <c r="CG109" i="13"/>
  <c r="CE109" i="13"/>
  <c r="CG115" i="13"/>
  <c r="BZ115" i="13"/>
  <c r="CG112" i="13"/>
  <c r="CE114" i="13"/>
  <c r="DW33" i="13"/>
  <c r="DU60" i="13"/>
  <c r="DX13" i="13"/>
  <c r="EQ8" i="12" s="1"/>
  <c r="DV70" i="13"/>
  <c r="EM29" i="12" s="1"/>
  <c r="DS50" i="13"/>
  <c r="DU61" i="13"/>
  <c r="EK26" i="12" s="1"/>
  <c r="BU115" i="13"/>
  <c r="CE112" i="13"/>
  <c r="DQ24" i="13"/>
  <c r="BY114" i="13"/>
  <c r="CE115" i="13"/>
  <c r="CE118" i="13"/>
  <c r="BZ113" i="13"/>
  <c r="CE110" i="13"/>
  <c r="DQ71" i="13"/>
  <c r="CE116" i="13"/>
  <c r="DQ12" i="13"/>
  <c r="DQ14" i="13"/>
  <c r="CE107" i="13"/>
  <c r="DQ70" i="13"/>
  <c r="CE113" i="13"/>
  <c r="BU114" i="13"/>
  <c r="DQ23" i="13"/>
  <c r="BP115" i="13"/>
  <c r="BL118" i="13"/>
  <c r="DM24" i="13"/>
  <c r="DU12" i="12" s="1"/>
  <c r="DO72" i="13"/>
  <c r="BP113" i="13"/>
  <c r="AR111" i="13"/>
  <c r="BQ115" i="13"/>
  <c r="DO24" i="13"/>
  <c r="DM13" i="13"/>
  <c r="DU8" i="12" s="1"/>
  <c r="BP114" i="13"/>
  <c r="DO69" i="13"/>
  <c r="DO71" i="13"/>
  <c r="DK72" i="13"/>
  <c r="DO70" i="13"/>
  <c r="AV113" i="13"/>
  <c r="DH45" i="13"/>
  <c r="BQ112" i="13"/>
  <c r="DH81" i="13"/>
  <c r="DH70" i="13"/>
  <c r="AT113" i="13"/>
  <c r="AT107" i="13"/>
  <c r="AT110" i="13"/>
  <c r="BL113" i="13"/>
  <c r="DO13" i="13"/>
  <c r="DY8" i="12" s="1"/>
  <c r="BL116" i="13"/>
  <c r="AW116" i="13"/>
  <c r="DE19" i="13"/>
  <c r="AL107" i="13"/>
  <c r="DH93" i="13"/>
  <c r="DK37" i="12" s="1"/>
  <c r="AR108" i="13"/>
  <c r="DK12" i="13"/>
  <c r="DH82" i="13"/>
  <c r="AR114" i="13"/>
  <c r="AT109" i="13"/>
  <c r="DH19" i="13"/>
  <c r="DF104" i="13"/>
  <c r="BQ113" i="13"/>
  <c r="BH113" i="13"/>
  <c r="DE25" i="13"/>
  <c r="DO22" i="13"/>
  <c r="DE33" i="13"/>
  <c r="AL109" i="13"/>
  <c r="DH31" i="13"/>
  <c r="DH69" i="13"/>
  <c r="DH84" i="13"/>
  <c r="DH48" i="13"/>
  <c r="DK74" i="13"/>
  <c r="DH51" i="13"/>
  <c r="AW107" i="13"/>
  <c r="DH50" i="13"/>
  <c r="DH21" i="13"/>
  <c r="DK39" i="13"/>
  <c r="DE83" i="13"/>
  <c r="AW118" i="13"/>
  <c r="BH115" i="13"/>
  <c r="AW117" i="13"/>
  <c r="BG114" i="13"/>
  <c r="AW109" i="13"/>
  <c r="DK38" i="13"/>
  <c r="DK40" i="13"/>
  <c r="DK95" i="13"/>
  <c r="DH43" i="13"/>
  <c r="DH49" i="13"/>
  <c r="DK96" i="13"/>
  <c r="DK71" i="13"/>
  <c r="DI23" i="13"/>
  <c r="DE31" i="13"/>
  <c r="DH44" i="13"/>
  <c r="BF115" i="13"/>
  <c r="AP112" i="13"/>
  <c r="DH33" i="13"/>
  <c r="DK70" i="13"/>
  <c r="AT115" i="13"/>
  <c r="AT112" i="13"/>
  <c r="AQ116" i="13"/>
  <c r="BE115" i="13"/>
  <c r="DH14" i="13"/>
  <c r="DE51" i="13"/>
  <c r="AP111" i="13"/>
  <c r="AY117" i="13"/>
  <c r="AP108" i="13"/>
  <c r="AP117" i="13"/>
  <c r="DK92" i="13"/>
  <c r="DE99" i="13"/>
  <c r="DK93" i="13"/>
  <c r="DI101" i="13"/>
  <c r="DH74" i="13"/>
  <c r="DH83" i="13"/>
  <c r="DK73" i="13"/>
  <c r="AW111" i="13"/>
  <c r="DH73" i="13"/>
  <c r="DH20" i="13"/>
  <c r="DE82" i="13"/>
  <c r="DH42" i="13"/>
  <c r="AU110" i="13"/>
  <c r="BH114" i="13"/>
  <c r="AX115" i="13"/>
  <c r="AW112" i="13"/>
  <c r="BG113" i="13"/>
  <c r="AE115" i="13"/>
  <c r="AQ117" i="13"/>
  <c r="DE47" i="13"/>
  <c r="DK94" i="13"/>
  <c r="BI115" i="13"/>
  <c r="AW115" i="13"/>
  <c r="DK22" i="13"/>
  <c r="BI113" i="13"/>
  <c r="DI104" i="13"/>
  <c r="DI32" i="13"/>
  <c r="AX117" i="13"/>
  <c r="DE81" i="13"/>
  <c r="AW108" i="13"/>
  <c r="AO107" i="13"/>
  <c r="DF25" i="13"/>
  <c r="DE26" i="13"/>
  <c r="DI31" i="13"/>
  <c r="AL108" i="13"/>
  <c r="BG115" i="13"/>
  <c r="AX116" i="13"/>
  <c r="BF114" i="13"/>
  <c r="DH47" i="13"/>
  <c r="DK24" i="13"/>
  <c r="DI100" i="13"/>
  <c r="BF113" i="13"/>
  <c r="DE27" i="13"/>
  <c r="DE46" i="13"/>
  <c r="DK91" i="13"/>
  <c r="DF32" i="13"/>
  <c r="DF9" i="13"/>
  <c r="DE6" i="12" s="1"/>
  <c r="AX113" i="13"/>
  <c r="AX114" i="13"/>
  <c r="AW113" i="13"/>
  <c r="DD45" i="13"/>
  <c r="AP118" i="13"/>
  <c r="BE114" i="13"/>
  <c r="BE113" i="13"/>
  <c r="AX111" i="13"/>
  <c r="DK23" i="13"/>
  <c r="DQ12" i="12" s="1"/>
  <c r="AP115" i="13"/>
  <c r="AR113" i="13"/>
  <c r="AU118" i="13"/>
  <c r="DE98" i="13"/>
  <c r="CV100" i="13"/>
  <c r="AB118" i="13"/>
  <c r="DF80" i="13"/>
  <c r="DI12" i="13"/>
  <c r="AO116" i="13"/>
  <c r="DH46" i="13"/>
  <c r="AQ113" i="13"/>
  <c r="AQ110" i="13"/>
  <c r="DK14" i="13"/>
  <c r="DE78" i="13"/>
  <c r="DF22" i="13"/>
  <c r="AU114" i="13"/>
  <c r="DI103" i="13"/>
  <c r="DH13" i="13"/>
  <c r="DK8" i="12" s="1"/>
  <c r="AM108" i="13"/>
  <c r="AU117" i="13"/>
  <c r="AW110" i="13"/>
  <c r="DF39" i="13"/>
  <c r="DE52" i="13"/>
  <c r="DE32" i="13"/>
  <c r="DE20" i="13"/>
  <c r="DE48" i="13"/>
  <c r="DH32" i="13"/>
  <c r="DG32" i="13"/>
  <c r="AQ114" i="13"/>
  <c r="DE21" i="13"/>
  <c r="DI102" i="13"/>
  <c r="DE49" i="13"/>
  <c r="AU109" i="13"/>
  <c r="AQ108" i="13"/>
  <c r="AU112" i="13"/>
  <c r="DE62" i="13"/>
  <c r="AN108" i="13"/>
  <c r="DF7" i="13"/>
  <c r="AU115" i="13"/>
  <c r="AV115" i="13"/>
  <c r="CV25" i="13"/>
  <c r="DH91" i="13"/>
  <c r="AR110" i="13"/>
  <c r="DH71" i="13"/>
  <c r="DI13" i="13"/>
  <c r="DM8" i="12" s="1"/>
  <c r="DF21" i="13"/>
  <c r="DG31" i="13"/>
  <c r="DI14" i="13"/>
  <c r="AR116" i="13"/>
  <c r="DF93" i="13"/>
  <c r="AW114" i="13"/>
  <c r="AY112" i="13"/>
  <c r="DE80" i="13"/>
  <c r="DE97" i="13"/>
  <c r="AN109" i="13"/>
  <c r="DD54" i="13"/>
  <c r="DK13" i="13"/>
  <c r="DQ8" i="12" s="1"/>
  <c r="DD39" i="13"/>
  <c r="DD71" i="13"/>
  <c r="DF94" i="13"/>
  <c r="AI113" i="13"/>
  <c r="AX110" i="13"/>
  <c r="AY115" i="13"/>
  <c r="DE79" i="13"/>
  <c r="DE50" i="13"/>
  <c r="AO110" i="13"/>
  <c r="DD40" i="13"/>
  <c r="DF14" i="13"/>
  <c r="DI24" i="13"/>
  <c r="DD55" i="13"/>
  <c r="AZ118" i="13"/>
  <c r="CV102" i="13"/>
  <c r="AO112" i="13"/>
  <c r="AM111" i="13"/>
  <c r="DF105" i="13"/>
  <c r="DD56" i="13"/>
  <c r="DF38" i="13"/>
  <c r="DD38" i="13"/>
  <c r="DD66" i="13"/>
  <c r="AO109" i="13"/>
  <c r="DF46" i="13"/>
  <c r="DF13" i="13"/>
  <c r="DE8" i="12" s="1"/>
  <c r="DF49" i="13"/>
  <c r="AO117" i="13"/>
  <c r="DD48" i="13"/>
  <c r="AB117" i="13"/>
  <c r="DF45" i="13"/>
  <c r="AU113" i="13"/>
  <c r="AU107" i="13"/>
  <c r="AU116" i="13"/>
  <c r="AB114" i="13"/>
  <c r="DD74" i="13"/>
  <c r="DF26" i="13"/>
  <c r="DD49" i="13"/>
  <c r="AO108" i="13"/>
  <c r="DF48" i="13"/>
  <c r="DF50" i="13"/>
  <c r="AU108" i="13"/>
  <c r="DF51" i="13"/>
  <c r="DF31" i="13"/>
  <c r="CY98" i="13"/>
  <c r="DF81" i="13"/>
  <c r="DF82" i="13"/>
  <c r="AM107" i="13"/>
  <c r="DF97" i="13"/>
  <c r="AN111" i="13"/>
  <c r="AM116" i="13"/>
  <c r="DF19" i="13"/>
  <c r="DD69" i="13"/>
  <c r="DF91" i="13"/>
  <c r="AU111" i="13"/>
  <c r="DD53" i="13"/>
  <c r="AM118" i="13"/>
  <c r="P108" i="13"/>
  <c r="DF99" i="13"/>
  <c r="AI115" i="13"/>
  <c r="AO113" i="13"/>
  <c r="DF52" i="13"/>
  <c r="DF79" i="13"/>
  <c r="DF53" i="13"/>
  <c r="AO114" i="13"/>
  <c r="DD70" i="13"/>
  <c r="DF20" i="13"/>
  <c r="AN107" i="13"/>
  <c r="DF96" i="13"/>
  <c r="DD47" i="13"/>
  <c r="DF98" i="13"/>
  <c r="AA114" i="13"/>
  <c r="DF61" i="13"/>
  <c r="DD68" i="13"/>
  <c r="DF78" i="13"/>
  <c r="DF40" i="13"/>
  <c r="DD50" i="13"/>
  <c r="AR115" i="13"/>
  <c r="DE45" i="13"/>
  <c r="DD51" i="13"/>
  <c r="CV89" i="13"/>
  <c r="DF103" i="13"/>
  <c r="AR118" i="13"/>
  <c r="DD67" i="13"/>
  <c r="DF27" i="13"/>
  <c r="DF92" i="13"/>
  <c r="AM114" i="13"/>
  <c r="AH115" i="13"/>
  <c r="DD22" i="13"/>
  <c r="AN116" i="13"/>
  <c r="DF12" i="13"/>
  <c r="AM117" i="13"/>
  <c r="CV27" i="13"/>
  <c r="DA79" i="13"/>
  <c r="AN112" i="13"/>
  <c r="AR109" i="13"/>
  <c r="AN118" i="13"/>
  <c r="AO118" i="13"/>
  <c r="AN113" i="13"/>
  <c r="DF23" i="13"/>
  <c r="CV26" i="13"/>
  <c r="DG33" i="13"/>
  <c r="DF33" i="13"/>
  <c r="DF95" i="13"/>
  <c r="DD23" i="13"/>
  <c r="DF83" i="13"/>
  <c r="DD52" i="13"/>
  <c r="DF60" i="13"/>
  <c r="AM109" i="13"/>
  <c r="V110" i="13"/>
  <c r="AA113" i="13"/>
  <c r="AI114" i="13"/>
  <c r="DF47" i="13"/>
  <c r="DA40" i="13"/>
  <c r="DD24" i="13"/>
  <c r="DD46" i="13"/>
  <c r="AN110" i="13"/>
  <c r="DA82" i="13"/>
  <c r="DF10" i="13"/>
  <c r="AM110" i="13"/>
  <c r="DF5" i="13"/>
  <c r="V116" i="13"/>
  <c r="AM113" i="13"/>
  <c r="AO115" i="13"/>
  <c r="DF62" i="13"/>
  <c r="AC114" i="13"/>
  <c r="DA61" i="13"/>
  <c r="AM112" i="13"/>
  <c r="AO111" i="13"/>
  <c r="Z109" i="13"/>
  <c r="Z116" i="13"/>
  <c r="DB14" i="13"/>
  <c r="P108" i="38"/>
  <c r="AA117" i="13"/>
  <c r="P110" i="38"/>
  <c r="AM115" i="13"/>
  <c r="AB111" i="13"/>
  <c r="AA111" i="13"/>
  <c r="AN114" i="13"/>
  <c r="AN117" i="13"/>
  <c r="DF6" i="13"/>
  <c r="DE5" i="12" s="1"/>
  <c r="DA103" i="13"/>
  <c r="DA92" i="13"/>
  <c r="P109" i="38"/>
  <c r="Z111" i="13"/>
  <c r="Z107" i="13"/>
  <c r="DA62" i="13"/>
  <c r="DD73" i="13"/>
  <c r="DC30" i="12" s="1"/>
  <c r="Z108" i="13"/>
  <c r="AH113" i="13"/>
  <c r="Z118" i="13"/>
  <c r="DF24" i="13"/>
  <c r="DF8" i="13"/>
  <c r="AD110" i="13"/>
  <c r="CY60" i="13"/>
  <c r="DB32" i="13"/>
  <c r="DB38" i="13"/>
  <c r="AN115" i="13"/>
  <c r="Q116" i="13"/>
  <c r="X110" i="13"/>
  <c r="Q107" i="13"/>
  <c r="CX100" i="13"/>
  <c r="DB40" i="13"/>
  <c r="CX102" i="13"/>
  <c r="AC116" i="13"/>
  <c r="DA105" i="13"/>
  <c r="AD114" i="13"/>
  <c r="AD111" i="13"/>
  <c r="DA65" i="13"/>
  <c r="AD113" i="13"/>
  <c r="CY12" i="13"/>
  <c r="AE116" i="13"/>
  <c r="AB113" i="13"/>
  <c r="DB31" i="13"/>
  <c r="DA52" i="13"/>
  <c r="DA49" i="13"/>
  <c r="AB110" i="13"/>
  <c r="V109" i="13"/>
  <c r="AB116" i="13"/>
  <c r="V118" i="13"/>
  <c r="AD117" i="13"/>
  <c r="X116" i="13"/>
  <c r="M109" i="13"/>
  <c r="AH114" i="13"/>
  <c r="Z113" i="13"/>
  <c r="AA110" i="13"/>
  <c r="DA85" i="13"/>
  <c r="AA107" i="13"/>
  <c r="X115" i="13"/>
  <c r="DA95" i="13"/>
  <c r="DA66" i="13"/>
  <c r="DA83" i="13"/>
  <c r="DA93" i="13"/>
  <c r="DA81" i="13"/>
  <c r="DA91" i="13"/>
  <c r="X113" i="13"/>
  <c r="Q109" i="13"/>
  <c r="DB12" i="13"/>
  <c r="AD112" i="13"/>
  <c r="Q117" i="13"/>
  <c r="Q112" i="13"/>
  <c r="Q108" i="13"/>
  <c r="DA22" i="13"/>
  <c r="DB33" i="13"/>
  <c r="AD115" i="13"/>
  <c r="DB23" i="13"/>
  <c r="DA69" i="13"/>
  <c r="CY63" i="13"/>
  <c r="DA99" i="13"/>
  <c r="DA80" i="13"/>
  <c r="DA56" i="13"/>
  <c r="AD116" i="13"/>
  <c r="DA86" i="13"/>
  <c r="CV97" i="13"/>
  <c r="DA67" i="13"/>
  <c r="Y116" i="13"/>
  <c r="DA104" i="13"/>
  <c r="CY24" i="13"/>
  <c r="CY91" i="13"/>
  <c r="V115" i="13"/>
  <c r="Z115" i="13"/>
  <c r="DA96" i="13"/>
  <c r="CY23" i="13"/>
  <c r="DA64" i="13"/>
  <c r="V113" i="13"/>
  <c r="DA84" i="13"/>
  <c r="DA24" i="13"/>
  <c r="DA53" i="13"/>
  <c r="AC112" i="13"/>
  <c r="DA97" i="13"/>
  <c r="CV79" i="13"/>
  <c r="CV34" i="13"/>
  <c r="M110" i="13"/>
  <c r="X112" i="13"/>
  <c r="Y118" i="13"/>
  <c r="V111" i="13"/>
  <c r="X118" i="13"/>
  <c r="CY85" i="13"/>
  <c r="V117" i="13"/>
  <c r="CY90" i="13"/>
  <c r="AE114" i="13"/>
  <c r="Y115" i="13"/>
  <c r="Y112" i="13"/>
  <c r="Y107" i="13"/>
  <c r="Y110" i="13"/>
  <c r="DB13" i="13"/>
  <c r="CY8" i="12" s="1"/>
  <c r="DA60" i="13"/>
  <c r="Z114" i="13"/>
  <c r="V114" i="13"/>
  <c r="DA94" i="13"/>
  <c r="CY32" i="13"/>
  <c r="CY84" i="13"/>
  <c r="CY48" i="13"/>
  <c r="CV52" i="13"/>
  <c r="CY82" i="13"/>
  <c r="O108" i="13"/>
  <c r="DA39" i="13"/>
  <c r="Y113" i="13"/>
  <c r="DA78" i="13"/>
  <c r="DA70" i="13"/>
  <c r="CY89" i="13"/>
  <c r="X108" i="13"/>
  <c r="CV85" i="13"/>
  <c r="DB22" i="13"/>
  <c r="CY83" i="13"/>
  <c r="DA50" i="13"/>
  <c r="DA55" i="13"/>
  <c r="CY5" i="13"/>
  <c r="CV36" i="13"/>
  <c r="M114" i="13"/>
  <c r="CX31" i="13"/>
  <c r="CY79" i="13"/>
  <c r="Y111" i="13"/>
  <c r="Y117" i="13"/>
  <c r="CY93" i="13"/>
  <c r="CY74" i="13"/>
  <c r="DA33" i="13"/>
  <c r="AC118" i="13"/>
  <c r="CY70" i="13"/>
  <c r="Y114" i="13"/>
  <c r="W108" i="13"/>
  <c r="DA32" i="13"/>
  <c r="DA38" i="13"/>
  <c r="X117" i="13"/>
  <c r="CV48" i="13"/>
  <c r="CV83" i="13"/>
  <c r="CV99" i="13"/>
  <c r="CY55" i="13"/>
  <c r="CV67" i="13"/>
  <c r="CY36" i="13"/>
  <c r="CV90" i="13"/>
  <c r="CY81" i="13"/>
  <c r="X114" i="13"/>
  <c r="CV84" i="13"/>
  <c r="DA68" i="13"/>
  <c r="CY97" i="13"/>
  <c r="CY80" i="13"/>
  <c r="DA31" i="13"/>
  <c r="CV65" i="13"/>
  <c r="CY78" i="13"/>
  <c r="DA48" i="13"/>
  <c r="CY92" i="13"/>
  <c r="W114" i="13"/>
  <c r="CY39" i="13"/>
  <c r="DA51" i="13"/>
  <c r="CV55" i="13"/>
  <c r="CV54" i="13"/>
  <c r="CY49" i="13"/>
  <c r="DA23" i="13"/>
  <c r="CY52" i="13"/>
  <c r="W117" i="13"/>
  <c r="DA54" i="13"/>
  <c r="CV63" i="13"/>
  <c r="P109" i="13"/>
  <c r="CV51" i="13"/>
  <c r="DA71" i="13"/>
  <c r="CV82" i="13"/>
  <c r="AD118" i="13"/>
  <c r="DA63" i="13"/>
  <c r="CV101" i="13"/>
  <c r="O107" i="13"/>
  <c r="CY88" i="13"/>
  <c r="W115" i="13"/>
  <c r="CY50" i="13"/>
  <c r="P117" i="13"/>
  <c r="CY14" i="13"/>
  <c r="CV35" i="13"/>
  <c r="CY54" i="13"/>
  <c r="CV80" i="13"/>
  <c r="CY65" i="13"/>
  <c r="DB24" i="13"/>
  <c r="CY46" i="13"/>
  <c r="P110" i="13"/>
  <c r="CV86" i="13"/>
  <c r="W118" i="13"/>
  <c r="W116" i="13"/>
  <c r="CV78" i="13"/>
  <c r="W107" i="13"/>
  <c r="CY73" i="13"/>
  <c r="W109" i="13"/>
  <c r="W112" i="13"/>
  <c r="CV64" i="13"/>
  <c r="CV53" i="13"/>
  <c r="CY56" i="13"/>
  <c r="CY71" i="13"/>
  <c r="M112" i="13"/>
  <c r="CV49" i="13"/>
  <c r="M115" i="13"/>
  <c r="W113" i="13"/>
  <c r="M116" i="13"/>
  <c r="CY67" i="13"/>
  <c r="Q115" i="13"/>
  <c r="CY10" i="13"/>
  <c r="CV81" i="13"/>
  <c r="CY69" i="13"/>
  <c r="P116" i="13"/>
  <c r="CY31" i="13"/>
  <c r="CY64" i="13"/>
  <c r="O109" i="13"/>
  <c r="CY86" i="13"/>
  <c r="CY38" i="13"/>
  <c r="CY72" i="13"/>
  <c r="M111" i="13"/>
  <c r="CY53" i="13"/>
  <c r="CV68" i="13"/>
  <c r="M108" i="13"/>
  <c r="CX44" i="13"/>
  <c r="CQ20" i="12" s="1"/>
  <c r="P118" i="13"/>
  <c r="M117" i="13"/>
  <c r="CY35" i="13"/>
  <c r="CS16" i="12" s="1"/>
  <c r="Q114" i="13"/>
  <c r="M118" i="13"/>
  <c r="P112" i="13"/>
  <c r="CY66" i="13"/>
  <c r="CV98" i="13"/>
  <c r="CY9" i="13"/>
  <c r="CS6" i="12" s="1"/>
  <c r="M107" i="13"/>
  <c r="CY33" i="13"/>
  <c r="P113" i="13"/>
  <c r="CV66" i="13"/>
  <c r="CV56" i="13"/>
  <c r="P115" i="13"/>
  <c r="CY62" i="13"/>
  <c r="CY47" i="13"/>
  <c r="O110" i="13"/>
  <c r="O111" i="13"/>
  <c r="CY68" i="13"/>
  <c r="P107" i="13"/>
  <c r="CY51" i="13"/>
  <c r="CY45" i="13"/>
  <c r="O117" i="13"/>
  <c r="O118" i="13"/>
  <c r="CY40" i="13"/>
  <c r="O114" i="13"/>
  <c r="CY13" i="13"/>
  <c r="CS8" i="12" s="1"/>
  <c r="O115" i="13"/>
  <c r="O116" i="13"/>
  <c r="O112" i="13"/>
  <c r="O113" i="13"/>
  <c r="CV50" i="13"/>
  <c r="CY7" i="13"/>
  <c r="CY61" i="13"/>
  <c r="DE13" i="13"/>
  <c r="DG8" i="12" s="1"/>
  <c r="CY8" i="13"/>
  <c r="CV88" i="13"/>
  <c r="P114" i="13"/>
  <c r="P111" i="13"/>
  <c r="CY6" i="13"/>
  <c r="CS5" i="12" s="1"/>
  <c r="M113" i="13"/>
  <c r="AL112" i="13"/>
  <c r="DE7" i="13"/>
  <c r="Q113" i="13"/>
  <c r="CW104" i="13"/>
  <c r="CV71" i="13"/>
  <c r="CW47" i="13"/>
  <c r="CV47" i="13"/>
  <c r="CW61" i="13"/>
  <c r="CW40" i="13"/>
  <c r="CW45" i="13"/>
  <c r="CW93" i="13"/>
  <c r="CW24" i="13"/>
  <c r="AK111" i="13"/>
  <c r="CW72" i="13"/>
  <c r="DE95" i="13"/>
  <c r="CW103" i="13"/>
  <c r="CW22" i="13"/>
  <c r="CW92" i="13"/>
  <c r="CW23" i="13"/>
  <c r="CW91" i="13"/>
  <c r="CW74" i="13"/>
  <c r="CV73" i="13"/>
  <c r="CW60" i="13"/>
  <c r="CV70" i="13"/>
  <c r="CV72" i="13"/>
  <c r="CW62" i="13"/>
  <c r="DE104" i="13"/>
  <c r="CV45" i="13"/>
  <c r="DE105" i="13"/>
  <c r="CW39" i="13"/>
  <c r="CW70" i="13"/>
  <c r="CW105" i="13"/>
  <c r="CW46" i="13"/>
  <c r="DE40" i="13"/>
  <c r="CV105" i="13"/>
  <c r="CV69" i="13"/>
  <c r="CW38" i="13"/>
  <c r="CV91" i="13"/>
  <c r="CV19" i="13"/>
  <c r="CW43" i="13"/>
  <c r="CV22" i="13"/>
  <c r="CV62" i="13"/>
  <c r="CW69" i="13"/>
  <c r="CV74" i="13"/>
  <c r="J110" i="13"/>
  <c r="CV46" i="13"/>
  <c r="DE96" i="13"/>
  <c r="CV20" i="13"/>
  <c r="DE103" i="13"/>
  <c r="CW19" i="13"/>
  <c r="CW20" i="13"/>
  <c r="CW21" i="13"/>
  <c r="CW42" i="13"/>
  <c r="CW44" i="13"/>
  <c r="CV43" i="13"/>
  <c r="CW73" i="13"/>
  <c r="DE6" i="13"/>
  <c r="CV94" i="13"/>
  <c r="H111" i="13"/>
  <c r="CV23" i="13"/>
  <c r="DE38" i="13"/>
  <c r="CW71" i="13"/>
  <c r="CV7" i="13"/>
  <c r="CV92" i="13"/>
  <c r="AK118" i="13"/>
  <c r="DE91" i="13"/>
  <c r="CV21" i="13"/>
  <c r="J111" i="13"/>
  <c r="CV9" i="13"/>
  <c r="AL110" i="13"/>
  <c r="CV44" i="13"/>
  <c r="CV61" i="13"/>
  <c r="CV6" i="13"/>
  <c r="DE39" i="13"/>
  <c r="CV38" i="13"/>
  <c r="L110" i="13"/>
  <c r="DE94" i="13"/>
  <c r="CV60" i="13"/>
  <c r="CV95" i="13"/>
  <c r="K110" i="13"/>
  <c r="F110" i="13"/>
  <c r="K112" i="13"/>
  <c r="CV39" i="13"/>
  <c r="CV104" i="13"/>
  <c r="L111" i="13"/>
  <c r="DE12" i="13"/>
  <c r="CV103" i="13"/>
  <c r="T108" i="80"/>
  <c r="G112" i="13"/>
  <c r="CV42" i="13"/>
  <c r="L107" i="13"/>
  <c r="L113" i="13"/>
  <c r="L116" i="13"/>
  <c r="DE61" i="13"/>
  <c r="I107" i="13"/>
  <c r="I113" i="13"/>
  <c r="I116" i="13"/>
  <c r="H118" i="13"/>
  <c r="H109" i="13"/>
  <c r="H115" i="13"/>
  <c r="J107" i="13"/>
  <c r="J113" i="13"/>
  <c r="J116" i="13"/>
  <c r="J112" i="13"/>
  <c r="L108" i="13"/>
  <c r="L114" i="13"/>
  <c r="L117" i="13"/>
  <c r="I110" i="13"/>
  <c r="CV24" i="13"/>
  <c r="H112" i="13"/>
  <c r="CW33" i="13"/>
  <c r="CV33" i="13"/>
  <c r="E118" i="13"/>
  <c r="E115" i="13"/>
  <c r="E109" i="13"/>
  <c r="J114" i="13"/>
  <c r="J108" i="13"/>
  <c r="J117" i="13"/>
  <c r="CV14" i="13"/>
  <c r="CW14" i="13"/>
  <c r="E112" i="13"/>
  <c r="J115" i="13"/>
  <c r="J118" i="13"/>
  <c r="J109" i="13"/>
  <c r="CV31" i="13"/>
  <c r="CW31" i="13"/>
  <c r="E113" i="13"/>
  <c r="E116" i="13"/>
  <c r="E107" i="13"/>
  <c r="CV40" i="13"/>
  <c r="CV12" i="13"/>
  <c r="CW12" i="13"/>
  <c r="E110" i="13"/>
  <c r="H117" i="13"/>
  <c r="H114" i="13"/>
  <c r="H108" i="13"/>
  <c r="CW32" i="13"/>
  <c r="CV32" i="13"/>
  <c r="E108" i="13"/>
  <c r="E117" i="13"/>
  <c r="E114" i="13"/>
  <c r="AL116" i="13"/>
  <c r="AL113" i="13"/>
  <c r="DE24" i="13"/>
  <c r="AK115" i="13"/>
  <c r="DE22" i="13"/>
  <c r="K111" i="13"/>
  <c r="DE9" i="13"/>
  <c r="DG6" i="12" s="1"/>
  <c r="AK108" i="13"/>
  <c r="CV13" i="13"/>
  <c r="CW13" i="13"/>
  <c r="CO8" i="12" s="1"/>
  <c r="E111" i="13"/>
  <c r="K108" i="13"/>
  <c r="K117" i="13"/>
  <c r="K114" i="13"/>
  <c r="DE10" i="13"/>
  <c r="AK109" i="13"/>
  <c r="T109" i="80"/>
  <c r="I118" i="13"/>
  <c r="I115" i="13"/>
  <c r="I109" i="13"/>
  <c r="T110" i="80"/>
  <c r="F117" i="13"/>
  <c r="F114" i="13"/>
  <c r="F108" i="13"/>
  <c r="DE8" i="13"/>
  <c r="CV8" i="13"/>
  <c r="AK107" i="13"/>
  <c r="I112" i="13"/>
  <c r="CV10" i="13"/>
  <c r="DE60" i="13"/>
  <c r="G109" i="13"/>
  <c r="G118" i="13"/>
  <c r="G115" i="13"/>
  <c r="F111" i="13"/>
  <c r="DE93" i="13"/>
  <c r="DE23" i="13"/>
  <c r="AK117" i="13"/>
  <c r="AK114" i="13"/>
  <c r="AL114" i="13"/>
  <c r="AL111" i="13"/>
  <c r="AL117" i="13"/>
  <c r="DE5" i="13"/>
  <c r="CV5" i="13"/>
  <c r="AK116" i="13"/>
  <c r="AK110" i="13"/>
  <c r="AK113" i="13"/>
  <c r="DE92" i="13"/>
  <c r="G111" i="13"/>
  <c r="K113" i="13"/>
  <c r="K116" i="13"/>
  <c r="K107" i="13"/>
  <c r="L112" i="13"/>
  <c r="F112" i="13"/>
  <c r="G114" i="13"/>
  <c r="G117" i="13"/>
  <c r="G108" i="13"/>
  <c r="L118" i="13"/>
  <c r="L115" i="13"/>
  <c r="L109" i="13"/>
  <c r="DE14" i="13"/>
  <c r="AK112" i="13"/>
  <c r="G113" i="13"/>
  <c r="G116" i="13"/>
  <c r="G107" i="13"/>
  <c r="F118" i="13"/>
  <c r="F115" i="13"/>
  <c r="F109" i="13"/>
  <c r="H113" i="13"/>
  <c r="H116" i="13"/>
  <c r="H107" i="13"/>
  <c r="K109" i="13"/>
  <c r="K118" i="13"/>
  <c r="K115" i="13"/>
  <c r="AL118" i="13"/>
  <c r="AL115" i="13"/>
  <c r="G110" i="13"/>
  <c r="I117" i="13"/>
  <c r="I114" i="13"/>
  <c r="I108" i="13"/>
  <c r="H110" i="13"/>
  <c r="CV93" i="13"/>
  <c r="F107" i="13"/>
  <c r="F113" i="13"/>
  <c r="F116" i="13"/>
  <c r="I111" i="13"/>
  <c r="CV96" i="13"/>
  <c r="AN6" i="1"/>
  <c r="AM6" i="1"/>
  <c r="AQ33" i="1"/>
  <c r="AL33" i="1"/>
  <c r="AG33" i="1"/>
  <c r="AJ6" i="1"/>
  <c r="AK30" i="1"/>
  <c r="AN8" i="1"/>
  <c r="AP2" i="1"/>
  <c r="AH12" i="1"/>
  <c r="AF14" i="1"/>
  <c r="AL30" i="1"/>
  <c r="AH14" i="1"/>
  <c r="AJ29" i="1"/>
  <c r="AO13" i="1"/>
  <c r="AQ8" i="1"/>
  <c r="AG29" i="1"/>
  <c r="AN2" i="1"/>
  <c r="AN15" i="1"/>
  <c r="AQ13" i="1"/>
  <c r="AP8" i="1"/>
  <c r="AO6" i="1"/>
  <c r="AM29" i="1"/>
  <c r="AJ12" i="1"/>
  <c r="AL25" i="1"/>
  <c r="AK6" i="1"/>
  <c r="AN33" i="1"/>
  <c r="AM12" i="1"/>
  <c r="AM25" i="1"/>
  <c r="AN25" i="1"/>
  <c r="AN17" i="1"/>
  <c r="AQ15" i="1"/>
  <c r="AN23" i="1"/>
  <c r="AL23" i="1"/>
  <c r="AN26" i="1"/>
  <c r="AQ12" i="1"/>
  <c r="AM17" i="1"/>
  <c r="AL14" i="1"/>
  <c r="AQ9" i="1"/>
  <c r="AH33" i="1"/>
  <c r="AL6" i="1"/>
  <c r="AF8" i="1"/>
  <c r="AI29" i="1"/>
  <c r="AL8" i="1"/>
  <c r="AL17" i="1"/>
  <c r="AI8" i="1"/>
  <c r="AK8" i="1"/>
  <c r="AM11" i="1"/>
  <c r="AH8" i="1"/>
  <c r="AL21" i="1"/>
  <c r="AP9" i="1"/>
  <c r="AK21" i="1"/>
  <c r="AM2" i="1"/>
  <c r="AL12" i="1"/>
  <c r="AG6" i="1"/>
  <c r="AP15" i="1"/>
  <c r="AI14" i="1"/>
  <c r="AI6" i="1"/>
  <c r="AP13" i="1"/>
  <c r="AL13" i="1"/>
  <c r="AG2" i="1"/>
  <c r="AO2" i="1"/>
  <c r="AL9" i="1"/>
  <c r="AI33" i="1"/>
  <c r="AP33" i="1"/>
  <c r="AH6" i="1"/>
  <c r="AJ8" i="1"/>
  <c r="AP6" i="1"/>
  <c r="AO29" i="1"/>
  <c r="AF33" i="1"/>
  <c r="AO9" i="1"/>
  <c r="AJ2" i="1"/>
  <c r="AM8" i="1"/>
  <c r="AH2" i="1"/>
  <c r="AG12" i="1"/>
  <c r="AO8" i="1"/>
  <c r="AN12" i="1"/>
  <c r="AM13" i="1"/>
  <c r="AL29" i="1"/>
  <c r="AO33" i="1"/>
  <c r="AL11" i="1"/>
  <c r="AI12" i="1"/>
  <c r="AM33" i="1"/>
  <c r="AN13" i="1"/>
  <c r="AG13" i="1"/>
  <c r="AN14" i="1"/>
  <c r="AQ29" i="1"/>
  <c r="AP29" i="1"/>
  <c r="AK2" i="1"/>
  <c r="AK15" i="1"/>
  <c r="AN21" i="1"/>
  <c r="AK33" i="1"/>
  <c r="AH13" i="1"/>
  <c r="AP12" i="1"/>
  <c r="AG8" i="1"/>
  <c r="AN11" i="1"/>
  <c r="AF6" i="1"/>
  <c r="AI13" i="1"/>
  <c r="AQ26" i="1"/>
  <c r="AN30" i="1"/>
  <c r="AF29" i="1"/>
  <c r="AO30" i="1"/>
  <c r="AN29" i="1"/>
  <c r="AF2" i="1"/>
  <c r="AL2" i="1"/>
  <c r="AK9" i="1"/>
  <c r="AP30" i="1"/>
  <c r="AQ6" i="1"/>
  <c r="AQ2" i="1"/>
  <c r="AQ30" i="1"/>
  <c r="AK12" i="1"/>
  <c r="AK26" i="1"/>
  <c r="AI2" i="1"/>
  <c r="AK14" i="1"/>
  <c r="AH29" i="1"/>
  <c r="AO12" i="1"/>
  <c r="AJ9" i="1"/>
  <c r="AK13" i="1"/>
  <c r="AJ33" i="1"/>
  <c r="AI9" i="1"/>
  <c r="AM23" i="1"/>
  <c r="AM9" i="1"/>
  <c r="AF12" i="1"/>
  <c r="EC29" i="12" l="1"/>
  <c r="CW26" i="12"/>
  <c r="DG21" i="12"/>
  <c r="DY29" i="12"/>
  <c r="DC12" i="12"/>
  <c r="DE21" i="12"/>
  <c r="CO29" i="12"/>
  <c r="EO30" i="12"/>
  <c r="CS28" i="12"/>
  <c r="CS37" i="12"/>
  <c r="CW12" i="12"/>
  <c r="EG29" i="12"/>
  <c r="EG30" i="12"/>
  <c r="EO29" i="12"/>
  <c r="N35" i="1"/>
  <c r="CS21" i="12"/>
  <c r="DC21" i="12"/>
  <c r="DK21" i="12"/>
  <c r="N28" i="1"/>
  <c r="N14" i="1"/>
  <c r="CO21" i="12"/>
  <c r="DE26" i="12"/>
  <c r="DK30" i="12"/>
  <c r="DG26" i="12"/>
  <c r="CS29" i="12"/>
  <c r="CW28" i="12"/>
  <c r="DQ30" i="12"/>
  <c r="CS27" i="12"/>
  <c r="DE37" i="12"/>
  <c r="DQ29" i="12"/>
  <c r="CW29" i="12"/>
  <c r="CS30" i="12"/>
  <c r="DG13" i="12"/>
  <c r="DQ37" i="12"/>
  <c r="DK29" i="12"/>
  <c r="EO21" i="12"/>
  <c r="DG37" i="12"/>
  <c r="DC28" i="12"/>
  <c r="CS26" i="12"/>
  <c r="DC29" i="12"/>
  <c r="CO30" i="12"/>
  <c r="CO20" i="12"/>
  <c r="CO26" i="12"/>
  <c r="CW27" i="12"/>
  <c r="DG15" i="12"/>
  <c r="EX16" i="12"/>
  <c r="N17" i="1"/>
  <c r="EW14" i="12"/>
  <c r="EX14" i="12"/>
  <c r="EV14" i="12"/>
  <c r="EW10" i="12"/>
  <c r="DI15" i="12"/>
  <c r="N21" i="1" s="1"/>
  <c r="EV10" i="12"/>
  <c r="N24" i="1"/>
  <c r="DM15" i="12"/>
  <c r="N12" i="1"/>
  <c r="DG12" i="12"/>
  <c r="CO15" i="12"/>
  <c r="CW15" i="12"/>
  <c r="CY12" i="12"/>
  <c r="CW38" i="12"/>
  <c r="DE15" i="12"/>
  <c r="EC12" i="12"/>
  <c r="EQ12" i="12"/>
  <c r="N38" i="1" s="1"/>
  <c r="EO20" i="12"/>
  <c r="DE13" i="12"/>
  <c r="CO12" i="12"/>
  <c r="DG38" i="12"/>
  <c r="CY15" i="12"/>
  <c r="DE38" i="12"/>
  <c r="DE12" i="12"/>
  <c r="DM12" i="12"/>
  <c r="EO15" i="12"/>
  <c r="CO37" i="12"/>
  <c r="CS15" i="12"/>
  <c r="CS12" i="12"/>
  <c r="CW37" i="12"/>
  <c r="DQ38" i="12"/>
  <c r="N27" i="1"/>
  <c r="DY12" i="12"/>
  <c r="EV16" i="12"/>
  <c r="EX6" i="12"/>
  <c r="EW16" i="12"/>
  <c r="EV8" i="12"/>
  <c r="EW8" i="12"/>
  <c r="EX8" i="12"/>
  <c r="EW6" i="12"/>
  <c r="N36" i="1"/>
  <c r="EX5" i="12"/>
  <c r="EV6" i="12"/>
  <c r="EV5" i="12"/>
  <c r="EW5" i="12"/>
  <c r="DK15" i="12"/>
  <c r="DK20" i="12"/>
  <c r="AJ13" i="1"/>
  <c r="N29" i="1" l="1"/>
  <c r="N31" i="1"/>
  <c r="EW26" i="12"/>
  <c r="EW28" i="12"/>
  <c r="EW21" i="12"/>
  <c r="N33" i="1"/>
  <c r="EV13" i="12"/>
  <c r="EX21" i="12"/>
  <c r="EV21" i="12"/>
  <c r="N18" i="1"/>
  <c r="EV26" i="12"/>
  <c r="EV29" i="12"/>
  <c r="EV27" i="12"/>
  <c r="EX26" i="12"/>
  <c r="EX27" i="12"/>
  <c r="EW29" i="12"/>
  <c r="EX28" i="12"/>
  <c r="EV28" i="12"/>
  <c r="EV30" i="12"/>
  <c r="N25" i="1"/>
  <c r="EW27" i="12"/>
  <c r="EW30" i="12"/>
  <c r="EX29" i="12"/>
  <c r="EX30" i="12"/>
  <c r="EX20" i="12"/>
  <c r="N23" i="1"/>
  <c r="N37" i="1"/>
  <c r="N16" i="1"/>
  <c r="EY10" i="12"/>
  <c r="EZ10" i="12" s="1"/>
  <c r="T17" i="1" s="1"/>
  <c r="EY14" i="12"/>
  <c r="EZ14" i="12" s="1"/>
  <c r="T21" i="1" s="1"/>
  <c r="EW13" i="12"/>
  <c r="EX12" i="12"/>
  <c r="EV12" i="12"/>
  <c r="N15" i="1"/>
  <c r="EV37" i="12"/>
  <c r="N13" i="1"/>
  <c r="EV38" i="12"/>
  <c r="EX13" i="12"/>
  <c r="EW38" i="12"/>
  <c r="EW12" i="12"/>
  <c r="N11" i="1"/>
  <c r="N19" i="1"/>
  <c r="N20" i="1"/>
  <c r="EX37" i="12"/>
  <c r="EX38" i="12"/>
  <c r="EW15" i="12"/>
  <c r="EW37" i="12"/>
  <c r="EV20" i="12"/>
  <c r="EW20" i="12"/>
  <c r="EV15" i="12"/>
  <c r="EX15" i="12"/>
  <c r="N22" i="1"/>
  <c r="EY6" i="12"/>
  <c r="EZ6" i="12" s="1"/>
  <c r="T13" i="1" s="1"/>
  <c r="EY16" i="12"/>
  <c r="EZ16" i="12" s="1"/>
  <c r="T23" i="1" s="1"/>
  <c r="EY5" i="12"/>
  <c r="EY8" i="12"/>
  <c r="EZ8" i="12" s="1"/>
  <c r="T15" i="1" s="1"/>
  <c r="EY28" i="12" l="1"/>
  <c r="EZ28" i="12" s="1"/>
  <c r="T35" i="1" s="1"/>
  <c r="EY21" i="12"/>
  <c r="EZ21" i="12" s="1"/>
  <c r="T28" i="1" s="1"/>
  <c r="G124" i="1"/>
  <c r="H124" i="1" s="1"/>
  <c r="E199" i="36" s="1"/>
  <c r="EY29" i="12"/>
  <c r="EZ29" i="12" s="1"/>
  <c r="T36" i="1" s="1"/>
  <c r="EY13" i="12"/>
  <c r="EZ13" i="12" s="1"/>
  <c r="T20" i="1" s="1"/>
  <c r="EY30" i="12"/>
  <c r="EZ30" i="12" s="1"/>
  <c r="T37" i="1" s="1"/>
  <c r="EY26" i="12"/>
  <c r="EZ26" i="12" s="1"/>
  <c r="T33" i="1" s="1"/>
  <c r="EY27" i="12"/>
  <c r="EZ27" i="12" s="1"/>
  <c r="T34" i="1" s="1"/>
  <c r="G121" i="1"/>
  <c r="H121" i="1" s="1"/>
  <c r="E193" i="36" s="1"/>
  <c r="G120" i="1"/>
  <c r="H120" i="1" s="1"/>
  <c r="E192" i="36" s="1"/>
  <c r="G119" i="1"/>
  <c r="H119" i="1" s="1"/>
  <c r="E191" i="36" s="1"/>
  <c r="G123" i="1"/>
  <c r="H123" i="1" s="1"/>
  <c r="E198" i="36" s="1"/>
  <c r="G115" i="1"/>
  <c r="H115" i="1" s="1"/>
  <c r="E184" i="36" s="1"/>
  <c r="EY38" i="12"/>
  <c r="EZ38" i="12" s="1"/>
  <c r="T45" i="1" s="1"/>
  <c r="G116" i="1"/>
  <c r="H116" i="1" s="1"/>
  <c r="E185" i="36" s="1"/>
  <c r="G125" i="1"/>
  <c r="H125" i="1" s="1"/>
  <c r="E200" i="36" s="1"/>
  <c r="EY12" i="12"/>
  <c r="EZ12" i="12" s="1"/>
  <c r="T19" i="1" s="1"/>
  <c r="G117" i="1"/>
  <c r="H117" i="1" s="1"/>
  <c r="E186" i="36" s="1"/>
  <c r="EY37" i="12"/>
  <c r="N42" i="1"/>
  <c r="G108" i="1"/>
  <c r="H108" i="1" s="1"/>
  <c r="E173" i="36" s="1"/>
  <c r="G113" i="1"/>
  <c r="H113" i="1" s="1"/>
  <c r="E180" i="36" s="1"/>
  <c r="G112" i="1"/>
  <c r="H112" i="1" s="1"/>
  <c r="E179" i="36" s="1"/>
  <c r="G111" i="1"/>
  <c r="H111" i="1" s="1"/>
  <c r="E178" i="36" s="1"/>
  <c r="G109" i="1"/>
  <c r="H109" i="1" s="1"/>
  <c r="E174" i="36" s="1"/>
  <c r="EY15" i="12"/>
  <c r="G107" i="1"/>
  <c r="H107" i="1" s="1"/>
  <c r="E172" i="36" s="1"/>
  <c r="EY20" i="12"/>
  <c r="EZ20" i="12" s="1"/>
  <c r="T27" i="1" s="1"/>
  <c r="EZ5" i="12"/>
  <c r="T12" i="1" s="1"/>
  <c r="G5" i="36" l="1"/>
  <c r="H5" i="36"/>
  <c r="F5" i="36"/>
  <c r="E195" i="36"/>
  <c r="E202" i="36"/>
  <c r="G126" i="1"/>
  <c r="H126" i="1" s="1"/>
  <c r="EZ37" i="12"/>
  <c r="T44" i="1" s="1"/>
  <c r="G118" i="1"/>
  <c r="H118" i="1" s="1"/>
  <c r="E188" i="36"/>
  <c r="E182" i="36"/>
  <c r="E176" i="36"/>
  <c r="G132" i="1"/>
  <c r="H132" i="1" s="1"/>
  <c r="G114" i="1"/>
  <c r="H114" i="1" s="1"/>
  <c r="E181" i="36" s="1"/>
  <c r="G122" i="1"/>
  <c r="H122" i="1" s="1"/>
  <c r="E194" i="36" s="1"/>
  <c r="G133" i="1"/>
  <c r="H133" i="1" s="1"/>
  <c r="G131" i="1"/>
  <c r="N41" i="1"/>
  <c r="N43" i="1" s="1"/>
  <c r="EZ15" i="12"/>
  <c r="T22" i="1" s="1"/>
  <c r="G110" i="1"/>
  <c r="J3" i="60" l="1"/>
  <c r="K19" i="1" s="1"/>
  <c r="E187" i="36"/>
  <c r="G134" i="1"/>
  <c r="H134" i="1" s="1"/>
  <c r="N45" i="1"/>
  <c r="J2" i="60"/>
  <c r="L19" i="1" s="1"/>
  <c r="J5" i="60"/>
  <c r="M20" i="1" s="1"/>
  <c r="J4" i="60"/>
  <c r="J19" i="1" s="1"/>
  <c r="H131" i="1"/>
  <c r="H110" i="1"/>
  <c r="E175" i="36" s="1"/>
  <c r="K11" i="1" l="1"/>
  <c r="K28" i="1"/>
  <c r="K38" i="1"/>
  <c r="K27" i="1"/>
  <c r="K35" i="1"/>
  <c r="K14" i="1"/>
  <c r="K39" i="1"/>
  <c r="K22" i="1"/>
  <c r="K17" i="1"/>
  <c r="K37" i="1"/>
  <c r="K13" i="1"/>
  <c r="K33" i="1"/>
  <c r="K29" i="1"/>
  <c r="K15" i="1"/>
  <c r="K20" i="1"/>
  <c r="K24" i="1"/>
  <c r="K30" i="1"/>
  <c r="K40" i="1"/>
  <c r="K25" i="1"/>
  <c r="K16" i="1"/>
  <c r="K26" i="1"/>
  <c r="K21" i="1"/>
  <c r="K34" i="1"/>
  <c r="K36" i="1"/>
  <c r="K32" i="1"/>
  <c r="K31" i="1"/>
  <c r="K12" i="1"/>
  <c r="K18" i="1"/>
  <c r="K23" i="1"/>
  <c r="D7" i="36"/>
  <c r="G136" i="1"/>
  <c r="H136" i="1" s="1"/>
  <c r="G135" i="1"/>
  <c r="H135" i="1" s="1"/>
  <c r="M21" i="1"/>
  <c r="M33" i="1"/>
  <c r="M34" i="1"/>
  <c r="M17" i="1"/>
  <c r="J14" i="1"/>
  <c r="M18" i="1"/>
  <c r="M32" i="1"/>
  <c r="J16" i="1"/>
  <c r="M31" i="1"/>
  <c r="M11" i="1"/>
  <c r="J26" i="1"/>
  <c r="J12" i="1"/>
  <c r="M26" i="1"/>
  <c r="M35" i="1"/>
  <c r="J32" i="1"/>
  <c r="J23" i="1"/>
  <c r="J34" i="1"/>
  <c r="J33" i="1"/>
  <c r="J15" i="1"/>
  <c r="J22" i="1"/>
  <c r="M28" i="1"/>
  <c r="M29" i="1"/>
  <c r="M36" i="1"/>
  <c r="M15" i="1"/>
  <c r="J37" i="1"/>
  <c r="M16" i="1"/>
  <c r="M12" i="1"/>
  <c r="M14" i="1"/>
  <c r="M25" i="1"/>
  <c r="J11" i="1"/>
  <c r="J38" i="1"/>
  <c r="M37" i="1"/>
  <c r="J30" i="1"/>
  <c r="M38" i="1"/>
  <c r="L25" i="1"/>
  <c r="L23" i="1"/>
  <c r="L27" i="1"/>
  <c r="L30" i="1"/>
  <c r="L29" i="1"/>
  <c r="L37" i="1"/>
  <c r="L13" i="1"/>
  <c r="L40" i="1"/>
  <c r="L28" i="1"/>
  <c r="L24" i="1"/>
  <c r="L36" i="1"/>
  <c r="L12" i="1"/>
  <c r="L20" i="1"/>
  <c r="L33" i="1"/>
  <c r="L32" i="1"/>
  <c r="L14" i="1"/>
  <c r="L31" i="1"/>
  <c r="L18" i="1"/>
  <c r="L34" i="1"/>
  <c r="L11" i="1"/>
  <c r="L39" i="1"/>
  <c r="L22" i="1"/>
  <c r="L21" i="1"/>
  <c r="L15" i="1"/>
  <c r="L17" i="1"/>
  <c r="L16" i="1"/>
  <c r="L26" i="1"/>
  <c r="J31" i="1"/>
  <c r="L38" i="1"/>
  <c r="J6" i="60"/>
  <c r="J20" i="1"/>
  <c r="J28" i="1"/>
  <c r="J36" i="1"/>
  <c r="J13" i="1"/>
  <c r="M23" i="1"/>
  <c r="J40" i="1"/>
  <c r="J25" i="1"/>
  <c r="M30" i="1"/>
  <c r="M22" i="1"/>
  <c r="J21" i="1"/>
  <c r="J35" i="1"/>
  <c r="M24" i="1"/>
  <c r="M39" i="1"/>
  <c r="M19" i="1"/>
  <c r="J17" i="1"/>
  <c r="J29" i="1"/>
  <c r="M27" i="1"/>
  <c r="M13" i="1"/>
  <c r="L35" i="1"/>
  <c r="J39" i="1"/>
  <c r="J27" i="1"/>
  <c r="J18" i="1"/>
  <c r="J24" i="1"/>
  <c r="M40" i="1"/>
  <c r="O123" i="1"/>
  <c r="O119" i="1"/>
  <c r="O111" i="1"/>
  <c r="E111" i="1" s="1"/>
  <c r="O107" i="1"/>
  <c r="E107" i="1" s="1"/>
  <c r="O115" i="1"/>
  <c r="E115" i="1" s="1"/>
  <c r="T7" i="37" l="1"/>
  <c r="P15" i="37"/>
  <c r="AV13" i="37"/>
  <c r="Z7" i="37"/>
  <c r="AM5" i="37"/>
  <c r="N5" i="37"/>
  <c r="P8" i="37"/>
  <c r="AC9" i="37"/>
  <c r="M4" i="37"/>
  <c r="O7" i="37"/>
  <c r="AG17" i="37"/>
  <c r="O16" i="37"/>
  <c r="AA17" i="37"/>
  <c r="Y11" i="37"/>
  <c r="AV12" i="37"/>
  <c r="AR17" i="37"/>
  <c r="W14" i="37"/>
  <c r="K8" i="37"/>
  <c r="AS4" i="37"/>
  <c r="AE8" i="37"/>
  <c r="AO16" i="37"/>
  <c r="L15" i="37"/>
  <c r="AX10" i="37"/>
  <c r="N7" i="37"/>
  <c r="O14" i="37"/>
  <c r="W17" i="37"/>
  <c r="AB13" i="37"/>
  <c r="AT9" i="37"/>
  <c r="W11" i="37"/>
  <c r="AH9" i="37"/>
  <c r="AV14" i="37"/>
  <c r="T15" i="37"/>
  <c r="K6" i="37"/>
  <c r="AA4" i="37"/>
  <c r="AW11" i="37"/>
  <c r="AM16" i="37"/>
  <c r="AR9" i="37"/>
  <c r="K12" i="37"/>
  <c r="AK14" i="37"/>
  <c r="AU10" i="37"/>
  <c r="AJ5" i="37"/>
  <c r="J15" i="37"/>
  <c r="AN7" i="37"/>
  <c r="W12" i="37"/>
  <c r="W4" i="37"/>
  <c r="AA9" i="37"/>
  <c r="AQ6" i="37"/>
  <c r="AM10" i="37"/>
  <c r="AX15" i="37"/>
  <c r="AH11" i="37"/>
  <c r="J12" i="37"/>
  <c r="Q15" i="37"/>
  <c r="R12" i="37"/>
  <c r="S13" i="37"/>
  <c r="AI14" i="37"/>
  <c r="W8" i="37"/>
  <c r="AC11" i="37"/>
  <c r="J14" i="37"/>
  <c r="AF16" i="37"/>
  <c r="AU8" i="37"/>
  <c r="AP9" i="37"/>
  <c r="Z15" i="37"/>
  <c r="AE10" i="37"/>
  <c r="AO5" i="37"/>
  <c r="AO11" i="37"/>
  <c r="AS12" i="37"/>
  <c r="AR14" i="37"/>
  <c r="L9" i="37"/>
  <c r="J13" i="37"/>
  <c r="N10" i="37"/>
  <c r="AX9" i="37"/>
  <c r="AT8" i="37"/>
  <c r="AQ12" i="37"/>
  <c r="M17" i="37"/>
  <c r="AM11" i="37"/>
  <c r="AE15" i="37"/>
  <c r="AJ9" i="37"/>
  <c r="AF6" i="37"/>
  <c r="X7" i="37"/>
  <c r="AH15" i="37"/>
  <c r="X4" i="37"/>
  <c r="M7" i="37"/>
  <c r="AI6" i="37"/>
  <c r="AT16" i="37"/>
  <c r="T16" i="37"/>
  <c r="AK15" i="37"/>
  <c r="AK10" i="37"/>
  <c r="AV5" i="37"/>
  <c r="AG15" i="37"/>
  <c r="AN6" i="37"/>
  <c r="N12" i="37"/>
  <c r="J6" i="37"/>
  <c r="AG9" i="37"/>
  <c r="AP7" i="37"/>
  <c r="AR15" i="37"/>
  <c r="AD17" i="37"/>
  <c r="AP16" i="37"/>
  <c r="AM12" i="37"/>
  <c r="N14" i="37"/>
  <c r="W7" i="37"/>
  <c r="AL14" i="37"/>
  <c r="AF12" i="37"/>
  <c r="AE4" i="37"/>
  <c r="AE14" i="37"/>
  <c r="AA6" i="37"/>
  <c r="AP13" i="37"/>
  <c r="K17" i="37"/>
  <c r="W5" i="37"/>
  <c r="T14" i="37"/>
  <c r="AP17" i="37"/>
  <c r="AL4" i="37"/>
  <c r="AA11" i="37"/>
  <c r="T9" i="37"/>
  <c r="AM4" i="37"/>
  <c r="AV8" i="37"/>
  <c r="AX17" i="37"/>
  <c r="AR10" i="37"/>
  <c r="AC14" i="37"/>
  <c r="AW16" i="37"/>
  <c r="AS15" i="37"/>
  <c r="AI7" i="37"/>
  <c r="AJ8" i="37"/>
  <c r="V9" i="37"/>
  <c r="AX11" i="37"/>
  <c r="AS6" i="37"/>
  <c r="M15" i="37"/>
  <c r="Y13" i="37"/>
  <c r="AB10" i="37"/>
  <c r="AS13" i="37"/>
  <c r="AM7" i="37"/>
  <c r="AC13" i="37"/>
  <c r="AV4" i="37"/>
  <c r="AW4" i="37"/>
  <c r="AT13" i="37"/>
  <c r="T8" i="37"/>
  <c r="V6" i="37"/>
  <c r="AH16" i="37"/>
  <c r="N4" i="37"/>
  <c r="M9" i="37"/>
  <c r="AU17" i="37"/>
  <c r="AR6" i="37"/>
  <c r="AB8" i="37"/>
  <c r="U12" i="37"/>
  <c r="N17" i="37"/>
  <c r="AK17" i="37"/>
  <c r="X13" i="37"/>
  <c r="AL13" i="37"/>
  <c r="AE5" i="37"/>
  <c r="AQ17" i="37"/>
  <c r="AU4" i="37"/>
  <c r="J9" i="37"/>
  <c r="U10" i="37"/>
  <c r="AC17" i="37"/>
  <c r="AX8" i="37"/>
  <c r="N15" i="37"/>
  <c r="AP8" i="37"/>
  <c r="AJ7" i="37"/>
  <c r="AA15" i="37"/>
  <c r="J4" i="37"/>
  <c r="AK6" i="37"/>
  <c r="AE16" i="37"/>
  <c r="AB11" i="37"/>
  <c r="AT15" i="37"/>
  <c r="AI4" i="37"/>
  <c r="L17" i="37"/>
  <c r="AI8" i="37"/>
  <c r="AW8" i="37"/>
  <c r="Y17" i="37"/>
  <c r="AP6" i="37"/>
  <c r="K11" i="37"/>
  <c r="AS14" i="37"/>
  <c r="L14" i="37"/>
  <c r="AI11" i="37"/>
  <c r="S11" i="37"/>
  <c r="M10" i="37"/>
  <c r="Z5" i="37"/>
  <c r="S15" i="37"/>
  <c r="Z8" i="37"/>
  <c r="U5" i="37"/>
  <c r="T4" i="37"/>
  <c r="AQ11" i="37"/>
  <c r="AP15" i="37"/>
  <c r="R5" i="37"/>
  <c r="AJ12" i="37"/>
  <c r="AL11" i="37"/>
  <c r="AG13" i="37"/>
  <c r="AH17" i="37"/>
  <c r="AQ10" i="37"/>
  <c r="AF17" i="37"/>
  <c r="P5" i="37"/>
  <c r="X11" i="37"/>
  <c r="Y6" i="37"/>
  <c r="L5" i="37"/>
  <c r="AN12" i="37"/>
  <c r="AB5" i="37"/>
  <c r="AW10" i="37"/>
  <c r="AX16" i="37"/>
  <c r="P6" i="37"/>
  <c r="R15" i="37"/>
  <c r="Z12" i="37"/>
  <c r="K16" i="37"/>
  <c r="AA10" i="37"/>
  <c r="AP4" i="37"/>
  <c r="AU9" i="37"/>
  <c r="V5" i="37"/>
  <c r="N16" i="37"/>
  <c r="AA5" i="37"/>
  <c r="Q17" i="37"/>
  <c r="Q11" i="37"/>
  <c r="AR12" i="37"/>
  <c r="AV6" i="37"/>
  <c r="AF5" i="37"/>
  <c r="AD10" i="37"/>
  <c r="P14" i="37"/>
  <c r="AO17" i="37"/>
  <c r="AH5" i="37"/>
  <c r="AS17" i="37"/>
  <c r="AS10" i="37"/>
  <c r="AF14" i="37"/>
  <c r="AJ14" i="37"/>
  <c r="R14" i="37"/>
  <c r="O10" i="37"/>
  <c r="Z13" i="37"/>
  <c r="AH12" i="37"/>
  <c r="AA16" i="37"/>
  <c r="AN4" i="37"/>
  <c r="U8" i="37"/>
  <c r="P11" i="37"/>
  <c r="AX7" i="37"/>
  <c r="AM6" i="37"/>
  <c r="S8" i="37"/>
  <c r="AE13" i="37"/>
  <c r="J10" i="37"/>
  <c r="M5" i="37"/>
  <c r="AD6" i="37"/>
  <c r="Z4" i="37"/>
  <c r="AX13" i="37"/>
  <c r="M12" i="37"/>
  <c r="V4" i="37"/>
  <c r="AV16" i="37"/>
  <c r="AX5" i="37"/>
  <c r="AH6" i="37"/>
  <c r="S7" i="37"/>
  <c r="AG7" i="37"/>
  <c r="AD11" i="37"/>
  <c r="AB14" i="37"/>
  <c r="AH14" i="37"/>
  <c r="AH10" i="37"/>
  <c r="O12" i="37"/>
  <c r="AG6" i="37"/>
  <c r="AK5" i="37"/>
  <c r="M11" i="37"/>
  <c r="R4" i="37"/>
  <c r="P16" i="37"/>
  <c r="W16" i="37"/>
  <c r="AT11" i="37"/>
  <c r="AL6" i="37"/>
  <c r="S12" i="37"/>
  <c r="K7" i="37"/>
  <c r="P9" i="37"/>
  <c r="X14" i="37"/>
  <c r="Z10" i="37"/>
  <c r="AN10" i="37"/>
  <c r="AQ4" i="37"/>
  <c r="AD16" i="37"/>
  <c r="AA12" i="37"/>
  <c r="AK13" i="37"/>
  <c r="X16" i="37"/>
  <c r="K10" i="37"/>
  <c r="AC12" i="37"/>
  <c r="AP11" i="37"/>
  <c r="AI9" i="37"/>
  <c r="AS8" i="37"/>
  <c r="AV17" i="37"/>
  <c r="S4" i="37"/>
  <c r="R13" i="37"/>
  <c r="AW9" i="37"/>
  <c r="T6" i="37"/>
  <c r="R9" i="37"/>
  <c r="O13" i="37"/>
  <c r="AR13" i="37"/>
  <c r="AW17" i="37"/>
  <c r="M13" i="37"/>
  <c r="Q5" i="37"/>
  <c r="AD4" i="37"/>
  <c r="AG10" i="37"/>
  <c r="N6" i="37"/>
  <c r="L6" i="37"/>
  <c r="X17" i="37"/>
  <c r="AC7" i="37"/>
  <c r="AO12" i="37"/>
  <c r="K9" i="37"/>
  <c r="AQ7" i="37"/>
  <c r="T12" i="37"/>
  <c r="AN16" i="37"/>
  <c r="T11" i="37"/>
  <c r="X8" i="37"/>
  <c r="AM17" i="37"/>
  <c r="S10" i="37"/>
  <c r="AQ8" i="37"/>
  <c r="AT12" i="37"/>
  <c r="AR4" i="37"/>
  <c r="R6" i="37"/>
  <c r="Q4" i="37"/>
  <c r="M16" i="37"/>
  <c r="Q6" i="37"/>
  <c r="AP14" i="37"/>
  <c r="AL7" i="37"/>
  <c r="R8" i="37"/>
  <c r="S14" i="37"/>
  <c r="AG11" i="37"/>
  <c r="Y12" i="37"/>
  <c r="AF11" i="37"/>
  <c r="AO6" i="37"/>
  <c r="AG12" i="37"/>
  <c r="AB6" i="37"/>
  <c r="W13" i="37"/>
  <c r="Q9" i="37"/>
  <c r="J11" i="37"/>
  <c r="AF13" i="37"/>
  <c r="AG5" i="37"/>
  <c r="Q12" i="37"/>
  <c r="T13" i="37"/>
  <c r="AW6" i="37"/>
  <c r="AN9" i="37"/>
  <c r="O9" i="37"/>
  <c r="AD13" i="37"/>
  <c r="N13" i="37"/>
  <c r="AF10" i="37"/>
  <c r="AI15" i="37"/>
  <c r="V15" i="37"/>
  <c r="AO13" i="37"/>
  <c r="P4" i="37"/>
  <c r="AJ17" i="37"/>
  <c r="AT7" i="37"/>
  <c r="AK12" i="37"/>
  <c r="AV7" i="37"/>
  <c r="AL9" i="37"/>
  <c r="AQ14" i="37"/>
  <c r="AM15" i="37"/>
  <c r="AP10" i="37"/>
  <c r="AD12" i="37"/>
  <c r="AJ4" i="37"/>
  <c r="R11" i="37"/>
  <c r="AP5" i="37"/>
  <c r="U7" i="37"/>
  <c r="AS11" i="37"/>
  <c r="AA8" i="37"/>
  <c r="S17" i="37"/>
  <c r="AB12" i="37"/>
  <c r="Y16" i="37"/>
  <c r="X6" i="37"/>
  <c r="AU5" i="37"/>
  <c r="AW15" i="37"/>
  <c r="V12" i="37"/>
  <c r="AC4" i="37"/>
  <c r="V13" i="37"/>
  <c r="Y4" i="37"/>
  <c r="L13" i="37"/>
  <c r="Q16" i="37"/>
  <c r="AE9" i="37"/>
  <c r="AU6" i="37"/>
  <c r="X12" i="37"/>
  <c r="AC16" i="37"/>
  <c r="AR8" i="37"/>
  <c r="AL17" i="37"/>
  <c r="M6" i="37"/>
  <c r="R10" i="37"/>
  <c r="Q8" i="37"/>
  <c r="AO10" i="37"/>
  <c r="AD15" i="37"/>
  <c r="AF4" i="37"/>
  <c r="Y9" i="37"/>
  <c r="R17" i="37"/>
  <c r="AO7" i="37"/>
  <c r="V14" i="37"/>
  <c r="AK7" i="37"/>
  <c r="L8" i="37"/>
  <c r="O17" i="37"/>
  <c r="Y7" i="37"/>
  <c r="AA14" i="37"/>
  <c r="AI17" i="37"/>
  <c r="AO15" i="37"/>
  <c r="P13" i="37"/>
  <c r="AI16" i="37"/>
  <c r="AB17" i="37"/>
  <c r="M14" i="37"/>
  <c r="AL8" i="37"/>
  <c r="AC5" i="37"/>
  <c r="AH4" i="37"/>
  <c r="AT10" i="37"/>
  <c r="AF9" i="37"/>
  <c r="W6" i="37"/>
  <c r="X10" i="37"/>
  <c r="AN13" i="37"/>
  <c r="Q13" i="37"/>
  <c r="AS9" i="37"/>
  <c r="AU11" i="37"/>
  <c r="U11" i="37"/>
  <c r="AB7" i="37"/>
  <c r="AI12" i="37"/>
  <c r="AK8" i="37"/>
  <c r="AS5" i="37"/>
  <c r="R7" i="37"/>
  <c r="V8" i="37"/>
  <c r="O15" i="37"/>
  <c r="U4" i="37"/>
  <c r="AU7" i="37"/>
  <c r="X9" i="37"/>
  <c r="L10" i="37"/>
  <c r="AH13" i="37"/>
  <c r="AX14" i="37"/>
  <c r="AX6" i="37"/>
  <c r="N11" i="37"/>
  <c r="U17" i="37"/>
  <c r="K5" i="37"/>
  <c r="O8" i="37"/>
  <c r="AV11" i="37"/>
  <c r="AL5" i="37"/>
  <c r="S16" i="37"/>
  <c r="AL12" i="37"/>
  <c r="V10" i="37"/>
  <c r="AD9" i="37"/>
  <c r="J5" i="37"/>
  <c r="AN11" i="37"/>
  <c r="V17" i="37"/>
  <c r="T5" i="37"/>
  <c r="AO4" i="37"/>
  <c r="AN15" i="37"/>
  <c r="W10" i="37"/>
  <c r="AR11" i="37"/>
  <c r="U6" i="37"/>
  <c r="AU13" i="37"/>
  <c r="AU12" i="37"/>
  <c r="Z6" i="37"/>
  <c r="AA13" i="37"/>
  <c r="AJ6" i="37"/>
  <c r="AO14" i="37"/>
  <c r="AW12" i="37"/>
  <c r="AC10" i="37"/>
  <c r="Z16" i="37"/>
  <c r="W15" i="37"/>
  <c r="AM13" i="37"/>
  <c r="Y14" i="37"/>
  <c r="N9" i="37"/>
  <c r="W9" i="37"/>
  <c r="K15" i="37"/>
  <c r="S9" i="37"/>
  <c r="AC8" i="37"/>
  <c r="AO9" i="37"/>
  <c r="P17" i="37"/>
  <c r="Q7" i="37"/>
  <c r="J16" i="37"/>
  <c r="T10" i="37"/>
  <c r="AB15" i="37"/>
  <c r="T17" i="37"/>
  <c r="AW7" i="37"/>
  <c r="AT14" i="37"/>
  <c r="AT5" i="37"/>
  <c r="AR7" i="37"/>
  <c r="V11" i="37"/>
  <c r="AL15" i="37"/>
  <c r="AI13" i="37"/>
  <c r="O6" i="37"/>
  <c r="N8" i="37"/>
  <c r="AW5" i="37"/>
  <c r="AJ16" i="37"/>
  <c r="P12" i="37"/>
  <c r="J7" i="37"/>
  <c r="L12" i="37"/>
  <c r="Y10" i="37"/>
  <c r="U14" i="37"/>
  <c r="S6" i="37"/>
  <c r="X15" i="37"/>
  <c r="AG4" i="37"/>
  <c r="AD8" i="37"/>
  <c r="AC15" i="37"/>
  <c r="O5" i="37"/>
  <c r="AQ15" i="37"/>
  <c r="AU16" i="37"/>
  <c r="L7" i="37"/>
  <c r="AI10" i="37"/>
  <c r="AG8" i="37"/>
  <c r="AC6" i="37"/>
  <c r="L11" i="37"/>
  <c r="U15" i="37"/>
  <c r="AP12" i="37"/>
  <c r="AT4" i="37"/>
  <c r="AE7" i="37"/>
  <c r="AL10" i="37"/>
  <c r="P10" i="37"/>
  <c r="AQ5" i="37"/>
  <c r="K13" i="37"/>
  <c r="Z9" i="37"/>
  <c r="Z14" i="37"/>
  <c r="AT6" i="37"/>
  <c r="AR5" i="37"/>
  <c r="AJ15" i="37"/>
  <c r="O4" i="37"/>
  <c r="AM8" i="37"/>
  <c r="AF15" i="37"/>
  <c r="AN17" i="37"/>
  <c r="AF8" i="37"/>
  <c r="AH7" i="37"/>
  <c r="AS7" i="37"/>
  <c r="AX4" i="37"/>
  <c r="AE6" i="37"/>
  <c r="AK16" i="37"/>
  <c r="AM9" i="37"/>
  <c r="AL16" i="37"/>
  <c r="AW13" i="37"/>
  <c r="Y15" i="37"/>
  <c r="K14" i="37"/>
  <c r="AV9" i="37"/>
  <c r="O131" i="1"/>
  <c r="AY15" i="37" l="1"/>
  <c r="C6" i="37"/>
  <c r="AY6" i="37"/>
  <c r="AD20" i="37"/>
  <c r="AR40" i="37"/>
  <c r="AX38" i="37"/>
  <c r="AL42" i="37"/>
  <c r="Y27" i="37"/>
  <c r="Y20" i="37"/>
  <c r="AA18" i="37"/>
  <c r="AU24" i="37"/>
  <c r="AX25" i="37"/>
  <c r="AI34" i="37"/>
  <c r="AA38" i="37"/>
  <c r="AL25" i="37"/>
  <c r="AS39" i="37"/>
  <c r="Q40" i="37"/>
  <c r="AE42" i="37"/>
  <c r="AO25" i="37"/>
  <c r="K36" i="37"/>
  <c r="AU19" i="37"/>
  <c r="AX35" i="37"/>
  <c r="Y32" i="37"/>
  <c r="AP23" i="37"/>
  <c r="AO23" i="37"/>
  <c r="AI31" i="37"/>
  <c r="AK30" i="37"/>
  <c r="J27" i="37"/>
  <c r="AI37" i="37"/>
  <c r="P37" i="37"/>
  <c r="M33" i="37"/>
  <c r="U27" i="37"/>
  <c r="AW18" i="37"/>
  <c r="P19" i="37"/>
  <c r="AK28" i="37"/>
  <c r="AO21" i="37"/>
  <c r="AK23" i="37"/>
  <c r="AT31" i="37"/>
  <c r="V24" i="37"/>
  <c r="AG27" i="37"/>
  <c r="AP18" i="37"/>
  <c r="AO22" i="37"/>
  <c r="AX29" i="37"/>
  <c r="X35" i="37"/>
  <c r="U37" i="37"/>
  <c r="AT40" i="37"/>
  <c r="T41" i="37"/>
  <c r="AD34" i="37"/>
  <c r="L34" i="37"/>
  <c r="AH38" i="37"/>
  <c r="AX33" i="37"/>
  <c r="AX37" i="37"/>
  <c r="AE36" i="37"/>
  <c r="AE32" i="37"/>
  <c r="L19" i="37"/>
  <c r="AM41" i="37"/>
  <c r="V30" i="37"/>
  <c r="AI30" i="37"/>
  <c r="AQ42" i="37"/>
  <c r="AH18" i="37"/>
  <c r="AA20" i="37"/>
  <c r="AI26" i="37"/>
  <c r="AG38" i="37"/>
  <c r="AK34" i="37"/>
  <c r="L28" i="37"/>
  <c r="U36" i="37"/>
  <c r="AP28" i="37"/>
  <c r="AB22" i="37"/>
  <c r="AV26" i="37"/>
  <c r="S36" i="37"/>
  <c r="AR24" i="37"/>
  <c r="X41" i="37"/>
  <c r="AL27" i="37"/>
  <c r="AL23" i="37"/>
  <c r="AD41" i="37"/>
  <c r="AT38" i="37"/>
  <c r="V31" i="37"/>
  <c r="AC31" i="37"/>
  <c r="L25" i="37"/>
  <c r="N24" i="37"/>
  <c r="AC38" i="37"/>
  <c r="AC33" i="37"/>
  <c r="T27" i="37"/>
  <c r="AQ30" i="37"/>
  <c r="T19" i="37"/>
  <c r="P40" i="37"/>
  <c r="L29" i="37"/>
  <c r="AB27" i="37"/>
  <c r="K38" i="37"/>
  <c r="Z21" i="37"/>
  <c r="AK22" i="37"/>
  <c r="Y23" i="37"/>
  <c r="N28" i="37"/>
  <c r="AN22" i="37"/>
  <c r="AD29" i="37"/>
  <c r="P24" i="37"/>
  <c r="AP26" i="37"/>
  <c r="J25" i="37"/>
  <c r="AW32" i="37"/>
  <c r="AU34" i="37"/>
  <c r="AE26" i="37"/>
  <c r="K42" i="37"/>
  <c r="AL34" i="37"/>
  <c r="W35" i="37"/>
  <c r="AB37" i="37"/>
  <c r="AS38" i="37"/>
  <c r="AG42" i="37"/>
  <c r="AM36" i="37"/>
  <c r="AU29" i="37"/>
  <c r="AD36" i="37"/>
  <c r="R38" i="37"/>
  <c r="M19" i="37"/>
  <c r="Q28" i="37"/>
  <c r="N32" i="37"/>
  <c r="AF20" i="37"/>
  <c r="AK27" i="37"/>
  <c r="AD26" i="37"/>
  <c r="AW22" i="37"/>
  <c r="AX41" i="37"/>
  <c r="U22" i="37"/>
  <c r="AW38" i="37"/>
  <c r="V33" i="37"/>
  <c r="AR20" i="37"/>
  <c r="Q35" i="37"/>
  <c r="S32" i="37"/>
  <c r="AH34" i="37"/>
  <c r="K20" i="37"/>
  <c r="AH25" i="37"/>
  <c r="AO27" i="37"/>
  <c r="AL18" i="37"/>
  <c r="AF40" i="37"/>
  <c r="AH30" i="37"/>
  <c r="Y41" i="37"/>
  <c r="N30" i="37"/>
  <c r="U19" i="37"/>
  <c r="AW19" i="37"/>
  <c r="V22" i="37"/>
  <c r="AG41" i="37"/>
  <c r="P34" i="37"/>
  <c r="AO36" i="37"/>
  <c r="U23" i="37"/>
  <c r="AL38" i="37"/>
  <c r="AJ32" i="37"/>
  <c r="AD23" i="37"/>
  <c r="Q29" i="37"/>
  <c r="S26" i="37"/>
  <c r="AM39" i="37"/>
  <c r="AT29" i="37"/>
  <c r="L33" i="37"/>
  <c r="R26" i="37"/>
  <c r="AP20" i="37"/>
  <c r="J20" i="37"/>
  <c r="AV25" i="37"/>
  <c r="AX30" i="37"/>
  <c r="AW37" i="37"/>
  <c r="AM19" i="37"/>
  <c r="AX32" i="37"/>
  <c r="L27" i="37"/>
  <c r="O26" i="37"/>
  <c r="AR26" i="37"/>
  <c r="J38" i="37"/>
  <c r="L26" i="37"/>
  <c r="U28" i="37"/>
  <c r="O40" i="37"/>
  <c r="W31" i="37"/>
  <c r="T39" i="37"/>
  <c r="K22" i="37"/>
  <c r="AO26" i="37"/>
  <c r="L30" i="37"/>
  <c r="AG18" i="37"/>
  <c r="AC35" i="37"/>
  <c r="AQ26" i="37"/>
  <c r="AW30" i="37"/>
  <c r="AB33" i="37"/>
  <c r="Y22" i="37"/>
  <c r="AJ22" i="37"/>
  <c r="AV38" i="37"/>
  <c r="N33" i="37"/>
  <c r="Y39" i="37"/>
  <c r="M32" i="37"/>
  <c r="Y24" i="37"/>
  <c r="AJ21" i="37"/>
  <c r="U35" i="37"/>
  <c r="AP36" i="37"/>
  <c r="Y35" i="37"/>
  <c r="N34" i="37"/>
  <c r="S18" i="37"/>
  <c r="R35" i="37"/>
  <c r="AI29" i="37"/>
  <c r="AT21" i="37"/>
  <c r="O19" i="37"/>
  <c r="O30" i="37"/>
  <c r="AC39" i="37"/>
  <c r="L20" i="37"/>
  <c r="K18" i="37"/>
  <c r="AA27" i="37"/>
  <c r="R23" i="37"/>
  <c r="AR21" i="37"/>
  <c r="U32" i="37"/>
  <c r="P18" i="37"/>
  <c r="AA34" i="37"/>
  <c r="AF27" i="37"/>
  <c r="AD28" i="37"/>
  <c r="AW20" i="37"/>
  <c r="AX28" i="37"/>
  <c r="K31" i="37"/>
  <c r="AT18" i="37"/>
  <c r="O37" i="37"/>
  <c r="N25" i="37"/>
  <c r="M27" i="37"/>
  <c r="J26" i="37"/>
  <c r="AP39" i="37"/>
  <c r="Q19" i="37"/>
  <c r="Q41" i="37"/>
  <c r="P28" i="37"/>
  <c r="P38" i="37"/>
  <c r="AC18" i="37"/>
  <c r="AA23" i="37"/>
  <c r="K35" i="37"/>
  <c r="Z19" i="37"/>
  <c r="AG20" i="37"/>
  <c r="AP30" i="37"/>
  <c r="AF25" i="37"/>
  <c r="AU39" i="37"/>
  <c r="Y19" i="37"/>
  <c r="AE40" i="37"/>
  <c r="AD35" i="37"/>
  <c r="O34" i="37"/>
  <c r="M31" i="37"/>
  <c r="AH39" i="37"/>
  <c r="AN38" i="37"/>
  <c r="R30" i="37"/>
  <c r="T37" i="37"/>
  <c r="P25" i="37"/>
  <c r="AG40" i="37"/>
  <c r="AE34" i="37"/>
  <c r="AE18" i="37"/>
  <c r="J35" i="37"/>
  <c r="X36" i="37"/>
  <c r="AG26" i="37"/>
  <c r="T35" i="37"/>
  <c r="P22" i="37"/>
  <c r="AG23" i="37"/>
  <c r="AH19" i="37"/>
  <c r="AB32" i="37"/>
  <c r="AA25" i="37"/>
  <c r="S24" i="37"/>
  <c r="M26" i="37"/>
  <c r="AQ41" i="37"/>
  <c r="Z26" i="37"/>
  <c r="O27" i="37"/>
  <c r="AQ37" i="37"/>
  <c r="AC32" i="37"/>
  <c r="N20" i="37"/>
  <c r="AO37" i="37"/>
  <c r="AT32" i="37"/>
  <c r="AQ35" i="37"/>
  <c r="L35" i="37"/>
  <c r="AL24" i="37"/>
  <c r="AA42" i="37"/>
  <c r="AM23" i="37"/>
  <c r="R28" i="37"/>
  <c r="AE23" i="37"/>
  <c r="AE33" i="37"/>
  <c r="AE20" i="37"/>
  <c r="Z32" i="37"/>
  <c r="AI38" i="37"/>
  <c r="W30" i="37"/>
  <c r="AS36" i="37"/>
  <c r="P27" i="37"/>
  <c r="M36" i="37"/>
  <c r="AD19" i="37"/>
  <c r="AN36" i="37"/>
  <c r="AR39" i="37"/>
  <c r="AP38" i="37"/>
  <c r="S38" i="37"/>
  <c r="S25" i="37"/>
  <c r="V23" i="37"/>
  <c r="K25" i="37"/>
  <c r="AP40" i="37"/>
  <c r="AM42" i="37"/>
  <c r="Q25" i="37"/>
  <c r="AO38" i="37"/>
  <c r="AG19" i="37"/>
  <c r="AJ28" i="37"/>
  <c r="AM28" i="37"/>
  <c r="AX22" i="37"/>
  <c r="AQ29" i="37"/>
  <c r="U38" i="37"/>
  <c r="AT30" i="37"/>
  <c r="AA37" i="37"/>
  <c r="AI22" i="37"/>
  <c r="AJ25" i="37"/>
  <c r="S39" i="37"/>
  <c r="AK25" i="37"/>
  <c r="AF24" i="37"/>
  <c r="AX39" i="37"/>
  <c r="AH32" i="37"/>
  <c r="AU21" i="37"/>
  <c r="X32" i="37"/>
  <c r="AF28" i="37"/>
  <c r="M24" i="37"/>
  <c r="AL20" i="37"/>
  <c r="Z28" i="37"/>
  <c r="AS22" i="37"/>
  <c r="AU22" i="37"/>
  <c r="AN31" i="37"/>
  <c r="AE25" i="37"/>
  <c r="AJ37" i="37"/>
  <c r="AI35" i="37"/>
  <c r="AH36" i="37"/>
  <c r="S22" i="37"/>
  <c r="J37" i="37"/>
  <c r="AM34" i="37"/>
  <c r="AT37" i="37"/>
  <c r="AC27" i="37"/>
  <c r="Z39" i="37"/>
  <c r="N37" i="37"/>
  <c r="N39" i="37"/>
  <c r="AC29" i="37"/>
  <c r="S23" i="37"/>
  <c r="AN30" i="37"/>
  <c r="AJ26" i="37"/>
  <c r="AW39" i="37"/>
  <c r="R32" i="37"/>
  <c r="AL32" i="37"/>
  <c r="K28" i="37"/>
  <c r="AB26" i="37"/>
  <c r="AG25" i="37"/>
  <c r="AK33" i="37"/>
  <c r="AS40" i="37"/>
  <c r="AJ34" i="37"/>
  <c r="AS35" i="37"/>
  <c r="M37" i="37"/>
  <c r="AJ35" i="37"/>
  <c r="AK41" i="37"/>
  <c r="AK19" i="37"/>
  <c r="AA36" i="37"/>
  <c r="S37" i="37"/>
  <c r="R34" i="37"/>
  <c r="AN39" i="37"/>
  <c r="S21" i="37"/>
  <c r="AS41" i="37"/>
  <c r="AO34" i="37"/>
  <c r="AT34" i="37"/>
  <c r="Y34" i="37"/>
  <c r="AJ19" i="37"/>
  <c r="Q21" i="37"/>
  <c r="L38" i="37"/>
  <c r="AV34" i="37"/>
  <c r="N18" i="37"/>
  <c r="K39" i="37"/>
  <c r="AB34" i="37"/>
  <c r="AT28" i="37"/>
  <c r="V38" i="37"/>
  <c r="AA21" i="37"/>
  <c r="AB36" i="37"/>
  <c r="AP25" i="37"/>
  <c r="AK32" i="37"/>
  <c r="L42" i="37"/>
  <c r="AQ23" i="37"/>
  <c r="M38" i="37"/>
  <c r="AG22" i="37"/>
  <c r="AX20" i="37"/>
  <c r="AJ23" i="37"/>
  <c r="M30" i="37"/>
  <c r="AA24" i="37"/>
  <c r="AO20" i="37"/>
  <c r="AG35" i="37"/>
  <c r="P21" i="37"/>
  <c r="AL39" i="37"/>
  <c r="K37" i="37"/>
  <c r="AS37" i="37"/>
  <c r="AF38" i="37"/>
  <c r="AK40" i="37"/>
  <c r="AS32" i="37"/>
  <c r="W23" i="37"/>
  <c r="AQ34" i="37"/>
  <c r="Q31" i="37"/>
  <c r="AV22" i="37"/>
  <c r="S27" i="37"/>
  <c r="AF29" i="37"/>
  <c r="AE21" i="37"/>
  <c r="AD18" i="37"/>
  <c r="Q23" i="37"/>
  <c r="AX42" i="37"/>
  <c r="V21" i="37"/>
  <c r="AV28" i="37"/>
  <c r="J32" i="37"/>
  <c r="P33" i="37"/>
  <c r="L23" i="37"/>
  <c r="Z20" i="37"/>
  <c r="AQ22" i="37"/>
  <c r="U26" i="37"/>
  <c r="AT23" i="37"/>
  <c r="AB30" i="37"/>
  <c r="O42" i="37"/>
  <c r="AE29" i="37"/>
  <c r="AI24" i="37"/>
  <c r="T28" i="37"/>
  <c r="AB35" i="37"/>
  <c r="AM30" i="37"/>
  <c r="T31" i="37"/>
  <c r="AW27" i="37"/>
  <c r="O38" i="37"/>
  <c r="AU27" i="37"/>
  <c r="U31" i="37"/>
  <c r="AI27" i="37"/>
  <c r="O23" i="37"/>
  <c r="AX36" i="37"/>
  <c r="K27" i="37"/>
  <c r="AA28" i="37"/>
  <c r="Q26" i="37"/>
  <c r="AK31" i="37"/>
  <c r="L22" i="37"/>
  <c r="AC34" i="37"/>
  <c r="AN28" i="37"/>
  <c r="AX31" i="37"/>
  <c r="AJ29" i="37"/>
  <c r="M23" i="37"/>
  <c r="AL19" i="37"/>
  <c r="AS23" i="37"/>
  <c r="Z23" i="37"/>
  <c r="AN24" i="37"/>
  <c r="AW21" i="37"/>
  <c r="AE19" i="37"/>
  <c r="AL35" i="37"/>
  <c r="K23" i="37"/>
  <c r="AF18" i="37"/>
  <c r="AF37" i="37"/>
  <c r="AR30" i="37"/>
  <c r="AP24" i="37"/>
  <c r="AA35" i="37"/>
  <c r="T21" i="37"/>
  <c r="AC22" i="37"/>
  <c r="AN18" i="37"/>
  <c r="V34" i="37"/>
  <c r="AJ36" i="37"/>
  <c r="R19" i="37"/>
  <c r="X31" i="37"/>
  <c r="AX26" i="37"/>
  <c r="AE35" i="37"/>
  <c r="M34" i="37"/>
  <c r="Z35" i="37"/>
  <c r="AR35" i="37"/>
  <c r="Q42" i="37"/>
  <c r="X20" i="37"/>
  <c r="AV32" i="37"/>
  <c r="AM29" i="37"/>
  <c r="AI39" i="37"/>
  <c r="AH26" i="37"/>
  <c r="AI20" i="37"/>
  <c r="W21" i="37"/>
  <c r="AO18" i="37"/>
  <c r="L36" i="37"/>
  <c r="AM22" i="37"/>
  <c r="AH28" i="37"/>
  <c r="O18" i="37"/>
  <c r="P30" i="37"/>
  <c r="Z24" i="37"/>
  <c r="W26" i="37"/>
  <c r="AS33" i="37"/>
  <c r="AT25" i="37"/>
  <c r="J28" i="37"/>
  <c r="AH31" i="37"/>
  <c r="AD25" i="37"/>
  <c r="AM27" i="37"/>
  <c r="O28" i="37"/>
  <c r="AB38" i="37"/>
  <c r="M18" i="37"/>
  <c r="N29" i="37"/>
  <c r="AR34" i="37"/>
  <c r="S30" i="37"/>
  <c r="AD30" i="37"/>
  <c r="AE38" i="37"/>
  <c r="S42" i="37"/>
  <c r="AJ38" i="37"/>
  <c r="AF36" i="37"/>
  <c r="AK26" i="37"/>
  <c r="AN34" i="37"/>
  <c r="W18" i="37"/>
  <c r="AT35" i="37"/>
  <c r="AP33" i="37"/>
  <c r="N36" i="37"/>
  <c r="V20" i="37"/>
  <c r="V29" i="37"/>
  <c r="AD32" i="37"/>
  <c r="AX23" i="37"/>
  <c r="AO32" i="37"/>
  <c r="AL30" i="37"/>
  <c r="W38" i="37"/>
  <c r="U30" i="37"/>
  <c r="AS34" i="37"/>
  <c r="Q18" i="37"/>
  <c r="U40" i="37"/>
  <c r="AA19" i="37"/>
  <c r="AV18" i="37"/>
  <c r="AN32" i="37"/>
  <c r="AG32" i="37"/>
  <c r="AS24" i="37"/>
  <c r="AW40" i="37"/>
  <c r="M25" i="37"/>
  <c r="AQ18" i="37"/>
  <c r="AL28" i="37"/>
  <c r="AT33" i="37"/>
  <c r="S35" i="37"/>
  <c r="S28" i="37"/>
  <c r="AR32" i="37"/>
  <c r="V27" i="37"/>
  <c r="M35" i="37"/>
  <c r="AI19" i="37"/>
  <c r="AO24" i="37"/>
  <c r="AJ18" i="37"/>
  <c r="AN37" i="37"/>
  <c r="R41" i="37"/>
  <c r="AC36" i="37"/>
  <c r="AR18" i="37"/>
  <c r="O39" i="37"/>
  <c r="J40" i="37"/>
  <c r="AV19" i="37"/>
  <c r="Z40" i="37"/>
  <c r="AU33" i="37"/>
  <c r="Y36" i="37"/>
  <c r="V18" i="37"/>
  <c r="AJ27" i="37"/>
  <c r="AX27" i="37"/>
  <c r="T18" i="37"/>
  <c r="AM31" i="37"/>
  <c r="AJ33" i="37"/>
  <c r="R22" i="37"/>
  <c r="AQ38" i="37"/>
  <c r="AE28" i="37"/>
  <c r="W34" i="37"/>
  <c r="AQ24" i="37"/>
  <c r="AQ20" i="37"/>
  <c r="AE24" i="37"/>
  <c r="AV36" i="37"/>
  <c r="AB28" i="37"/>
  <c r="AW34" i="37"/>
  <c r="Q27" i="37"/>
  <c r="AA22" i="37"/>
  <c r="AW36" i="37"/>
  <c r="AS20" i="37"/>
  <c r="AL22" i="37"/>
  <c r="AS18" i="37"/>
  <c r="V35" i="37"/>
  <c r="AC26" i="37"/>
  <c r="AM26" i="37"/>
  <c r="T20" i="37"/>
  <c r="P26" i="37"/>
  <c r="AC30" i="37"/>
  <c r="O36" i="37"/>
  <c r="J19" i="37"/>
  <c r="K33" i="37"/>
  <c r="V28" i="37"/>
  <c r="AJ30" i="37"/>
  <c r="AT22" i="37"/>
  <c r="AL29" i="37"/>
  <c r="S20" i="37"/>
  <c r="AG36" i="37"/>
  <c r="R25" i="37"/>
  <c r="AG31" i="37"/>
  <c r="T40" i="37"/>
  <c r="U41" i="37"/>
  <c r="AC19" i="37"/>
  <c r="T42" i="37"/>
  <c r="AH27" i="37"/>
  <c r="P41" i="37"/>
  <c r="K19" i="37"/>
  <c r="AJ24" i="37"/>
  <c r="AQ33" i="37"/>
  <c r="AI18" i="37"/>
  <c r="AU18" i="37"/>
  <c r="V26" i="37"/>
  <c r="Q39" i="37"/>
  <c r="AU25" i="37"/>
  <c r="AJ20" i="37"/>
  <c r="Q24" i="37"/>
  <c r="AT39" i="37"/>
  <c r="AF21" i="37"/>
  <c r="AF19" i="37"/>
  <c r="AI41" i="37"/>
  <c r="X18" i="37"/>
  <c r="AM32" i="37"/>
  <c r="AK39" i="37"/>
  <c r="W42" i="37"/>
  <c r="AT20" i="37"/>
  <c r="AI25" i="37"/>
  <c r="AK29" i="37"/>
  <c r="AF22" i="37"/>
  <c r="W22" i="37"/>
  <c r="P20" i="37"/>
  <c r="L24" i="37"/>
  <c r="R39" i="37"/>
  <c r="AQ28" i="37"/>
  <c r="AE31" i="37"/>
  <c r="AR38" i="37"/>
  <c r="O21" i="37"/>
  <c r="AH29" i="37"/>
  <c r="AU20" i="37"/>
  <c r="AI21" i="37"/>
  <c r="R18" i="37"/>
  <c r="L21" i="37"/>
  <c r="AE30" i="37"/>
  <c r="AR31" i="37"/>
  <c r="X24" i="37"/>
  <c r="AV37" i="37"/>
  <c r="AH22" i="37"/>
  <c r="AG39" i="37"/>
  <c r="R21" i="37"/>
  <c r="AF33" i="37"/>
  <c r="Z36" i="37"/>
  <c r="AW35" i="37"/>
  <c r="AB39" i="37"/>
  <c r="AK18" i="37"/>
  <c r="K30" i="37"/>
  <c r="AK38" i="37"/>
  <c r="Z27" i="37"/>
  <c r="AM40" i="37"/>
  <c r="AB20" i="37"/>
  <c r="AA30" i="37"/>
  <c r="AD39" i="37"/>
  <c r="AV41" i="37"/>
  <c r="AP27" i="37"/>
  <c r="AR23" i="37"/>
  <c r="N35" i="37"/>
  <c r="AG21" i="37"/>
  <c r="T38" i="37"/>
  <c r="Q38" i="37"/>
  <c r="AK36" i="37"/>
  <c r="AT42" i="37"/>
  <c r="AA31" i="37"/>
  <c r="AQ39" i="37"/>
  <c r="V42" i="37"/>
  <c r="AA29" i="37"/>
  <c r="AC41" i="37"/>
  <c r="W24" i="37"/>
  <c r="T23" i="37"/>
  <c r="AF32" i="37"/>
  <c r="W37" i="37"/>
  <c r="J29" i="37"/>
  <c r="R36" i="37"/>
  <c r="AT27" i="37"/>
  <c r="M21" i="37"/>
  <c r="U25" i="37"/>
  <c r="Y31" i="37"/>
  <c r="AW31" i="37"/>
  <c r="AF26" i="37"/>
  <c r="AU42" i="37"/>
  <c r="AU40" i="37"/>
  <c r="N26" i="37"/>
  <c r="AT26" i="37"/>
  <c r="AG24" i="37"/>
  <c r="AG30" i="37"/>
  <c r="AT36" i="37"/>
  <c r="AO35" i="37"/>
  <c r="AS26" i="37"/>
  <c r="T22" i="37"/>
  <c r="K32" i="37"/>
  <c r="Z38" i="37"/>
  <c r="AN23" i="37"/>
  <c r="R31" i="37"/>
  <c r="AQ21" i="37"/>
  <c r="AJ39" i="37"/>
  <c r="AS25" i="37"/>
  <c r="W39" i="37"/>
  <c r="Y18" i="37"/>
  <c r="AW41" i="37"/>
  <c r="W36" i="37"/>
  <c r="O22" i="37"/>
  <c r="AB21" i="37"/>
  <c r="T34" i="37"/>
  <c r="AI28" i="37"/>
  <c r="AV30" i="37"/>
  <c r="Z18" i="37"/>
  <c r="AE27" i="37"/>
  <c r="AQ25" i="37"/>
  <c r="AU30" i="37"/>
  <c r="AV27" i="37"/>
  <c r="U39" i="37"/>
  <c r="U33" i="37"/>
  <c r="AV24" i="37"/>
  <c r="AN35" i="37"/>
  <c r="S34" i="37"/>
  <c r="AD33" i="37"/>
  <c r="U34" i="37"/>
  <c r="AS31" i="37"/>
  <c r="AF41" i="37"/>
  <c r="K34" i="37"/>
  <c r="L32" i="37"/>
  <c r="AP21" i="37"/>
  <c r="AM20" i="37"/>
  <c r="M20" i="37"/>
  <c r="AS30" i="37"/>
  <c r="Z37" i="37"/>
  <c r="J34" i="37"/>
  <c r="O33" i="37"/>
  <c r="AR19" i="37"/>
  <c r="AT19" i="37"/>
  <c r="AV39" i="37"/>
  <c r="M29" i="37"/>
  <c r="AH41" i="37"/>
  <c r="AU38" i="37"/>
  <c r="AJ40" i="37"/>
  <c r="AJ41" i="37"/>
  <c r="K29" i="37"/>
  <c r="AT41" i="37"/>
  <c r="AG29" i="37"/>
  <c r="P36" i="37"/>
  <c r="AU31" i="37"/>
  <c r="AP32" i="37"/>
  <c r="AP41" i="37"/>
  <c r="AN40" i="37"/>
  <c r="AG33" i="37"/>
  <c r="K40" i="37"/>
  <c r="AQ27" i="37"/>
  <c r="T25" i="37"/>
  <c r="K21" i="37"/>
  <c r="M40" i="37"/>
  <c r="AQ36" i="37"/>
  <c r="AW33" i="37"/>
  <c r="AK20" i="37"/>
  <c r="AC25" i="37"/>
  <c r="J36" i="37"/>
  <c r="Z41" i="37"/>
  <c r="AU37" i="37"/>
  <c r="R40" i="37"/>
  <c r="U24" i="37"/>
  <c r="AJ31" i="37"/>
  <c r="AI40" i="37"/>
  <c r="AM18" i="37"/>
  <c r="AL33" i="37"/>
  <c r="AU26" i="37"/>
  <c r="X28" i="37"/>
  <c r="AT17" i="37"/>
  <c r="X25" i="37"/>
  <c r="AR16" i="37"/>
  <c r="AK21" i="37"/>
  <c r="O20" i="37"/>
  <c r="U20" i="37"/>
  <c r="AB25" i="37"/>
  <c r="X33" i="37"/>
  <c r="AP22" i="37"/>
  <c r="AW24" i="37"/>
  <c r="W32" i="37"/>
  <c r="N31" i="37"/>
  <c r="AU41" i="37"/>
  <c r="AP34" i="37"/>
  <c r="AP29" i="37"/>
  <c r="AN27" i="37"/>
  <c r="AS21" i="37"/>
  <c r="AV40" i="37"/>
  <c r="AR33" i="37"/>
  <c r="AW26" i="37"/>
  <c r="AM24" i="37"/>
  <c r="X27" i="37"/>
  <c r="Q36" i="37"/>
  <c r="W33" i="37"/>
  <c r="AL41" i="37"/>
  <c r="AL40" i="37"/>
  <c r="AB40" i="37"/>
  <c r="M41" i="37"/>
  <c r="AX19" i="37"/>
  <c r="K41" i="37"/>
  <c r="AN42" i="37"/>
  <c r="Q34" i="37"/>
  <c r="N27" i="37"/>
  <c r="AH37" i="37"/>
  <c r="AQ32" i="37"/>
  <c r="Q33" i="37"/>
  <c r="Y40" i="37"/>
  <c r="S40" i="37"/>
  <c r="AM37" i="37"/>
  <c r="AD42" i="37"/>
  <c r="T33" i="37"/>
  <c r="AV35" i="37"/>
  <c r="AB42" i="37"/>
  <c r="Z34" i="37"/>
  <c r="AD24" i="37"/>
  <c r="O32" i="37"/>
  <c r="AH23" i="37"/>
  <c r="P29" i="37"/>
  <c r="Y28" i="37"/>
  <c r="P23" i="37"/>
  <c r="AU32" i="37"/>
  <c r="AD27" i="37"/>
  <c r="U42" i="37"/>
  <c r="AJ42" i="37"/>
  <c r="AP37" i="37"/>
  <c r="AA33" i="37"/>
  <c r="V40" i="37"/>
  <c r="AR28" i="37"/>
  <c r="AC23" i="37"/>
  <c r="AN29" i="37"/>
  <c r="AO33" i="37"/>
  <c r="N19" i="37"/>
  <c r="Q20" i="37"/>
  <c r="AA40" i="37"/>
  <c r="L16" i="37"/>
  <c r="Y25" i="37"/>
  <c r="AX34" i="37"/>
  <c r="S19" i="37"/>
  <c r="X34" i="37"/>
  <c r="AD40" i="37"/>
  <c r="AQ19" i="37"/>
  <c r="AR22" i="37"/>
  <c r="AK42" i="37"/>
  <c r="AF31" i="37"/>
  <c r="V25" i="37"/>
  <c r="X21" i="37"/>
  <c r="AE37" i="37"/>
  <c r="AO28" i="37"/>
  <c r="S41" i="37"/>
  <c r="J41" i="37"/>
  <c r="AH20" i="37"/>
  <c r="AF34" i="37"/>
  <c r="S29" i="37"/>
  <c r="Y42" i="37"/>
  <c r="AR27" i="37"/>
  <c r="AQ9" i="37"/>
  <c r="AL31" i="37"/>
  <c r="AE41" i="37"/>
  <c r="AA41" i="37"/>
  <c r="AR36" i="37"/>
  <c r="AO29" i="37"/>
  <c r="X19" i="37"/>
  <c r="J21" i="37"/>
  <c r="U29" i="37"/>
  <c r="AA32" i="37"/>
  <c r="M39" i="37"/>
  <c r="AQ40" i="37"/>
  <c r="J39" i="37"/>
  <c r="AC40" i="37"/>
  <c r="AH24" i="37"/>
  <c r="AM33" i="37"/>
  <c r="W27" i="37"/>
  <c r="AE22" i="37"/>
  <c r="K26" i="37"/>
  <c r="AX21" i="37"/>
  <c r="AV23" i="37"/>
  <c r="X40" i="37"/>
  <c r="P42" i="37"/>
  <c r="AH35" i="37"/>
  <c r="R27" i="37"/>
  <c r="W20" i="37"/>
  <c r="M22" i="37"/>
  <c r="AR29" i="37"/>
  <c r="AK37" i="37"/>
  <c r="AO30" i="37"/>
  <c r="R37" i="37"/>
  <c r="V19" i="37"/>
  <c r="AS42" i="37"/>
  <c r="J24" i="37"/>
  <c r="AC24" i="37"/>
  <c r="P35" i="37"/>
  <c r="T24" i="37"/>
  <c r="AX40" i="37"/>
  <c r="S31" i="37"/>
  <c r="T32" i="37"/>
  <c r="AS27" i="37"/>
  <c r="AV42" i="37"/>
  <c r="AB24" i="37"/>
  <c r="P32" i="37"/>
  <c r="Y37" i="37"/>
  <c r="AU28" i="37"/>
  <c r="AN26" i="37"/>
  <c r="T30" i="37"/>
  <c r="AF42" i="37"/>
  <c r="K24" i="37"/>
  <c r="AN21" i="37"/>
  <c r="J18" i="37"/>
  <c r="AP35" i="37"/>
  <c r="AR25" i="37"/>
  <c r="W29" i="37"/>
  <c r="N22" i="37"/>
  <c r="AB31" i="37"/>
  <c r="AI42" i="37"/>
  <c r="AM21" i="37"/>
  <c r="AO40" i="37"/>
  <c r="N42" i="37"/>
  <c r="J31" i="37"/>
  <c r="Y21" i="37"/>
  <c r="Q22" i="37"/>
  <c r="N21" i="37"/>
  <c r="Y30" i="37"/>
  <c r="P31" i="37"/>
  <c r="AB18" i="37"/>
  <c r="AB29" i="37"/>
  <c r="AU35" i="37"/>
  <c r="W25" i="37"/>
  <c r="N23" i="37"/>
  <c r="AT24" i="37"/>
  <c r="R24" i="37"/>
  <c r="Q37" i="37"/>
  <c r="L39" i="37"/>
  <c r="AL26" i="37"/>
  <c r="U21" i="37"/>
  <c r="AH42" i="37"/>
  <c r="AH40" i="37"/>
  <c r="AL37" i="37"/>
  <c r="V37" i="37"/>
  <c r="V39" i="37"/>
  <c r="AB19" i="37"/>
  <c r="M28" i="37"/>
  <c r="R33" i="37"/>
  <c r="AP31" i="37"/>
  <c r="AD31" i="37"/>
  <c r="AC28" i="37"/>
  <c r="AE39" i="37"/>
  <c r="X29" i="37"/>
  <c r="AQ31" i="37"/>
  <c r="J23" i="37"/>
  <c r="X42" i="37"/>
  <c r="AL36" i="37"/>
  <c r="X22" i="37"/>
  <c r="AG28" i="37"/>
  <c r="S33" i="37"/>
  <c r="P39" i="37"/>
  <c r="AF39" i="37"/>
  <c r="AI33" i="37"/>
  <c r="AO39" i="37"/>
  <c r="AR42" i="37"/>
  <c r="AD38" i="37"/>
  <c r="AD21" i="37"/>
  <c r="AG16" i="37"/>
  <c r="AV20" i="37"/>
  <c r="AC21" i="37"/>
  <c r="T26" i="37"/>
  <c r="X38" i="37"/>
  <c r="Z30" i="37"/>
  <c r="AW25" i="37"/>
  <c r="AP19" i="37"/>
  <c r="AD22" i="37"/>
  <c r="L37" i="37"/>
  <c r="AO19" i="37"/>
  <c r="AV33" i="37"/>
  <c r="AN25" i="37"/>
  <c r="J22" i="37"/>
  <c r="AX18" i="37"/>
  <c r="AC42" i="37"/>
  <c r="AW23" i="37"/>
  <c r="U18" i="37"/>
  <c r="AM25" i="37"/>
  <c r="V36" i="37"/>
  <c r="O31" i="37"/>
  <c r="AV21" i="37"/>
  <c r="AB41" i="37"/>
  <c r="L18" i="37"/>
  <c r="J42" i="37"/>
  <c r="O41" i="37"/>
  <c r="W19" i="37"/>
  <c r="AO41" i="37"/>
  <c r="Z22" i="37"/>
  <c r="AL21" i="37"/>
  <c r="N40" i="37"/>
  <c r="AU36" i="37"/>
  <c r="Z42" i="37"/>
  <c r="X39" i="37"/>
  <c r="T29" i="37"/>
  <c r="AR37" i="37"/>
  <c r="AN41" i="37"/>
  <c r="AC37" i="37"/>
  <c r="AH33" i="37"/>
  <c r="AW29" i="37"/>
  <c r="X23" i="37"/>
  <c r="AO42" i="37"/>
  <c r="AN19" i="37"/>
  <c r="X26" i="37"/>
  <c r="W41" i="37"/>
  <c r="X30" i="37"/>
  <c r="AG37" i="37"/>
  <c r="L40" i="37"/>
  <c r="AI5" i="37"/>
  <c r="AV31" i="37"/>
  <c r="AF23" i="37"/>
  <c r="AB23" i="37"/>
  <c r="N38" i="37"/>
  <c r="AW28" i="37"/>
  <c r="R29" i="37"/>
  <c r="AW42" i="37"/>
  <c r="AX24" i="37"/>
  <c r="AO31" i="37"/>
  <c r="AU14" i="37"/>
  <c r="AM38" i="37"/>
  <c r="AS19" i="37"/>
  <c r="O35" i="37"/>
  <c r="M42" i="37"/>
  <c r="J33" i="37"/>
  <c r="AR41" i="37"/>
  <c r="Q30" i="37"/>
  <c r="AA26" i="37"/>
  <c r="T36" i="37"/>
  <c r="AC20" i="37"/>
  <c r="Z25" i="37"/>
  <c r="N41" i="37"/>
  <c r="J30" i="37"/>
  <c r="O24" i="37"/>
  <c r="R42" i="37"/>
  <c r="AP42" i="37"/>
  <c r="Y33" i="37"/>
  <c r="AI23" i="37"/>
  <c r="Q32" i="37"/>
  <c r="V41" i="37"/>
  <c r="AK35" i="37"/>
  <c r="L31" i="37"/>
  <c r="O25" i="37"/>
  <c r="AF35" i="37"/>
  <c r="L41" i="37"/>
  <c r="Y29" i="37"/>
  <c r="AI32" i="37"/>
  <c r="X37" i="37"/>
  <c r="AU23" i="37"/>
  <c r="AK24" i="37"/>
  <c r="AN33" i="37"/>
  <c r="W28" i="37"/>
  <c r="O29" i="37"/>
  <c r="AS29" i="37"/>
  <c r="AI36" i="37"/>
  <c r="Z31" i="37"/>
  <c r="Z33" i="37"/>
  <c r="AD37" i="37"/>
  <c r="R16" i="37"/>
  <c r="Y8" i="37"/>
  <c r="V32" i="37"/>
  <c r="Y26" i="37"/>
  <c r="AB9" i="37"/>
  <c r="AH21" i="37"/>
  <c r="AV29" i="37"/>
  <c r="AN20" i="37"/>
  <c r="AM14" i="37"/>
  <c r="AU15" i="37"/>
  <c r="R20" i="37"/>
  <c r="AS28" i="37"/>
  <c r="Z29" i="37"/>
  <c r="Y38" i="37"/>
  <c r="AG34" i="37"/>
  <c r="AK9" i="37"/>
  <c r="AE17" i="37"/>
  <c r="AV10" i="37"/>
  <c r="AM35" i="37"/>
  <c r="AD14" i="37"/>
  <c r="AE11" i="37"/>
  <c r="W40" i="37"/>
  <c r="AG14" i="37"/>
  <c r="AJ11" i="37"/>
  <c r="AF30" i="37"/>
  <c r="AX12" i="37"/>
  <c r="AA39" i="37"/>
  <c r="J17" i="37"/>
  <c r="AB4" i="37"/>
  <c r="AD5" i="37"/>
  <c r="AE12" i="37"/>
  <c r="AH8" i="37"/>
  <c r="Z11" i="37"/>
  <c r="U16" i="37"/>
  <c r="AN5" i="37"/>
  <c r="V7" i="37"/>
  <c r="U9" i="37"/>
  <c r="AQ13" i="37"/>
  <c r="AN8" i="37"/>
  <c r="AB16" i="37"/>
  <c r="AS16" i="37"/>
  <c r="AN14" i="37"/>
  <c r="J8" i="37"/>
  <c r="S5" i="37"/>
  <c r="Q14" i="37"/>
  <c r="AY14" i="37" s="1"/>
  <c r="AQ16" i="37"/>
  <c r="K4" i="37"/>
  <c r="AW14" i="37"/>
  <c r="Q10" i="37"/>
  <c r="AY10" i="37" s="1"/>
  <c r="AK11" i="37"/>
  <c r="AF7" i="37"/>
  <c r="AJ13" i="37"/>
  <c r="M8" i="37"/>
  <c r="AJ10" i="37"/>
  <c r="AV15" i="37"/>
  <c r="V16" i="37"/>
  <c r="Z17" i="37"/>
  <c r="AO8" i="37"/>
  <c r="AD7" i="37"/>
  <c r="AK4" i="37"/>
  <c r="X5" i="37"/>
  <c r="O11" i="37"/>
  <c r="Y5" i="37"/>
  <c r="L4" i="37"/>
  <c r="AA7" i="37"/>
  <c r="P7" i="37"/>
  <c r="U13" i="37"/>
  <c r="AY13" i="37" s="1"/>
  <c r="AF43" i="37" l="1"/>
  <c r="AF45" i="37" s="1"/>
  <c r="AW43" i="37"/>
  <c r="AW45" i="37" s="1"/>
  <c r="AV43" i="37"/>
  <c r="AV45" i="37" s="1"/>
  <c r="R43" i="37"/>
  <c r="R45" i="37" s="1"/>
  <c r="AT43" i="37"/>
  <c r="AT45" i="37" s="1"/>
  <c r="AI43" i="37"/>
  <c r="AI45" i="37" s="1"/>
  <c r="T43" i="37"/>
  <c r="T45" i="37" s="1"/>
  <c r="AH43" i="37"/>
  <c r="AH45" i="37" s="1"/>
  <c r="S43" i="37"/>
  <c r="S45" i="37" s="1"/>
  <c r="AY22" i="37"/>
  <c r="C37" i="37"/>
  <c r="AC43" i="37"/>
  <c r="AC45" i="37" s="1"/>
  <c r="AP43" i="37"/>
  <c r="AP45" i="37" s="1"/>
  <c r="N43" i="37"/>
  <c r="N45" i="37" s="1"/>
  <c r="AA43" i="37"/>
  <c r="AA45" i="37" s="1"/>
  <c r="AO43" i="37"/>
  <c r="AO45" i="37" s="1"/>
  <c r="AX43" i="37"/>
  <c r="AX45" i="37" s="1"/>
  <c r="X43" i="37"/>
  <c r="X45" i="37" s="1"/>
  <c r="AM43" i="37"/>
  <c r="AM45" i="37" s="1"/>
  <c r="AS43" i="37"/>
  <c r="AS45" i="37" s="1"/>
  <c r="AL43" i="37"/>
  <c r="AL45" i="37" s="1"/>
  <c r="M43" i="37"/>
  <c r="M45" i="37" s="1"/>
  <c r="AR43" i="37"/>
  <c r="AR45" i="37" s="1"/>
  <c r="W43" i="37"/>
  <c r="W45" i="37" s="1"/>
  <c r="C7" i="37"/>
  <c r="Y43" i="37"/>
  <c r="Y45" i="37" s="1"/>
  <c r="AY12" i="37"/>
  <c r="AD43" i="37"/>
  <c r="AD45" i="37" s="1"/>
  <c r="AN43" i="37"/>
  <c r="AN45" i="37" s="1"/>
  <c r="AY8" i="37"/>
  <c r="C16" i="37"/>
  <c r="C17" i="37"/>
  <c r="C8" i="37"/>
  <c r="C11" i="37"/>
  <c r="C15" i="37"/>
  <c r="AU43" i="37"/>
  <c r="AU45" i="37" s="1"/>
  <c r="AK43" i="37"/>
  <c r="AK45" i="37" s="1"/>
  <c r="AY16" i="37"/>
  <c r="AG43" i="37"/>
  <c r="AG45" i="37" s="1"/>
  <c r="AQ43" i="37"/>
  <c r="AQ45" i="37" s="1"/>
  <c r="AJ43" i="37"/>
  <c r="AJ45" i="37" s="1"/>
  <c r="AE43" i="37"/>
  <c r="AE45" i="37" s="1"/>
  <c r="C4" i="37"/>
  <c r="U43" i="37"/>
  <c r="U45" i="37" s="1"/>
  <c r="V43" i="37"/>
  <c r="V45" i="37" s="1"/>
  <c r="C5" i="37"/>
  <c r="AY17" i="37"/>
  <c r="C42" i="37"/>
  <c r="C24" i="37"/>
  <c r="AY41" i="37"/>
  <c r="C32" i="37"/>
  <c r="C36" i="37"/>
  <c r="AY38" i="37"/>
  <c r="AY36" i="37"/>
  <c r="C13" i="37"/>
  <c r="AY18" i="37"/>
  <c r="C26" i="37"/>
  <c r="AY5" i="37"/>
  <c r="C10" i="37"/>
  <c r="P43" i="37"/>
  <c r="P45" i="37" s="1"/>
  <c r="C25" i="37"/>
  <c r="Q43" i="37"/>
  <c r="Q45" i="37" s="1"/>
  <c r="C30" i="37"/>
  <c r="AY25" i="37"/>
  <c r="C31" i="37"/>
  <c r="C29" i="37"/>
  <c r="C38" i="37"/>
  <c r="C23" i="37"/>
  <c r="C39" i="37"/>
  <c r="C28" i="37"/>
  <c r="AY28" i="37"/>
  <c r="C14" i="37"/>
  <c r="AY9" i="37"/>
  <c r="AY30" i="37"/>
  <c r="C41" i="37"/>
  <c r="C35" i="37"/>
  <c r="C12" i="37"/>
  <c r="AY11" i="37"/>
  <c r="L43" i="37"/>
  <c r="L45" i="37" s="1"/>
  <c r="AY42" i="37"/>
  <c r="AY39" i="37"/>
  <c r="AY40" i="37"/>
  <c r="K43" i="37"/>
  <c r="K45" i="37" s="1"/>
  <c r="AY33" i="37"/>
  <c r="C33" i="37"/>
  <c r="AY24" i="37"/>
  <c r="AY35" i="37"/>
  <c r="AY19" i="37"/>
  <c r="C27" i="37"/>
  <c r="J43" i="37"/>
  <c r="J45" i="37" s="1"/>
  <c r="C19" i="37"/>
  <c r="AY31" i="37"/>
  <c r="C21" i="37"/>
  <c r="O43" i="37"/>
  <c r="O45" i="37" s="1"/>
  <c r="C9" i="37"/>
  <c r="AB43" i="37"/>
  <c r="AB45" i="37" s="1"/>
  <c r="AY29" i="37"/>
  <c r="C22" i="37"/>
  <c r="AY34" i="37"/>
  <c r="AY27" i="37"/>
  <c r="AY32" i="37"/>
  <c r="AY26" i="37"/>
  <c r="AY21" i="37"/>
  <c r="AY7" i="37"/>
  <c r="AY4" i="37"/>
  <c r="C34" i="37"/>
  <c r="AY20" i="37"/>
  <c r="C20" i="37"/>
  <c r="Z43" i="37"/>
  <c r="Z45" i="37" s="1"/>
  <c r="C18" i="37"/>
  <c r="AY37" i="37"/>
  <c r="C40" i="37"/>
  <c r="AY23" i="37"/>
  <c r="D12" i="37" l="1"/>
  <c r="D34" i="37"/>
  <c r="C43" i="37"/>
  <c r="D36" i="37"/>
  <c r="D40" i="37"/>
  <c r="D25" i="37"/>
  <c r="D41" i="37"/>
  <c r="D42" i="37"/>
  <c r="D38" i="37"/>
  <c r="D11" i="37"/>
  <c r="D22" i="37"/>
  <c r="D31" i="37"/>
  <c r="D15" i="37"/>
  <c r="D17" i="37"/>
  <c r="D29" i="37"/>
  <c r="D20" i="37"/>
  <c r="D23" i="37"/>
  <c r="C45" i="37"/>
  <c r="D10" i="37"/>
  <c r="D8" i="37"/>
  <c r="D9" i="37"/>
  <c r="D16" i="37"/>
  <c r="D5" i="37"/>
  <c r="D14" i="37"/>
  <c r="D39" i="37"/>
  <c r="D28" i="37"/>
  <c r="D13" i="37"/>
  <c r="D33" i="37"/>
  <c r="D37" i="37"/>
  <c r="D6" i="37"/>
  <c r="D7" i="37"/>
  <c r="D19" i="37"/>
  <c r="D35" i="37"/>
  <c r="D24" i="37"/>
  <c r="D18" i="37"/>
  <c r="D4" i="37"/>
  <c r="D30" i="37"/>
  <c r="D21" i="37"/>
  <c r="D26" i="37"/>
  <c r="D32" i="37"/>
  <c r="D27" i="37"/>
  <c r="K79" i="131" l="1"/>
  <c r="K50" i="131"/>
  <c r="G49" i="131"/>
  <c r="L79" i="131"/>
  <c r="K49" i="131" l="1"/>
  <c r="K42" i="131" s="1"/>
  <c r="E205" i="36" s="1"/>
  <c r="L50" i="131"/>
  <c r="L49" i="131" s="1"/>
  <c r="H49" i="131"/>
  <c r="H42" i="131" s="1"/>
  <c r="M79" i="131"/>
  <c r="J79" i="131" s="1"/>
  <c r="F50" i="131"/>
  <c r="M50" i="131"/>
  <c r="I49" i="131"/>
  <c r="I42" i="131" s="1"/>
  <c r="F79" i="131"/>
  <c r="G42" i="131"/>
  <c r="L42" i="131" l="1"/>
  <c r="E206" i="36" s="1"/>
  <c r="F49" i="131"/>
  <c r="M49" i="131"/>
  <c r="J50" i="131"/>
  <c r="J49" i="131" s="1"/>
  <c r="J42" i="131" s="1"/>
  <c r="I25" i="131"/>
  <c r="I9" i="131" s="1"/>
  <c r="L25" i="131"/>
  <c r="H25" i="131"/>
  <c r="H9" i="131" s="1"/>
  <c r="F42" i="131"/>
  <c r="L9" i="131" l="1"/>
  <c r="M42" i="131"/>
  <c r="E207" i="36" s="1"/>
  <c r="E222" i="36" s="1"/>
  <c r="G25" i="131"/>
  <c r="M25" i="131"/>
  <c r="K25" i="131"/>
  <c r="K9" i="131" s="1"/>
  <c r="E221" i="36" l="1"/>
  <c r="M9" i="131"/>
  <c r="J9" i="131" s="1"/>
  <c r="E62" i="36"/>
  <c r="E63" i="36"/>
  <c r="F25" i="131"/>
  <c r="G9" i="131"/>
  <c r="F9" i="131" s="1"/>
  <c r="J25" i="131"/>
  <c r="I5" i="36" l="1"/>
  <c r="D5" i="36"/>
  <c r="E11" i="133"/>
  <c r="E13" i="133"/>
  <c r="E12" i="133"/>
  <c r="F13" i="133"/>
  <c r="F11" i="133"/>
  <c r="F12" i="133"/>
  <c r="G11" i="133" l="1"/>
  <c r="G27" i="133" s="1"/>
  <c r="H27" i="133" s="1"/>
  <c r="G12" i="133"/>
  <c r="G28" i="133" s="1"/>
  <c r="I28" i="133" s="1"/>
  <c r="H180" i="131" s="1"/>
  <c r="G13" i="133"/>
  <c r="G35" i="133" s="1"/>
  <c r="I35" i="133" s="1"/>
  <c r="I11" i="133" l="1"/>
  <c r="G33" i="133"/>
  <c r="I33" i="133" s="1"/>
  <c r="H11" i="133"/>
  <c r="I27" i="133"/>
  <c r="J13" i="133"/>
  <c r="G29" i="133"/>
  <c r="I29" i="133" s="1"/>
  <c r="H13" i="133"/>
  <c r="I13" i="133"/>
  <c r="J35" i="133"/>
  <c r="H35" i="133"/>
  <c r="H28" i="133"/>
  <c r="G180" i="131" s="1"/>
  <c r="K180" i="131" s="1"/>
  <c r="J28" i="133"/>
  <c r="I180" i="131" s="1"/>
  <c r="M180" i="131" s="1"/>
  <c r="J12" i="133"/>
  <c r="I174" i="131" s="1"/>
  <c r="G34" i="133"/>
  <c r="J34" i="133" s="1"/>
  <c r="I181" i="131" s="1"/>
  <c r="M181" i="131" s="1"/>
  <c r="I12" i="133"/>
  <c r="H174" i="131" s="1"/>
  <c r="L174" i="131" s="1"/>
  <c r="L173" i="131" s="1"/>
  <c r="E74" i="36" s="1"/>
  <c r="H12" i="133"/>
  <c r="G174" i="131" s="1"/>
  <c r="K174" i="131" s="1"/>
  <c r="L180" i="131"/>
  <c r="H33" i="133" l="1"/>
  <c r="J29" i="133"/>
  <c r="H29" i="133"/>
  <c r="I34" i="133"/>
  <c r="H181" i="131" s="1"/>
  <c r="L181" i="131" s="1"/>
  <c r="L179" i="131" s="1"/>
  <c r="E81" i="36" s="1"/>
  <c r="F174" i="131"/>
  <c r="G173" i="131"/>
  <c r="H173" i="131"/>
  <c r="H34" i="133"/>
  <c r="G181" i="131" s="1"/>
  <c r="K181" i="131" s="1"/>
  <c r="F180" i="131"/>
  <c r="M174" i="131"/>
  <c r="M173" i="131" s="1"/>
  <c r="E75" i="36" s="1"/>
  <c r="I173" i="131"/>
  <c r="M179" i="131"/>
  <c r="E82" i="36" s="1"/>
  <c r="J180" i="131"/>
  <c r="K173" i="131"/>
  <c r="E73" i="36" s="1"/>
  <c r="I179" i="131"/>
  <c r="H179" i="131" l="1"/>
  <c r="H167" i="131" s="1"/>
  <c r="H166" i="131" s="1"/>
  <c r="J181" i="131"/>
  <c r="J179" i="131" s="1"/>
  <c r="G179" i="131"/>
  <c r="G167" i="131" s="1"/>
  <c r="G166" i="131" s="1"/>
  <c r="F181" i="131"/>
  <c r="J174" i="131"/>
  <c r="F173" i="131"/>
  <c r="I167" i="131"/>
  <c r="I166" i="131" s="1"/>
  <c r="M167" i="131"/>
  <c r="M166" i="131" s="1"/>
  <c r="L167" i="131"/>
  <c r="L166" i="131" s="1"/>
  <c r="K179" i="131"/>
  <c r="E80" i="36" s="1"/>
  <c r="D4" i="36" s="1"/>
  <c r="J173" i="131"/>
  <c r="F179" i="131" l="1"/>
  <c r="F167" i="131"/>
  <c r="F166" i="131"/>
  <c r="K167" i="131"/>
  <c r="K166" i="131" s="1"/>
  <c r="J166" i="131" s="1"/>
  <c r="J167" i="131"/>
  <c r="E88" i="36" l="1"/>
  <c r="D8" i="36" s="1"/>
  <c r="E87" i="36"/>
  <c r="D3" i="36" l="1"/>
  <c r="E3" i="36" s="1"/>
  <c r="D10" i="36" l="1"/>
  <c r="M34" i="106"/>
  <c r="M29" i="106"/>
  <c r="J34" i="106"/>
  <c r="J29" i="106"/>
  <c r="G23" i="108"/>
  <c r="G18" i="108"/>
  <c r="C35" i="106"/>
  <c r="C30" i="106"/>
  <c r="O35" i="106"/>
  <c r="O30" i="106"/>
  <c r="L34" i="106"/>
  <c r="L29" i="106"/>
  <c r="F24" i="108"/>
  <c r="F19" i="108"/>
  <c r="O28" i="106"/>
  <c r="O33" i="106"/>
  <c r="D35" i="106"/>
  <c r="D30" i="106"/>
  <c r="C29" i="106"/>
  <c r="C34" i="106"/>
  <c r="K35" i="106"/>
  <c r="K30" i="106"/>
  <c r="G22" i="108"/>
  <c r="E33" i="106"/>
  <c r="L33" i="106"/>
  <c r="N34" i="106"/>
  <c r="N29" i="106"/>
  <c r="C33" i="106"/>
  <c r="D33" i="106"/>
  <c r="G17" i="108"/>
  <c r="G19" i="108"/>
  <c r="G24" i="108"/>
  <c r="N33" i="106"/>
  <c r="E30" i="106"/>
  <c r="E35" i="106"/>
  <c r="L28" i="106"/>
  <c r="L30" i="106"/>
  <c r="L35" i="106"/>
  <c r="J33" i="106"/>
  <c r="N28" i="106"/>
  <c r="N30" i="106"/>
  <c r="N35" i="106"/>
  <c r="E34" i="106"/>
  <c r="E28" i="106"/>
  <c r="E29" i="106"/>
  <c r="O29" i="106"/>
  <c r="O34" i="106"/>
  <c r="J28" i="106"/>
  <c r="J30" i="106"/>
  <c r="J35" i="106"/>
  <c r="M33" i="106"/>
  <c r="D22" i="108"/>
  <c r="D34" i="106"/>
  <c r="C28" i="106"/>
  <c r="M28" i="106"/>
  <c r="M30" i="106"/>
  <c r="M35" i="106"/>
  <c r="F23" i="108"/>
  <c r="F18" i="108"/>
  <c r="D19" i="108"/>
  <c r="D24" i="108"/>
  <c r="F17" i="108"/>
  <c r="F22" i="108"/>
  <c r="D29" i="106"/>
  <c r="K29" i="106"/>
  <c r="K34" i="106"/>
  <c r="D17" i="108"/>
  <c r="D18" i="108"/>
  <c r="D23" i="108"/>
  <c r="D28" i="106"/>
  <c r="K28" i="106"/>
  <c r="K33"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D2" authorId="0" shapeId="0" xr:uid="{00000000-0006-0000-0D00-000001000000}">
      <text>
        <r>
          <rPr>
            <b/>
            <sz val="9"/>
            <color indexed="81"/>
            <rFont val="Tahoma"/>
            <family val="2"/>
            <charset val="204"/>
          </rPr>
          <t>Автор:</t>
        </r>
        <r>
          <rPr>
            <sz val="9"/>
            <color indexed="81"/>
            <rFont val="Tahoma"/>
            <family val="2"/>
            <charset val="204"/>
          </rPr>
          <t xml:space="preserve">
Все косвенные затраты распределены по этапам трудозатрат</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Delova Anna</author>
  </authors>
  <commentList>
    <comment ref="B39" authorId="0" shapeId="0" xr:uid="{00000000-0006-0000-1700-000001000000}">
      <text>
        <r>
          <rPr>
            <b/>
            <sz val="9"/>
            <color indexed="81"/>
            <rFont val="Tahoma"/>
            <family val="2"/>
            <charset val="204"/>
          </rPr>
          <t>Delova Anna:</t>
        </r>
        <r>
          <rPr>
            <sz val="9"/>
            <color indexed="81"/>
            <rFont val="Tahoma"/>
            <family val="2"/>
            <charset val="204"/>
          </rPr>
          <t xml:space="preserve">
Раскрывающийся список с параметрами под средствами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Pozigun Sergey</author>
  </authors>
  <commentList>
    <comment ref="A3" authorId="0" shapeId="0" xr:uid="{00000000-0006-0000-2F00-000001000000}">
      <text>
        <r>
          <rPr>
            <b/>
            <sz val="9"/>
            <color indexed="81"/>
            <rFont val="Tahoma"/>
            <family val="2"/>
            <charset val="204"/>
          </rPr>
          <t>Pozigun Sergey:</t>
        </r>
        <r>
          <rPr>
            <sz val="9"/>
            <color indexed="81"/>
            <rFont val="Tahoma"/>
            <family val="2"/>
            <charset val="204"/>
          </rPr>
          <t xml:space="preserve">
= количество площадок из калькулятора ОП</t>
        </r>
      </text>
    </comment>
    <comment ref="H3" authorId="0" shapeId="0" xr:uid="{00000000-0006-0000-2F00-000002000000}">
      <text>
        <r>
          <rPr>
            <b/>
            <sz val="9"/>
            <color indexed="81"/>
            <rFont val="Tahoma"/>
            <family val="2"/>
            <charset val="204"/>
          </rPr>
          <t>Pozigun Sergey:</t>
        </r>
        <r>
          <rPr>
            <sz val="9"/>
            <color indexed="81"/>
            <rFont val="Tahoma"/>
            <family val="2"/>
            <charset val="204"/>
          </rPr>
          <t xml:space="preserve">
= количество площадок из калькулятора ОП</t>
        </r>
      </text>
    </comment>
    <comment ref="Q3" authorId="0" shapeId="0" xr:uid="{00000000-0006-0000-2F00-000003000000}">
      <text>
        <r>
          <rPr>
            <b/>
            <sz val="9"/>
            <color indexed="81"/>
            <rFont val="Tahoma"/>
            <family val="2"/>
            <charset val="204"/>
          </rPr>
          <t>Pozigun Sergey:</t>
        </r>
        <r>
          <rPr>
            <sz val="9"/>
            <color indexed="81"/>
            <rFont val="Tahoma"/>
            <family val="2"/>
            <charset val="204"/>
          </rPr>
          <t xml:space="preserve">
= количество площадок из калькулятора ОП</t>
        </r>
      </text>
    </comment>
    <comment ref="A6" authorId="0" shapeId="0" xr:uid="{00000000-0006-0000-2F00-000004000000}">
      <text>
        <r>
          <rPr>
            <b/>
            <sz val="9"/>
            <color indexed="81"/>
            <rFont val="Tahoma"/>
            <family val="2"/>
            <charset val="204"/>
          </rPr>
          <t>Pozigun Sergey:</t>
        </r>
        <r>
          <rPr>
            <sz val="9"/>
            <color indexed="81"/>
            <rFont val="Tahoma"/>
            <family val="2"/>
            <charset val="204"/>
          </rPr>
          <t xml:space="preserve">
Базовое значение на 1 единицу оборудования</t>
        </r>
      </text>
    </comment>
    <comment ref="H6" authorId="0" shapeId="0" xr:uid="{00000000-0006-0000-2F00-000005000000}">
      <text>
        <r>
          <rPr>
            <b/>
            <sz val="9"/>
            <color indexed="81"/>
            <rFont val="Tahoma"/>
            <family val="2"/>
            <charset val="204"/>
          </rPr>
          <t>Pozigun Sergey:</t>
        </r>
        <r>
          <rPr>
            <sz val="9"/>
            <color indexed="81"/>
            <rFont val="Tahoma"/>
            <family val="2"/>
            <charset val="204"/>
          </rPr>
          <t xml:space="preserve">
Базовое значение на 1 единицу оборудования</t>
        </r>
      </text>
    </comment>
    <comment ref="Q6" authorId="0" shapeId="0" xr:uid="{00000000-0006-0000-2F00-000006000000}">
      <text>
        <r>
          <rPr>
            <b/>
            <sz val="9"/>
            <color indexed="81"/>
            <rFont val="Tahoma"/>
            <family val="2"/>
            <charset val="204"/>
          </rPr>
          <t>Pozigun Sergey:</t>
        </r>
        <r>
          <rPr>
            <sz val="9"/>
            <color indexed="81"/>
            <rFont val="Tahoma"/>
            <family val="2"/>
            <charset val="204"/>
          </rPr>
          <t xml:space="preserve">
Базовое значение на 1 единицу оборудования</t>
        </r>
      </text>
    </comment>
    <comment ref="A12" authorId="0" shapeId="0" xr:uid="{00000000-0006-0000-2F00-000007000000}">
      <text>
        <r>
          <rPr>
            <b/>
            <sz val="9"/>
            <color indexed="81"/>
            <rFont val="Tahoma"/>
            <family val="2"/>
            <charset val="204"/>
          </rPr>
          <t>Pozigun Sergey:</t>
        </r>
        <r>
          <rPr>
            <sz val="9"/>
            <color indexed="81"/>
            <rFont val="Tahoma"/>
            <family val="2"/>
            <charset val="204"/>
          </rPr>
          <t xml:space="preserve">
Базовое значение на 1 единицу оборудования</t>
        </r>
      </text>
    </comment>
    <comment ref="H12" authorId="0" shapeId="0" xr:uid="{00000000-0006-0000-2F00-000008000000}">
      <text>
        <r>
          <rPr>
            <b/>
            <sz val="9"/>
            <color indexed="81"/>
            <rFont val="Tahoma"/>
            <family val="2"/>
            <charset val="204"/>
          </rPr>
          <t>Pozigun Sergey:</t>
        </r>
        <r>
          <rPr>
            <sz val="9"/>
            <color indexed="81"/>
            <rFont val="Tahoma"/>
            <family val="2"/>
            <charset val="204"/>
          </rPr>
          <t xml:space="preserve">
Базовое значение на 1 единицу оборудования</t>
        </r>
      </text>
    </comment>
    <comment ref="Q12" authorId="0" shapeId="0" xr:uid="{00000000-0006-0000-2F00-000009000000}">
      <text>
        <r>
          <rPr>
            <b/>
            <sz val="9"/>
            <color indexed="81"/>
            <rFont val="Tahoma"/>
            <family val="2"/>
            <charset val="204"/>
          </rPr>
          <t>Pozigun Sergey:</t>
        </r>
        <r>
          <rPr>
            <sz val="9"/>
            <color indexed="81"/>
            <rFont val="Tahoma"/>
            <family val="2"/>
            <charset val="204"/>
          </rPr>
          <t xml:space="preserve">
Базовое значение на 1 единицу оборудования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Pozigun Sergey</author>
  </authors>
  <commentList>
    <comment ref="B7" authorId="0" shapeId="0" xr:uid="{00000000-0006-0000-3100-000001000000}">
      <text>
        <r>
          <rPr>
            <b/>
            <sz val="9"/>
            <color indexed="81"/>
            <rFont val="Tahoma"/>
            <family val="2"/>
            <charset val="204"/>
          </rPr>
          <t>Pozigun Sergey:</t>
        </r>
        <r>
          <rPr>
            <sz val="9"/>
            <color indexed="81"/>
            <rFont val="Tahoma"/>
            <family val="2"/>
            <charset val="204"/>
          </rPr>
          <t xml:space="preserve">
Сумма всего барахла в исходных данных</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Pozigun Sergey</author>
  </authors>
  <commentList>
    <comment ref="B7" authorId="0" shapeId="0" xr:uid="{00000000-0006-0000-3500-000001000000}">
      <text>
        <r>
          <rPr>
            <b/>
            <sz val="9"/>
            <color indexed="81"/>
            <rFont val="Tahoma"/>
            <family val="2"/>
            <charset val="204"/>
          </rPr>
          <t>Pozigun Sergey:</t>
        </r>
        <r>
          <rPr>
            <sz val="9"/>
            <color indexed="81"/>
            <rFont val="Tahoma"/>
            <family val="2"/>
            <charset val="204"/>
          </rPr>
          <t xml:space="preserve">
Сумма всего барахла в исходных данных</t>
        </r>
      </text>
    </comment>
  </commentList>
</comments>
</file>

<file path=xl/sharedStrings.xml><?xml version="1.0" encoding="utf-8"?>
<sst xmlns="http://schemas.openxmlformats.org/spreadsheetml/2006/main" count="13096" uniqueCount="1860">
  <si>
    <t>ТЗ</t>
  </si>
  <si>
    <t>ЭП</t>
  </si>
  <si>
    <t>Пояснительная записка к эскизному проекту</t>
  </si>
  <si>
    <t>ТП</t>
  </si>
  <si>
    <t xml:space="preserve">Ведомость технического проекта </t>
  </si>
  <si>
    <t xml:space="preserve">Ведомость покупных изделий </t>
  </si>
  <si>
    <t xml:space="preserve">Пояснительная записка к техническому проекту </t>
  </si>
  <si>
    <t xml:space="preserve">Описание комплекса технических средств </t>
  </si>
  <si>
    <t xml:space="preserve">Описание программного обеспечения </t>
  </si>
  <si>
    <t>Схема структурная</t>
  </si>
  <si>
    <t>Схема функциональная</t>
  </si>
  <si>
    <t>ТРП</t>
  </si>
  <si>
    <t xml:space="preserve">Пояснительная записка к технорабочему проекту </t>
  </si>
  <si>
    <t>РД</t>
  </si>
  <si>
    <t xml:space="preserve">Спецификация оборудования </t>
  </si>
  <si>
    <t>Инструкция по установке и настройке</t>
  </si>
  <si>
    <t xml:space="preserve">Схема соединений внешних проводок </t>
  </si>
  <si>
    <t xml:space="preserve">Таблица соединений и подключений </t>
  </si>
  <si>
    <t xml:space="preserve">План расположения </t>
  </si>
  <si>
    <t>Паспорт</t>
  </si>
  <si>
    <t>ПиМИ</t>
  </si>
  <si>
    <t>Смета</t>
  </si>
  <si>
    <t>ЭД</t>
  </si>
  <si>
    <t xml:space="preserve">Ведомость эксплуатационных документов </t>
  </si>
  <si>
    <t>Руководство администратора</t>
  </si>
  <si>
    <t xml:space="preserve">Руководство пользователя </t>
  </si>
  <si>
    <t>Руководство по мониторингу</t>
  </si>
  <si>
    <t>План резервного копирования</t>
  </si>
  <si>
    <t>План опытной эксплуатации</t>
  </si>
  <si>
    <t>Итог</t>
  </si>
  <si>
    <t>SТП</t>
  </si>
  <si>
    <t>S</t>
  </si>
  <si>
    <t>Простое</t>
  </si>
  <si>
    <t>Обычное</t>
  </si>
  <si>
    <t>Сложное</t>
  </si>
  <si>
    <t>Шаблон</t>
  </si>
  <si>
    <t>Значение</t>
  </si>
  <si>
    <t>Сложность документа</t>
  </si>
  <si>
    <t>Сумма</t>
  </si>
  <si>
    <t xml:space="preserve">Сложность проекта </t>
  </si>
  <si>
    <t>MaxPatrol SIEM</t>
  </si>
  <si>
    <t>RedCheck</t>
  </si>
  <si>
    <t>АВЗ</t>
  </si>
  <si>
    <t>SIEM</t>
  </si>
  <si>
    <t>МСЭ</t>
  </si>
  <si>
    <t>СКЗИ</t>
  </si>
  <si>
    <t>АЗ</t>
  </si>
  <si>
    <t>IDS</t>
  </si>
  <si>
    <t>НК</t>
  </si>
  <si>
    <t>ВП</t>
  </si>
  <si>
    <t>Общие</t>
  </si>
  <si>
    <t>Учитывать в рассчете</t>
  </si>
  <si>
    <t>Итого</t>
  </si>
  <si>
    <t>ГИП</t>
  </si>
  <si>
    <t>Управление проектом</t>
  </si>
  <si>
    <t>Обследование</t>
  </si>
  <si>
    <t>Длит-ть</t>
  </si>
  <si>
    <t>Роль</t>
  </si>
  <si>
    <t>Отчетные материалы</t>
  </si>
  <si>
    <t>Наименование работ по ТЗ</t>
  </si>
  <si>
    <t>Нормоконтроль</t>
  </si>
  <si>
    <t>Очное</t>
  </si>
  <si>
    <t>Уровень типизации проекта</t>
  </si>
  <si>
    <t>Тип разрабатываемой документации</t>
  </si>
  <si>
    <t>Параметр 3</t>
  </si>
  <si>
    <t>Параметр 2</t>
  </si>
  <si>
    <t>Параметр 1</t>
  </si>
  <si>
    <t>Применяемые подсистемы</t>
  </si>
  <si>
    <t>Исходные данные</t>
  </si>
  <si>
    <t>Значения</t>
  </si>
  <si>
    <t>Исходные данные:</t>
  </si>
  <si>
    <t>Empty_list</t>
  </si>
  <si>
    <t>Суммы</t>
  </si>
  <si>
    <t>Сложность</t>
  </si>
  <si>
    <t>Итог расчета</t>
  </si>
  <si>
    <t>-</t>
  </si>
  <si>
    <t>Заголовок</t>
  </si>
  <si>
    <t>номер столбца</t>
  </si>
  <si>
    <t>Документы</t>
  </si>
  <si>
    <t>Типизация</t>
  </si>
  <si>
    <t>Сложный</t>
  </si>
  <si>
    <t>Заочное</t>
  </si>
  <si>
    <t>Оставить</t>
  </si>
  <si>
    <t>История изменений автоматическая</t>
  </si>
  <si>
    <t>Отдел</t>
  </si>
  <si>
    <t>Назначение</t>
  </si>
  <si>
    <t>АСУТП</t>
  </si>
  <si>
    <t>ОП</t>
  </si>
  <si>
    <t>Дополнительные работы</t>
  </si>
  <si>
    <t>Динамический коэффициент</t>
  </si>
  <si>
    <t>нет данных (делают подрядчики)</t>
  </si>
  <si>
    <t>ТРУДОЗАТРАТЫ В ЧАСАХ</t>
  </si>
  <si>
    <t>РК Кол-во типов целевых систем для РК</t>
  </si>
  <si>
    <t>СКЗИ Кол-во ЦУС</t>
  </si>
  <si>
    <t>PAM Кол-во инсталляций</t>
  </si>
  <si>
    <t>SIEM Кол-во типов источников</t>
  </si>
  <si>
    <t>НСД Количество площадок с серверными компонентами подсистемы</t>
  </si>
  <si>
    <t>НСД Кол-во типов агентов</t>
  </si>
  <si>
    <t>НСД</t>
  </si>
  <si>
    <t>СРК</t>
  </si>
  <si>
    <t>WAF</t>
  </si>
  <si>
    <t>Трудозатраты АСУ ТП</t>
  </si>
  <si>
    <t>АЗ Кол-во профилей</t>
  </si>
  <si>
    <t>АЗ Кол-во сканируемых узлов</t>
  </si>
  <si>
    <t>Сумма по документам</t>
  </si>
  <si>
    <t>ТРП (дополнительно к ПЗ нужно выбрать документы из состава РД)</t>
  </si>
  <si>
    <t>Да</t>
  </si>
  <si>
    <t>Нет</t>
  </si>
  <si>
    <t>Простой</t>
  </si>
  <si>
    <t>Обычный</t>
  </si>
  <si>
    <t>СЗВ</t>
  </si>
  <si>
    <t>vGate</t>
  </si>
  <si>
    <t>Классификация/Категорирование</t>
  </si>
  <si>
    <t>Анализ уязвимостей</t>
  </si>
  <si>
    <t>Заказчик</t>
  </si>
  <si>
    <t>Сумарные ТРз</t>
  </si>
  <si>
    <t>Ответственное подразделение</t>
  </si>
  <si>
    <t>Наименование сервиса или услуги</t>
  </si>
  <si>
    <t>Ответственный исполнитель</t>
  </si>
  <si>
    <t>ОВ</t>
  </si>
  <si>
    <t>РП</t>
  </si>
  <si>
    <t>* - желтой заливкой обозначен ТО</t>
  </si>
  <si>
    <t>Командировки</t>
  </si>
  <si>
    <t>Специалист</t>
  </si>
  <si>
    <t>Количество  ч\д</t>
  </si>
  <si>
    <t>Количество человек</t>
  </si>
  <si>
    <t>Количество поездок</t>
  </si>
  <si>
    <t>Длительность этапа
раб.дни</t>
  </si>
  <si>
    <t>Ведущий проектировщик ОП</t>
  </si>
  <si>
    <t>Инженер проектировщик ОП</t>
  </si>
  <si>
    <t>Ведущий проектировщик АСУТП</t>
  </si>
  <si>
    <t>Инженер проектировщик АСУТП</t>
  </si>
  <si>
    <t>Разработка модели угроз и нарушителя</t>
  </si>
  <si>
    <t>Разработка технического задания</t>
  </si>
  <si>
    <t>Разработка организационно-распорядительной документации</t>
  </si>
  <si>
    <t>Макетирование системы защиты</t>
  </si>
  <si>
    <t>Ведущий инженер ОВ</t>
  </si>
  <si>
    <t>Инженер ОВ</t>
  </si>
  <si>
    <t>Внедрение средств защиты информации</t>
  </si>
  <si>
    <t>Анализ защищенности</t>
  </si>
  <si>
    <t>Оценка соответствия</t>
  </si>
  <si>
    <t>Инженер первой линии</t>
  </si>
  <si>
    <t>Инженер сервиса</t>
  </si>
  <si>
    <t>Сервис-менеджер</t>
  </si>
  <si>
    <t>ГИП АСУТП</t>
  </si>
  <si>
    <t>Солар</t>
  </si>
  <si>
    <t>РТК ИБ</t>
  </si>
  <si>
    <t>Описание вида работ</t>
  </si>
  <si>
    <t>Трудозатраты этапа, человеко-дни</t>
  </si>
  <si>
    <t>Стоимость этапа с косвенными затратами, маржой и НДС</t>
  </si>
  <si>
    <t>Сервис JSOC</t>
  </si>
  <si>
    <t>Департамент управления проектами</t>
  </si>
  <si>
    <t>Центр комплексных проектов</t>
  </si>
  <si>
    <t>Сервис менеджер, архитектор, эксперт</t>
  </si>
  <si>
    <t>Пентестер</t>
  </si>
  <si>
    <t>Директор проектов</t>
  </si>
  <si>
    <t>Ведущий РП</t>
  </si>
  <si>
    <t>Администратор проектов</t>
  </si>
  <si>
    <t>Отдел проектирования
ведущий инженер-проектировщик</t>
  </si>
  <si>
    <t>Отдел проектирования
инженер-проектировщик</t>
  </si>
  <si>
    <t>Отдел защиты АСУТП ГИП АСУТП</t>
  </si>
  <si>
    <t>Отдел защиты АСУТП ведущий инженер-проектировщик АСУТП</t>
  </si>
  <si>
    <t>Отдел защиты АСУТП инженер-проектировщик АСУТП</t>
  </si>
  <si>
    <t>Отдел внедрения
ведущий
инженер</t>
  </si>
  <si>
    <t>Отдел внедрения
инженер</t>
  </si>
  <si>
    <t>Отдел аттестации
ведущий
инженер</t>
  </si>
  <si>
    <t>Отдел аттестации
инженер</t>
  </si>
  <si>
    <t>Нормоконтролер</t>
  </si>
  <si>
    <t xml:space="preserve">Отдел сервиса
Руководитель сервисных проектов/сервис-менеджер </t>
  </si>
  <si>
    <t xml:space="preserve">Отдел сервиса
Ведущий инженер </t>
  </si>
  <si>
    <t>Отдел сервиса
Инженер сервиса</t>
  </si>
  <si>
    <t>Инженер 1-ой линии сервиса, группа сервиса (НН)</t>
  </si>
  <si>
    <t>ОС
Аналитик</t>
  </si>
  <si>
    <t>Инженер сервиса, группа сервиса (НН)</t>
  </si>
  <si>
    <t>Себестоимость этапов</t>
  </si>
  <si>
    <t>Кол-во дней</t>
  </si>
  <si>
    <t>Затраты на ТЕХ персонал чел/день, руб.</t>
  </si>
  <si>
    <t>Итого затраты на ТЕХ персонал, без НДС</t>
  </si>
  <si>
    <t>Коэффициент активной загрузки</t>
  </si>
  <si>
    <t>Доки</t>
  </si>
  <si>
    <t>Исходные параметры АСУТП</t>
  </si>
  <si>
    <t>Принципиальная схема электропитания оборудования (СБ)</t>
  </si>
  <si>
    <t>Схема подключения внешних проводок (С5)</t>
  </si>
  <si>
    <t>Чертеж установки технических средств (СА)</t>
  </si>
  <si>
    <t>МЭ Кол-во площадок</t>
  </si>
  <si>
    <t>МЭ Кол-во серверов управления</t>
  </si>
  <si>
    <t>МЭ Кол-во модулей</t>
  </si>
  <si>
    <t>сложное</t>
  </si>
  <si>
    <t>обычное</t>
  </si>
  <si>
    <t>простое</t>
  </si>
  <si>
    <t>Ч/Д</t>
  </si>
  <si>
    <t>+</t>
  </si>
  <si>
    <t>через условие, если &gt;0, то 1 иначе 0</t>
  </si>
  <si>
    <t>через условие, если &gt;0, то 0,4 иначе 0</t>
  </si>
  <si>
    <t>План расположения и чертеж установки ТС</t>
  </si>
  <si>
    <t>в части РД этот документ может служить продолением ПЗ в части описания детальных настроек СрЗИ</t>
  </si>
  <si>
    <t>Описание функций ПО, не увидел отличия от того что пишется в ПЗ, пока ставлю по формалке</t>
  </si>
  <si>
    <t>Принимаю, что не отличается от ПЗ к ТРП, по содержанию, детализация настроек СрЗИ в отдельном документе</t>
  </si>
  <si>
    <t>Если есть хорошо проработанный комплект только на агент - НСД, и если он и требуется, то считается хорошой проработкой</t>
  </si>
  <si>
    <t>Описан только НСД</t>
  </si>
  <si>
    <t>Средняя проработка</t>
  </si>
  <si>
    <t>Хорошая проработка, есть шаблоны и описаны все модули</t>
  </si>
  <si>
    <t>НСД Кол-во серверов безопасности</t>
  </si>
  <si>
    <t>PAM Кол-во типов протоколов подключения</t>
  </si>
  <si>
    <t>СКЗИ Количество площадок</t>
  </si>
  <si>
    <t>СКЗИ Количество пользователей</t>
  </si>
  <si>
    <t>IDS Кол-во точек мониторинга</t>
  </si>
  <si>
    <t>Документы:</t>
  </si>
  <si>
    <t>Принципиальная схема электропитания оборудования</t>
  </si>
  <si>
    <t>Схема подключения внешних проводок</t>
  </si>
  <si>
    <t>Чертеж установки технических средств</t>
  </si>
  <si>
    <t>Спецификация</t>
  </si>
  <si>
    <t>Производитель</t>
  </si>
  <si>
    <t>Парт-номер</t>
  </si>
  <si>
    <t>Наименование</t>
  </si>
  <si>
    <t>Кол-во</t>
  </si>
  <si>
    <t>Цена</t>
  </si>
  <si>
    <t>НДС</t>
  </si>
  <si>
    <t>Заявка на бюджетирование проекта</t>
  </si>
  <si>
    <t>№ п.п.</t>
  </si>
  <si>
    <t>Вопрос</t>
  </si>
  <si>
    <t>ФИО разработчика спецификации</t>
  </si>
  <si>
    <t>ФИО ответственного за проект</t>
  </si>
  <si>
    <t>Дата, когда необходим ответ</t>
  </si>
  <si>
    <r>
      <rPr>
        <b/>
        <sz val="10"/>
        <color theme="1"/>
        <rFont val="Calibri"/>
        <family val="2"/>
        <charset val="204"/>
        <scheme val="minor"/>
      </rPr>
      <t xml:space="preserve">Цепочка поставки. Выбрать из списка:
Для внутренних нужд  </t>
    </r>
    <r>
      <rPr>
        <sz val="9"/>
        <color theme="1"/>
        <rFont val="Calibri"/>
        <family val="2"/>
        <charset val="204"/>
        <scheme val="minor"/>
      </rPr>
      <t xml:space="preserve">- для использования внутри Солар, без права передачи третьим лицам и без права использования для выгодоприобретения.
</t>
    </r>
    <r>
      <rPr>
        <b/>
        <sz val="10"/>
        <color theme="1"/>
        <rFont val="Calibri"/>
        <family val="2"/>
        <charset val="204"/>
        <scheme val="minor"/>
      </rPr>
      <t>Перепродажа</t>
    </r>
    <r>
      <rPr>
        <sz val="9"/>
        <color theme="1"/>
        <rFont val="Calibri"/>
        <family val="2"/>
        <charset val="204"/>
        <scheme val="minor"/>
      </rPr>
      <t xml:space="preserve"> - передача права конечному заказчику.
</t>
    </r>
    <r>
      <rPr>
        <b/>
        <sz val="10"/>
        <color theme="1"/>
        <rFont val="Calibri"/>
        <family val="2"/>
        <charset val="204"/>
        <scheme val="minor"/>
      </rPr>
      <t xml:space="preserve">Услуги третьим лицам </t>
    </r>
    <r>
      <rPr>
        <sz val="9"/>
        <color theme="1"/>
        <rFont val="Calibri"/>
        <family val="2"/>
        <charset val="204"/>
        <scheme val="minor"/>
      </rPr>
      <t xml:space="preserve">- покупка на баланс Солар с правом оказания сервисов и использования продукта с целью выгодоприобретения.
</t>
    </r>
    <r>
      <rPr>
        <b/>
        <sz val="10"/>
        <color theme="1"/>
        <rFont val="Calibri"/>
        <family val="2"/>
        <charset val="204"/>
        <scheme val="minor"/>
      </rPr>
      <t>Сервисы</t>
    </r>
    <r>
      <rPr>
        <sz val="10"/>
        <color theme="1"/>
        <rFont val="Calibri"/>
        <family val="2"/>
        <charset val="204"/>
        <scheme val="minor"/>
      </rPr>
      <t xml:space="preserve"> </t>
    </r>
    <r>
      <rPr>
        <sz val="9"/>
        <color theme="1"/>
        <rFont val="Calibri"/>
        <family val="2"/>
        <charset val="204"/>
        <scheme val="minor"/>
      </rPr>
      <t>- покупка на баланс Солар для обеспечения работы каких либо сервисов без передачи продукта (в любом виде) конечному заказчику или любому другому третьему лицу.</t>
    </r>
  </si>
  <si>
    <t>Название конечного заказчика (Если для внутренних нужд, указывать Солар)</t>
  </si>
  <si>
    <t>Название проекта</t>
  </si>
  <si>
    <t>Номер пресейла, если есть</t>
  </si>
  <si>
    <t>Название участников - партнер/партнеры (указать), если есть</t>
  </si>
  <si>
    <t>Ссылка на конкурс, если есть</t>
  </si>
  <si>
    <t>Планируемая дата подачи в конкурс, если известна</t>
  </si>
  <si>
    <t>Прогнозируемая дата поставки по конкурсу, если известна</t>
  </si>
  <si>
    <t>Адрес доставки</t>
  </si>
  <si>
    <t>Формы для регистрации проектов по вендорам выложены в папке по ссылке:</t>
  </si>
  <si>
    <t>Ссылка будет позднее</t>
  </si>
  <si>
    <t>Если формы нет в папке, просьба заполнить следующие поля.</t>
  </si>
  <si>
    <t>ИНН конечного заказчика</t>
  </si>
  <si>
    <t>КПП конечного заказчика</t>
  </si>
  <si>
    <t>ФИО контактного лица заказчика</t>
  </si>
  <si>
    <t>Должность контактного лица заказчика</t>
  </si>
  <si>
    <t>Телефон 
контактного лица заказчика</t>
  </si>
  <si>
    <t>Корпоративный адрес электронной почты
контактного лица заказчика</t>
  </si>
  <si>
    <t>Сайт организации</t>
  </si>
  <si>
    <t>СМР</t>
  </si>
  <si>
    <t>ПНР</t>
  </si>
  <si>
    <t>ПСИ</t>
  </si>
  <si>
    <t>Работы</t>
  </si>
  <si>
    <t>ГИП/Архитектор проектов/CISO/РП/РСП</t>
  </si>
  <si>
    <t>2-aя линия/аналитик/администратор/технический писатель/ Инженер проектировщик/Форензика</t>
  </si>
  <si>
    <t>Ведущий РП ПрОФ ИБ</t>
  </si>
  <si>
    <t>Ведущий РП ДПУ</t>
  </si>
  <si>
    <t xml:space="preserve">Ставка Ижевска </t>
  </si>
  <si>
    <t>Департамент Дозор</t>
  </si>
  <si>
    <t>Юр.департамент</t>
  </si>
  <si>
    <t>Руководитель направления Дозор</t>
  </si>
  <si>
    <t>Аналитик Дозор</t>
  </si>
  <si>
    <t>Консультант-методолог</t>
  </si>
  <si>
    <t>Старший юрист</t>
  </si>
  <si>
    <t>Юрист по корпоративному праву</t>
  </si>
  <si>
    <t>Руководитель проекта inRights</t>
  </si>
  <si>
    <t>Аналитик inRights</t>
  </si>
  <si>
    <t>Архитектор информационных систем</t>
  </si>
  <si>
    <t>Архитектор внедрения inRights</t>
  </si>
  <si>
    <t>Руководитель группы/сервис менеджер inRights</t>
  </si>
  <si>
    <t>Инженер внедрения inRights</t>
  </si>
  <si>
    <t>Тех. Писатель inRights</t>
  </si>
  <si>
    <t>Тест-менеджер (Тест-лид) inRight</t>
  </si>
  <si>
    <t>Дизайнер inRights</t>
  </si>
  <si>
    <t>Инженер сервиса inRights</t>
  </si>
  <si>
    <t>Разработчик фронтэнд inRights</t>
  </si>
  <si>
    <t>Разработчик бэкенд inRights</t>
  </si>
  <si>
    <t>Департамент inRights</t>
  </si>
  <si>
    <t>Примечания</t>
  </si>
  <si>
    <t>ЧМУиН</t>
  </si>
  <si>
    <t>1 линия</t>
  </si>
  <si>
    <t>Куда</t>
  </si>
  <si>
    <t>Сибирский</t>
  </si>
  <si>
    <t>Дальневосточный</t>
  </si>
  <si>
    <t>Asia</t>
  </si>
  <si>
    <t>Us</t>
  </si>
  <si>
    <t>Центральный</t>
  </si>
  <si>
    <t>Спецы</t>
  </si>
  <si>
    <t>Регионы</t>
  </si>
  <si>
    <t>ViPNet xFirewall</t>
  </si>
  <si>
    <t>Блокхост сеть</t>
  </si>
  <si>
    <t>Инконтрол - Д</t>
  </si>
  <si>
    <t>DS Integrity</t>
  </si>
  <si>
    <t>Profitap</t>
  </si>
  <si>
    <t>RuBackup</t>
  </si>
  <si>
    <t>АПКШ Континент</t>
  </si>
  <si>
    <t>ДИОД</t>
  </si>
  <si>
    <t xml:space="preserve">ТРП </t>
  </si>
  <si>
    <t>Данный документ включает в себя перечень всех программных и технических средств, а также лицензий, используемых при создании СОИБ. </t>
  </si>
  <si>
    <t>Данный документ предназначен для утверждения перечня разрабатываемой технической документации и работ по созданию СОИБ, требований к Исполнителю и Заказчику, а также сроков выполнения работ на кажом этапе разработки системы.</t>
  </si>
  <si>
    <t>Данный документ включает в себя описание каждого комплекса технических средств, проектируемых для выполнения требований регуляторов и обеспечения информационной безопасности разрабатываемой системы, где описывается назначение применяемых СрЗИ, приводятся типовые схемы взаимодействия компонентов СрЗИ, а также указывается функционал, который способствует "закрытию" меры защиты, согласно следующим обязательным таблицам, являющихся частью данного документа: - Сопоставление угроз и мер защиты, - Сопоставление угроз, мер и комплексов, -Сопоставление мер защиты и комплексов технических средств.</t>
  </si>
  <si>
    <t>Документ, в котором подробно описываются технические характеристики и потребительские качества ПО, а также сведения о его применении и сопровождении.</t>
  </si>
  <si>
    <t>Данный документ описывает порядок действий при эксплуатации программно-технических средств, входящих в состав СОИБ, в части настройки и администрирования средств защиты информации.</t>
  </si>
  <si>
    <t>Данный документ описывает порядок действий при экплуатации программно-технических средств, входящих в состав СОИБ, в части использования средств защиты информации.</t>
  </si>
  <si>
    <t>Данный документ предназначен для описания перечня разрабатываемых эксплуатационных документов.</t>
  </si>
  <si>
    <t>Данный документ предназначен для описания конкретных настроек СрЗИ, порядок действий для внедрения конкретного технического решения.</t>
  </si>
  <si>
    <t>Данный документ включает в себя краткое описание объекта ПОЭ, цели ПОЭ, объем ПОЭ, а также условия и порядок ее проведения, материально-техническое обеспечение. Обязательные приложения, такие как: Перечень элементов, подвергающихся ПОЭ, Программа проведения ПОЭ и методики испытания.</t>
  </si>
  <si>
    <t>Ссылки</t>
  </si>
  <si>
    <t>Код документа</t>
  </si>
  <si>
    <t>П9</t>
  </si>
  <si>
    <t>ПА</t>
  </si>
  <si>
    <t>П2</t>
  </si>
  <si>
    <t>П1</t>
  </si>
  <si>
    <t>В4</t>
  </si>
  <si>
    <t>С4</t>
  </si>
  <si>
    <t>С1</t>
  </si>
  <si>
    <t>С2</t>
  </si>
  <si>
    <t>С6</t>
  </si>
  <si>
    <t>код не присваивается</t>
  </si>
  <si>
    <t>Схема L1</t>
  </si>
  <si>
    <t>Схема L2</t>
  </si>
  <si>
    <t>Схема L3</t>
  </si>
  <si>
    <t>Содержит информацию о VLAN, LACP, bond</t>
  </si>
  <si>
    <t>Содержит информацию о физическом подключении оборудования (номера портов, режим работы порта - trunk, access). 
Схемы L1, L2 можно совмещать</t>
  </si>
  <si>
    <t>Содержит маршрутную информацию, подсети и IP-адреса</t>
  </si>
  <si>
    <t>Документ содержит верхнеуровневое описание архитектуры создаваемой системы, а также предъявляет требования к подсистемам СОИБ.</t>
  </si>
  <si>
    <t>Документ содержит подробное описание создаваемой системы (цели, назначение, состав комплексов/подсистем, архитектура и параметры средств защиты в составе создаваемой системы).</t>
  </si>
  <si>
    <t>Ведомость содержит перечень всех документов, разработанных на соответствующих стадиях создания АС и применяемых из проектов других АС.</t>
  </si>
  <si>
    <t>Содержит следующую информацию:
1) элементы функциональной структуры АС (подсистемы АС); автоматизированные функции и (или) задачи (комплексы задач); совокупности действий (операций), выполняемых при реализации автоматизированных функций только техническими средствами (автоматически) или только человеком;
2) информационные связи между элементами и с внешней средой с кратким указанием содержания сообщений и (или) сигналов, передаваемых по связям, и при необходимости, связи других типов (входимости, подчинения и т.д.);
3) детализированные схемы частей функциональной структуры (при необходимости).</t>
  </si>
  <si>
    <t>Документ содержит разделы:
- общие сведения об АС;
- основные характеристики АС;
- комплектность;
- свидетельство (акт) о приемке;
- гарантии изготовителя (поставщика);
- сведения о рекламациях.
В разделе «Общие сведения об АС» указывают наименование АС, ее обозначение, присвоенное разработчиком, наименование предприятия-поставщика и другие сведения об АС в целом.
В разделе «Основные характеристики АС» должны быть приведены:
- сведения о составе функций, реализуемых АС, в том числе измерительных и управляющих;
- описание принципа функционирования АС;
- общий регламент и режимы функционирования АС и сведения о возможности изменения режимов ее работы;
- сведения о совместимости АС с другими системами.
В разделе «Комплектность» указывают все непосредственно входящие в состав АС комплексы технических и программных средств, отдельные средства, в том числе носители данных и эксплуатационные документы.
В разделе «Свидетельство о приемке» приводят дату подписания акта о приемке АС в промышленную эксплуатацию и фамилии лиц, подписавших акт.
В разделе «Гарантии изготовителя» приводят сроки гарантии АС в целом и ее отдельных составных частей, если эти сроки не совпадают со сроками гарантии АС в целом.
В разделе «Сведения о рекламациях» регистрируют все предъявленные рекламации, их краткое содержание и меры, принятые по рекламациям.</t>
  </si>
  <si>
    <t>ПС</t>
  </si>
  <si>
    <t>Документ содержит состав комплекса технических средств и связи между этими техническими средствами или группами технических средств, объединенными по каким-либо логическим признакам (например, совместному выполнению отдельных или нескольких функций, одинаковому назначению и т.д.).
При выполнении схем допускается:
1) указывать основные характеристики технических средств;
2) представлять структуру КТС АС (при необходимости) несколькими схемами, первой из которых является укрупненная схема КТС АС в целом.</t>
  </si>
  <si>
    <t>Программа и методика предварительных испытаний</t>
  </si>
  <si>
    <t>ПМ1</t>
  </si>
  <si>
    <t>Программа и методика приемочных испытаний</t>
  </si>
  <si>
    <t>Программа опытной эксплуатации</t>
  </si>
  <si>
    <t>Включает проверку работоспособности подсистемы безопасности значимого объекта и отдельных средств защиты информации, оценку выполнения требований по безопасности, предъявляемых к программным и программно-аппаратным средствам, оценку влияния подсистемы безопасности на функционирование значимого объекта при проектных режимах его работы, установленных проектной документацией, а также принятие решения о возможности опытной эксплуатации значимого объекта и его подсистемы безопасности.</t>
  </si>
  <si>
    <t>Опытная эксплуатация значимого объекта и его подсистемы безопасности должна проводиться в соответствии с программой и методиками опытной эксплуатации и включать проверку функционирования подсистемы безопасности значимого объекта, в том числе реализованных организационных и технических мер, а также знаний и умений пользователей и администраторов, необходимых для эксплуатации значимого объекта и его подсистемы безопасности. По результатам опытной эксплуатации принимается решение о возможности (или невозможности) проведения приемочных испытаний значимого объекта и его подсистемы безопасности.</t>
  </si>
  <si>
    <t>В ходе приемочных испытаний значимого объекта и его подсистемы безопасности должен быть проведен комплекс организационных и технических мероприятий (испытаний), в результате которых подтверждается соответствие значимого объекта и его подсистемы безопасности настоящим Требованиям, а также требованиям технического задания на создание значимого объекта и (или) технического задания (частного технического задания) на создание подсистемы безопасности значимого объекта.</t>
  </si>
  <si>
    <t>ИЗ2</t>
  </si>
  <si>
    <t>И31</t>
  </si>
  <si>
    <t>Лояльность</t>
  </si>
  <si>
    <t>Нулевая терпимость</t>
  </si>
  <si>
    <t>Техническая грамотность</t>
  </si>
  <si>
    <t>Низкая тех.грамотность</t>
  </si>
  <si>
    <t>Инженер ОКиА</t>
  </si>
  <si>
    <t>ОКиА</t>
  </si>
  <si>
    <t>Ведущий консультант ОКиА</t>
  </si>
  <si>
    <t>Анализ уязвимостей
Отчет (протокол) анализа уязвимостей</t>
  </si>
  <si>
    <t>Комплект ОРД</t>
  </si>
  <si>
    <t>Перечень угроз и нарушителей</t>
  </si>
  <si>
    <t>Очное/заочное обследование площадок
Заполненные опросные листы</t>
  </si>
  <si>
    <t>Отчет по обследованию</t>
  </si>
  <si>
    <t>KICS for Nodes Windows</t>
  </si>
  <si>
    <t>KICS for Nodes Linux</t>
  </si>
  <si>
    <t>Kaspersky Security для виртуальных и облачных сред</t>
  </si>
  <si>
    <t>KES Windows</t>
  </si>
  <si>
    <t>KES Linux</t>
  </si>
  <si>
    <t>PT MultiScanner</t>
  </si>
  <si>
    <t>Dr Web Security Suite</t>
  </si>
  <si>
    <t>Dr Web Industrial</t>
  </si>
  <si>
    <t>Kaspersky Unified Monitoring and Analysis Platform (KUMA)</t>
  </si>
  <si>
    <t>Континент 4</t>
  </si>
  <si>
    <t>Межсетевой экран UserGate</t>
  </si>
  <si>
    <t>Solar NGFW</t>
  </si>
  <si>
    <t xml:space="preserve">PIM / PAM / PUM </t>
  </si>
  <si>
    <t xml:space="preserve">Solar SafeInspect </t>
  </si>
  <si>
    <t>Indeed Access Manager</t>
  </si>
  <si>
    <t>СКДПУ НТ</t>
  </si>
  <si>
    <t>Vipnet Coordinator HW</t>
  </si>
  <si>
    <t>Vipnet Coordinator IG</t>
  </si>
  <si>
    <t>C-TERRA ШЛЮЗ</t>
  </si>
  <si>
    <t>ЗАСТАВА</t>
  </si>
  <si>
    <t>MaxPatrol VM</t>
  </si>
  <si>
    <t>MaxPatrol 8</t>
  </si>
  <si>
    <t>PT xSpider</t>
  </si>
  <si>
    <t>Сканер-ВС</t>
  </si>
  <si>
    <t>Кибер Бэкап</t>
  </si>
  <si>
    <t>Континент СОВ/СОА</t>
  </si>
  <si>
    <t xml:space="preserve">ViPNet IDS </t>
  </si>
  <si>
    <t>С-Терра СОВ</t>
  </si>
  <si>
    <t>Обнаружение вторжений (IDS/IPS)</t>
  </si>
  <si>
    <t>SecretNet</t>
  </si>
  <si>
    <t>Соболь</t>
  </si>
  <si>
    <t>Аккорд</t>
  </si>
  <si>
    <t>Dalas Lock</t>
  </si>
  <si>
    <t>JaCarta MS</t>
  </si>
  <si>
    <t>Рутокен</t>
  </si>
  <si>
    <t>Мультифактор</t>
  </si>
  <si>
    <t>АМТ InfoDiode</t>
  </si>
  <si>
    <t>Indeed</t>
  </si>
  <si>
    <t>Vmware</t>
  </si>
  <si>
    <t>Брест</t>
  </si>
  <si>
    <t xml:space="preserve">zVirt </t>
  </si>
  <si>
    <t>РЕД Виртуализация</t>
  </si>
  <si>
    <t>SpaceVM</t>
  </si>
  <si>
    <t>Горизонт-ВС</t>
  </si>
  <si>
    <t>Базис.Virtual Security</t>
  </si>
  <si>
    <t>СЗИ ВИ Dallas Lock</t>
  </si>
  <si>
    <t>Защита виртуализации (ЗВС)</t>
  </si>
  <si>
    <t>SOAR</t>
  </si>
  <si>
    <t>R-Vision SGRC</t>
  </si>
  <si>
    <t>SOAR/IRP+SGRC</t>
  </si>
  <si>
    <t>СЗВ Количество площадок с серверными компонентами подсистемы</t>
  </si>
  <si>
    <t>Виртуализация рабочих мест (VDI)</t>
  </si>
  <si>
    <t>Платформа взаимодействия с главным центром ГосСОПКА</t>
  </si>
  <si>
    <t>TLS шлюз</t>
  </si>
  <si>
    <t>DCAP / DAG</t>
  </si>
  <si>
    <t>Контроль конфигураций</t>
  </si>
  <si>
    <t>NTA</t>
  </si>
  <si>
    <t>SEG</t>
  </si>
  <si>
    <t>APT</t>
  </si>
  <si>
    <t>NAC</t>
  </si>
  <si>
    <t>Sandbox</t>
  </si>
  <si>
    <t>EDR</t>
  </si>
  <si>
    <t>Базис.WorkPlace</t>
  </si>
  <si>
    <t>Termidesk VDI</t>
  </si>
  <si>
    <t>Space VDI</t>
  </si>
  <si>
    <t>Горизонт-ВС VDI</t>
  </si>
  <si>
    <t>РУСТЭК.VDI</t>
  </si>
  <si>
    <t xml:space="preserve">PGSQL Pro </t>
  </si>
  <si>
    <t xml:space="preserve">СУБД ЛИНТЕР БАСТИОН </t>
  </si>
  <si>
    <t>Astra Linux</t>
  </si>
  <si>
    <t>РЕД ОС</t>
  </si>
  <si>
    <t>PT Platform 187</t>
  </si>
  <si>
    <t>Platform GosSOPKA (KUMA)</t>
  </si>
  <si>
    <t>ViPNet TLS Gateway</t>
  </si>
  <si>
    <t>Континент TLS</t>
  </si>
  <si>
    <t>DCAP/DAG «СПЕКТР»</t>
  </si>
  <si>
    <t>Solar DAG</t>
  </si>
  <si>
    <t>Makves DCAP</t>
  </si>
  <si>
    <t>Kaspersky Industrial CyberSecurity for Networks</t>
  </si>
  <si>
    <t>PT ISIM</t>
  </si>
  <si>
    <t>PT NAD</t>
  </si>
  <si>
    <t>Гарда Монитор</t>
  </si>
  <si>
    <t>Kaspersky Secure Mail Gateway</t>
  </si>
  <si>
    <t>InfoWatch Targeted Attack Detector</t>
  </si>
  <si>
    <t>KATA</t>
  </si>
  <si>
    <t>PT Anti-APT</t>
  </si>
  <si>
    <t>Efros ACS</t>
  </si>
  <si>
    <t>Kaspersky Sandbox</t>
  </si>
  <si>
    <t>PT Sandbox</t>
  </si>
  <si>
    <t>MaxPatrol XDR/EDR</t>
  </si>
  <si>
    <t>Kaspersky EDR</t>
  </si>
  <si>
    <t>TLC Кол-во типов агентов</t>
  </si>
  <si>
    <t>TLC Неиспользуемый параметр</t>
  </si>
  <si>
    <t>DCAP Количество площадок с серверными компонентами подсистемы</t>
  </si>
  <si>
    <t>DCAP Неиспользуемый параметр</t>
  </si>
  <si>
    <t>NTA Неиспользуемый параметр</t>
  </si>
  <si>
    <t>SEG Количество площадок с серверными компонентами подсистемы</t>
  </si>
  <si>
    <t>SEG Неиспользуемый параметр</t>
  </si>
  <si>
    <t>SANDBOX Неиспользуемый параметр</t>
  </si>
  <si>
    <t>Документация</t>
  </si>
  <si>
    <t>Пресейл</t>
  </si>
  <si>
    <t>ТЗ/ФТТ</t>
  </si>
  <si>
    <t>ФТТ</t>
  </si>
  <si>
    <t>ПМИ</t>
  </si>
  <si>
    <t>Технические условия для монтажа оборудования</t>
  </si>
  <si>
    <t>Эскизная схема расположения оборудования</t>
  </si>
  <si>
    <t>Базовый</t>
  </si>
  <si>
    <t>Средний</t>
  </si>
  <si>
    <t>Высокий</t>
  </si>
  <si>
    <t>Продвинутый</t>
  </si>
  <si>
    <t>Сетевая безопасность</t>
  </si>
  <si>
    <t>Анти-DDoS</t>
  </si>
  <si>
    <t>SD-WAN</t>
  </si>
  <si>
    <t>Безопасность конечных точек</t>
  </si>
  <si>
    <t>Honeypot</t>
  </si>
  <si>
    <t>Управление доступом</t>
  </si>
  <si>
    <t>Контроллер домена</t>
  </si>
  <si>
    <t>IAM/IDM</t>
  </si>
  <si>
    <t>Безопасность данных и СУБД</t>
  </si>
  <si>
    <t>DLP</t>
  </si>
  <si>
    <t>Certified Database</t>
  </si>
  <si>
    <t>Безопасность приложений</t>
  </si>
  <si>
    <t>SAST</t>
  </si>
  <si>
    <t>DAST</t>
  </si>
  <si>
    <t>IAST</t>
  </si>
  <si>
    <t>RASP</t>
  </si>
  <si>
    <t>DevSecOps</t>
  </si>
  <si>
    <t>Безопасность виртуализации</t>
  </si>
  <si>
    <t>Certified Virtual Platform</t>
  </si>
  <si>
    <t>Безопасность моб. устройств</t>
  </si>
  <si>
    <t>АВЗ Mobile</t>
  </si>
  <si>
    <t>MDM</t>
  </si>
  <si>
    <t>Управление инцидентами ИБ</t>
  </si>
  <si>
    <t>TIP</t>
  </si>
  <si>
    <t>UEBA</t>
  </si>
  <si>
    <t>Автоматизация управления ИБ</t>
  </si>
  <si>
    <t>SGRC</t>
  </si>
  <si>
    <t>%И</t>
  </si>
  <si>
    <t>%СИ</t>
  </si>
  <si>
    <t>%ВИ</t>
  </si>
  <si>
    <t>Расчет СКЗИ</t>
  </si>
  <si>
    <t>Расчет АЗ</t>
  </si>
  <si>
    <t>Расчет СРК</t>
  </si>
  <si>
    <t>Расчет IDS</t>
  </si>
  <si>
    <t>Расчет НСД</t>
  </si>
  <si>
    <t>Расчет WAF</t>
  </si>
  <si>
    <t>Расчет СЗВ</t>
  </si>
  <si>
    <t>Расчет SOAR</t>
  </si>
  <si>
    <t>Расчет Виртуализация рабочих мест (VDI)</t>
  </si>
  <si>
    <t>Расчет Платформа взаимодействия с главным центром ГосСОПКА</t>
  </si>
  <si>
    <t>Расчет TLS шлюз</t>
  </si>
  <si>
    <t>Расчет DCAP / DAG</t>
  </si>
  <si>
    <t>Расчет Контроль конфигураций</t>
  </si>
  <si>
    <t>Расчет NTA</t>
  </si>
  <si>
    <t>Расчет SEG</t>
  </si>
  <si>
    <t>Расчет APT</t>
  </si>
  <si>
    <t>Расчет NAC</t>
  </si>
  <si>
    <t>Расчет Sandbox</t>
  </si>
  <si>
    <t>Расчет EDR</t>
  </si>
  <si>
    <t>Роли</t>
  </si>
  <si>
    <t>Классы</t>
  </si>
  <si>
    <t>И</t>
  </si>
  <si>
    <t>СИ</t>
  </si>
  <si>
    <t>ВИ</t>
  </si>
  <si>
    <t>Итоговый расчет</t>
  </si>
  <si>
    <t>Разрабатываемая документация</t>
  </si>
  <si>
    <t>Данный документ предназначен для описания перечня функционально-технических требований предъявляемых к компонентам СОИБ.</t>
  </si>
  <si>
    <t>Данный документ предназначен для закупок необходимого для проектирования СОИБ программных, аппаратных и технических средств. Спецификация не учитывает кабельную продукцию и материалы необходимые для проведения СМР.</t>
  </si>
  <si>
    <t>На схеме указывают:
1) электрические провода и кабели, импульсные, командные, питающие, продувные и дренажные трубопроводы, защитные трубы, короба и металлорукава (с указанием их номера, типа, длины и при необходимости мест подсоединения), прокладываемые вне щитов и кроссовых шкафов;
2) отборные устройства, чувствительные элементы, регулирующие органы и т.п., встраиваемые в технологическое оборудование и трубопроводы с указанием номеров их позиций по спецификации оборудования и номеров чертежей их установки;
3) приборы, регуляторы, исполнительные механизмы и т.п., устанавливаемые вне щитов с указанием номеров их позиций по спецификации оборудования и номеров чертежей их установки;
4) щиты и пульты с указанием их наименований и обозначения таблиц соединений, таблиц подключений;
5) устройства защитного заземления щитов, приборов и других электроприемников, выполненные согласно действующей нормативно-технической документации;
6) технические характеристики кабелей, проводов, соединительных и разветвительных коробок, труб, арматур и т.п., предусмотренных данной схемой и необходимое их число;
7) таблицу примененных в схеме условных обозначений, не предусмотренных действующими стандартами.
На схеме допускается указывать другие виды технических средств и давать текстовые пояснения.
Документ разрабатыввает подрядчик по СМР.</t>
  </si>
  <si>
    <t>Данный документ включает в себя таблицы подключения и соединения проводов, в которых указано откуда и куда поступает соединение, а также данные провода, его длина и маркировка.
Документ разрабатыввает подрядчик по СМР.</t>
  </si>
  <si>
    <t>Данный документ включает в себя описание и схемы помещений, в которых распологаются подсистемы СОИБ, а также схема их взаимодействия, согласно плану подключения и расположения внешних проводок.
Документ разрабатыввает подрядчик по СМР.</t>
  </si>
  <si>
    <t>Данный документ включает в себя описание требований предъявляемых при монтаже оборудования (питание, шкафы, видеонаблюдение, СКУД, климат-контроль, линии связи и т.д.).</t>
  </si>
  <si>
    <t>Данный документ включает в себя предварительную схему расположения компонентов внедряемой системы в шкафу (арм, сервер, сетевое оборудование).</t>
  </si>
  <si>
    <t>Разрабатывается на этапе строительно-монтажных работ. 
Документ разрабатыввает подрядчик по СМР.</t>
  </si>
  <si>
    <t>На схеме приводят:
1) принцип действия;
2) состав, основные технические характеристики и взаимодействие средств технического обеспечения АС, предназначенных для осуществления функций управления, регулирования, защиты, измерения, сигнализации, питания и др.;
3) таблицу примененных на схеме условных обозначений, не предусмотренных действующими стандартами;
4) необходимые текстовые пояснения;
5) места установки приборов и средств автоматизации и подключения к ним электрических и трубных проводок.
Документ разрабатыввает подрядчик по СМР.</t>
  </si>
  <si>
    <t>На схеме указывают вводные устройства (сборки коммутационных зажимов, штепсельные разъемы и т.п.) щитов, пультов, соединительных коробок и подключаемые к ним кабели и провода, а также другие виды технических средств. Схему подключений допускается не выполнять, если эти подключения показаны на схеме соединения внешних проводок.
Документ разрабатыввает подрядчик по СМР.</t>
  </si>
  <si>
    <t>Данный документ включает в себя схемы шкафов, в которых должны быть установлены технические средства (на чертеже должны быть отражены номера юнит - свободных и занятых).
Документ разрабатыввает подрядчик по СМР.</t>
  </si>
  <si>
    <t>Данный документ включает в себя краткое описание методов мониторинга инфраструктуры для выявления неисправностей и сбоев.</t>
  </si>
  <si>
    <t>Данный документ включает в себя краткое описание методов резервного копирования, цели РК, а также план восстановления.</t>
  </si>
  <si>
    <t>ТЭО</t>
  </si>
  <si>
    <t>Данный документ показывает техничко-экономическое обоснование выбора решения с учетом описания методики расчета критериев.
Документ является дополнительным и включается в разработку по требованию Заказчика.</t>
  </si>
  <si>
    <t>Дорожная карта</t>
  </si>
  <si>
    <t>Презентация</t>
  </si>
  <si>
    <t>Документ описывает результаты проекта и включает в себя рекомендации по дальнейшему развитию процессов ИБ.
Документ является дополнительным и включается в разработку по требованию Заказчика.</t>
  </si>
  <si>
    <t>В составе документа С1</t>
  </si>
  <si>
    <t>Диод</t>
  </si>
  <si>
    <t>Сетевая схема L2</t>
  </si>
  <si>
    <t>Сетевая схема L3</t>
  </si>
  <si>
    <t>MFA</t>
  </si>
  <si>
    <t>MFA неиспользуемый параметр</t>
  </si>
  <si>
    <t>Континент WAF</t>
  </si>
  <si>
    <t>PT Application Firewall</t>
  </si>
  <si>
    <t>SolidWall WAF</t>
  </si>
  <si>
    <t>простой Пресейл</t>
  </si>
  <si>
    <t>обычный Пресейл</t>
  </si>
  <si>
    <t>сложный Пресейл</t>
  </si>
  <si>
    <t>простое ЭП</t>
  </si>
  <si>
    <t>обычное ЭП</t>
  </si>
  <si>
    <t>сложное ЭП</t>
  </si>
  <si>
    <t>простое ТРП</t>
  </si>
  <si>
    <t>обычное ТРП</t>
  </si>
  <si>
    <t>сложное ТРП</t>
  </si>
  <si>
    <t>АВЗ Кол-во серверов управления</t>
  </si>
  <si>
    <t>ДИОД Кол-во типов источников</t>
  </si>
  <si>
    <t>ДИОД Кол-во систем назначения</t>
  </si>
  <si>
    <t>ДИОД Кол-во диодов/брокеров</t>
  </si>
  <si>
    <t>WAF Кол-во  защищаемых веб-ресурсов</t>
  </si>
  <si>
    <t>WAF Кол-во узлов</t>
  </si>
  <si>
    <t>Схема соединений внешних проводок</t>
  </si>
  <si>
    <t>Таблица соединений и подключений</t>
  </si>
  <si>
    <t>План расположения</t>
  </si>
  <si>
    <t>Спецификация оборудования</t>
  </si>
  <si>
    <t>Пояснительная записка к технорабочему проекту</t>
  </si>
  <si>
    <t>WAF Кол-во площадок</t>
  </si>
  <si>
    <t>NAC Кол-во систем для интеграции</t>
  </si>
  <si>
    <t>NAC Кол-во типов устройств</t>
  </si>
  <si>
    <t>NAC Количество площадок с серверными компонентами</t>
  </si>
  <si>
    <t>ИТОГО</t>
  </si>
  <si>
    <t>Расчет MFA</t>
  </si>
  <si>
    <t>Расчет Диод</t>
  </si>
  <si>
    <t>ОК</t>
  </si>
  <si>
    <t>EDR Кол-во систем для интеграции</t>
  </si>
  <si>
    <t>Разработка проекта</t>
  </si>
  <si>
    <t>DCAP Кол-во типов хранилищ</t>
  </si>
  <si>
    <t>SEG Кол-во почтовых серверов</t>
  </si>
  <si>
    <t>PAM Неиспользуемый параметр</t>
  </si>
  <si>
    <t>Количество мест хранения РК</t>
  </si>
  <si>
    <t>РК Кол-во площадок с серверными компонентами</t>
  </si>
  <si>
    <t>АЗ Кол-во серверных компонентов</t>
  </si>
  <si>
    <t>СЗВ Кол-во серверов в кластере</t>
  </si>
  <si>
    <t>СЗВ Кол-во виртуальных машин</t>
  </si>
  <si>
    <t>VDI Кол-во протоколов подключения</t>
  </si>
  <si>
    <t>VDI Кол-во пулов виртуальных машин</t>
  </si>
  <si>
    <t>VDI Количество площадок с серверными компонентами</t>
  </si>
  <si>
    <t>IDS Кол-во сенсоров</t>
  </si>
  <si>
    <t>IDS Кол-во центров управления</t>
  </si>
  <si>
    <t>NTA Количество площадок с серверными компонентами</t>
  </si>
  <si>
    <t>NTA Кол-во точек мониторинга</t>
  </si>
  <si>
    <t>MFA Количество используемых типов агентов аутентификации</t>
  </si>
  <si>
    <t>MFA Кол-во серверных компонентов</t>
  </si>
  <si>
    <t>ГосСопка количество серверных компонентов</t>
  </si>
  <si>
    <t>ГосСопка кол-во используемых компонент</t>
  </si>
  <si>
    <t>ГосСопка неиспользуемый параметр</t>
  </si>
  <si>
    <t>SANDBOX Кол-во серверных компонентов</t>
  </si>
  <si>
    <t>SANDBOX Кол-во типов ОС</t>
  </si>
  <si>
    <t>Инженер ОП</t>
  </si>
  <si>
    <t>Старший инженер ОП</t>
  </si>
  <si>
    <t>Ведущий инженер ОП</t>
  </si>
  <si>
    <t>Инженер ОК</t>
  </si>
  <si>
    <t>Старший инженер ОК</t>
  </si>
  <si>
    <t>Ведущий инженер ОК</t>
  </si>
  <si>
    <t>Старший инженер ОВ</t>
  </si>
  <si>
    <t>TLS Кол-во площадок</t>
  </si>
  <si>
    <t>APT Количество сенсоров</t>
  </si>
  <si>
    <t>APT Количество Sandbox</t>
  </si>
  <si>
    <t>APT Количество типовых площадок</t>
  </si>
  <si>
    <t>ВМ ЗСВ</t>
  </si>
  <si>
    <t>ВМ СПО</t>
  </si>
  <si>
    <t>ВМ АСО</t>
  </si>
  <si>
    <t>Windows Security Options</t>
  </si>
  <si>
    <t>Linux Security Options</t>
  </si>
  <si>
    <t>LAN</t>
  </si>
  <si>
    <t>WLAN</t>
  </si>
  <si>
    <t>Расчет ВМ ЗВС</t>
  </si>
  <si>
    <t>Расчет ВМ СПО</t>
  </si>
  <si>
    <t>Расчет ВМ АСО</t>
  </si>
  <si>
    <t>ВМ ЗСВ Количество площадок с серверными компонентами подсистемы</t>
  </si>
  <si>
    <t>ВМ ЗСВ Кол-во серверов в кластере</t>
  </si>
  <si>
    <t>ВМ ЗСВ Кол-во виртуальных машин</t>
  </si>
  <si>
    <t>ВМ СПО Неиспользуемый параметр</t>
  </si>
  <si>
    <t>ВМ АСО Неиспользуемый параметр</t>
  </si>
  <si>
    <t>СУБД Неиспользуемый параметр</t>
  </si>
  <si>
    <t>СУБД</t>
  </si>
  <si>
    <t>Расчет СУБД</t>
  </si>
  <si>
    <t>ВМ АСО Количество вендоров (типов)</t>
  </si>
  <si>
    <t>ГИП ОК</t>
  </si>
  <si>
    <t>ГИП ОП</t>
  </si>
  <si>
    <t>ГИП ОВ</t>
  </si>
  <si>
    <t>простое ТП</t>
  </si>
  <si>
    <t>обычное ТП</t>
  </si>
  <si>
    <t>сложное ТП</t>
  </si>
  <si>
    <t>Формирование группы:</t>
  </si>
  <si>
    <t>Нетиповой</t>
  </si>
  <si>
    <t>Высокая</t>
  </si>
  <si>
    <t>Низкая</t>
  </si>
  <si>
    <t xml:space="preserve">Высокая </t>
  </si>
  <si>
    <t>Архитектура СОИБ</t>
  </si>
  <si>
    <t>Архитектра СОИБ</t>
  </si>
  <si>
    <t>Выбор набора СрЗИ (КИИ, ИСПДн, ГИС)</t>
  </si>
  <si>
    <t>Уровень зрелости</t>
  </si>
  <si>
    <t>ГИС</t>
  </si>
  <si>
    <t>ИСПДн</t>
  </si>
  <si>
    <t>КИИ</t>
  </si>
  <si>
    <t>АЗ (VM)</t>
  </si>
  <si>
    <t>PAM</t>
  </si>
  <si>
    <t>DCAP</t>
  </si>
  <si>
    <t>Класс 3</t>
  </si>
  <si>
    <t>Класс 2</t>
  </si>
  <si>
    <t>Класс 1</t>
  </si>
  <si>
    <t>АПМДЗ</t>
  </si>
  <si>
    <t>CONFIG</t>
  </si>
  <si>
    <t>УЗ 4</t>
  </si>
  <si>
    <t>УЗ 3</t>
  </si>
  <si>
    <t>УЗ 2</t>
  </si>
  <si>
    <t>УЗ 1</t>
  </si>
  <si>
    <t>КЗ 3</t>
  </si>
  <si>
    <t>КЗ 2</t>
  </si>
  <si>
    <t>КЗ 1</t>
  </si>
  <si>
    <t>I. Идентификация и аутентификация (ИАФ)</t>
  </si>
  <si>
    <t>II. Управление доступом (УПД)</t>
  </si>
  <si>
    <t>III. Ограничение программной среды (ОПС)</t>
  </si>
  <si>
    <t>IV. Защита машинных носителей информации (ЗНИ)</t>
  </si>
  <si>
    <t>V. Аудит безопасности (АУД)</t>
  </si>
  <si>
    <t>VI. Антивирусная защита (АВЗ)</t>
  </si>
  <si>
    <t>VII. Предотвращение вторжений (компьютерных атак) (СОВ)</t>
  </si>
  <si>
    <t>VIII. Обеспечение целостности (ОЦЛ)</t>
  </si>
  <si>
    <t>IX. Обеспечение доступности (ОДТ)</t>
  </si>
  <si>
    <t>X. Защита технических средств и систем (ЗТС)</t>
  </si>
  <si>
    <t>XI. Защита информационной (автоматизированной) системы и ее компонентов (ЗИС)</t>
  </si>
  <si>
    <t>XII. Реагирование на компьютерные инциденты (ИНЦ)</t>
  </si>
  <si>
    <t>XIII. Управление конфигурацией (УКФ)</t>
  </si>
  <si>
    <t>XIV. Управление обновлениями программного обеспечения (ОПО)</t>
  </si>
  <si>
    <t>XV. Планирование мероприятий по обеспечению безопасности (ПЛН)</t>
  </si>
  <si>
    <t>XVI. Обеспечение действий в нештатных ситуациях (ДНС)</t>
  </si>
  <si>
    <t>XVII. Информирование и обучение персонала (ИПО)</t>
  </si>
  <si>
    <t>Увроень зрелости</t>
  </si>
  <si>
    <t>Меры приказа №17*</t>
  </si>
  <si>
    <t>I. Идентификация и аутентификация субъектов доступа и объектов доступа (ИАФ)</t>
  </si>
  <si>
    <t>II. Управление доступом субъектов доступа к объектам доступа (УПД)</t>
  </si>
  <si>
    <t>V. Регистрация событий безопасности (РСБ)</t>
  </si>
  <si>
    <t>VII. Обнаружение вторжений (СОВ)</t>
  </si>
  <si>
    <t>VIII. Контроль (анализ) защищенности информации (АНЗ)</t>
  </si>
  <si>
    <t>IX. Обеспечение целостности информационной системы и информации (ОЦЛ)</t>
  </si>
  <si>
    <t>DAM /DBF</t>
  </si>
  <si>
    <t>X. Обеспечение доступности информации (ОДТ)</t>
  </si>
  <si>
    <t>XI. Защита среды виртуализации (ЗСВ)</t>
  </si>
  <si>
    <t>XII. Защита технических средств (ЗТС)</t>
  </si>
  <si>
    <t>XIII. Защита информационной системы, ее средств и систем связи и передачи данных (ЗИС)</t>
  </si>
  <si>
    <t>*допускается использовать только сертифицированные средства</t>
  </si>
  <si>
    <t>Меры приказа №21*</t>
  </si>
  <si>
    <t>IV. Защита машинных носителей персональных данных (ЗНИ)</t>
  </si>
  <si>
    <t>VIII. Контроль (анализ) защищенности персональных данных (АНЗ)</t>
  </si>
  <si>
    <t>IX. Обеспечение целостности информационной системы и персональных данных (ОЦЛ)</t>
  </si>
  <si>
    <t>X. Обеспечение доступности персональных данных (ОДТ)</t>
  </si>
  <si>
    <t>XIII. Защита информационной системы, ее средств, систем связи и передачи данных (3ИС)</t>
  </si>
  <si>
    <t>XIV. Выявление инцидентов и реагирование на них (ИНЦ)</t>
  </si>
  <si>
    <t>XV. Управление конфигурацией информационной системы и системы защиты персональных данных (УКФ)</t>
  </si>
  <si>
    <t>*допускается использовать несертифицированные средства (кроме СКЗИ), но в приоритете сертифицированные средства для исключения процесса оценки соответствия</t>
  </si>
  <si>
    <t>Меры приказа №239*</t>
  </si>
  <si>
    <t>**использование средств антивирусной защиты различных производителей</t>
  </si>
  <si>
    <t>Направление ИБ</t>
  </si>
  <si>
    <t>АПМДЗ Количество площадок с серверными компонентами подсистемы</t>
  </si>
  <si>
    <t>АПМДЗ Кол-во типов агентов</t>
  </si>
  <si>
    <t>АПМДЗ Кол-во серверов безопасности</t>
  </si>
  <si>
    <t>п</t>
  </si>
  <si>
    <t>Внутренний калькулятор ОВ</t>
  </si>
  <si>
    <t>Роснефть</t>
  </si>
  <si>
    <t>Исполнитель</t>
  </si>
  <si>
    <t>Воробьев А.</t>
  </si>
  <si>
    <t>Дата</t>
  </si>
  <si>
    <t>04.03.2023 г.</t>
  </si>
  <si>
    <t>Расчет</t>
  </si>
  <si>
    <r>
      <t xml:space="preserve">Таблица для внесения трудозатрат по </t>
    </r>
    <r>
      <rPr>
        <b/>
        <u/>
        <sz val="11"/>
        <color theme="1"/>
        <rFont val="Calibri"/>
        <family val="2"/>
        <charset val="204"/>
        <scheme val="minor"/>
      </rPr>
      <t>дополнительным работам</t>
    </r>
    <r>
      <rPr>
        <b/>
        <sz val="11"/>
        <color theme="1"/>
        <rFont val="Calibri"/>
        <family val="2"/>
        <charset val="204"/>
        <scheme val="minor"/>
      </rPr>
      <t>, не заложенным в калькулятор</t>
    </r>
  </si>
  <si>
    <t>Ограничения расчета (на что ориентировались при расчете)</t>
  </si>
  <si>
    <t>Тип работ</t>
  </si>
  <si>
    <t>Трудозатраты (ч/д)</t>
  </si>
  <si>
    <t>Ведущий инженер</t>
  </si>
  <si>
    <t>Старший инженер</t>
  </si>
  <si>
    <t>Инженер</t>
  </si>
  <si>
    <t>(Если не выбрано, то</t>
  </si>
  <si>
    <t>выбран шеф-монтаж)</t>
  </si>
  <si>
    <t>Внедряемые подсистемы</t>
  </si>
  <si>
    <t>Подсистемы</t>
  </si>
  <si>
    <t>Критерий 1</t>
  </si>
  <si>
    <t>Критерий 2</t>
  </si>
  <si>
    <t xml:space="preserve">Значение </t>
  </si>
  <si>
    <t>Критерий 3</t>
  </si>
  <si>
    <t>Критерий 4</t>
  </si>
  <si>
    <t>Критерий 5</t>
  </si>
  <si>
    <t>Настройка передачи событий о работе СПО (Zabbix)</t>
  </si>
  <si>
    <t>Настройка передачи событий безопасности в SIEM</t>
  </si>
  <si>
    <t>Policy (правила межсетевого экранирования)</t>
  </si>
  <si>
    <t>IDS/IPS</t>
  </si>
  <si>
    <t>MailSecurity</t>
  </si>
  <si>
    <t>AntiVirus</t>
  </si>
  <si>
    <t>WebFilter</t>
  </si>
  <si>
    <t>ApplicationControl</t>
  </si>
  <si>
    <t>AntiSpam</t>
  </si>
  <si>
    <t>IpSEC</t>
  </si>
  <si>
    <t>GRE</t>
  </si>
  <si>
    <t>Динамическая маршрутизация OSPF</t>
  </si>
  <si>
    <t>Динамическая маршрутизация BGP (внутренний)</t>
  </si>
  <si>
    <t>Динамическая маршрутизация BGP (внешний)</t>
  </si>
  <si>
    <t>NAT custom</t>
  </si>
  <si>
    <t>IDS/IPS custom</t>
  </si>
  <si>
    <t>Миграция Policy с другого МЭ</t>
  </si>
  <si>
    <t>Сбор данных и построение policy с нуля</t>
  </si>
  <si>
    <t>Блок АВЗ</t>
  </si>
  <si>
    <t>1. Установка и настройка ПО KICS fon Nodes</t>
  </si>
  <si>
    <t>Настройка Endpoint Agent</t>
  </si>
  <si>
    <t>2. Установка и настройка ПО KES</t>
  </si>
  <si>
    <t>Блок СКЗИ</t>
  </si>
  <si>
    <t>1. Первоначальная установка и настройка</t>
  </si>
  <si>
    <t>Развертывание ЦУС</t>
  </si>
  <si>
    <t>2. Настройка интеграции со смежными системами</t>
  </si>
  <si>
    <t>Настройка централизованного управления политиками (VipNet)</t>
  </si>
  <si>
    <t>Передача в SOC</t>
  </si>
  <si>
    <t>3. Роль МСЭ</t>
  </si>
  <si>
    <t>Роль МСЭ</t>
  </si>
  <si>
    <t>NAT</t>
  </si>
  <si>
    <t>4. Настройка дополнительного оборудования</t>
  </si>
  <si>
    <t>Миграция Policy с другого МСЭ</t>
  </si>
  <si>
    <t>Динамическая маршрутизация BGP</t>
  </si>
  <si>
    <t>Блок систем обнаружения вторжений</t>
  </si>
  <si>
    <t>1. Настройка</t>
  </si>
  <si>
    <t>Интеграция с центром управления/подчиненным узлом</t>
  </si>
  <si>
    <t>Интеграция ОС с доменом</t>
  </si>
  <si>
    <t>Интеграция СПО с доменом</t>
  </si>
  <si>
    <t>Количество пользовательских правил обнаружения</t>
  </si>
  <si>
    <t>Количество контролируемых технологических параметров (тегов)</t>
  </si>
  <si>
    <t>Создание и настройка мнемосхемы</t>
  </si>
  <si>
    <t>Блок систем анализа трафика</t>
  </si>
  <si>
    <t>Блок ДИОДов</t>
  </si>
  <si>
    <t>OPC UA</t>
  </si>
  <si>
    <t>OPC DA</t>
  </si>
  <si>
    <t>МЭК 60870-5-104</t>
  </si>
  <si>
    <t>Modbus TCP</t>
  </si>
  <si>
    <t>MMS</t>
  </si>
  <si>
    <t>Syslog</t>
  </si>
  <si>
    <t>Настройка хранилища между нодами</t>
  </si>
  <si>
    <t>OV_Worker</t>
  </si>
  <si>
    <t>OV_Var</t>
  </si>
  <si>
    <t>EMPTY</t>
  </si>
  <si>
    <t>Speci</t>
  </si>
  <si>
    <t>Суворов Д.</t>
  </si>
  <si>
    <t>Нефедов В.</t>
  </si>
  <si>
    <t>Позигун С.</t>
  </si>
  <si>
    <t>Делова А.</t>
  </si>
  <si>
    <t>Средства</t>
  </si>
  <si>
    <t>OV_Firewall</t>
  </si>
  <si>
    <t>OV_AVZ</t>
  </si>
  <si>
    <t>OV_SKZI</t>
  </si>
  <si>
    <t>OV_AZ</t>
  </si>
  <si>
    <t>OV_RK</t>
  </si>
  <si>
    <t>OV_NSD</t>
  </si>
  <si>
    <t>OV_SIEM</t>
  </si>
  <si>
    <t>OV_IDS\IPS</t>
  </si>
  <si>
    <t>OV_DIODE</t>
  </si>
  <si>
    <t>OV_SOAR</t>
  </si>
  <si>
    <t>OV_SZV</t>
  </si>
  <si>
    <t>OV_VDI</t>
  </si>
  <si>
    <t>OV_PUM</t>
  </si>
  <si>
    <t>OV_SOPKA</t>
  </si>
  <si>
    <t>OV_TLSH</t>
  </si>
  <si>
    <t>OV_DCAP</t>
  </si>
  <si>
    <t>OV_MFA</t>
  </si>
  <si>
    <t>OV_NTA</t>
  </si>
  <si>
    <t>OV_Config</t>
  </si>
  <si>
    <t>OV_WAF</t>
  </si>
  <si>
    <t>OV_SEG</t>
  </si>
  <si>
    <t>OV_APT</t>
  </si>
  <si>
    <t>OV_NAC</t>
  </si>
  <si>
    <t>OV_Sandbox</t>
  </si>
  <si>
    <t>OV_EDR</t>
  </si>
  <si>
    <t>OV_SHD</t>
  </si>
  <si>
    <t>OV_VM</t>
  </si>
  <si>
    <t>Kaspersky Security VC</t>
  </si>
  <si>
    <t>Vipnet Coordinator</t>
  </si>
  <si>
    <t>Red Check (desktop)</t>
  </si>
  <si>
    <t>Континент СОВ</t>
  </si>
  <si>
    <t>АМТ 
InfoDiode</t>
  </si>
  <si>
    <t>R-Vision SOAR</t>
  </si>
  <si>
    <t>Базис</t>
  </si>
  <si>
    <t>ViPNet TLS</t>
  </si>
  <si>
    <t>«СПЕКТР»</t>
  </si>
  <si>
    <t>KICS for Networks</t>
  </si>
  <si>
    <t>Config Inspector</t>
  </si>
  <si>
    <t>PTAF</t>
  </si>
  <si>
    <t>KSMG</t>
  </si>
  <si>
    <t>InfoWatch</t>
  </si>
  <si>
    <t>MP EDR</t>
  </si>
  <si>
    <t>Аквариус</t>
  </si>
  <si>
    <t>VMware</t>
  </si>
  <si>
    <t>Red Check (web)</t>
  </si>
  <si>
    <t>KUMA</t>
  </si>
  <si>
    <t>Indeed AM</t>
  </si>
  <si>
    <t>GosSOPKA (KUMA)</t>
  </si>
  <si>
    <t>DEPO</t>
  </si>
  <si>
    <t>Hyper-V</t>
  </si>
  <si>
    <t>МЭ UserGate</t>
  </si>
  <si>
    <t>Континент</t>
  </si>
  <si>
    <t>Sec.Vision SOAR</t>
  </si>
  <si>
    <t>Dallas Lock</t>
  </si>
  <si>
    <t>YADRO</t>
  </si>
  <si>
    <t>Xen (Citrix)</t>
  </si>
  <si>
    <t>KES for Linux</t>
  </si>
  <si>
    <t>Застава</t>
  </si>
  <si>
    <t>Sec.Vision SGRC</t>
  </si>
  <si>
    <t>AeroDisk</t>
  </si>
  <si>
    <t>KVM</t>
  </si>
  <si>
    <t>KES for Windows</t>
  </si>
  <si>
    <t>Гравитон</t>
  </si>
  <si>
    <t>F+</t>
  </si>
  <si>
    <t>Средство</t>
  </si>
  <si>
    <t>СМР инженер</t>
  </si>
  <si>
    <t>СМР ст.инженер</t>
  </si>
  <si>
    <t>СМР вед.инженер</t>
  </si>
  <si>
    <t>ПНР инженер</t>
  </si>
  <si>
    <t>ПНР ст. инженер</t>
  </si>
  <si>
    <t>ПНР вед.инженер</t>
  </si>
  <si>
    <t>ПСИ инженер</t>
  </si>
  <si>
    <t>ПСИ ст. инженер</t>
  </si>
  <si>
    <t>ПСИ вед.инженер</t>
  </si>
  <si>
    <t>Шеф-монтаж инж</t>
  </si>
  <si>
    <t>Шеф-монтаж ст. инж</t>
  </si>
  <si>
    <t>Шеф-монтаж в. Инж</t>
  </si>
  <si>
    <t>Выборка 1</t>
  </si>
  <si>
    <t>Выборка 2</t>
  </si>
  <si>
    <t>Выборка 3</t>
  </si>
  <si>
    <t>VM</t>
  </si>
  <si>
    <t>ГосСОПКА</t>
  </si>
  <si>
    <t>VDI</t>
  </si>
  <si>
    <t>XDR\EDR</t>
  </si>
  <si>
    <t>СХД</t>
  </si>
  <si>
    <t>ИТОГ</t>
  </si>
  <si>
    <t>Выполняемая операция</t>
  </si>
  <si>
    <t>Значение по умолчанию (единица )</t>
  </si>
  <si>
    <t>Часы (на 1 эталонный компонент)</t>
  </si>
  <si>
    <t>Примечание</t>
  </si>
  <si>
    <t>Количество площадок</t>
  </si>
  <si>
    <t>Количество хостов</t>
  </si>
  <si>
    <t xml:space="preserve">Количество почтовых серверов </t>
  </si>
  <si>
    <t>Количество правил фильтрации</t>
  </si>
  <si>
    <t>Шеф-монтаж (Консультация и контроль исполнителя по СМР)</t>
  </si>
  <si>
    <t>1) СМР:</t>
  </si>
  <si>
    <t>Не менее 8 на 1 адрес</t>
  </si>
  <si>
    <t>Получение оборудования со склада по проектной спецификации</t>
  </si>
  <si>
    <t>Сборка и монтаж оборудования</t>
  </si>
  <si>
    <t>Коммутация и электропитание</t>
  </si>
  <si>
    <t>Маркировка оборудования и кабельной продукции</t>
  </si>
  <si>
    <t>2) ПНР:</t>
  </si>
  <si>
    <t>2.1) Первоначальная установка и настройка ОС:</t>
  </si>
  <si>
    <t>инициализация оборудования</t>
  </si>
  <si>
    <t>Установка ПО</t>
  </si>
  <si>
    <t>Настройка интеграций</t>
  </si>
  <si>
    <t>Интеграция с почтовым сервером</t>
  </si>
  <si>
    <t>Настройка правил фильтрации почты</t>
  </si>
  <si>
    <t>Обновление баз</t>
  </si>
  <si>
    <t>активация лицензий ОС</t>
  </si>
  <si>
    <t>2.2) Предварительные испытания + опытные</t>
  </si>
  <si>
    <t>0,1 от всех работ (мин 8)</t>
  </si>
  <si>
    <t>3) ПСИ</t>
  </si>
  <si>
    <t>0,05 от всех работ (мин 8)</t>
  </si>
  <si>
    <t>ЧД Шеф-монтаж</t>
  </si>
  <si>
    <t>ЧД СРМ</t>
  </si>
  <si>
    <t>ЧД ПНР</t>
  </si>
  <si>
    <t>ЧД ПСИ</t>
  </si>
  <si>
    <t>ЧД</t>
  </si>
  <si>
    <t>Количество АСО</t>
  </si>
  <si>
    <t>Настройка встроенных механизмов защиты</t>
  </si>
  <si>
    <t>Количество АРМ</t>
  </si>
  <si>
    <t>Количество хостов устройств?</t>
  </si>
  <si>
    <t>Количество кластеров</t>
  </si>
  <si>
    <t>Инициализация оборудования</t>
  </si>
  <si>
    <t>Кластер</t>
  </si>
  <si>
    <t>Протокол OPC UA (должен быть список тегов)</t>
  </si>
  <si>
    <t>да нет</t>
  </si>
  <si>
    <t>OPC DA (должен быть список тегов)</t>
  </si>
  <si>
    <t>МЭК 60870-5-104 1 источник</t>
  </si>
  <si>
    <t>число</t>
  </si>
  <si>
    <t>Modbus TCP 1 устройство</t>
  </si>
  <si>
    <t>MMS 1 устройство</t>
  </si>
  <si>
    <t>Значение по умолчанию</t>
  </si>
  <si>
    <t>ЧЧ на операцию</t>
  </si>
  <si>
    <t>ЧЧ Инженер</t>
  </si>
  <si>
    <t>ЧЧ Старший инженер</t>
  </si>
  <si>
    <t>ЧЧ Ведущий инженер</t>
  </si>
  <si>
    <t>Количество серверов/сенсоров</t>
  </si>
  <si>
    <t>Количество агрегаторов трафика</t>
  </si>
  <si>
    <t>Количество брокеров сетевых пакетов</t>
  </si>
  <si>
    <t>Количество точек мониторинга</t>
  </si>
  <si>
    <t>Количество узлов в защищаемых сегментах</t>
  </si>
  <si>
    <t>СМР своими силами (получение оборудования, сборка и монтаж, коммутация, маркировка), если нет, то добавляются ТрЗ на шеф-монтаж</t>
  </si>
  <si>
    <t>получение сервера/сенсора со склада по проектной спецификации</t>
  </si>
  <si>
    <t>получение агрегатора трафика со склада по проектной спецификации</t>
  </si>
  <si>
    <t>получение брокера сетевых пакетов со склада по проектной спецификации</t>
  </si>
  <si>
    <t>сборка и монтаж оборудования</t>
  </si>
  <si>
    <t>коммутация и электропитание</t>
  </si>
  <si>
    <t>маркировка оборудования и кабельной продукции</t>
  </si>
  <si>
    <t>шеф-монтаж (Консультация и контроль исполнителя по СМР)</t>
  </si>
  <si>
    <t>установка ОС</t>
  </si>
  <si>
    <t>настройка ОС</t>
  </si>
  <si>
    <t>2.2) Первоначальная установка и настройка СПО:</t>
  </si>
  <si>
    <t>установка СПО</t>
  </si>
  <si>
    <t>проверка доступности интерфейса управления</t>
  </si>
  <si>
    <t>обновление и проверка СПО</t>
  </si>
  <si>
    <t>2.3) Настройка интеграции со смежными системами</t>
  </si>
  <si>
    <t>настройка передачи событий о работе СПО</t>
  </si>
  <si>
    <t>настройка отправки почтовых уведомлений об инцидентах</t>
  </si>
  <si>
    <t>интеграция с центром управления/подчиненным узлом</t>
  </si>
  <si>
    <t>интеграция ОС с доменом</t>
  </si>
  <si>
    <t>интеграция СПО с доменом</t>
  </si>
  <si>
    <t>2.4) Расширенная настройка СПО</t>
  </si>
  <si>
    <t>настройка ролевой модели доступа</t>
  </si>
  <si>
    <t>настройка схемы после вывода из режима обучения</t>
  </si>
  <si>
    <t>Отладка работы СПО</t>
  </si>
  <si>
    <t>настройка точки мониторинга</t>
  </si>
  <si>
    <t>2.5) Настройка дополнительного оборудования/функций/модулей:</t>
  </si>
  <si>
    <t>добавление пользовательских правил обнаружения</t>
  </si>
  <si>
    <t>добавление правил контроля технологических параметров</t>
  </si>
  <si>
    <t>не поддерживается компонентом</t>
  </si>
  <si>
    <t>создание и настройка мнемосхемы техпроцесса</t>
  </si>
  <si>
    <t>настройка агрегатора трафика</t>
  </si>
  <si>
    <t>настройка брокера сетевых пакетов</t>
  </si>
  <si>
    <t>передача в SOC</t>
  </si>
  <si>
    <t>резерв</t>
  </si>
  <si>
    <t>2.6) Предварительные испытания + опытные</t>
  </si>
  <si>
    <t>2.7) ПСИ</t>
  </si>
  <si>
    <t>Итого СМР:</t>
  </si>
  <si>
    <t>Итого ПНР:</t>
  </si>
  <si>
    <t>Итого ПСИ:</t>
  </si>
  <si>
    <t>Количество endpoint</t>
  </si>
  <si>
    <t>активация лицензий ПО</t>
  </si>
  <si>
    <t>Добавление Endpoint</t>
  </si>
  <si>
    <t>Количество endpoint хостов</t>
  </si>
  <si>
    <t>Ручное добавление хостов</t>
  </si>
  <si>
    <t>Интеграции с СОИБ</t>
  </si>
  <si>
    <t>Настройка уведомлений</t>
  </si>
  <si>
    <t>Настройка сценариев</t>
  </si>
  <si>
    <t>Количество клиентов</t>
  </si>
  <si>
    <t>Настройка УЦ</t>
  </si>
  <si>
    <t>Выпуск сертификатов</t>
  </si>
  <si>
    <t>Натройка RADIUS</t>
  </si>
  <si>
    <t>Подключение АСО</t>
  </si>
  <si>
    <t>Количество хостов виртуализации</t>
  </si>
  <si>
    <t>Количество брокеров</t>
  </si>
  <si>
    <t>Количество ВМ</t>
  </si>
  <si>
    <t>Количество золотых образов</t>
  </si>
  <si>
    <t>Установка гипервизоров</t>
  </si>
  <si>
    <t>Настройка сетевых интерфейсов</t>
  </si>
  <si>
    <t>Подключение хранилищ</t>
  </si>
  <si>
    <t>Установка брокеров</t>
  </si>
  <si>
    <t>Интеграция с доменной инфраструктурой</t>
  </si>
  <si>
    <t>Добавление пользователей</t>
  </si>
  <si>
    <t>Подготовка золотых образов</t>
  </si>
  <si>
    <t>Разворачивание ВМ</t>
  </si>
  <si>
    <t>Количество Endpoint</t>
  </si>
  <si>
    <t>Настройка правил</t>
  </si>
  <si>
    <t>Интеграция с Sandbox</t>
  </si>
  <si>
    <t>Количество узлов для подключения</t>
  </si>
  <si>
    <t>Добавление подключений</t>
  </si>
  <si>
    <t>Настройка двухфакторной авторизации</t>
  </si>
  <si>
    <t>Добавление ВМ</t>
  </si>
  <si>
    <t>Интеграция с SIEM</t>
  </si>
  <si>
    <t>Подключение к НЦКИ</t>
  </si>
  <si>
    <t>Натройка сценариев передачи инцидентов</t>
  </si>
  <si>
    <t>Количество AiO</t>
  </si>
  <si>
    <t>Количество хостов ядра</t>
  </si>
  <si>
    <t>Количество Коллекторов</t>
  </si>
  <si>
    <t>Количество Корреляторов</t>
  </si>
  <si>
    <t>Количество источников событий</t>
  </si>
  <si>
    <t>Установка Ядра</t>
  </si>
  <si>
    <t>Установка Корреляторов</t>
  </si>
  <si>
    <t>Установка Хранилищ</t>
  </si>
  <si>
    <t>Установка AiO</t>
  </si>
  <si>
    <t>Настройка правил корреляции</t>
  </si>
  <si>
    <t>Полдключение источников</t>
  </si>
  <si>
    <t>Количество серверов</t>
  </si>
  <si>
    <t>Количество сенсоров</t>
  </si>
  <si>
    <t>Количество объектов защиты</t>
  </si>
  <si>
    <t>Установка ОС</t>
  </si>
  <si>
    <t>Настройка объектов защиты</t>
  </si>
  <si>
    <t>Аудит файлов</t>
  </si>
  <si>
    <t>Модули безопасности считаются по логике кол-во хостов минус кол-во кластеров</t>
  </si>
  <si>
    <t>Количество узлов Управления</t>
  </si>
  <si>
    <t>ХОСТ industrial security</t>
  </si>
  <si>
    <t>ХОСТ endpoint security</t>
  </si>
  <si>
    <t>инициализация оборудования(Для Железа)</t>
  </si>
  <si>
    <t>настройка интерфейсов передачи данных</t>
  </si>
  <si>
    <t>обновление ОС</t>
  </si>
  <si>
    <t>настройка получения метки времени от NTP сервера</t>
  </si>
  <si>
    <t>2.2) Первоначальная установка и настройка Узла управления</t>
  </si>
  <si>
    <t>установка БД</t>
  </si>
  <si>
    <t>проверка доступности БД</t>
  </si>
  <si>
    <t>Установка ПО управления</t>
  </si>
  <si>
    <t>настройка Политик</t>
  </si>
  <si>
    <t>Интеграция с вышестоящим узлом управления</t>
  </si>
  <si>
    <t>Настройка обновлений</t>
  </si>
  <si>
    <t>Добавление лицензий</t>
  </si>
  <si>
    <t>Создание установочных пакетов</t>
  </si>
  <si>
    <t>2.3) Установка АВЗ</t>
  </si>
  <si>
    <t>2.3.1) Установка и настройка ПО Industrial endpoint:</t>
  </si>
  <si>
    <t>Установка Industrial антивируса</t>
  </si>
  <si>
    <t>Установка Агента администрирования</t>
  </si>
  <si>
    <t>2.3.2) Установка и настройка ПО endpoint security:</t>
  </si>
  <si>
    <t>По умолчанию KES устанавливается на все хосты СОИБ</t>
  </si>
  <si>
    <t>Установка антивируса</t>
  </si>
  <si>
    <t>VipNet</t>
  </si>
  <si>
    <t>S-Terra</t>
  </si>
  <si>
    <t>Количество устройств</t>
  </si>
  <si>
    <t xml:space="preserve">Количество VPN клиентов </t>
  </si>
  <si>
    <t>3 (1 кластер из 2 единиц + 1 ЦУС)</t>
  </si>
  <si>
    <t>2 (1 кластер из 2 единиц)</t>
  </si>
  <si>
    <t>2.1) Первоначальная установка и настройка:</t>
  </si>
  <si>
    <t>развертывание цус</t>
  </si>
  <si>
    <t>настройка кластера</t>
  </si>
  <si>
    <t>активация лицензий</t>
  </si>
  <si>
    <t>настройка доступа к пользовательскому интерфейсу</t>
  </si>
  <si>
    <t>Маршрутизация статическая</t>
  </si>
  <si>
    <t>Выпуск/Установка VPN клиентов</t>
  </si>
  <si>
    <t>обновление СПО</t>
  </si>
  <si>
    <t>2.2) Настройка интеграции со смежными системами</t>
  </si>
  <si>
    <t>настройка передачи событий о работе СПО (Zabbix)</t>
  </si>
  <si>
    <t>0,5/шт (мин 2)</t>
  </si>
  <si>
    <t>настройка передачи событий безопасности в SIEM</t>
  </si>
  <si>
    <t>0,5/шт (мин 1)</t>
  </si>
  <si>
    <t>настройка централизованного управления политиками (VipNet)</t>
  </si>
  <si>
    <t>12 (мин 40)</t>
  </si>
  <si>
    <t>2.2) Роль МСЭ</t>
  </si>
  <si>
    <t>2.2.1) Настройка модулей безопасности</t>
  </si>
  <si>
    <t>0,15/шт (мин 4)</t>
  </si>
  <si>
    <t>0,2/шт (мин 2)</t>
  </si>
  <si>
    <t>0,25/шт (мин 4)</t>
  </si>
  <si>
    <t>2.2.2) Настройка дополнительного оборудования:</t>
  </si>
  <si>
    <t>32/10шт (макс 160/50шт)</t>
  </si>
  <si>
    <t>Не более 50 правил (140 часов или 17,5 чд)</t>
  </si>
  <si>
    <t>2.4) Предварительные + Опытные испытания</t>
  </si>
  <si>
    <t>0,1 от верхних (мин 8)</t>
  </si>
  <si>
    <t>0,05 от верхних (мин 8)</t>
  </si>
  <si>
    <t>Инж</t>
  </si>
  <si>
    <t>Ст инж</t>
  </si>
  <si>
    <t>Вед инж</t>
  </si>
  <si>
    <t>ЧД СМР Контик</t>
  </si>
  <si>
    <t>ЧД ПНР Контик</t>
  </si>
  <si>
    <t>ЧД ПСИ Контик</t>
  </si>
  <si>
    <t>Всего ЧД</t>
  </si>
  <si>
    <t>ЧД СМР Випнет</t>
  </si>
  <si>
    <t>ЧД ПНР Випнет</t>
  </si>
  <si>
    <t>ЧД ПСИ Випнет</t>
  </si>
  <si>
    <t>ЧД СМР Стерра</t>
  </si>
  <si>
    <t>ЧД ПНР Стерра</t>
  </si>
  <si>
    <t>ЧД ПСИ Стерра</t>
  </si>
  <si>
    <t>Red Check</t>
  </si>
  <si>
    <t>Xpider</t>
  </si>
  <si>
    <t>Сканер ВС</t>
  </si>
  <si>
    <t>Выполняемые работы</t>
  </si>
  <si>
    <t>Desktop-версия</t>
  </si>
  <si>
    <t>Web-версия</t>
  </si>
  <si>
    <t xml:space="preserve">Предварительные испытания </t>
  </si>
  <si>
    <t>Количество площадок c отдельными сканерами</t>
  </si>
  <si>
    <t>Количество хостов сканирования</t>
  </si>
  <si>
    <t>Установка и настройка ОС</t>
  </si>
  <si>
    <t>Установка СУБД</t>
  </si>
  <si>
    <t>Установка компонентов с eToken</t>
  </si>
  <si>
    <t>Установка  Microsoft .NET Framework</t>
  </si>
  <si>
    <t>Установка СПО</t>
  </si>
  <si>
    <t>Установка обновлений</t>
  </si>
  <si>
    <t>Установка Web-сервера IIS</t>
  </si>
  <si>
    <t xml:space="preserve">Активация лицензии </t>
  </si>
  <si>
    <t>Установка Microsoft .NET Core</t>
  </si>
  <si>
    <t>2.2)Преднастройка хостов</t>
  </si>
  <si>
    <t xml:space="preserve">Установка консоли управления </t>
  </si>
  <si>
    <t>Преднастройка сканирования  хостов</t>
  </si>
  <si>
    <t>Включение обработки HTTPS-соединений</t>
  </si>
  <si>
    <t>2.3)Сканирование хостов</t>
  </si>
  <si>
    <t>Установка службы синхронизации</t>
  </si>
  <si>
    <t>Сканирование хостов</t>
  </si>
  <si>
    <t>Установка VC++ 2013 / 2015 Redistributable</t>
  </si>
  <si>
    <t>Сложные проверки</t>
  </si>
  <si>
    <t>Установка агентов в ручном режиме</t>
  </si>
  <si>
    <t>Дополнительные проверки (подбор паролей\пентест и т.д.</t>
  </si>
  <si>
    <t xml:space="preserve">Создание локальных групп </t>
  </si>
  <si>
    <t>2.4)Формирование отчетов</t>
  </si>
  <si>
    <t>Выгрузка отчета по результатам сканирования</t>
  </si>
  <si>
    <t>Обновление контента ИБ</t>
  </si>
  <si>
    <t>2.6)Предварительные + Опытные</t>
  </si>
  <si>
    <t>0.1 от всех работ (не менее 8ч)</t>
  </si>
  <si>
    <t>Преднастройка сканирования хостов в домене</t>
  </si>
  <si>
    <t>3)ПСИ</t>
  </si>
  <si>
    <t>Преднастройка сканирования хостов не в домене</t>
  </si>
  <si>
    <t>Повторное сканирование по результатам ПНР</t>
  </si>
  <si>
    <t>Аудит уязвимостей</t>
  </si>
  <si>
    <t xml:space="preserve">ПНР  </t>
  </si>
  <si>
    <t>Аудит в режиме "Пентест"</t>
  </si>
  <si>
    <t xml:space="preserve">СМР  </t>
  </si>
  <si>
    <t>Аудит обновлений</t>
  </si>
  <si>
    <t>Инвентаризация</t>
  </si>
  <si>
    <t>ЧД СМР</t>
  </si>
  <si>
    <t>2.5)Резервирование</t>
  </si>
  <si>
    <t>Настройка резервного копирования Red Check</t>
  </si>
  <si>
    <t>ПНР домен</t>
  </si>
  <si>
    <t>ЧД ПНР Д</t>
  </si>
  <si>
    <t>Итого Инженер</t>
  </si>
  <si>
    <t>ЧД Инж</t>
  </si>
  <si>
    <t>мин 1</t>
  </si>
  <si>
    <t>Установка платы</t>
  </si>
  <si>
    <t>Монтаж, коммутация, электропитание</t>
  </si>
  <si>
    <t>инициализация платы</t>
  </si>
  <si>
    <t>переключение в рабочий режим</t>
  </si>
  <si>
    <t>настройка параметров/пользователей</t>
  </si>
  <si>
    <t>форматирование ЭЦП (Рутокен)</t>
  </si>
  <si>
    <t>выпуск идентификаторов Администратора</t>
  </si>
  <si>
    <t>2.5) Настройка дополнительного оборудования:</t>
  </si>
  <si>
    <t>Установка шаблона КЦ Windows</t>
  </si>
  <si>
    <t>Установка шаблона КЦ Linux</t>
  </si>
  <si>
    <t>Настройка параметров шаблонов КЦ</t>
  </si>
  <si>
    <t>2.6) Предварительные + Опытные испытания</t>
  </si>
  <si>
    <t>0,1 от верхних (мин 2)</t>
  </si>
  <si>
    <t>0,05 от верхних (мин 2)</t>
  </si>
  <si>
    <t>Базис. Virtual Security</t>
  </si>
  <si>
    <t>Количество компонентов системы</t>
  </si>
  <si>
    <t>Количество защищаемых серверов</t>
  </si>
  <si>
    <t>2.2) Первоначальная установка и настройка ПО:</t>
  </si>
  <si>
    <t>2.2.1) установка средства защиты</t>
  </si>
  <si>
    <t>2.2.2) Установка агентов</t>
  </si>
  <si>
    <t>2.2.3) Настройка мониторинга</t>
  </si>
  <si>
    <t>2.2.4) Настройка доступа к ВИ</t>
  </si>
  <si>
    <t>2.2.5) Настройка фильтрации трафика</t>
  </si>
  <si>
    <t>2.2.6) Настройка уведомлений безопасности</t>
  </si>
  <si>
    <t>2.2.7) Настройка парольной политики</t>
  </si>
  <si>
    <t>2.2.8) Настройка контроля целостности ВМ</t>
  </si>
  <si>
    <t>2.2.9) Настройка защищаемых подсетей</t>
  </si>
  <si>
    <t>Количество гипервозоров в кластере</t>
  </si>
  <si>
    <t>Количество пулов виртуальных машин</t>
  </si>
  <si>
    <t>Создание групп безопасности</t>
  </si>
  <si>
    <t>Настройка парольной политики</t>
  </si>
  <si>
    <t>Настройка доступа к виртуальным машинам</t>
  </si>
  <si>
    <t>Настройка встроенного МСЭ</t>
  </si>
  <si>
    <t>Настройка почтовых уведомлений</t>
  </si>
  <si>
    <t>Настройка SSL (сертификат)</t>
  </si>
  <si>
    <t>Настройка логгирования событий</t>
  </si>
  <si>
    <t xml:space="preserve">Отключение удаленного доступа к гипервизору по SSH </t>
  </si>
  <si>
    <t>Настройка сегментирования VLAN на каждый пул ВМ</t>
  </si>
  <si>
    <t>Количество СХД(Контроллер и дисковая полка складываются)</t>
  </si>
  <si>
    <t>Создание LUN на хранилище</t>
  </si>
  <si>
    <t>Настройка интеграции (Syslog)</t>
  </si>
  <si>
    <t xml:space="preserve">Количество хостов гипервизоров </t>
  </si>
  <si>
    <t xml:space="preserve"> активация лицензий ОС</t>
  </si>
  <si>
    <t>2.2.1) установка Гипервизора</t>
  </si>
  <si>
    <t>2.2.2) установка средства управления</t>
  </si>
  <si>
    <t>2.2.3) Подключение хранилищ/Создание разделов</t>
  </si>
  <si>
    <t>2.2.4) Создание учетных записей</t>
  </si>
  <si>
    <t>2.2.5) Создание кластера</t>
  </si>
  <si>
    <t>2.2.6) Создание виртуальных коммутаторов</t>
  </si>
  <si>
    <t>2.2.7) Настройка DRS</t>
  </si>
  <si>
    <t>2.2.8) Добавление лицензий</t>
  </si>
  <si>
    <t>2.2.9) интеграции (Mail,Syslog)</t>
  </si>
  <si>
    <t>Количество серверов ПРК</t>
  </si>
  <si>
    <t>Хосты с Агентом</t>
  </si>
  <si>
    <t>Подключение хранилищ/Создание разделов</t>
  </si>
  <si>
    <t>2.2) Первоначальная установка и настройка ПРК</t>
  </si>
  <si>
    <t>Установка СРК</t>
  </si>
  <si>
    <t>Добавление хранилищ</t>
  </si>
  <si>
    <t>Установка агентов на АРМ</t>
  </si>
  <si>
    <t>Создание Политики резервного копирования</t>
  </si>
  <si>
    <t>Установка Аентов</t>
  </si>
  <si>
    <t>интеграции (Mail,Syslog)</t>
  </si>
  <si>
    <t>исходные данные для расчета</t>
  </si>
  <si>
    <t>Проверка(кол-во узлов и кластеров) узлов больше либо равно кластеров на 2</t>
  </si>
  <si>
    <t>Количество узлов</t>
  </si>
  <si>
    <t xml:space="preserve"> </t>
  </si>
  <si>
    <t>настройка интеграции с AD</t>
  </si>
  <si>
    <t>настройка интеграции с RADIUS</t>
  </si>
  <si>
    <t>настройка интеграции с TACACS+</t>
  </si>
  <si>
    <t>настройка интеграции с центром управления/подчиненные устройства</t>
  </si>
  <si>
    <t>настройка интеграции с анализатором конфигурации</t>
  </si>
  <si>
    <t>настройка интеграции с песочницей</t>
  </si>
  <si>
    <t>2.3) Настройка модулей безопасности</t>
  </si>
  <si>
    <t>0,15/1шт</t>
  </si>
  <si>
    <t>0,20\1 шт</t>
  </si>
  <si>
    <t>0,25/шт</t>
  </si>
  <si>
    <t>10/шт (мин 40)</t>
  </si>
  <si>
    <t>40/10шт (макс 160/50шт)</t>
  </si>
  <si>
    <t>Не более 50 правил</t>
  </si>
  <si>
    <t>Рыжов В.</t>
  </si>
  <si>
    <t>ID</t>
  </si>
  <si>
    <t>Класс защит</t>
  </si>
  <si>
    <t>Нормоконтроль ОП</t>
  </si>
  <si>
    <t>15,4</t>
  </si>
  <si>
    <t>Варианты</t>
  </si>
  <si>
    <t>время в часах!
Простое - выдать шаблоны с заменой названия заказчика
Обычное - стандартная проработка по мерам и ролям
Сложное - требовательный заказчик с предполагаемыми многократными переделками</t>
  </si>
  <si>
    <t>Сложность заказчика</t>
  </si>
  <si>
    <t>Базовая стоимость</t>
  </si>
  <si>
    <t>Количество защищаемых объектов КИИ</t>
  </si>
  <si>
    <t>Наличие собственных ОРД</t>
  </si>
  <si>
    <t>Наличие стандартов оформления у заказчика</t>
  </si>
  <si>
    <t>Процент на переделку</t>
  </si>
  <si>
    <t>По выбору документов:</t>
  </si>
  <si>
    <t>предлагаю типовые наборы по 2 и 3 категории (выбираешь категорию - проставляются галочки)</t>
  </si>
  <si>
    <t>Подготовка</t>
  </si>
  <si>
    <t>при этом иметь возможность корректировать галочками</t>
  </si>
  <si>
    <t>Разработка опросных листов</t>
  </si>
  <si>
    <t>Изучение исходных данных</t>
  </si>
  <si>
    <t>Участие в совещаниях</t>
  </si>
  <si>
    <t>ОРД по 3 категории</t>
  </si>
  <si>
    <t>Было</t>
  </si>
  <si>
    <t>Стало</t>
  </si>
  <si>
    <t>План реагирования на компьютерные инциденты и принятия мер по ликвидации последствий компьютерных атак</t>
  </si>
  <si>
    <t>Политика идентификации и аутентификации</t>
  </si>
  <si>
    <t>Политика управления доступом</t>
  </si>
  <si>
    <t>Политика защиты машинных носителей информации</t>
  </si>
  <si>
    <t>Политика аудита информационной безопасности</t>
  </si>
  <si>
    <t>Политика антивирусной защиты</t>
  </si>
  <si>
    <t>Политика обеспечения целостности</t>
  </si>
  <si>
    <t>Политика обеспечения доступности</t>
  </si>
  <si>
    <t>Политика защиты технических средств и систем</t>
  </si>
  <si>
    <t>Политика защиты объекта КИИ и его компонентов</t>
  </si>
  <si>
    <t>Политика реагирования на компьютерные инциденты</t>
  </si>
  <si>
    <t>Политика управления конфигурацией объекта КИИ</t>
  </si>
  <si>
    <t>Политика управления обновлениями программного обеспечения</t>
  </si>
  <si>
    <t>Политика планирования мероприятий по обеспечению защиты информации</t>
  </si>
  <si>
    <t>Политика обеспечения действий в нештатных ситуациях</t>
  </si>
  <si>
    <t>Политика информирования и обучения персонала</t>
  </si>
  <si>
    <t>Проект приказа «О создании системы безопасности объектов КИИ»</t>
  </si>
  <si>
    <t>Регламент оценки соответствия средств защиты информации по требованиям информационной безопасности</t>
  </si>
  <si>
    <t>Положение об обеспечении безопасности значимых объектов критической информационной инфраструктуры</t>
  </si>
  <si>
    <t>Проект приказа о создании комиссии по контролю состояния обеспечения безопасности КИИ</t>
  </si>
  <si>
    <t>Проект приказа об установлении контролируемой зоны</t>
  </si>
  <si>
    <t>План действий в нештатных ситуациях</t>
  </si>
  <si>
    <t>Проект приказа о распределении ответственности в области обеспечения безопасности объектов КИИ</t>
  </si>
  <si>
    <t>Должностные инструкции лиц, ответственных за обеспечение безопасности объектов КИИ</t>
  </si>
  <si>
    <t>Положение о подразделении, ответственном за обеспечение безопасности объектов КИИ</t>
  </si>
  <si>
    <t>Ежегодный план мероприятий по обеспечению безопасности ЗОКИИ</t>
  </si>
  <si>
    <t>Журнал ознакомления с ОРД по КИИ или листы ознакомления с отдельными документами</t>
  </si>
  <si>
    <t>Журнал ознакомления подрядчиков с ОРД по КИИ</t>
  </si>
  <si>
    <r>
      <t xml:space="preserve">Правила безопасности при эксплуатации </t>
    </r>
    <r>
      <rPr>
        <b/>
        <sz val="12"/>
        <color rgb="FF000000"/>
        <rFont val="Times New Roman"/>
        <family val="1"/>
        <charset val="204"/>
      </rPr>
      <t>объекта КИИ</t>
    </r>
  </si>
  <si>
    <t>Акт оценки эффективности принятых организационных и технических мер ЗОКИИ</t>
  </si>
  <si>
    <t>Инструкция о порядке учета, хранения, обращения и уничтожения машинных носителей информации</t>
  </si>
  <si>
    <t>Журнал учета машинных носителей информации</t>
  </si>
  <si>
    <t>Журнал проведения инструктажей по информационной безопасности и обеспечению безопасности КИИ</t>
  </si>
  <si>
    <t>Проект приказа об утверждении комплекта документов по обеспечению безопасности КИИ</t>
  </si>
  <si>
    <r>
      <t>Порядок взаимодействия с государственной системой обнаружения, предупреждения и ликвидации последствий компьютерных атак на информационные ресурсы Российской Федерации</t>
    </r>
    <r>
      <rPr>
        <b/>
        <sz val="12"/>
        <color rgb="FF000000"/>
        <rFont val="Calibri"/>
        <family val="2"/>
        <charset val="204"/>
        <scheme val="minor"/>
      </rPr>
      <t xml:space="preserve"> (ГосСОПКА)</t>
    </r>
  </si>
  <si>
    <t>Доп. ОРД при 2 категории</t>
  </si>
  <si>
    <t>Политика ограничения программной среды</t>
  </si>
  <si>
    <t>Политика предотвращения вторжений</t>
  </si>
  <si>
    <t>Количество ИСПДн</t>
  </si>
  <si>
    <t>ОРД</t>
  </si>
  <si>
    <t>Политика оператора в отношении обработки персональных данных атак</t>
  </si>
  <si>
    <t>Положение об обработке и защите персональных данных</t>
  </si>
  <si>
    <t>Правила рассмотрения запросов субъектов персональных данных или их представителей</t>
  </si>
  <si>
    <t>Приказ о назначении ответственного за обработку персональных данных</t>
  </si>
  <si>
    <t>Перечень ПДн</t>
  </si>
  <si>
    <t>Правила осуществления внутреннего контроля соответствия обработки ПДн требованиям к защите ПДн</t>
  </si>
  <si>
    <t>План мероприятий внутреннего контроля и аудита</t>
  </si>
  <si>
    <t>Акт оценки вреда, который может быть причинен субъектам ПДн</t>
  </si>
  <si>
    <t>Регламент оценки соответствия СрЗИ</t>
  </si>
  <si>
    <t>Форма согласия субъекта ПДн на обработку его ПДн</t>
  </si>
  <si>
    <t>Должностная инструкция пользователя ИСПДн</t>
  </si>
  <si>
    <t>Должностная инструкция Администратора ИБ</t>
  </si>
  <si>
    <t>Должностная инструкция ответственного за организацию обработки персональных данных</t>
  </si>
  <si>
    <t>Правила доступа в помещения, в которых размещена ИСПДн</t>
  </si>
  <si>
    <t>Правила доступа в помещения, где размещены используемые СКЗИ, хранятся СКЗИ и (или) носители ключевой, аутентифицирующей и парольной информации СКЗИ</t>
  </si>
  <si>
    <t>Форма акта об уничтожении ПДн</t>
  </si>
  <si>
    <t>В случае, если оператор поручает обработку персональных данных третьему лицу</t>
  </si>
  <si>
    <t xml:space="preserve">Поручение оператора на обработку персональных данных </t>
  </si>
  <si>
    <t>В случае осуществления обработки биометрических персональных данных</t>
  </si>
  <si>
    <t>Форма согласия на обработку биометрических персональных данных</t>
  </si>
  <si>
    <t>В случае осуществления распространения персональных данных</t>
  </si>
  <si>
    <t>Форма согласия на обработку ПДн, разрешенных субъектом ПДн для распространения</t>
  </si>
  <si>
    <t>Для УЗ3, УЗ2 и УЗ1</t>
  </si>
  <si>
    <t>Приказ о назначении должностного лица, ответственного за обеспечение безопасности ПДн в ИСПДн</t>
  </si>
  <si>
    <t>Для УЗ2 и УЗ1</t>
  </si>
  <si>
    <t>Только для УЗ1</t>
  </si>
  <si>
    <t xml:space="preserve">Приказ о создании (возложении обязанностей) структурного подразделения, ответственного за обеспечение </t>
  </si>
  <si>
    <t>Приказ о назначении лица, ответственного за периодический контроль ведения электронного журнала безопасности и соответствия отраженных в нем полномочий сотрудников оператора их должностным обязанностям (не реже 1 раза в месяц)</t>
  </si>
  <si>
    <t>В случае осуществления обработки ПДн без использования средств автоматизации</t>
  </si>
  <si>
    <t>Для операторов, являющихся государственными или муниципальными органами (в соответствии с постановлением Правительства № 211)</t>
  </si>
  <si>
    <t>Правила обработки персональных данных</t>
  </si>
  <si>
    <t>Правила работы с обезличенными данными (в случае обезличивания персональных данных)</t>
  </si>
  <si>
    <t>Перечень ИСПДн</t>
  </si>
  <si>
    <t>Перечень должностей служащих государственного или муниципального органа, ответственных за проведение мероприятий по обезличиванию обрабатываемых персональных данных (в случае обезличивания персональных данных)</t>
  </si>
  <si>
    <t>Перечень должностей служащих государственного или муниципального органа, замещение которых предусматривает осуществление обработки персональных данных либо осуществление доступа к персональным данным</t>
  </si>
  <si>
    <t>Типовая форма разъяснения субъекту персональных данных юридических последствий отказа предоставить свои персональные данные</t>
  </si>
  <si>
    <t>Количество ГИС</t>
  </si>
  <si>
    <t>ОРД для К3</t>
  </si>
  <si>
    <t>Приказ о назначении структурного подразделения или должностного лица (работника), ответственного за защиты информации</t>
  </si>
  <si>
    <t>Перечень конфиденциальной информации, обрабатываемой в информационной системе</t>
  </si>
  <si>
    <t>Политика регистрации событий безопасности</t>
  </si>
  <si>
    <t>Политика анализа защищенности информации</t>
  </si>
  <si>
    <t>Политика обеспечения целостности информационной системы и информации</t>
  </si>
  <si>
    <t>Политика защиты среды виртуализации</t>
  </si>
  <si>
    <t>Политика защиты технических средств</t>
  </si>
  <si>
    <t>Политика защиты информационной системы и ее компонентов</t>
  </si>
  <si>
    <t>Политика обеспечения безопасности информации при выводе информационной системы из эксплуатации или после принятия решения об окончании обработки информации</t>
  </si>
  <si>
    <t>Политика управления конфигурацией информационной системы</t>
  </si>
  <si>
    <t>Технический паспорт на информационную систему</t>
  </si>
  <si>
    <t>План мероприятий по защите информации в информационной системе</t>
  </si>
  <si>
    <t>Должностная инструкция Администратора СрЗИ</t>
  </si>
  <si>
    <t>Журнал проверки корректности функционирования обновлений</t>
  </si>
  <si>
    <t>Перечень информации (типов информации), подлежащей периодическому резервному копированию на резервные машинные носители информации</t>
  </si>
  <si>
    <t>Приказ об установлении контролируемой зоны</t>
  </si>
  <si>
    <t>Только для К2, К1</t>
  </si>
  <si>
    <t>Политика обнаружения вторжений</t>
  </si>
  <si>
    <t>Количество ИС</t>
  </si>
  <si>
    <t>Приказ о введении режима коммерческой тайны</t>
  </si>
  <si>
    <t>Перечень сведений, составляющих коммерческую тайну</t>
  </si>
  <si>
    <t>Положение о коммерческой тайне</t>
  </si>
  <si>
    <t>Перечень организационных мероприятий по повышению эффективности существующей системы защиты информации, составляющей коммерческую тайну</t>
  </si>
  <si>
    <t>Положение о предоставлении доступа пользователям к защищаемым информационным ресурсам</t>
  </si>
  <si>
    <t>Регламент контроля использования работниками технических средств хранения, обработки и передачи информации, составляющей коммерческую тайну</t>
  </si>
  <si>
    <t>Журнал учета материальных носителей информации, составляющей коммерческую тайну</t>
  </si>
  <si>
    <t>Журнал учета лиц, получивших доступ к информации, составляющей коммерческую тайну</t>
  </si>
  <si>
    <t>Соглашение о неразглашении сотрудником информации, составляющей коммерческую тайну</t>
  </si>
  <si>
    <t>Соглашение о конфиденциальности с контрагентами</t>
  </si>
  <si>
    <t>Журнал ознакомления работников с нормативными документами по работе с коммерческой тайной</t>
  </si>
  <si>
    <t>Подготовка опросных листов и методики для аудита/обследования</t>
  </si>
  <si>
    <t>Разработка методики проведения аудита/обследования</t>
  </si>
  <si>
    <t>Подготовка опросных листов для аудита/обследования</t>
  </si>
  <si>
    <t>Обследование/аудит ОКИИ</t>
  </si>
  <si>
    <t>время в часах!
Рассматриваем очное обследование
Простое - стандартные требования к проведению работ
Обычное - наличие нетиповых требований к проведению работ
Сложное - нестандартные требования к проведению работ</t>
  </si>
  <si>
    <t>Базовая стоимость обследования 1 системы</t>
  </si>
  <si>
    <t>Количество ОКИИ</t>
  </si>
  <si>
    <t>Репрезентативная выборка (рассматриваем только часть компонентов системы). Обязательно предварительное согласование с Заказчиком. По умолчанию - 1 (т.е. изначально рассматриваем только репрезентативную выборку)</t>
  </si>
  <si>
    <t>Проведение очного аудита/обследования (ОКИИ)</t>
  </si>
  <si>
    <t>Коэффициент наличия опыта:</t>
  </si>
  <si>
    <t>Обследование/аудит используемых мер защиты в отношении ИТ-инфраструктуры</t>
  </si>
  <si>
    <t xml:space="preserve">Базовая стоимость обследования </t>
  </si>
  <si>
    <t>Сбор информации об ИТ-инфраструктуре, технических и организационных мер защиты в общем по Организации</t>
  </si>
  <si>
    <t>Разработка Отчета об обследовании</t>
  </si>
  <si>
    <t>Сколько на обследование, столько и на Отчет</t>
  </si>
  <si>
    <t>Идет в расчет</t>
  </si>
  <si>
    <t>Разработка Отчета об аудите (включает оценку соответствия)</t>
  </si>
  <si>
    <t>Необходимость проведения оценки соответствия:</t>
  </si>
  <si>
    <t xml:space="preserve">КИИ </t>
  </si>
  <si>
    <t xml:space="preserve">Проведение оценки соответствия по требованиям ИБ по результатам собранной информации в рамках аудита ОКИИ и информации по бизнес-процессам </t>
  </si>
  <si>
    <t xml:space="preserve">Проведение оценки соответствия по требованиям ИБ по результатам собранной информации в рамках аудита ИСПДн и информации по бизнес-процессам </t>
  </si>
  <si>
    <t>ПДн</t>
  </si>
  <si>
    <t xml:space="preserve">Разработка Отчета об обследовании, </t>
  </si>
  <si>
    <t>Опционально</t>
  </si>
  <si>
    <t>Обследование бизнес-процессов обработки ПДн</t>
  </si>
  <si>
    <t>Количество бизнес-процессов</t>
  </si>
  <si>
    <t>Базовая стоимость обследования бизнес-процесса</t>
  </si>
  <si>
    <t>Обследование/аудит бизнес-процессов обработки ПДн</t>
  </si>
  <si>
    <t>Проведение очного аудита/обследования (ИСПДн)</t>
  </si>
  <si>
    <t>Обследование/аудит ИСПДн</t>
  </si>
  <si>
    <t>Подготовка Методики и опросных листов для аудита/обследования</t>
  </si>
  <si>
    <t>Обследование/аудит ИКТ (ИС, обрабатывающая КТ)</t>
  </si>
  <si>
    <t>Количество ИКТ</t>
  </si>
  <si>
    <t>Проведение очного аудита/обследования ИКТ</t>
  </si>
  <si>
    <t>КТ</t>
  </si>
  <si>
    <t>Обследование/аудит бизнес-процессов обработки КТ</t>
  </si>
  <si>
    <t>Обследование бизнес-процессов обработки КТ</t>
  </si>
  <si>
    <t>ИКТ</t>
  </si>
  <si>
    <t xml:space="preserve">Проведение оценки соответствия по требованиям ИБ по результатам собранной информации в рамках аудита ИКТ и информации по бизнес-процессам </t>
  </si>
  <si>
    <t xml:space="preserve">время в часах!
Простое - 
Обычное - 
Сложное - </t>
  </si>
  <si>
    <t>Количество ИС, ИТКС, АСУ</t>
  </si>
  <si>
    <t>Предполагаемое количество ОКИИ</t>
  </si>
  <si>
    <t>Количество типов ОКИИ</t>
  </si>
  <si>
    <t>Категорирование</t>
  </si>
  <si>
    <t>Разработка Методики категорирования</t>
  </si>
  <si>
    <t>Сбор информации о субъекте КИИ (Устав, ОКВЭД, Декларация ПБ, ПЛА, ОПО, орг-штатная структура)</t>
  </si>
  <si>
    <t>Анализ отнесения ИС, ИТКС, АСУ к ОКИИ, подлежащим категорованию</t>
  </si>
  <si>
    <t>1. Определение критических процессов 
2. Перечень БП
3. Перечень критических БП
4. Матрица</t>
  </si>
  <si>
    <t>Формирование перечня ОКИИ, подлежащих категорированию</t>
  </si>
  <si>
    <t>Сбор информации о составе ОКИИ</t>
  </si>
  <si>
    <t>Расчет критериев</t>
  </si>
  <si>
    <t>Разработка отчета об обследовании</t>
  </si>
  <si>
    <t>Разработка перечня угроз для категорирования</t>
  </si>
  <si>
    <t>Разработка акта категорирования</t>
  </si>
  <si>
    <t>Разработка сведений по форме 236 приказа</t>
  </si>
  <si>
    <t>Формирование приказов, протоколов заседания комиссии, формы сопроводительных писем во ФСТЭК</t>
  </si>
  <si>
    <t>Согласование со ФСТЭК</t>
  </si>
  <si>
    <t xml:space="preserve">время в часах!
С учетом проведенного обследования и разработки МУиН
Рассматриваем очное обследование
Простое - 
Обычное - 
Сложное - </t>
  </si>
  <si>
    <t>Количество АС для классификации по РД</t>
  </si>
  <si>
    <t>Определение уровня защищенности ИСПДн</t>
  </si>
  <si>
    <t>Анализ данных об ИСПДн (тип актульных угроз, категория обрабатываемых ПДн, категория и количество субъектов ПДн)</t>
  </si>
  <si>
    <t>При наличии МУиН</t>
  </si>
  <si>
    <t>Разработка акта классификации ИСПДн</t>
  </si>
  <si>
    <t>Определение класса защищенности ГИС</t>
  </si>
  <si>
    <t>Анализ данных о ГИС (определение масштаба системы, расчет ущерба)</t>
  </si>
  <si>
    <t>Разработка акта классификации ГИС</t>
  </si>
  <si>
    <t>Определение класса АС</t>
  </si>
  <si>
    <t>Анализ данных об АС (наличие в АС информации различного уровня конфиденциальности; уровень полномочий субъектов доступа АС на доступ к конфиденциальной информации; режим обработки данных в АС - коллективный или индивидуальный)</t>
  </si>
  <si>
    <t>Разработка акта классификации АС</t>
  </si>
  <si>
    <t>Количество систем</t>
  </si>
  <si>
    <t>Количество типов систем</t>
  </si>
  <si>
    <t>Наличие разработанного нами перечня угроз и нарушителей</t>
  </si>
  <si>
    <t>МУиН</t>
  </si>
  <si>
    <t>Разработка МУиН для ОКИИ/АСУТП</t>
  </si>
  <si>
    <t>Большая экспертиза, есть шаблоны. При наличии перечней можем снизить ТрЗ</t>
  </si>
  <si>
    <t>Неиспользуемый параметр</t>
  </si>
  <si>
    <t>Разработка МУиН для ИСПДн</t>
  </si>
  <si>
    <t>Мало опыта, не знаем нюансы</t>
  </si>
  <si>
    <t>Разработка МУиН для ГИС</t>
  </si>
  <si>
    <t>Разработка МУиН для ЦОД</t>
  </si>
  <si>
    <t>Долгое согласование, дополнительные сборы информации</t>
  </si>
  <si>
    <t>Разработка МУиН для КТ</t>
  </si>
  <si>
    <t>Примерное количество оборудования (АРМ + серверы)</t>
  </si>
  <si>
    <t>Инструментальный анализ уязвимостей</t>
  </si>
  <si>
    <t>Оформление отчета по результатам инструментального анализа уязвимостей</t>
  </si>
  <si>
    <t>Ручной анализ уязвимостей</t>
  </si>
  <si>
    <t>В ручной анализ уязвимостей входит проверка СПО и ПО Заказчика по базе данных CVE, Mitre@ttack</t>
  </si>
  <si>
    <t>Оформление отчета по результатам ручного анализа уязвимостей</t>
  </si>
  <si>
    <t>В ручной анализ уязвимостей входит проверка СПО заказчика и ПО Заказчика по базе данных CVE, Mitre@ttack</t>
  </si>
  <si>
    <t>Наличие ЦОД</t>
  </si>
  <si>
    <t>Аттестация</t>
  </si>
  <si>
    <t>Сбор документов у владельца (и ЦОД при наличии)</t>
  </si>
  <si>
    <t>Разработка программы и методик испытаний</t>
  </si>
  <si>
    <t>Так как последующие ПМИ в рамках одного проекта делать проще, ТрЗ на одну ИС заложены в базовую стоимость. На вторую и последующие ТрЗ немного снижены</t>
  </si>
  <si>
    <t>Оценка соответствия технического паспорта, акта классификации ИС, акта категорирования ЗОКИИ, состава и содержания ЭД на СЗИ и ОРД требованиям по ЗИ и Порядку проведения аттестации</t>
  </si>
  <si>
    <t>Обследование ИС на предмет оценки соответствия ИС и условий ее эксплуатации требованиям по ЗИ, а также документам, представленных владельцем ИС</t>
  </si>
  <si>
    <t>Проверка наличия документов, содержащих результаты анализа уязвимостей, проведенного на этапах предварительных или приемочных испытаний системы защиты информации</t>
  </si>
  <si>
    <t>Проверка наличия сведений о СрЗИ, установленных в ИС, в реестре серт. СрЗИ, или документов, подтверждающих проведение оценки соответствия СрЗИ требованиям по безопасности информации в формах, отличных от сертификации</t>
  </si>
  <si>
    <t>Проверка наличия у владельца ИС работников, ответственных за обеспечение ЗИ в ходе эксплуатации ИС, и оценка уровня знаний и умений данных работников</t>
  </si>
  <si>
    <t>Оценка соответствия принятых  орг. и техн. мер требованиям по ЗИ и их достаточности для защиты от актуальных для ИС угроз безопасности информации</t>
  </si>
  <si>
    <t>Большинство организационных мер проверяются единоразово (включено в базовую стоимость), технические уже для каждой системы. Предполагаем, что изучили ОРД на 3 этапе и параллельно делали пометки по мерам. На данном этапе только отмечаем в протоколе. Технику проверяем</t>
  </si>
  <si>
    <t>Оформление заключения по результатам аттестационных испытаний</t>
  </si>
  <si>
    <t>Так как последующие заключения в рамках одного проекта делать проще, ТрЗ на одну ИС заложены в базовую стоимость. На вторую и последующие ТрЗ немного снижены</t>
  </si>
  <si>
    <t>Оформление протоколов по результатам аттестационных испытаний</t>
  </si>
  <si>
    <t>Так как последующие протоколы в рамках одного проекта делать проще, ТрЗ на одну ИС заложены в базовую стоимость. На вторую и последующие ТрЗ немного снижены. Таблицы делаются из ПМИ переименованием столбца</t>
  </si>
  <si>
    <t>Оформление аттестата соответствия</t>
  </si>
  <si>
    <t>Направление в ФСТЭК России в электронном виде копий документов по аттестации</t>
  </si>
  <si>
    <t>сюда писать значения</t>
  </si>
  <si>
    <t>Нажмешь на галочки напротив работ - значения по умолчанию получишь</t>
  </si>
  <si>
    <t>Также строки можно показывать и сворачивать, используя цифры 1-2-3-4 в верхнем левом углу</t>
  </si>
  <si>
    <t>1 - работа нужна
0 - работа не нужна</t>
  </si>
  <si>
    <t>РД АС</t>
  </si>
  <si>
    <t>ЦОД</t>
  </si>
  <si>
    <t>Требуемые работы</t>
  </si>
  <si>
    <t>По умолчанию</t>
  </si>
  <si>
    <t>Вид работ</t>
  </si>
  <si>
    <t>Критерии</t>
  </si>
  <si>
    <t>ТрЗ итого (часы)</t>
  </si>
  <si>
    <t>Ст. инж.</t>
  </si>
  <si>
    <t>Вед. Инж.</t>
  </si>
  <si>
    <t>ТрЗ итого (ч/д)</t>
  </si>
  <si>
    <t>Защита КИИ</t>
  </si>
  <si>
    <t>Сбор информации о субъекте КИИ</t>
  </si>
  <si>
    <t>Устав, ОКВЭД, Декларация ПБ, ПЛА, ОПО, орг-штатная структура</t>
  </si>
  <si>
    <t>Если нужна МУиН, то здесь поставить 0, поставить 1 в соответствующем разделе</t>
  </si>
  <si>
    <t>Есть готовые шаблоны. Я обычно бесплатно для Заказчика их делал, чтобы избежать дальнейших вопросов по итогам проекта. Делаем, если явно прописано в ТЗ или по желанию</t>
  </si>
  <si>
    <t>Помощь в подготовке овтетов</t>
  </si>
  <si>
    <t>Обследование и аудит</t>
  </si>
  <si>
    <t>Репрезентативная выборка: в рамках обследования/аудита рассматриваются только часть компонентов системы. Обязательно предварительное согласование с Заказчиком. По умолчанию "Да"</t>
  </si>
  <si>
    <t>Допускается репрезентативная выборка</t>
  </si>
  <si>
    <t>Проведение оценки соответствия по требованиям ИБ по результатам собранной информации в рамках аудита ОКИИ и мер защиты</t>
  </si>
  <si>
    <t>Модель угроз и нарушителя</t>
  </si>
  <si>
    <t>Считать системы (ОКИИ), для которых нужны МУиН</t>
  </si>
  <si>
    <t>ОРД КИИ</t>
  </si>
  <si>
    <t>По умолчанию для 3 категории. Для 2 и 1 - раскрыть категорию, поставить единицы в подразделе "Доп. ОРД при 2 категории"</t>
  </si>
  <si>
    <r>
      <t xml:space="preserve">Правила безопасности при эксплуатации </t>
    </r>
    <r>
      <rPr>
        <sz val="9"/>
        <color rgb="FF000000"/>
        <rFont val="Calibri"/>
        <family val="2"/>
        <charset val="204"/>
        <scheme val="minor"/>
      </rPr>
      <t>объекта КИИ</t>
    </r>
  </si>
  <si>
    <r>
      <t>Порядок взаимодействия с государственной системой обнаружения, предупреждения и ликвидации последствий компьютерных атак на информационные ресурсы Российской Федерации</t>
    </r>
    <r>
      <rPr>
        <sz val="9"/>
        <color rgb="FF000000"/>
        <rFont val="Calibri"/>
        <family val="2"/>
        <charset val="204"/>
        <scheme val="minor"/>
      </rPr>
      <t xml:space="preserve"> (ГосСОПКА)</t>
    </r>
  </si>
  <si>
    <t>Защита ПДн</t>
  </si>
  <si>
    <r>
      <t xml:space="preserve">Считать системы (ИСПДн), для которых нужны </t>
    </r>
    <r>
      <rPr>
        <b/>
        <sz val="9"/>
        <color theme="1"/>
        <rFont val="Calibri"/>
        <family val="2"/>
        <charset val="204"/>
        <scheme val="minor"/>
      </rPr>
      <t>МУиН только на основании ТЗ</t>
    </r>
  </si>
  <si>
    <t>ОРД ПДн</t>
  </si>
  <si>
    <t>Защита ГИС</t>
  </si>
  <si>
    <t>Обследование/аудит ГИС</t>
  </si>
  <si>
    <t>Проведение очного аудита/обследования (ГИС)</t>
  </si>
  <si>
    <t>Обследование/аудит бизнес-процессов обработки ПДн (в случае, если в ГИС обрабатываются ПДн)</t>
  </si>
  <si>
    <t xml:space="preserve">Проведение оценки соответствия по требованиям ИБ по результатам собранной информации в рамках аудита ГИС и информации по бизнес-процессам </t>
  </si>
  <si>
    <t>Считать системы (ГИС), для которых нужны МУиН</t>
  </si>
  <si>
    <t>ОРД ГИС</t>
  </si>
  <si>
    <t>Защита КТ</t>
  </si>
  <si>
    <t>Количество ИС (АСУ и ИТКС) и/или бизнес-процессов</t>
  </si>
  <si>
    <t>Считать системы с КТ, для которых нужны МУиН. Законодательством не требуется, но предлагать стоит</t>
  </si>
  <si>
    <t>Разработка МУиН для ИКТ</t>
  </si>
  <si>
    <t>ОРД КТ</t>
  </si>
  <si>
    <t>Защита ЦОД</t>
  </si>
  <si>
    <t>Проведение очного аудита/обследования ГИС</t>
  </si>
  <si>
    <t>Эскизное проектирование (ЭП)</t>
  </si>
  <si>
    <t>Рабочая документация (РД)</t>
  </si>
  <si>
    <t>Эксплуатационная документация (ЭД)</t>
  </si>
  <si>
    <t>Технический проект (ТП)</t>
  </si>
  <si>
    <t>Таблица доп средств</t>
  </si>
  <si>
    <t>Таблица доп услуг</t>
  </si>
  <si>
    <t>РИСКИ и ОГРАНИЧЕНИЯ</t>
  </si>
  <si>
    <t>ИНФОРМАЦИЯ Об Объекте защиты</t>
  </si>
  <si>
    <t>АВЗ2</t>
  </si>
  <si>
    <t>**</t>
  </si>
  <si>
    <t>Подэтапы для САДКО</t>
  </si>
  <si>
    <t>Кл-во площадок</t>
  </si>
  <si>
    <t>Адрес</t>
  </si>
  <si>
    <t>Объекты</t>
  </si>
  <si>
    <t>Классификация объекта (УЗ, КС, КЗ)</t>
  </si>
  <si>
    <t>1.3 Техническое управление проектом</t>
  </si>
  <si>
    <t>1.4 Администрирование проекта</t>
  </si>
  <si>
    <t>3.3 Техническое управление проектом</t>
  </si>
  <si>
    <t>3.4 Администрирование проекта</t>
  </si>
  <si>
    <t>НК=Инженер</t>
  </si>
  <si>
    <t>Состав объектов (АРМ)</t>
  </si>
  <si>
    <t>Состав объектов (Сервера)</t>
  </si>
  <si>
    <t>Состав объектов (АСО, типы АСО)</t>
  </si>
  <si>
    <t>Результаты этапа (документация/детализация)</t>
  </si>
  <si>
    <t>Методика проведения аудита/обследования;
Заполненные ОЛ по аудиту/обследованию;</t>
  </si>
  <si>
    <t>Отчет по результатам аудита/обследования</t>
  </si>
  <si>
    <t>ТЗ на создание СОИБ;
Дорожная карта/Стратегия развития</t>
  </si>
  <si>
    <t>ТЗ  на макетирование;
ПМИ макетирования;
Заключение/отчет по результатам макетирования;
Протокол испытаний макета</t>
  </si>
  <si>
    <t>Технико-экономическое обоснование;
Основные технические решения</t>
  </si>
  <si>
    <t>Пояснительная записка к эскизному проекту;
Схема структурная КТС;
Схема функциональная;
Спецификация оборудования СОИБ</t>
  </si>
  <si>
    <t>Функциональные требования (ФТТ);
Структурная схема КТС;
Спецификация оборудования СОИБ</t>
  </si>
  <si>
    <t>Ведомость технического проекта;
Пояснительная записка к техническому проекту;
Описание комплекса технических средств;
Описание программного обеспечения;
Схема структурная КТС;
Схема функциональная</t>
  </si>
  <si>
    <t>Акт приемки результатов СМР;
Акта установки средств защиты;
Справка о соответствии номенклатуры</t>
  </si>
  <si>
    <t>Отчет или протокол анализа уязвимостей</t>
  </si>
  <si>
    <t xml:space="preserve">Протокол предварительных испытаний;
Акт перевода в опытную эксплуатацию;
Журнал опытной эксплуатации (перечень выявленных несоответствий);
Акт о завершении опытной эксплуатации;
Протокол приемочных испытаний;
Акта перевода в постоянную эксплуатацию;
</t>
  </si>
  <si>
    <t>Комплект исполнительной документации</t>
  </si>
  <si>
    <t xml:space="preserve">Спецификация оборудования;
Инструкция по установке и настройке СрЗИ;
ПиМИ (предварительные, опытная, приемочные);
Технические условия для монтажа оборудования;
Эскизная схема расположения оборудования;
Сетевая схема L2, L3
</t>
  </si>
  <si>
    <t xml:space="preserve">Руководство администратора;
Руководство пользователя
</t>
  </si>
  <si>
    <t>Ограничения к расчету (внутренние):</t>
  </si>
  <si>
    <t>Ограничения (для Заказчика):</t>
  </si>
  <si>
    <r>
      <t>ТРЗ (</t>
    </r>
    <r>
      <rPr>
        <b/>
        <sz val="11"/>
        <color rgb="FFFF0000"/>
        <rFont val="Calibri"/>
        <family val="2"/>
        <charset val="204"/>
        <scheme val="minor"/>
      </rPr>
      <t>трудодни</t>
    </r>
    <r>
      <rPr>
        <b/>
        <sz val="11"/>
        <color theme="1"/>
        <rFont val="Calibri"/>
        <family val="2"/>
        <charset val="204"/>
        <scheme val="minor"/>
      </rPr>
      <t>)</t>
    </r>
  </si>
  <si>
    <r>
      <t>ТРЗ (</t>
    </r>
    <r>
      <rPr>
        <b/>
        <sz val="11"/>
        <color rgb="FFFF0000"/>
        <rFont val="Calibri"/>
        <family val="2"/>
        <charset val="204"/>
        <scheme val="minor"/>
      </rPr>
      <t>часы</t>
    </r>
    <r>
      <rPr>
        <b/>
        <sz val="11"/>
        <color theme="1"/>
        <rFont val="Calibri"/>
        <family val="2"/>
        <charset val="204"/>
        <scheme val="minor"/>
      </rPr>
      <t>)</t>
    </r>
  </si>
  <si>
    <r>
      <t>ТрЗ И (</t>
    </r>
    <r>
      <rPr>
        <b/>
        <sz val="11"/>
        <color rgb="FFFF0000"/>
        <rFont val="Calibri"/>
        <family val="2"/>
        <charset val="204"/>
        <scheme val="minor"/>
      </rPr>
      <t>часы</t>
    </r>
    <r>
      <rPr>
        <b/>
        <sz val="11"/>
        <color theme="1"/>
        <rFont val="Calibri"/>
        <family val="2"/>
        <charset val="204"/>
        <scheme val="minor"/>
      </rPr>
      <t>)</t>
    </r>
  </si>
  <si>
    <r>
      <t xml:space="preserve"> ТрЗ СИ (</t>
    </r>
    <r>
      <rPr>
        <b/>
        <sz val="11"/>
        <color rgb="FFFF0000"/>
        <rFont val="Calibri"/>
        <family val="2"/>
        <charset val="204"/>
        <scheme val="minor"/>
      </rPr>
      <t>часы</t>
    </r>
    <r>
      <rPr>
        <b/>
        <sz val="11"/>
        <color theme="1"/>
        <rFont val="Calibri"/>
        <family val="2"/>
        <charset val="204"/>
        <scheme val="minor"/>
      </rPr>
      <t>)</t>
    </r>
  </si>
  <si>
    <r>
      <t>ТрЗ ВИ (</t>
    </r>
    <r>
      <rPr>
        <b/>
        <sz val="11"/>
        <color rgb="FFFF0000"/>
        <rFont val="Calibri"/>
        <family val="2"/>
        <charset val="204"/>
        <scheme val="minor"/>
      </rPr>
      <t>часы</t>
    </r>
    <r>
      <rPr>
        <b/>
        <sz val="11"/>
        <color theme="1"/>
        <rFont val="Calibri"/>
        <family val="2"/>
        <charset val="204"/>
        <scheme val="minor"/>
      </rPr>
      <t>)</t>
    </r>
  </si>
  <si>
    <r>
      <t>ТрЗ НК (</t>
    </r>
    <r>
      <rPr>
        <b/>
        <sz val="11"/>
        <color rgb="FFFF0000"/>
        <rFont val="Calibri"/>
        <family val="2"/>
        <charset val="204"/>
        <scheme val="minor"/>
      </rPr>
      <t>часы</t>
    </r>
    <r>
      <rPr>
        <b/>
        <sz val="11"/>
        <color theme="1"/>
        <rFont val="Calibri"/>
        <family val="2"/>
        <charset val="204"/>
        <scheme val="minor"/>
      </rPr>
      <t>)</t>
    </r>
  </si>
  <si>
    <r>
      <t>Техническая грамотность Заказчика</t>
    </r>
    <r>
      <rPr>
        <b/>
        <sz val="11"/>
        <color rgb="FFFF0000"/>
        <rFont val="Calibri"/>
        <family val="2"/>
        <charset val="204"/>
        <scheme val="minor"/>
      </rPr>
      <t>*</t>
    </r>
  </si>
  <si>
    <r>
      <t>Лояльность Заказчика</t>
    </r>
    <r>
      <rPr>
        <b/>
        <sz val="11"/>
        <color rgb="FFFF0000"/>
        <rFont val="Calibri"/>
        <family val="2"/>
        <charset val="204"/>
        <scheme val="minor"/>
      </rPr>
      <t>**</t>
    </r>
  </si>
  <si>
    <t>** Лояльность: высокая - упрощает реализацию, значит Заказчик лояльный и замечания будут конструктивные</t>
  </si>
  <si>
    <t>*Тех грамотность: высокая - упрощает реализацию, т.к. Заказчик сможет принимать решения, согласовывать подходы и корректно и полноценно предоставлять ИД для проектирования</t>
  </si>
  <si>
    <t>Расчет АПМДЗ</t>
  </si>
  <si>
    <r>
      <t>Сумма (</t>
    </r>
    <r>
      <rPr>
        <b/>
        <sz val="11"/>
        <color rgb="FFFF0000"/>
        <rFont val="Calibri"/>
        <family val="2"/>
        <charset val="204"/>
        <scheme val="minor"/>
      </rPr>
      <t>часы</t>
    </r>
    <r>
      <rPr>
        <b/>
        <sz val="11"/>
        <color theme="1"/>
        <rFont val="Calibri"/>
        <family val="2"/>
        <charset val="204"/>
        <scheme val="minor"/>
      </rPr>
      <t>)</t>
    </r>
  </si>
  <si>
    <t>*Экспертно определяем и указываем длительность этапа</t>
  </si>
  <si>
    <t>Блок МСЭ</t>
  </si>
  <si>
    <t>1. Настройка интеграции со смежными системами</t>
  </si>
  <si>
    <t>Настройка интеграции с AD</t>
  </si>
  <si>
    <t>Настройка интеграции с RADIUS</t>
  </si>
  <si>
    <t>Настройка интеграции с TACACS+</t>
  </si>
  <si>
    <t>Настройка интеграции с центром управления/подчиненные устройства</t>
  </si>
  <si>
    <t>Настройка интеграции с анализатором конфигурации</t>
  </si>
  <si>
    <t>Настройка интеграции с песочницей</t>
  </si>
  <si>
    <t>2. Настройка модулей безопасности</t>
  </si>
  <si>
    <t>3. Настройка дополнительного оборудования</t>
  </si>
  <si>
    <t>Передача данных в SOC</t>
  </si>
  <si>
    <t>Состав используемых продуктов</t>
  </si>
  <si>
    <t>Выбрать в АЗ: решение VM</t>
  </si>
  <si>
    <t xml:space="preserve">_x000D_
</t>
  </si>
  <si>
    <t>Форма журнала учета мероприятий по внутреннему контролю и аудиту</t>
  </si>
  <si>
    <t>Форма журнала учета машинных носителей персональных данных</t>
  </si>
  <si>
    <t xml:space="preserve">Форма перечня лиц, имеющих доступ в помещения, предназначенные для обработки персональных данных </t>
  </si>
  <si>
    <t>Форма перечня помещений, предназначенных для обработки персональных данных</t>
  </si>
  <si>
    <t>Форма переченя лиц, доступ которых к персональным данным, обрабатываемым в ИСПДн, необходим для выполнения ими служебных (трудовых) обязанностей</t>
  </si>
  <si>
    <t>Положение по обеспечению безопасности информации с помощью СКЗИ</t>
  </si>
  <si>
    <t>Форма переченя лиц, имеющих доступ в помещения, где размещены используемые СКЗИ, хранятся СКЗИ и (или) носители ключевой, аутентифицирующей и парольной информации СКЗИ</t>
  </si>
  <si>
    <t>Форма переченя лиц, допущенных к работе с СКЗИ</t>
  </si>
  <si>
    <t>Форма журнала поэкземплярного учета СКЗИ</t>
  </si>
  <si>
    <t>Типовое обязательство работника (служащего государственного или муниципального органа), непосредственно осуществляющего обработку персональных данных, в случае расторжения с ним трудового договора (служебного контракта) прекратить обработку персональных данных, ставших известными ему в связи с исполнением должностных обязанностей</t>
  </si>
  <si>
    <t>Форма списка лиц, допущенных к содержанию электронного журнала сообщений</t>
  </si>
  <si>
    <t>Перечень мест  хранения материальных носителей персональных данных и лиц, имеющих к ним доступ</t>
  </si>
  <si>
    <t xml:space="preserve">Форма перечня лиц, имеющих доступ в помещения, предназначенные для обработки персональных данных 
</t>
  </si>
  <si>
    <t>Форма перечня лиц, доступ которых к персональным данным, обрабатываемым в ИСПДн, необходим для выполнения ими служебных (трудовых) обязанностей</t>
  </si>
  <si>
    <t>Нажмешь на галочки слева - нужные работы увидишь</t>
  </si>
  <si>
    <t>Очное/заочное обследование площадок</t>
  </si>
  <si>
    <t>Включает аудит/обследование ОКИИ и ИТ/ИБ-инфраструктуры в целом по Предприятию</t>
  </si>
  <si>
    <t>Обычно идет по умолчанию в рамках аудита КИИ/АСУТП, но может быть отдельной работой</t>
  </si>
  <si>
    <r>
      <t xml:space="preserve">В зависимости от требований в ТЗ: </t>
    </r>
    <r>
      <rPr>
        <b/>
        <sz val="9"/>
        <color theme="1"/>
        <rFont val="Calibri"/>
        <family val="2"/>
        <charset val="204"/>
        <scheme val="minor"/>
      </rPr>
      <t>надо выбрать Отчет об обследовании или Отчет об аудите</t>
    </r>
    <r>
      <rPr>
        <sz val="9"/>
        <color theme="1"/>
        <rFont val="Calibri"/>
        <family val="2"/>
        <charset val="204"/>
        <scheme val="minor"/>
      </rPr>
      <t xml:space="preserve"> (включает Оценку соответствия требованиям по 239 и 235 Приказам). Строки 32 и 33</t>
    </r>
  </si>
  <si>
    <t>Обычно идет по умолчанию в рамках аудита КТ, но может быть отдельной работой</t>
  </si>
  <si>
    <r>
      <t xml:space="preserve">В зависимости от требований в ТЗ: надо </t>
    </r>
    <r>
      <rPr>
        <b/>
        <sz val="9"/>
        <color theme="1"/>
        <rFont val="Calibri"/>
        <family val="2"/>
        <charset val="204"/>
        <scheme val="minor"/>
      </rPr>
      <t xml:space="preserve">выбрать Отчет об обследовании или Отчет об аудите </t>
    </r>
    <r>
      <rPr>
        <sz val="9"/>
        <color theme="1"/>
        <rFont val="Calibri"/>
        <family val="2"/>
        <charset val="204"/>
        <scheme val="minor"/>
      </rPr>
      <t>(включает Оценку соответствия требованиям по 239 и 235 Приказам)</t>
    </r>
  </si>
  <si>
    <t>Политика оператора в отношении обработки персональных данных</t>
  </si>
  <si>
    <r>
      <t xml:space="preserve">Заполнять командировки с комментарием учтены ли дни на дорогу в столбце H, если учтены писать кол-во дней в дороге, если так же добавляются Трз на предварительную подготовку к выезду так же писать комментарий.
Например:
Командировка на Завод N1, учтено в расчете 2 дня на дорогу туда-обратно, </t>
    </r>
    <r>
      <rPr>
        <sz val="10"/>
        <color rgb="FF92D050"/>
        <rFont val="Calibri"/>
        <family val="2"/>
        <charset val="204"/>
        <scheme val="minor"/>
      </rPr>
      <t xml:space="preserve">1 день на подготовку к выезду, </t>
    </r>
    <r>
      <rPr>
        <sz val="10"/>
        <color rgb="FFFF0000"/>
        <rFont val="Calibri"/>
        <family val="2"/>
        <charset val="204"/>
        <scheme val="minor"/>
      </rPr>
      <t>4 дня работа на площадке = итого 6 дней (с дорогой 2 дня)</t>
    </r>
  </si>
  <si>
    <t>1. Обследование/аудит по направлению "Безопасность КИИ"</t>
  </si>
  <si>
    <t>1.1 Подготовка опросных листов и методики для аудита/обследования</t>
  </si>
  <si>
    <t>1.2 Очное/заочное обследование площадок</t>
  </si>
  <si>
    <t>Заполненные ОЛ по аудиту/обследованию;</t>
  </si>
  <si>
    <t>1.3 Разработка отчета по обследованию/аудиту</t>
  </si>
  <si>
    <t>1. Обследование/аудит по направлению "Безопасность ПДн"</t>
  </si>
  <si>
    <t>1. Обследование/аудит по направлению "Безопасность ГИС"</t>
  </si>
  <si>
    <t>1. Обследование/аудит по направлению "Безопасность КТ"</t>
  </si>
  <si>
    <t>2. Анализ уязвимостей</t>
  </si>
  <si>
    <t>2.1 Инструментальный/ручной анализ уязвимостей</t>
  </si>
  <si>
    <t>Отчет по результатам анализа уязвимостей</t>
  </si>
  <si>
    <t>2.2 Техническое управление проектом</t>
  </si>
  <si>
    <t>2.3 Администрирование проекта</t>
  </si>
  <si>
    <t>3. Категорирование ОКИИ</t>
  </si>
  <si>
    <t>3. Определение уровня защищенности ИСПДн</t>
  </si>
  <si>
    <t>3.1 Анализ данных об ИСПДн (тип актульных угроз, категория обрабатываемых ПДн, категория и количество субъектов ПДн)</t>
  </si>
  <si>
    <t>Акт классификации ИСПДн</t>
  </si>
  <si>
    <t>3. Определение класса защищенности ГИС</t>
  </si>
  <si>
    <t>3.1 Анализ данных о ГИС (определение масштаба системы, расчет ущерба)</t>
  </si>
  <si>
    <t>Акт классификации ГИС</t>
  </si>
  <si>
    <t>4. Формирование требований к системе обеспечения информационной</t>
  </si>
  <si>
    <t>4.1 Анализ угроз безопасности информации и разработку модели угроз безопасности информации или ее уточнение (при ее наличии) КИИ</t>
  </si>
  <si>
    <t>Модель угроз и нарушителя безопасности информации КИИ</t>
  </si>
  <si>
    <t>4.1 Анализ угроз безопасности информации и разработку модели угроз безопасности информации или ее уточнение (при ее наличии) ИСПДн</t>
  </si>
  <si>
    <t>Модель угроз и нарушителя безопасности информации ИСПДн</t>
  </si>
  <si>
    <t>4.1 Анализ угроз безопасности информации и разработку модели угроз безопасности информации или ее уточнение (при ее наличии) ГИС</t>
  </si>
  <si>
    <t>Модель угроз и нарушителя безопасности информации ГИС</t>
  </si>
  <si>
    <t>4.1 Анализ угроз безопасности информации и разработку модели угроз безопасности информации или ее уточнение (при ее наличии) КТ</t>
  </si>
  <si>
    <t>Модель угроз и нарушителя безопасности информации КТ</t>
  </si>
  <si>
    <t>Дорожная карта/Стратегия развития</t>
  </si>
  <si>
    <t>4.4 Техническое управление проектом</t>
  </si>
  <si>
    <t>4.5 Администрирование проекта</t>
  </si>
  <si>
    <t>5. Макетирование системы защиты</t>
  </si>
  <si>
    <t>5.1 Макетирование/тестирование для выбора СрЗИ</t>
  </si>
  <si>
    <t>5.2 Выбор СрЗИ (ТЭО)</t>
  </si>
  <si>
    <t>5.3 Техническое управление проектом</t>
  </si>
  <si>
    <t>5.4 Администрирование проекта</t>
  </si>
  <si>
    <t>6. Проектирование</t>
  </si>
  <si>
    <t>6.1 Пресейл</t>
  </si>
  <si>
    <t>6.2 Разработка комплекта ЭП</t>
  </si>
  <si>
    <t>6.3 Разработка комплекта ТП</t>
  </si>
  <si>
    <t>6.4 Разработка комплекта РД</t>
  </si>
  <si>
    <t>6.5 Разработка комплекта ЭД</t>
  </si>
  <si>
    <t>6.6 Разработка комплекта ОРД КИИ</t>
  </si>
  <si>
    <t>Комплект ОРД, для КИИ</t>
  </si>
  <si>
    <t>6.6 Разработка комплекта ОРД ИСПДн</t>
  </si>
  <si>
    <t xml:space="preserve">
Комплект ОРД, для ИСПДн
</t>
  </si>
  <si>
    <t>6.6 Разработка комплекта ОРД ГИС</t>
  </si>
  <si>
    <t>Комплект ОРД, для ГИС</t>
  </si>
  <si>
    <t>6.6 Разработка комплекта ОРД КТ</t>
  </si>
  <si>
    <t>Комплект ОРД, для КТ</t>
  </si>
  <si>
    <t>6.7 Техническое управление проектом</t>
  </si>
  <si>
    <t>6.8 Администрирование проекта</t>
  </si>
  <si>
    <t>7. Пуско-наладочные работы</t>
  </si>
  <si>
    <t>7.1 Выполение СМР (только СрЗИ)</t>
  </si>
  <si>
    <t>7.2 Выполнение ПНР</t>
  </si>
  <si>
    <t>7.3 Проведение ПСИ</t>
  </si>
  <si>
    <t>7.4 Инструментальный анализ уязвимостей</t>
  </si>
  <si>
    <t>7.5 Техническое управление проектом</t>
  </si>
  <si>
    <t>7.6 Администрирование проекта</t>
  </si>
  <si>
    <t>8. Аттестация</t>
  </si>
  <si>
    <t>8.1 Оценка соответствия</t>
  </si>
  <si>
    <t>8.1 Техническое управление проектом</t>
  </si>
  <si>
    <t>8.2 Администрирование проекта</t>
  </si>
  <si>
    <t>4.2 Техническое задание/дорожная карта</t>
  </si>
  <si>
    <t>Простой - нетребователньый заказчик, документы отдаются в виде шаблонов. Есть точные данные по системам и их составу. Нет проблем с допуском на территорию</t>
  </si>
  <si>
    <t xml:space="preserve">Обычный - стандартная проработка проектов, нет четкой ясности по составу систем, только примерной количество. Стандартная процедура допуска на территорию, прохождение ОТ </t>
  </si>
  <si>
    <t>Сложный - требовательный заказчик, множественные переделки, нетипичные задачи, отсутствуют сведения по системам</t>
  </si>
  <si>
    <t>3.1 Проведение категорирования ОКИИ</t>
  </si>
  <si>
    <t>Перечень угроз и нарушителей, Перечень ОКИИ, Акты категорирования, Сведения по форме 236 пр. ФСТЭК</t>
  </si>
  <si>
    <t>Трудощатраты в командировке</t>
  </si>
  <si>
    <r>
      <t xml:space="preserve">Количество суток
в одной поездке на одного человека </t>
    </r>
    <r>
      <rPr>
        <b/>
        <sz val="11"/>
        <color rgb="FFFF3F3F"/>
        <rFont val="Calibri"/>
        <family val="2"/>
        <charset val="204"/>
        <scheme val="minor"/>
      </rPr>
      <t xml:space="preserve">(с учетом дороги) </t>
    </r>
  </si>
  <si>
    <t>Кол-во площадок</t>
  </si>
  <si>
    <t>Геораспределенность</t>
  </si>
  <si>
    <t>Кол-во систем</t>
  </si>
  <si>
    <t>масштаб систем</t>
  </si>
  <si>
    <t>тип проекта</t>
  </si>
  <si>
    <t>да/нет</t>
  </si>
  <si>
    <t>количество</t>
  </si>
  <si>
    <t>маленька/средняя/большая</t>
  </si>
  <si>
    <t>масштаб
систем</t>
  </si>
  <si>
    <t>Большая</t>
  </si>
  <si>
    <t>Средняя</t>
  </si>
  <si>
    <t>Маленькая</t>
  </si>
  <si>
    <t>ЭП/ТРП/Пресейл/ТП</t>
  </si>
  <si>
    <t>Геораспределенность
(Да = 1/Нет = 0)</t>
  </si>
  <si>
    <t>Масштаб систем
( Маленька = 1 / Средняя = 2 / Большая = 3 )</t>
  </si>
  <si>
    <t>Тип проекта
(ЭП = 1 / ТРП = 2 / Пресейл = 3 / ТП = 4 )</t>
  </si>
  <si>
    <t>Проведение очного аудита/обследования</t>
  </si>
  <si>
    <t xml:space="preserve">_x000D_
Клининг помещения_x000D_
Еще чего то_x000D_
Закупка чего то_x000D_
Доставка документов_x000D_
</t>
  </si>
  <si>
    <t xml:space="preserve">_x000D_
АВЗ: KICS for Nodes Windows_x000D_
SIEM: Kaspersky Unified Monitoring and Analysis Platform (KUMA)_x000D_
PIM / PAM / PUM : СКДПУ НТ_x000D_
НСД: Dalas Lock_x000D_
NAC: Efros ACS_x000D_
ВМ СПО: Linux Security Options_x000D_
ВМ АСО: WLAN_x000D_
</t>
  </si>
  <si>
    <t>Разработка плана проведения обследования</t>
  </si>
  <si>
    <t>Подготовка опросных листов для обследования</t>
  </si>
  <si>
    <t>время в часах!
Рассматриваем очное обследование
Обычное - стандартные требования к проведению работ
Обычное - наличие нетиповых требований к проведению работ
Сложное - нестандартные требования к проведению работ</t>
  </si>
  <si>
    <t>Сложность проекта
(Обычная = 1/ Сложная = 0)</t>
  </si>
  <si>
    <t>Обычная</t>
  </si>
  <si>
    <t>Сложная</t>
  </si>
  <si>
    <t>Таблица командировок</t>
  </si>
  <si>
    <t>Разработка методики проведения обследования</t>
  </si>
  <si>
    <t>Подготовка опросных листов и методики для обследования</t>
  </si>
  <si>
    <r>
      <rPr>
        <b/>
        <sz val="9"/>
        <rFont val="Calibri"/>
        <family val="2"/>
        <charset val="204"/>
        <scheme val="minor"/>
      </rPr>
      <t xml:space="preserve">ТрЗ итого </t>
    </r>
    <r>
      <rPr>
        <b/>
        <sz val="9"/>
        <color rgb="FFFF0000"/>
        <rFont val="Calibri"/>
        <family val="2"/>
        <charset val="204"/>
        <scheme val="minor"/>
      </rPr>
      <t xml:space="preserve">
(часы</t>
    </r>
    <r>
      <rPr>
        <sz val="9"/>
        <color rgb="FFFF0000"/>
        <rFont val="Calibri"/>
        <family val="2"/>
        <charset val="204"/>
        <scheme val="minor"/>
      </rPr>
      <t>)</t>
    </r>
  </si>
  <si>
    <r>
      <t xml:space="preserve">ТрЗ итого 
</t>
    </r>
    <r>
      <rPr>
        <b/>
        <sz val="9"/>
        <color rgb="FFFF0000"/>
        <rFont val="Calibri"/>
        <family val="2"/>
        <charset val="204"/>
        <scheme val="minor"/>
      </rPr>
      <t>(чд)</t>
    </r>
  </si>
  <si>
    <r>
      <t xml:space="preserve">Вед. Инж.
</t>
    </r>
    <r>
      <rPr>
        <b/>
        <sz val="9"/>
        <color rgb="FFFF0000"/>
        <rFont val="Calibri"/>
        <family val="2"/>
        <charset val="204"/>
        <scheme val="minor"/>
      </rPr>
      <t xml:space="preserve"> (часы)</t>
    </r>
  </si>
  <si>
    <r>
      <t xml:space="preserve">Ст. инж.
</t>
    </r>
    <r>
      <rPr>
        <b/>
        <sz val="9"/>
        <color rgb="FFFF0000"/>
        <rFont val="Calibri"/>
        <family val="2"/>
        <charset val="204"/>
        <scheme val="minor"/>
      </rPr>
      <t xml:space="preserve"> (часы)</t>
    </r>
  </si>
  <si>
    <r>
      <t xml:space="preserve">Инженер
</t>
    </r>
    <r>
      <rPr>
        <b/>
        <sz val="9"/>
        <color rgb="FFFF0000"/>
        <rFont val="Calibri"/>
        <family val="2"/>
        <charset val="204"/>
        <scheme val="minor"/>
      </rPr>
      <t xml:space="preserve"> (часы)</t>
    </r>
  </si>
  <si>
    <t>Трз по ролям</t>
  </si>
  <si>
    <t>Параметр</t>
  </si>
  <si>
    <t>Описание</t>
  </si>
  <si>
    <t>Не используется в расчетах</t>
  </si>
  <si>
    <t>Кол-во смежных систем безопасности с которыми взаимодействует АВЗ</t>
  </si>
  <si>
    <t>АВЗ Проектируется только АВЗ (нет=0; да=1)</t>
  </si>
  <si>
    <t>Строка 6</t>
  </si>
  <si>
    <t>Строка 7</t>
  </si>
  <si>
    <t>Строка 9</t>
  </si>
  <si>
    <t>Строка 10</t>
  </si>
  <si>
    <t>Строка 13</t>
  </si>
  <si>
    <t>Строка 14</t>
  </si>
  <si>
    <t>Строка 20</t>
  </si>
  <si>
    <t>Строка 21</t>
  </si>
  <si>
    <t>Строка 23</t>
  </si>
  <si>
    <t>Строка 24</t>
  </si>
  <si>
    <t>Строка 26</t>
  </si>
  <si>
    <t>Строка 27</t>
  </si>
  <si>
    <t>Строка 29</t>
  </si>
  <si>
    <t>Строка 30</t>
  </si>
  <si>
    <t>Строка 32</t>
  </si>
  <si>
    <t>Строка 33</t>
  </si>
  <si>
    <t>Строка 35</t>
  </si>
  <si>
    <t>Строка 36</t>
  </si>
  <si>
    <t>Строка 39</t>
  </si>
  <si>
    <t>Строка 40</t>
  </si>
  <si>
    <t>Строка 43</t>
  </si>
  <si>
    <t>Строка 44</t>
  </si>
  <si>
    <t>Строка 46</t>
  </si>
  <si>
    <t>Строка 47</t>
  </si>
  <si>
    <t>Строка 49</t>
  </si>
  <si>
    <t>Строка 50</t>
  </si>
  <si>
    <t>Строка 52</t>
  </si>
  <si>
    <t>Строка 53</t>
  </si>
  <si>
    <t>Строка 55</t>
  </si>
  <si>
    <t>Строка 56</t>
  </si>
  <si>
    <t>Строка 67</t>
  </si>
  <si>
    <t>Строка 68</t>
  </si>
  <si>
    <t>Строка 65</t>
  </si>
  <si>
    <t>Строка 64</t>
  </si>
  <si>
    <t>Строка 62</t>
  </si>
  <si>
    <t>Строка 61</t>
  </si>
  <si>
    <t>Строка 59</t>
  </si>
  <si>
    <t>Строка 58</t>
  </si>
  <si>
    <t>Строка 70</t>
  </si>
  <si>
    <t>Строка 71</t>
  </si>
  <si>
    <t>Строка 73</t>
  </si>
  <si>
    <t>Строка 74</t>
  </si>
  <si>
    <t>Строка 79</t>
  </si>
  <si>
    <t>Строка 80</t>
  </si>
  <si>
    <t>Строка 82</t>
  </si>
  <si>
    <t>Строка 83</t>
  </si>
  <si>
    <t>Строка 85</t>
  </si>
  <si>
    <t>Строка 86</t>
  </si>
  <si>
    <t>Строка 89</t>
  </si>
  <si>
    <t>Строка 90</t>
  </si>
  <si>
    <t>Строка 92</t>
  </si>
  <si>
    <t>Строка 93</t>
  </si>
  <si>
    <t>Строка 95</t>
  </si>
  <si>
    <t>Строка 96</t>
  </si>
  <si>
    <t>Строка 98</t>
  </si>
  <si>
    <t>Строка 99</t>
  </si>
  <si>
    <t>Строка 101</t>
  </si>
  <si>
    <t>Строка 102</t>
  </si>
  <si>
    <t>Строка 104</t>
  </si>
  <si>
    <t>Строка 105</t>
  </si>
  <si>
    <t>АВЗ Кол-во смежных систем для интеграции</t>
  </si>
  <si>
    <t>учитывается в "Итоговый расчет АСУТП"</t>
  </si>
  <si>
    <t>Базово 0,5 ч, иначе 0,25 ч * кол-во серверов</t>
  </si>
  <si>
    <t>Базово 1 ч, иначе 0,5 ч * кол-во систем</t>
  </si>
  <si>
    <t>Базово 1,5 ч, иначе 0,75 ч * кол-во систем</t>
  </si>
  <si>
    <t>Базово 0,5 ч, иначе 0,25 ч * кол-во систем</t>
  </si>
  <si>
    <t>Базово 0,25 ч, иначе 0,25 ч * кол-во серверов</t>
  </si>
  <si>
    <t>если параметр=1 то 1 ч + 4 ч</t>
  </si>
  <si>
    <t>если параметр=1 то 2 ч + 16 ч</t>
  </si>
  <si>
    <t>если параметр=1 то 4 ч + 32 ч</t>
  </si>
  <si>
    <t>если параметр=1 то 2 ч + 6 ч</t>
  </si>
  <si>
    <t>если параметр=1 то 0,5 ч + 4 ч</t>
  </si>
  <si>
    <t>если параметр=1 то 1 ч + 6 ч</t>
  </si>
  <si>
    <t>SIEM Проектируется только SIEM (нет=0; да=1)</t>
  </si>
  <si>
    <t>Общее кол-во проектируемых серверов управления (учитывается только распределенная инсталляция, HA-клаcтер не учитывается)</t>
  </si>
  <si>
    <t>Кол-во типов источников подключаемых к SIEM для анализа событий (стандартный состав: СЗИ/ОС/АСО/DC/Виртуализация). В один тип источника могут входить разное кол-во решений.</t>
  </si>
  <si>
    <t>если параметр=1 то 1 ч + 3 ч</t>
  </si>
  <si>
    <t>Базово 1 ч, иначе 0,5 ч * кол-во серверов</t>
  </si>
  <si>
    <t>если параметр=1 то 2 ч + 12 ч</t>
  </si>
  <si>
    <t>если параметр=1 то 4 ч + 20 ч</t>
  </si>
  <si>
    <t>если параметр=1 то 4 ч + 12 ч</t>
  </si>
  <si>
    <t>если параметр=1 то 6 ч + 20 ч</t>
  </si>
  <si>
    <t>если параметр=1 то 4 ч + 6 ч</t>
  </si>
  <si>
    <t>если параметр=1 то 2 ч + 4 ч</t>
  </si>
  <si>
    <t>Базово 0,5 ч на 3 типа, иначе 0,25 ч * кол-во типов ист</t>
  </si>
  <si>
    <t>если параметр=1 то 8 ч + 16 ч</t>
  </si>
  <si>
    <t>если параметр=1 то 12 ч + 24 ч</t>
  </si>
  <si>
    <t>Базово 1 ч на 3 типа, иначе 0,5 ч * кол-во типов ист</t>
  </si>
  <si>
    <t>если параметр=1 то 8 ч + 6 ч</t>
  </si>
  <si>
    <t>SIEM Кол-во площадок с компонентами подсистемы</t>
  </si>
  <si>
    <t>Базово 1 ч, иначе 1 ч + 0,25 ч * кол-во серверов</t>
  </si>
  <si>
    <t>Не привязан к сложности проекта</t>
  </si>
  <si>
    <t>если параметр=1 то + 1 ч к расчету</t>
  </si>
  <si>
    <t>если параметр=1 то + 0,5 ч к расчету</t>
  </si>
  <si>
    <t>если параметр=1 то 4 ч + 16 ч</t>
  </si>
  <si>
    <t>если параметр=1 то 6 ч + 32 ч</t>
  </si>
  <si>
    <t>Базово 0,5 ч на 3 типа, иначе 0,25 ч * кол-во систем</t>
  </si>
  <si>
    <t>если параметр=1 то + 4 ч к расчету</t>
  </si>
  <si>
    <t>если параметр=1 то + 8 ч к расчету</t>
  </si>
  <si>
    <t>если параметр=1 то + 2 ч к расчету</t>
  </si>
  <si>
    <t>если параметр=1 то + 6 ч к расчету</t>
  </si>
  <si>
    <t>Базово 0,5 ч, иначе 0,5 ч + 0,25 ч * кол-во серверов</t>
  </si>
  <si>
    <t>если параметр=1 то + 10 ч к расчету</t>
  </si>
  <si>
    <t>если параметр=1 то + 16 ч к расчету</t>
  </si>
  <si>
    <t>если параметр=1 то + 12 ч к расчету</t>
  </si>
  <si>
    <t>Базово 2 ч, иначе 2 ч + 0,25 ч * кол-во серверов</t>
  </si>
  <si>
    <t>Базово 4 ч, иначе 4 ч + 0,25 ч * кол-во серверов</t>
  </si>
  <si>
    <t>Не используется в расчетах, выполняется только базовый статический расчет</t>
  </si>
  <si>
    <t>EDR Проектируется только EDR (нет=0; да=1)</t>
  </si>
  <si>
    <t xml:space="preserve">Используется когда проектирование рассчитывается только для одной системы </t>
  </si>
  <si>
    <t>EDR Кол-во серверов управления</t>
  </si>
  <si>
    <t>EDR Кол-во серверов Sandbox</t>
  </si>
  <si>
    <t>Общее кол-во проектируемых серверов Sandbox</t>
  </si>
  <si>
    <t>если параметр=1 то + 24 ч к расчету</t>
  </si>
  <si>
    <t>Базово 1 ч на 2 SB, иначе 0,5 ч * кол-во SB</t>
  </si>
  <si>
    <t>Базово 0,75 ч, иначе 0,75 ч * кол-во SB</t>
  </si>
  <si>
    <t>если параметр=1 то + 2,5 ч к расчету</t>
  </si>
  <si>
    <t>если параметр=1 то + 20 ч к расчету</t>
  </si>
  <si>
    <t>если параметр=1 то + 14 ч к расчету</t>
  </si>
  <si>
    <t>При наличии SB + 1 ч к расчету</t>
  </si>
  <si>
    <t>При наличии SB + 2 ч к расчету</t>
  </si>
  <si>
    <t>При наличии SB = кол-во SB * 0,25 ч</t>
  </si>
  <si>
    <t>если параметр=1 то + 18 ч к расчету</t>
  </si>
  <si>
    <t>При наличии SB + 4 ч к расчету</t>
  </si>
  <si>
    <t>При наличии SB 0,25 ч * кол-во SB</t>
  </si>
  <si>
    <t>При наличии SB 0,5 ч * кол-во SB</t>
  </si>
  <si>
    <t>Security Vision SOAR</t>
  </si>
  <si>
    <t>UDV SOAR</t>
  </si>
  <si>
    <t>SOAR Проектируется только SOAR (нет=0; да=1)</t>
  </si>
  <si>
    <t>SOAR Кол-во используемых дополнительных модулей</t>
  </si>
  <si>
    <t>При внедрении дополнительных модулей, выходящих за рамки основного состава (нужно уточнять основной состав по каждому решению отдельно)</t>
  </si>
  <si>
    <t>SOAR Кол-во коллекторов/серверов оркестрации</t>
  </si>
  <si>
    <t>Кол-во коллекторов/серверов оркестрации для подключения источников сырых событий/инцидентов</t>
  </si>
  <si>
    <t>если параметр=1 то 2 ч + 8 ч</t>
  </si>
  <si>
    <t>если параметр=1 то + 32 ч к расчету</t>
  </si>
  <si>
    <t>Базово 2 ч, иначе 2 ч + 0,5 ч * кол-во доп модулей</t>
  </si>
  <si>
    <t>Базово 4 ч, иначе 4 ч + 0,5 ч * кол-во доп модулей</t>
  </si>
  <si>
    <t>Базово 1 ч, иначе 1 ч + 0,25 ч * кол-во доп модулей</t>
  </si>
  <si>
    <t>Базово 0,25 ч, иначе 0,25 ч * кол-во доп коллекторов</t>
  </si>
  <si>
    <t>Базово считаем, что на одной площадке 4 компонента = Ядро + Хранилище + Коррелятор + Коллектор. На каждой дополнительной площадке располагается один Коллектор.</t>
  </si>
  <si>
    <t>Базово 2 ч, иначе 2 ч + 0,25 ч * кол-во доп модулей</t>
  </si>
  <si>
    <t>Базово 4 ч, иначе 4 ч + 0,25 ч * кол-во доп модулей</t>
  </si>
  <si>
    <t>Базово 0,5 ч, иначе 0,5 ч * кол-во доп коллекторов</t>
  </si>
  <si>
    <t>Efros Defence Operations</t>
  </si>
  <si>
    <t>DO Количество серверных компонентов</t>
  </si>
  <si>
    <t>DO Проектируется только DO (нет=0; да=1)</t>
  </si>
  <si>
    <t>Общее кол-во проектируемых серверов со специальным ПО (учитывается только распределенная инсталляция, HA-клаcтер не учитывается).</t>
  </si>
  <si>
    <t>DO Кол-во используемых модулей</t>
  </si>
  <si>
    <t>Кол-во используемых модулей (max 8 шт): NAC, NA, VС, FA, CM, ICC, DNS, NFA</t>
  </si>
  <si>
    <t>DO Проектируется только DO  (нет=0; да=1)</t>
  </si>
  <si>
    <t>Базово 0,25 ч, иначе 0,25 ч * кол-во модулей</t>
  </si>
  <si>
    <t>Базово 0,5 ч, иначе 0,5 ч * кол-во модулей</t>
  </si>
  <si>
    <t>Базово 0,5 ч, иначе 0,5 ч * кол-во серверов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</si>
</sst>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0.00\ &quot;₽&quot;_-;\-* #,##0.00\ &quot;₽&quot;_-;_-* &quot;-&quot;??\ &quot;₽&quot;_-;_-@_-"/>
    <numFmt numFmtId="164" formatCode="_-* #,##0\ _₽_-;\-* #,##0\ _₽_-;_-* &quot;-&quot;\ _₽_-;_-@_-"/>
    <numFmt numFmtId="165" formatCode="_-* #,##0.00\ _₽_-;\-* #,##0.00\ _₽_-;_-* &quot;-&quot;??\ _₽_-;_-@_-"/>
    <numFmt numFmtId="166" formatCode="_-* #,##0_р_._-;\-* #,##0_р_._-;_-* &quot;-&quot;??_р_._-;_-@_-"/>
    <numFmt numFmtId="167" formatCode="_-* #,##0.00_р_._-;\-* #,##0.00_р_._-;_-* &quot;-&quot;??_р_._-;_-@_-"/>
    <numFmt numFmtId="168" formatCode="_-* #,##0.0_р_._-;\-* #,##0.0_р_._-;_-* &quot;-&quot;??_р_._-;_-@_-"/>
    <numFmt numFmtId="169" formatCode="0.0"/>
    <numFmt numFmtId="170" formatCode="#,##0\ _₽"/>
    <numFmt numFmtId="171" formatCode="_-* #,##0.00\ _₽_-;\-* #,##0.00\ _₽_-;_-* &quot;-&quot;\ _₽_-;_-@_-"/>
  </numFmts>
  <fonts count="64"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2"/>
      <color theme="1"/>
      <name val="Calibri"/>
      <family val="2"/>
      <charset val="204"/>
      <scheme val="minor"/>
    </font>
    <font>
      <sz val="12"/>
      <color theme="1"/>
      <name val="Calibri"/>
      <family val="2"/>
      <charset val="204"/>
      <scheme val="minor"/>
    </font>
    <font>
      <b/>
      <sz val="8"/>
      <color theme="1"/>
      <name val="Calibri"/>
      <family val="2"/>
      <charset val="204"/>
      <scheme val="minor"/>
    </font>
    <font>
      <sz val="8"/>
      <color theme="1"/>
      <name val="Calibri"/>
      <family val="2"/>
      <charset val="204"/>
      <scheme val="minor"/>
    </font>
    <font>
      <sz val="16"/>
      <color theme="1"/>
      <name val="Calibri"/>
      <family val="2"/>
      <charset val="204"/>
      <scheme val="minor"/>
    </font>
    <font>
      <b/>
      <sz val="16"/>
      <color theme="1"/>
      <name val="Calibri"/>
      <family val="2"/>
      <charset val="204"/>
      <scheme val="minor"/>
    </font>
    <font>
      <b/>
      <sz val="11"/>
      <color theme="0"/>
      <name val="Calibri"/>
      <family val="2"/>
      <charset val="204"/>
      <scheme val="minor"/>
    </font>
    <font>
      <sz val="11"/>
      <color theme="0"/>
      <name val="Calibri"/>
      <family val="2"/>
      <charset val="204"/>
      <scheme val="minor"/>
    </font>
    <font>
      <b/>
      <sz val="14"/>
      <color theme="0"/>
      <name val="Calibri"/>
      <family val="2"/>
      <charset val="204"/>
      <scheme val="minor"/>
    </font>
    <font>
      <sz val="8"/>
      <color rgb="FF000000"/>
      <name val="Segoe UI"/>
      <family val="2"/>
      <charset val="204"/>
    </font>
    <font>
      <sz val="11"/>
      <color rgb="FFFF0000"/>
      <name val="Calibri"/>
      <family val="2"/>
      <charset val="204"/>
      <scheme val="minor"/>
    </font>
    <font>
      <sz val="9"/>
      <color indexed="81"/>
      <name val="Tahoma"/>
      <family val="2"/>
      <charset val="204"/>
    </font>
    <font>
      <b/>
      <sz val="9"/>
      <color indexed="81"/>
      <name val="Tahoma"/>
      <family val="2"/>
      <charset val="204"/>
    </font>
    <font>
      <b/>
      <sz val="12"/>
      <color rgb="FFFF0000"/>
      <name val="Calibri"/>
      <family val="2"/>
      <charset val="204"/>
      <scheme val="minor"/>
    </font>
    <font>
      <sz val="11"/>
      <name val="Calibri"/>
      <family val="2"/>
      <charset val="204"/>
      <scheme val="minor"/>
    </font>
    <font>
      <sz val="9"/>
      <color theme="1"/>
      <name val="Calibri"/>
      <family val="2"/>
      <charset val="204"/>
      <scheme val="minor"/>
    </font>
    <font>
      <b/>
      <sz val="9"/>
      <color theme="1"/>
      <name val="Calibri"/>
      <family val="2"/>
      <charset val="204"/>
      <scheme val="minor"/>
    </font>
    <font>
      <b/>
      <sz val="20"/>
      <color rgb="FFFF0000"/>
      <name val="Calibri"/>
      <family val="2"/>
      <charset val="204"/>
      <scheme val="minor"/>
    </font>
    <font>
      <b/>
      <sz val="16"/>
      <color rgb="FFFF0000"/>
      <name val="Calibri"/>
      <family val="2"/>
      <charset val="204"/>
      <scheme val="minor"/>
    </font>
    <font>
      <b/>
      <sz val="13"/>
      <color theme="1"/>
      <name val="Calibri"/>
      <family val="2"/>
      <charset val="204"/>
      <scheme val="minor"/>
    </font>
    <font>
      <sz val="11"/>
      <color theme="1"/>
      <name val="Calibri"/>
      <family val="2"/>
      <scheme val="minor"/>
    </font>
    <font>
      <sz val="11"/>
      <color indexed="8"/>
      <name val="Calibri"/>
      <family val="2"/>
      <charset val="204"/>
    </font>
    <font>
      <b/>
      <sz val="14"/>
      <color theme="1"/>
      <name val="Calibri"/>
      <family val="2"/>
      <charset val="204"/>
      <scheme val="minor"/>
    </font>
    <font>
      <b/>
      <sz val="12"/>
      <name val="Calibri"/>
      <family val="2"/>
      <charset val="204"/>
      <scheme val="minor"/>
    </font>
    <font>
      <b/>
      <sz val="10"/>
      <color theme="1"/>
      <name val="Calibri"/>
      <family val="2"/>
      <charset val="204"/>
      <scheme val="minor"/>
    </font>
    <font>
      <sz val="10"/>
      <color theme="1"/>
      <name val="Calibri"/>
      <family val="2"/>
      <scheme val="minor"/>
    </font>
    <font>
      <b/>
      <sz val="10"/>
      <color rgb="FFFF0000"/>
      <name val="Calibri"/>
      <family val="2"/>
      <charset val="204"/>
      <scheme val="minor"/>
    </font>
    <font>
      <sz val="10"/>
      <color theme="1"/>
      <name val="Calibri"/>
      <family val="2"/>
      <charset val="204"/>
      <scheme val="minor"/>
    </font>
    <font>
      <sz val="10"/>
      <name val="Arial Cyr"/>
      <charset val="204"/>
    </font>
    <font>
      <sz val="8"/>
      <name val="Arial"/>
      <family val="2"/>
    </font>
    <font>
      <u/>
      <sz val="11"/>
      <color theme="10"/>
      <name val="Calibri"/>
      <family val="2"/>
      <charset val="204"/>
      <scheme val="minor"/>
    </font>
    <font>
      <b/>
      <sz val="11"/>
      <name val="Calibri"/>
      <family val="2"/>
      <charset val="204"/>
      <scheme val="minor"/>
    </font>
    <font>
      <sz val="11"/>
      <color rgb="FFFFFFFF"/>
      <name val="Calibri"/>
      <family val="2"/>
      <charset val="204"/>
      <scheme val="minor"/>
    </font>
    <font>
      <sz val="8"/>
      <color rgb="FFFFFFFF"/>
      <name val="Calibri"/>
      <family val="2"/>
      <charset val="204"/>
      <scheme val="minor"/>
    </font>
    <font>
      <sz val="11"/>
      <color rgb="FFFF3F3F"/>
      <name val="Calibri"/>
      <family val="2"/>
      <charset val="204"/>
      <scheme val="minor"/>
    </font>
    <font>
      <b/>
      <sz val="12"/>
      <color theme="0"/>
      <name val="Calibri"/>
      <family val="2"/>
      <charset val="204"/>
      <scheme val="minor"/>
    </font>
    <font>
      <sz val="11"/>
      <color rgb="FF000000"/>
      <name val="Calibri"/>
      <family val="2"/>
      <charset val="204"/>
    </font>
    <font>
      <b/>
      <u/>
      <sz val="11"/>
      <color theme="1"/>
      <name val="Calibri"/>
      <family val="2"/>
      <charset val="204"/>
      <scheme val="minor"/>
    </font>
    <font>
      <b/>
      <i/>
      <sz val="14"/>
      <color theme="1"/>
      <name val="Calibri"/>
      <family val="2"/>
      <charset val="204"/>
      <scheme val="minor"/>
    </font>
    <font>
      <i/>
      <sz val="10"/>
      <color theme="1"/>
      <name val="Calibri"/>
      <family val="2"/>
      <charset val="204"/>
      <scheme val="minor"/>
    </font>
    <font>
      <b/>
      <i/>
      <sz val="11"/>
      <color theme="1"/>
      <name val="Calibri"/>
      <family val="2"/>
      <charset val="204"/>
      <scheme val="minor"/>
    </font>
    <font>
      <b/>
      <sz val="14"/>
      <color theme="5" tint="-0.249977111117893"/>
      <name val="Calibri"/>
      <family val="2"/>
      <charset val="204"/>
      <scheme val="minor"/>
    </font>
    <font>
      <b/>
      <sz val="10"/>
      <color theme="5" tint="-0.249977111117893"/>
      <name val="Tahoma"/>
      <family val="2"/>
      <charset val="204"/>
    </font>
    <font>
      <b/>
      <sz val="10"/>
      <color theme="1"/>
      <name val="Tahoma"/>
      <family val="2"/>
      <charset val="204"/>
    </font>
    <font>
      <sz val="10"/>
      <color theme="1"/>
      <name val="Tahoma"/>
      <family val="2"/>
      <charset val="204"/>
    </font>
    <font>
      <i/>
      <sz val="11"/>
      <color theme="1"/>
      <name val="Calibri"/>
      <family val="2"/>
      <charset val="204"/>
      <scheme val="minor"/>
    </font>
    <font>
      <b/>
      <sz val="12"/>
      <color rgb="FF000000"/>
      <name val="Times New Roman"/>
      <family val="1"/>
      <charset val="204"/>
    </font>
    <font>
      <b/>
      <sz val="12"/>
      <color rgb="FF000000"/>
      <name val="Calibri"/>
      <family val="2"/>
      <charset val="204"/>
      <scheme val="minor"/>
    </font>
    <font>
      <b/>
      <sz val="9"/>
      <color rgb="FFFF0000"/>
      <name val="Calibri"/>
      <family val="2"/>
      <charset val="204"/>
      <scheme val="minor"/>
    </font>
    <font>
      <b/>
      <sz val="16"/>
      <color theme="0"/>
      <name val="Calibri"/>
      <family val="2"/>
      <charset val="204"/>
      <scheme val="minor"/>
    </font>
    <font>
      <sz val="9"/>
      <color rgb="FF000000"/>
      <name val="Calibri"/>
      <family val="2"/>
      <charset val="204"/>
      <scheme val="minor"/>
    </font>
    <font>
      <b/>
      <sz val="11"/>
      <color rgb="FFFF0000"/>
      <name val="Calibri"/>
      <family val="2"/>
      <charset val="204"/>
      <scheme val="minor"/>
    </font>
    <font>
      <sz val="11"/>
      <color rgb="FF00B050"/>
      <name val="Calibri"/>
      <family val="2"/>
      <charset val="204"/>
      <scheme val="minor"/>
    </font>
    <font>
      <sz val="10"/>
      <color rgb="FFFF0000"/>
      <name val="Calibri"/>
      <family val="2"/>
      <charset val="204"/>
      <scheme val="minor"/>
    </font>
    <font>
      <b/>
      <sz val="11"/>
      <color rgb="FF000000"/>
      <name val="Calibri"/>
      <family val="2"/>
      <charset val="204"/>
    </font>
    <font>
      <sz val="11"/>
      <color theme="0" tint="-0.249977111117893"/>
      <name val="Calibri"/>
      <family val="2"/>
      <charset val="204"/>
      <scheme val="minor"/>
    </font>
    <font>
      <sz val="10"/>
      <color rgb="FF92D050"/>
      <name val="Calibri"/>
      <family val="2"/>
      <charset val="204"/>
      <scheme val="minor"/>
    </font>
    <font>
      <b/>
      <sz val="11"/>
      <color rgb="FFFF3F3F"/>
      <name val="Calibri"/>
      <family val="2"/>
      <charset val="204"/>
      <scheme val="minor"/>
    </font>
    <font>
      <b/>
      <sz val="9"/>
      <name val="Calibri"/>
      <family val="2"/>
      <charset val="204"/>
      <scheme val="minor"/>
    </font>
    <font>
      <sz val="9"/>
      <color rgb="FFFF0000"/>
      <name val="Calibri"/>
      <family val="2"/>
      <charset val="204"/>
      <scheme val="minor"/>
    </font>
    <font>
      <sz val="11"/>
      <color theme="1" tint="0.34998626667073579"/>
      <name val="Calibri"/>
      <family val="2"/>
      <charset val="204"/>
      <scheme val="minor"/>
    </font>
  </fonts>
  <fills count="7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499984740745262"/>
        <bgColor indexed="64"/>
      </patternFill>
    </fill>
    <fill>
      <patternFill patternType="solid">
        <fgColor rgb="FFF3BEAF"/>
        <bgColor indexed="64"/>
      </patternFill>
    </fill>
    <fill>
      <patternFill patternType="solid">
        <fgColor rgb="FFFFFF66"/>
        <bgColor indexed="64"/>
      </patternFill>
    </fill>
    <fill>
      <patternFill patternType="solid">
        <fgColor theme="0" tint="-0.34998626667073579"/>
        <bgColor indexed="64"/>
      </patternFill>
    </fill>
    <fill>
      <patternFill patternType="solid">
        <fgColor theme="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rgb="FFC9F1FF"/>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EF4EC"/>
        <bgColor indexed="64"/>
      </patternFill>
    </fill>
    <fill>
      <patternFill patternType="solid">
        <fgColor rgb="FFEAE7F1"/>
        <bgColor indexed="64"/>
      </patternFill>
    </fill>
    <fill>
      <patternFill patternType="solid">
        <fgColor rgb="FFC5FFDF"/>
        <bgColor indexed="64"/>
      </patternFill>
    </fill>
    <fill>
      <patternFill patternType="solid">
        <fgColor rgb="FFFFFF9F"/>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9"/>
        <bgColor indexed="64"/>
      </patternFill>
    </fill>
    <fill>
      <patternFill patternType="solid">
        <fgColor rgb="FF7030A0"/>
        <bgColor indexed="64"/>
      </patternFill>
    </fill>
    <fill>
      <patternFill patternType="solid">
        <fgColor rgb="FF00B0F0"/>
        <bgColor indexed="64"/>
      </patternFill>
    </fill>
    <fill>
      <patternFill patternType="solid">
        <fgColor theme="7"/>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EF3D6"/>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2"/>
        <bgColor indexed="64"/>
      </patternFill>
    </fill>
    <fill>
      <patternFill patternType="solid">
        <fgColor rgb="FF00B050"/>
        <bgColor indexed="64"/>
      </patternFill>
    </fill>
    <fill>
      <patternFill patternType="solid">
        <fgColor theme="6"/>
        <bgColor indexed="64"/>
      </patternFill>
    </fill>
    <fill>
      <patternFill patternType="solid">
        <fgColor theme="2" tint="-0.249977111117893"/>
        <bgColor indexed="64"/>
      </patternFill>
    </fill>
    <fill>
      <patternFill patternType="solid">
        <fgColor rgb="FFFFF2CC"/>
        <bgColor indexed="64"/>
      </patternFill>
    </fill>
    <fill>
      <patternFill patternType="solid">
        <fgColor rgb="FFBBD7BB"/>
        <bgColor indexed="64"/>
      </patternFill>
    </fill>
    <fill>
      <patternFill patternType="solid">
        <fgColor rgb="FFFA9EE8"/>
        <bgColor indexed="64"/>
      </patternFill>
    </fill>
    <fill>
      <patternFill patternType="solid">
        <fgColor rgb="FFE51B33"/>
        <bgColor indexed="64"/>
      </patternFill>
    </fill>
    <fill>
      <patternFill patternType="solid">
        <fgColor rgb="FF00FFCC"/>
        <bgColor indexed="64"/>
      </patternFill>
    </fill>
    <fill>
      <patternFill patternType="solid">
        <fgColor rgb="FF6666FF"/>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rgb="FFCA54EA"/>
        <bgColor indexed="64"/>
      </patternFill>
    </fill>
    <fill>
      <patternFill patternType="solid">
        <fgColor rgb="FFFCCCF3"/>
        <bgColor indexed="64"/>
      </patternFill>
    </fill>
    <fill>
      <patternFill patternType="solid">
        <fgColor rgb="FFEE5063"/>
        <bgColor indexed="64"/>
      </patternFill>
    </fill>
    <fill>
      <patternFill patternType="solid">
        <fgColor rgb="FFF6BCC3"/>
        <bgColor indexed="64"/>
      </patternFill>
    </fill>
    <fill>
      <patternFill patternType="solid">
        <fgColor rgb="FFFA8686"/>
        <bgColor indexed="64"/>
      </patternFill>
    </fill>
    <fill>
      <patternFill patternType="solid">
        <fgColor rgb="FF009999"/>
        <bgColor indexed="64"/>
      </patternFill>
    </fill>
    <fill>
      <patternFill patternType="solid">
        <fgColor rgb="FF99FFCC"/>
        <bgColor indexed="64"/>
      </patternFill>
    </fill>
    <fill>
      <patternFill patternType="solid">
        <fgColor rgb="FFCCFFCC"/>
        <bgColor indexed="64"/>
      </patternFill>
    </fill>
    <fill>
      <patternFill patternType="solid">
        <fgColor rgb="FF9999FF"/>
        <bgColor indexed="64"/>
      </patternFill>
    </fill>
    <fill>
      <patternFill patternType="solid">
        <fgColor rgb="FFCCCCFF"/>
        <bgColor indexed="64"/>
      </patternFill>
    </fill>
    <fill>
      <patternFill patternType="solid">
        <fgColor rgb="FFFEF3D6"/>
        <bgColor rgb="FF000000"/>
      </patternFill>
    </fill>
    <fill>
      <patternFill patternType="solid">
        <fgColor rgb="FFC8E6CF"/>
        <bgColor indexed="64"/>
      </patternFill>
    </fill>
    <fill>
      <patternFill patternType="solid">
        <fgColor rgb="FFB1EFFB"/>
        <bgColor indexed="64"/>
      </patternFill>
    </fill>
    <fill>
      <patternFill patternType="solid">
        <fgColor rgb="FFF87CE0"/>
        <bgColor indexed="64"/>
      </patternFill>
    </fill>
    <fill>
      <patternFill patternType="solid">
        <fgColor rgb="FFFF99FF"/>
        <bgColor indexed="64"/>
      </patternFill>
    </fill>
    <fill>
      <patternFill patternType="solid">
        <fgColor theme="5" tint="-0.499984740745262"/>
        <bgColor indexed="64"/>
      </patternFill>
    </fill>
    <fill>
      <patternFill patternType="solid">
        <fgColor theme="2" tint="-0.749992370372631"/>
        <bgColor indexed="64"/>
      </patternFill>
    </fill>
    <fill>
      <patternFill patternType="solid">
        <fgColor theme="1" tint="0.14999847407452621"/>
        <bgColor indexed="64"/>
      </patternFill>
    </fill>
    <fill>
      <patternFill patternType="solid">
        <fgColor theme="1" tint="0.249977111117893"/>
        <bgColor indexed="64"/>
      </patternFill>
    </fill>
  </fills>
  <borders count="151">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theme="7"/>
      </left>
      <right/>
      <top style="medium">
        <color theme="7"/>
      </top>
      <bottom style="medium">
        <color theme="7"/>
      </bottom>
      <diagonal/>
    </border>
    <border>
      <left/>
      <right/>
      <top style="medium">
        <color theme="7"/>
      </top>
      <bottom/>
      <diagonal/>
    </border>
    <border>
      <left/>
      <right/>
      <top style="medium">
        <color theme="7"/>
      </top>
      <bottom style="medium">
        <color theme="7"/>
      </bottom>
      <diagonal/>
    </border>
    <border>
      <left/>
      <right style="medium">
        <color theme="7"/>
      </right>
      <top style="medium">
        <color theme="7"/>
      </top>
      <bottom style="medium">
        <color theme="7"/>
      </bottom>
      <diagonal/>
    </border>
    <border>
      <left style="medium">
        <color theme="7"/>
      </left>
      <right style="thin">
        <color theme="7"/>
      </right>
      <top style="medium">
        <color theme="7"/>
      </top>
      <bottom style="thin">
        <color theme="7"/>
      </bottom>
      <diagonal/>
    </border>
    <border>
      <left style="thin">
        <color theme="7"/>
      </left>
      <right style="thin">
        <color theme="7"/>
      </right>
      <top style="medium">
        <color theme="7"/>
      </top>
      <bottom style="thin">
        <color theme="7"/>
      </bottom>
      <diagonal/>
    </border>
    <border>
      <left style="thin">
        <color theme="7"/>
      </left>
      <right style="medium">
        <color theme="7"/>
      </right>
      <top style="medium">
        <color theme="7"/>
      </top>
      <bottom style="thin">
        <color theme="7"/>
      </bottom>
      <diagonal/>
    </border>
    <border>
      <left style="medium">
        <color theme="7"/>
      </left>
      <right style="thin">
        <color theme="7"/>
      </right>
      <top style="thin">
        <color theme="7"/>
      </top>
      <bottom style="thin">
        <color theme="7"/>
      </bottom>
      <diagonal/>
    </border>
    <border>
      <left style="thin">
        <color theme="7"/>
      </left>
      <right style="thin">
        <color theme="7"/>
      </right>
      <top style="thin">
        <color theme="7"/>
      </top>
      <bottom style="thin">
        <color theme="7"/>
      </bottom>
      <diagonal/>
    </border>
    <border>
      <left style="thin">
        <color theme="7"/>
      </left>
      <right style="medium">
        <color theme="7"/>
      </right>
      <top style="thin">
        <color theme="7"/>
      </top>
      <bottom style="thin">
        <color theme="7"/>
      </bottom>
      <diagonal/>
    </border>
    <border>
      <left style="medium">
        <color theme="7"/>
      </left>
      <right style="thin">
        <color theme="7"/>
      </right>
      <top style="thin">
        <color theme="7"/>
      </top>
      <bottom style="medium">
        <color theme="7"/>
      </bottom>
      <diagonal/>
    </border>
    <border>
      <left style="thin">
        <color theme="7"/>
      </left>
      <right style="thin">
        <color theme="7"/>
      </right>
      <top style="thin">
        <color theme="7"/>
      </top>
      <bottom style="medium">
        <color theme="7"/>
      </bottom>
      <diagonal/>
    </border>
    <border>
      <left style="thin">
        <color theme="7"/>
      </left>
      <right style="medium">
        <color theme="7"/>
      </right>
      <top style="thin">
        <color theme="7"/>
      </top>
      <bottom style="medium">
        <color theme="7"/>
      </bottom>
      <diagonal/>
    </border>
    <border>
      <left style="medium">
        <color theme="7"/>
      </left>
      <right/>
      <top style="medium">
        <color theme="7"/>
      </top>
      <bottom/>
      <diagonal/>
    </border>
    <border>
      <left/>
      <right style="medium">
        <color theme="7"/>
      </right>
      <top style="medium">
        <color theme="7"/>
      </top>
      <bottom/>
      <diagonal/>
    </border>
    <border>
      <left style="medium">
        <color theme="7"/>
      </left>
      <right style="thin">
        <color theme="7" tint="0.39997558519241921"/>
      </right>
      <top style="medium">
        <color theme="7"/>
      </top>
      <bottom style="medium">
        <color theme="7"/>
      </bottom>
      <diagonal/>
    </border>
    <border>
      <left style="thin">
        <color theme="7" tint="0.39997558519241921"/>
      </left>
      <right style="thin">
        <color theme="7" tint="0.39997558519241921"/>
      </right>
      <top style="medium">
        <color theme="7"/>
      </top>
      <bottom style="medium">
        <color theme="7"/>
      </bottom>
      <diagonal/>
    </border>
    <border>
      <left style="thin">
        <color theme="7" tint="0.39997558519241921"/>
      </left>
      <right style="medium">
        <color theme="7"/>
      </right>
      <top style="medium">
        <color theme="7"/>
      </top>
      <bottom style="medium">
        <color theme="7"/>
      </bottom>
      <diagonal/>
    </border>
    <border>
      <left style="medium">
        <color theme="7"/>
      </left>
      <right style="thin">
        <color theme="7" tint="0.39997558519241921"/>
      </right>
      <top style="medium">
        <color theme="7"/>
      </top>
      <bottom/>
      <diagonal/>
    </border>
    <border>
      <left style="thin">
        <color theme="7" tint="0.39997558519241921"/>
      </left>
      <right style="thin">
        <color theme="7" tint="0.39997558519241921"/>
      </right>
      <top style="medium">
        <color theme="7"/>
      </top>
      <bottom/>
      <diagonal/>
    </border>
    <border>
      <left style="thin">
        <color theme="7" tint="0.39997558519241921"/>
      </left>
      <right style="medium">
        <color theme="7"/>
      </right>
      <top style="medium">
        <color theme="7"/>
      </top>
      <bottom/>
      <diagonal/>
    </border>
    <border>
      <left style="medium">
        <color theme="7"/>
      </left>
      <right/>
      <top/>
      <bottom/>
      <diagonal/>
    </border>
    <border>
      <left style="thin">
        <color theme="7"/>
      </left>
      <right style="thin">
        <color theme="7"/>
      </right>
      <top/>
      <bottom style="thin">
        <color theme="7"/>
      </bottom>
      <diagonal/>
    </border>
    <border>
      <left/>
      <right style="medium">
        <color theme="7"/>
      </right>
      <top/>
      <bottom/>
      <diagonal/>
    </border>
    <border>
      <left style="medium">
        <color theme="7"/>
      </left>
      <right/>
      <top/>
      <bottom style="medium">
        <color theme="7" tint="0.39997558519241921"/>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theme="7"/>
      </left>
      <right/>
      <top style="medium">
        <color theme="7" tint="0.39997558519241921"/>
      </top>
      <bottom/>
      <diagonal/>
    </border>
    <border>
      <left style="thin">
        <color theme="7"/>
      </left>
      <right style="thin">
        <color theme="7"/>
      </right>
      <top style="thin">
        <color theme="7"/>
      </top>
      <bottom/>
      <diagonal/>
    </border>
    <border>
      <left style="medium">
        <color theme="7"/>
      </left>
      <right style="thin">
        <color rgb="FFFFC000"/>
      </right>
      <top style="thin">
        <color rgb="FFFFC000"/>
      </top>
      <bottom/>
      <diagonal/>
    </border>
    <border>
      <left style="thin">
        <color theme="7"/>
      </left>
      <right/>
      <top style="thin">
        <color theme="7"/>
      </top>
      <bottom style="thin">
        <color theme="7"/>
      </bottom>
      <diagonal/>
    </border>
    <border>
      <left style="medium">
        <color theme="7"/>
      </left>
      <right style="thin">
        <color rgb="FFFFC000"/>
      </right>
      <top/>
      <bottom/>
      <diagonal/>
    </border>
    <border>
      <left style="medium">
        <color theme="7"/>
      </left>
      <right style="thin">
        <color rgb="FFFFC000"/>
      </right>
      <top/>
      <bottom style="medium">
        <color theme="7"/>
      </bottom>
      <diagonal/>
    </border>
    <border>
      <left style="thin">
        <color theme="7"/>
      </left>
      <right/>
      <top style="thin">
        <color theme="7"/>
      </top>
      <bottom/>
      <diagonal/>
    </border>
    <border>
      <left style="medium">
        <color theme="7"/>
      </left>
      <right style="medium">
        <color theme="7"/>
      </right>
      <top style="medium">
        <color theme="7"/>
      </top>
      <bottom/>
      <diagonal/>
    </border>
    <border>
      <left style="medium">
        <color theme="7"/>
      </left>
      <right/>
      <top/>
      <bottom style="double">
        <color theme="5" tint="0.39997558519241921"/>
      </bottom>
      <diagonal/>
    </border>
    <border>
      <left/>
      <right/>
      <top/>
      <bottom style="double">
        <color theme="5" tint="0.39997558519241921"/>
      </bottom>
      <diagonal/>
    </border>
    <border>
      <left/>
      <right style="medium">
        <color theme="7"/>
      </right>
      <top/>
      <bottom style="double">
        <color theme="5" tint="0.39997558519241921"/>
      </bottom>
      <diagonal/>
    </border>
    <border>
      <left style="medium">
        <color theme="7"/>
      </left>
      <right/>
      <top style="thin">
        <color theme="7"/>
      </top>
      <bottom style="thin">
        <color theme="7"/>
      </bottom>
      <diagonal/>
    </border>
    <border>
      <left/>
      <right/>
      <top style="thin">
        <color theme="7"/>
      </top>
      <bottom style="thin">
        <color theme="7"/>
      </bottom>
      <diagonal/>
    </border>
    <border>
      <left/>
      <right style="thin">
        <color theme="7"/>
      </right>
      <top style="thin">
        <color theme="7"/>
      </top>
      <bottom style="thin">
        <color theme="7"/>
      </bottom>
      <diagonal/>
    </border>
    <border>
      <left style="medium">
        <color theme="7"/>
      </left>
      <right/>
      <top/>
      <bottom style="thin">
        <color theme="7"/>
      </bottom>
      <diagonal/>
    </border>
    <border>
      <left/>
      <right/>
      <top/>
      <bottom style="thin">
        <color theme="7"/>
      </bottom>
      <diagonal/>
    </border>
    <border>
      <left/>
      <right/>
      <top style="thin">
        <color theme="7"/>
      </top>
      <bottom/>
      <diagonal/>
    </border>
    <border>
      <left style="medium">
        <color rgb="FFFFC000"/>
      </left>
      <right/>
      <top style="medium">
        <color rgb="FFFFC000"/>
      </top>
      <bottom style="thin">
        <color rgb="FFFFC000"/>
      </bottom>
      <diagonal/>
    </border>
    <border>
      <left/>
      <right/>
      <top style="medium">
        <color rgb="FFFFC000"/>
      </top>
      <bottom style="thin">
        <color rgb="FFFFC000"/>
      </bottom>
      <diagonal/>
    </border>
    <border>
      <left/>
      <right style="medium">
        <color rgb="FFFFC000"/>
      </right>
      <top style="medium">
        <color rgb="FFFFC000"/>
      </top>
      <bottom style="thin">
        <color rgb="FFFFC000"/>
      </bottom>
      <diagonal/>
    </border>
    <border>
      <left style="medium">
        <color rgb="FFFFC000"/>
      </left>
      <right/>
      <top style="thin">
        <color rgb="FFFFC000"/>
      </top>
      <bottom style="thin">
        <color rgb="FFFFC000"/>
      </bottom>
      <diagonal/>
    </border>
    <border>
      <left/>
      <right/>
      <top style="thin">
        <color rgb="FFFFC000"/>
      </top>
      <bottom style="thin">
        <color rgb="FFFFC000"/>
      </bottom>
      <diagonal/>
    </border>
    <border>
      <left/>
      <right style="medium">
        <color rgb="FFFFC000"/>
      </right>
      <top style="thin">
        <color rgb="FFFFC000"/>
      </top>
      <bottom style="thin">
        <color rgb="FFFFC000"/>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style="thin">
        <color theme="7"/>
      </left>
      <right/>
      <top/>
      <bottom style="thin">
        <color theme="7"/>
      </bottom>
      <diagonal/>
    </border>
    <border>
      <left/>
      <right style="thin">
        <color theme="7"/>
      </right>
      <top/>
      <bottom style="thin">
        <color theme="7"/>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style="medium">
        <color rgb="FFFF0000"/>
      </left>
      <right style="medium">
        <color rgb="FFFF0000"/>
      </right>
      <top style="medium">
        <color rgb="FFFF0000"/>
      </top>
      <bottom style="medium">
        <color rgb="FFFF0000"/>
      </bottom>
      <diagonal/>
    </border>
    <border>
      <left/>
      <right style="medium">
        <color rgb="FFFF0000"/>
      </right>
      <top style="medium">
        <color rgb="FFFF0000"/>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thin">
        <color indexed="64"/>
      </left>
      <right style="thin">
        <color indexed="64"/>
      </right>
      <top style="medium">
        <color rgb="FFFF0000"/>
      </top>
      <bottom style="medium">
        <color rgb="FFFF0000"/>
      </bottom>
      <diagonal/>
    </border>
    <border>
      <left style="thin">
        <color indexed="64"/>
      </left>
      <right style="thin">
        <color indexed="64"/>
      </right>
      <top style="medium">
        <color rgb="FFFF0000"/>
      </top>
      <bottom style="thin">
        <color indexed="64"/>
      </bottom>
      <diagonal/>
    </border>
    <border>
      <left style="thin">
        <color indexed="64"/>
      </left>
      <right style="thin">
        <color indexed="64"/>
      </right>
      <top style="thin">
        <color indexed="64"/>
      </top>
      <bottom style="medium">
        <color rgb="FFFF0000"/>
      </bottom>
      <diagonal/>
    </border>
    <border>
      <left style="medium">
        <color rgb="FFFF0000"/>
      </left>
      <right style="medium">
        <color rgb="FFFF0000"/>
      </right>
      <top/>
      <bottom/>
      <diagonal/>
    </border>
    <border>
      <left style="thin">
        <color indexed="64"/>
      </left>
      <right/>
      <top style="medium">
        <color indexed="64"/>
      </top>
      <bottom style="medium">
        <color indexed="64"/>
      </bottom>
      <diagonal/>
    </border>
  </borders>
  <cellStyleXfs count="20">
    <xf numFmtId="0" fontId="0" fillId="0" borderId="0"/>
    <xf numFmtId="165"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0" fontId="1" fillId="0" borderId="0"/>
    <xf numFmtId="0" fontId="23" fillId="0" borderId="0"/>
    <xf numFmtId="0" fontId="1" fillId="0" borderId="0"/>
    <xf numFmtId="165" fontId="23" fillId="0" borderId="0" applyFont="0" applyFill="0" applyBorder="0" applyAlignment="0" applyProtection="0"/>
    <xf numFmtId="167" fontId="24" fillId="0" borderId="0" applyFont="0" applyFill="0" applyBorder="0" applyAlignment="0" applyProtection="0"/>
    <xf numFmtId="44" fontId="1" fillId="0" borderId="0" applyFont="0" applyFill="0" applyBorder="0" applyAlignment="0" applyProtection="0"/>
    <xf numFmtId="0" fontId="23" fillId="0" borderId="0"/>
    <xf numFmtId="0" fontId="1" fillId="0" borderId="0"/>
    <xf numFmtId="0" fontId="31" fillId="0" borderId="0"/>
    <xf numFmtId="0" fontId="32" fillId="0" borderId="0"/>
    <xf numFmtId="0" fontId="33" fillId="0" borderId="0" applyNumberForma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44" fontId="1" fillId="0" borderId="0" applyFont="0" applyFill="0" applyBorder="0" applyAlignment="0" applyProtection="0"/>
  </cellStyleXfs>
  <cellXfs count="2328">
    <xf numFmtId="0" fontId="0" fillId="0" borderId="0" xfId="0"/>
    <xf numFmtId="0" fontId="3" fillId="2" borderId="1" xfId="0" applyFont="1" applyFill="1" applyBorder="1"/>
    <xf numFmtId="0" fontId="3" fillId="2" borderId="1" xfId="0" applyFont="1" applyFill="1" applyBorder="1" applyAlignment="1">
      <alignment vertical="center"/>
    </xf>
    <xf numFmtId="0" fontId="3" fillId="0" borderId="1" xfId="0" applyFont="1" applyBorder="1" applyAlignment="1">
      <alignment vertical="center"/>
    </xf>
    <xf numFmtId="0" fontId="2" fillId="2" borderId="1" xfId="0" applyFont="1" applyFill="1" applyBorder="1" applyAlignment="1">
      <alignment horizontal="center"/>
    </xf>
    <xf numFmtId="0" fontId="2" fillId="2" borderId="9" xfId="0" applyFont="1" applyFill="1" applyBorder="1" applyAlignment="1">
      <alignment horizontal="center"/>
    </xf>
    <xf numFmtId="165" fontId="2" fillId="2" borderId="9" xfId="1" applyFont="1" applyFill="1" applyBorder="1" applyAlignment="1">
      <alignment horizontal="center"/>
    </xf>
    <xf numFmtId="0" fontId="0" fillId="0" borderId="0" xfId="0" applyAlignment="1">
      <alignment horizontal="center"/>
    </xf>
    <xf numFmtId="166" fontId="0" fillId="0" borderId="9" xfId="1" applyNumberFormat="1" applyFont="1" applyFill="1" applyBorder="1" applyAlignment="1">
      <alignment horizontal="center"/>
    </xf>
    <xf numFmtId="166" fontId="0" fillId="0" borderId="11" xfId="1" applyNumberFormat="1" applyFont="1" applyFill="1" applyBorder="1" applyAlignment="1">
      <alignment horizontal="center"/>
    </xf>
    <xf numFmtId="0" fontId="3" fillId="0" borderId="26" xfId="0" applyFont="1" applyBorder="1"/>
    <xf numFmtId="0" fontId="0" fillId="0" borderId="18" xfId="0" applyBorder="1" applyAlignment="1">
      <alignment horizontal="center"/>
    </xf>
    <xf numFmtId="0" fontId="3" fillId="0" borderId="19" xfId="0" applyFont="1" applyBorder="1"/>
    <xf numFmtId="0" fontId="0" fillId="0" borderId="19" xfId="0" applyBorder="1"/>
    <xf numFmtId="0" fontId="3" fillId="2" borderId="37" xfId="0" applyFont="1" applyFill="1" applyBorder="1"/>
    <xf numFmtId="0" fontId="0" fillId="0" borderId="18" xfId="0" applyBorder="1" applyAlignment="1">
      <alignment horizontal="center" vertical="center"/>
    </xf>
    <xf numFmtId="0" fontId="0" fillId="0" borderId="17" xfId="0" applyBorder="1" applyAlignment="1">
      <alignment horizontal="center" vertical="center"/>
    </xf>
    <xf numFmtId="0" fontId="0" fillId="0" borderId="32" xfId="0" applyBorder="1" applyAlignment="1">
      <alignment horizontal="center" vertical="center"/>
    </xf>
    <xf numFmtId="0" fontId="0" fillId="0" borderId="15" xfId="0" applyBorder="1"/>
    <xf numFmtId="0" fontId="0" fillId="0" borderId="23" xfId="0" applyBorder="1"/>
    <xf numFmtId="0" fontId="0" fillId="0" borderId="36" xfId="0" applyBorder="1"/>
    <xf numFmtId="0" fontId="0" fillId="0" borderId="42" xfId="0" applyBorder="1" applyAlignment="1">
      <alignment horizontal="center" vertical="center"/>
    </xf>
    <xf numFmtId="0" fontId="0" fillId="0" borderId="42" xfId="0" applyBorder="1"/>
    <xf numFmtId="0" fontId="0" fillId="0" borderId="43" xfId="0" applyBorder="1"/>
    <xf numFmtId="0" fontId="0" fillId="0" borderId="43" xfId="0" applyBorder="1" applyAlignment="1">
      <alignment horizontal="center" vertical="center"/>
    </xf>
    <xf numFmtId="0" fontId="0" fillId="0" borderId="16" xfId="0" applyBorder="1" applyAlignment="1">
      <alignment horizontal="center" vertical="center"/>
    </xf>
    <xf numFmtId="0" fontId="3" fillId="0" borderId="6" xfId="0" applyFont="1" applyBorder="1"/>
    <xf numFmtId="0" fontId="0" fillId="0" borderId="33" xfId="0" applyBorder="1" applyAlignment="1">
      <alignment horizontal="center"/>
    </xf>
    <xf numFmtId="0" fontId="0" fillId="0" borderId="34" xfId="0" applyBorder="1" applyAlignment="1">
      <alignment horizontal="center"/>
    </xf>
    <xf numFmtId="0" fontId="2" fillId="2" borderId="5"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165" fontId="2" fillId="2" borderId="14" xfId="1" applyFont="1" applyFill="1" applyBorder="1" applyAlignment="1">
      <alignment horizontal="center"/>
    </xf>
    <xf numFmtId="0" fontId="0" fillId="0" borderId="23" xfId="0" applyBorder="1" applyAlignment="1">
      <alignment horizontal="center" vertical="center"/>
    </xf>
    <xf numFmtId="0" fontId="0" fillId="0" borderId="46" xfId="0" applyBorder="1"/>
    <xf numFmtId="0" fontId="3" fillId="8" borderId="23" xfId="0" applyFont="1" applyFill="1" applyBorder="1"/>
    <xf numFmtId="0" fontId="3" fillId="0" borderId="22" xfId="0" applyFont="1" applyBorder="1"/>
    <xf numFmtId="0" fontId="0" fillId="3" borderId="20" xfId="0" applyFill="1" applyBorder="1" applyAlignment="1">
      <alignment horizontal="center"/>
    </xf>
    <xf numFmtId="0" fontId="0" fillId="0" borderId="24" xfId="0" applyBorder="1" applyAlignment="1">
      <alignment horizontal="center" vertical="center"/>
    </xf>
    <xf numFmtId="0" fontId="0" fillId="0" borderId="20" xfId="0" applyBorder="1" applyAlignment="1">
      <alignment horizontal="center" vertical="center"/>
    </xf>
    <xf numFmtId="0" fontId="0" fillId="3" borderId="48" xfId="0" applyFill="1" applyBorder="1" applyAlignment="1">
      <alignment horizontal="center"/>
    </xf>
    <xf numFmtId="0" fontId="3" fillId="0" borderId="21" xfId="0" applyFont="1" applyBorder="1"/>
    <xf numFmtId="0" fontId="0" fillId="3" borderId="19" xfId="0" applyFill="1" applyBorder="1" applyAlignment="1">
      <alignment horizontal="center" vertical="center"/>
    </xf>
    <xf numFmtId="0" fontId="3" fillId="8" borderId="41" xfId="0" applyFont="1" applyFill="1" applyBorder="1"/>
    <xf numFmtId="0" fontId="3" fillId="5" borderId="3" xfId="0" applyFont="1" applyFill="1" applyBorder="1" applyAlignment="1">
      <alignment horizontal="center" vertical="center"/>
    </xf>
    <xf numFmtId="0" fontId="3" fillId="7" borderId="3" xfId="0" applyFont="1" applyFill="1" applyBorder="1" applyAlignment="1">
      <alignment horizontal="center" vertical="center"/>
    </xf>
    <xf numFmtId="168" fontId="0" fillId="0" borderId="0" xfId="1" applyNumberFormat="1" applyFont="1" applyFill="1" applyBorder="1" applyAlignment="1">
      <alignment horizontal="center"/>
    </xf>
    <xf numFmtId="9" fontId="1" fillId="0" borderId="0" xfId="2" applyFont="1" applyFill="1" applyBorder="1" applyAlignment="1">
      <alignment horizontal="center"/>
    </xf>
    <xf numFmtId="0" fontId="0" fillId="0" borderId="7" xfId="0" applyBorder="1"/>
    <xf numFmtId="0" fontId="7" fillId="4" borderId="3" xfId="0" applyFont="1" applyFill="1" applyBorder="1" applyAlignment="1">
      <alignment horizontal="center" vertical="center"/>
    </xf>
    <xf numFmtId="0" fontId="3" fillId="0" borderId="6" xfId="0" applyFont="1" applyBorder="1" applyAlignment="1">
      <alignment vertical="center"/>
    </xf>
    <xf numFmtId="0" fontId="0" fillId="11" borderId="50" xfId="0" applyFill="1" applyBorder="1" applyAlignment="1">
      <alignment horizontal="center"/>
    </xf>
    <xf numFmtId="0" fontId="0" fillId="11" borderId="10" xfId="0" applyFill="1" applyBorder="1" applyAlignment="1">
      <alignment horizontal="center"/>
    </xf>
    <xf numFmtId="0" fontId="0" fillId="11" borderId="22" xfId="0" applyFill="1" applyBorder="1" applyAlignment="1">
      <alignment horizontal="center"/>
    </xf>
    <xf numFmtId="0" fontId="0" fillId="11" borderId="0" xfId="0" applyFill="1" applyAlignment="1">
      <alignment horizontal="center"/>
    </xf>
    <xf numFmtId="1" fontId="0" fillId="11" borderId="22" xfId="0" applyNumberFormat="1" applyFill="1" applyBorder="1" applyAlignment="1">
      <alignment horizontal="center"/>
    </xf>
    <xf numFmtId="1" fontId="0" fillId="11" borderId="56" xfId="0" applyNumberFormat="1" applyFill="1" applyBorder="1" applyAlignment="1">
      <alignment horizontal="center"/>
    </xf>
    <xf numFmtId="2" fontId="0" fillId="11" borderId="57" xfId="0" applyNumberFormat="1" applyFill="1" applyBorder="1" applyAlignment="1">
      <alignment horizontal="center"/>
    </xf>
    <xf numFmtId="1" fontId="0" fillId="11" borderId="20" xfId="0" applyNumberFormat="1" applyFill="1" applyBorder="1" applyAlignment="1">
      <alignment horizontal="center"/>
    </xf>
    <xf numFmtId="2" fontId="0" fillId="11" borderId="61" xfId="0" applyNumberFormat="1" applyFill="1" applyBorder="1" applyAlignment="1">
      <alignment horizontal="center"/>
    </xf>
    <xf numFmtId="0" fontId="2" fillId="12" borderId="64" xfId="0" applyFont="1" applyFill="1" applyBorder="1" applyAlignment="1">
      <alignment horizontal="center" vertical="center"/>
    </xf>
    <xf numFmtId="0" fontId="2" fillId="12" borderId="65" xfId="0" applyFont="1" applyFill="1" applyBorder="1" applyAlignment="1">
      <alignment horizontal="center" vertical="center"/>
    </xf>
    <xf numFmtId="0" fontId="0" fillId="14" borderId="0" xfId="0" applyFill="1"/>
    <xf numFmtId="0" fontId="0" fillId="10" borderId="18" xfId="0" applyFill="1" applyBorder="1"/>
    <xf numFmtId="0" fontId="0" fillId="3" borderId="18" xfId="0" applyFill="1" applyBorder="1"/>
    <xf numFmtId="0" fontId="0" fillId="3" borderId="58" xfId="0" applyFill="1" applyBorder="1"/>
    <xf numFmtId="0" fontId="0" fillId="10" borderId="38" xfId="0" applyFill="1" applyBorder="1"/>
    <xf numFmtId="0" fontId="0" fillId="10" borderId="59" xfId="0" applyFill="1" applyBorder="1"/>
    <xf numFmtId="0" fontId="0" fillId="11" borderId="6" xfId="0" applyFill="1" applyBorder="1"/>
    <xf numFmtId="0" fontId="9" fillId="16" borderId="3"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8" xfId="0" applyFont="1" applyFill="1" applyBorder="1"/>
    <xf numFmtId="0" fontId="0" fillId="10" borderId="45" xfId="0" applyFill="1" applyBorder="1"/>
    <xf numFmtId="0" fontId="0" fillId="3" borderId="28" xfId="0" applyFill="1" applyBorder="1"/>
    <xf numFmtId="0" fontId="0" fillId="10" borderId="39" xfId="0" applyFill="1" applyBorder="1"/>
    <xf numFmtId="166" fontId="0" fillId="3" borderId="18" xfId="3" applyNumberFormat="1" applyFont="1" applyFill="1" applyBorder="1" applyAlignment="1">
      <alignment horizontal="center" vertical="center"/>
    </xf>
    <xf numFmtId="0" fontId="3" fillId="5" borderId="14" xfId="0" applyFont="1" applyFill="1" applyBorder="1" applyAlignment="1">
      <alignment horizontal="center" vertical="center"/>
    </xf>
    <xf numFmtId="0" fontId="0" fillId="0" borderId="46" xfId="0" applyBorder="1" applyAlignment="1">
      <alignment horizontal="center" vertical="center"/>
    </xf>
    <xf numFmtId="0" fontId="0" fillId="17" borderId="0" xfId="0" applyFill="1"/>
    <xf numFmtId="0" fontId="3" fillId="0" borderId="0" xfId="0" applyFont="1" applyAlignment="1">
      <alignment vertical="center"/>
    </xf>
    <xf numFmtId="0" fontId="0" fillId="0" borderId="69" xfId="0" applyBorder="1"/>
    <xf numFmtId="0" fontId="0" fillId="0" borderId="61" xfId="0" applyBorder="1"/>
    <xf numFmtId="0" fontId="2" fillId="0" borderId="0" xfId="0" applyFont="1"/>
    <xf numFmtId="0" fontId="0" fillId="0" borderId="0" xfId="0" applyAlignment="1">
      <alignment horizontal="center" vertical="center"/>
    </xf>
    <xf numFmtId="9" fontId="1" fillId="0" borderId="1" xfId="2" applyFont="1" applyFill="1" applyBorder="1" applyAlignment="1">
      <alignment horizontal="center"/>
    </xf>
    <xf numFmtId="9" fontId="1" fillId="0" borderId="9" xfId="2" applyFont="1" applyFill="1" applyBorder="1" applyAlignment="1">
      <alignment horizontal="center"/>
    </xf>
    <xf numFmtId="9" fontId="1" fillId="0" borderId="2" xfId="2" applyFont="1" applyFill="1" applyBorder="1" applyAlignment="1">
      <alignment horizontal="center"/>
    </xf>
    <xf numFmtId="9" fontId="1" fillId="0" borderId="10" xfId="2" applyFont="1" applyFill="1" applyBorder="1" applyAlignment="1">
      <alignment horizontal="center"/>
    </xf>
    <xf numFmtId="9" fontId="1" fillId="0" borderId="11" xfId="2" applyFont="1" applyFill="1" applyBorder="1" applyAlignment="1">
      <alignment horizontal="center"/>
    </xf>
    <xf numFmtId="166" fontId="0" fillId="2" borderId="18" xfId="3" applyNumberFormat="1" applyFont="1" applyFill="1" applyBorder="1" applyAlignment="1">
      <alignment horizontal="center" vertical="center"/>
    </xf>
    <xf numFmtId="0" fontId="2" fillId="0" borderId="4" xfId="0" applyFont="1" applyBorder="1"/>
    <xf numFmtId="0" fontId="0" fillId="10" borderId="0" xfId="0" applyFill="1"/>
    <xf numFmtId="0" fontId="0" fillId="3" borderId="23" xfId="0" applyFill="1" applyBorder="1"/>
    <xf numFmtId="0" fontId="13" fillId="0" borderId="0" xfId="0" applyFont="1"/>
    <xf numFmtId="0" fontId="2" fillId="0" borderId="6" xfId="0" applyFont="1" applyBorder="1"/>
    <xf numFmtId="0" fontId="2" fillId="12" borderId="53" xfId="0" applyFont="1" applyFill="1" applyBorder="1" applyAlignment="1">
      <alignment horizontal="center" vertical="center" wrapText="1"/>
    </xf>
    <xf numFmtId="0" fontId="0" fillId="10" borderId="25" xfId="0" applyFill="1" applyBorder="1"/>
    <xf numFmtId="0" fontId="0" fillId="10" borderId="26" xfId="0" applyFill="1" applyBorder="1"/>
    <xf numFmtId="167" fontId="0" fillId="11" borderId="59" xfId="3" applyFont="1" applyFill="1" applyBorder="1" applyAlignment="1">
      <alignment horizontal="center" vertical="center"/>
    </xf>
    <xf numFmtId="167" fontId="0" fillId="11" borderId="59" xfId="3" applyFont="1" applyFill="1" applyBorder="1" applyAlignment="1">
      <alignment horizontal="left"/>
    </xf>
    <xf numFmtId="167" fontId="0" fillId="11" borderId="71" xfId="3" applyFont="1" applyFill="1" applyBorder="1" applyAlignment="1">
      <alignment horizontal="center"/>
    </xf>
    <xf numFmtId="167" fontId="0" fillId="11" borderId="71" xfId="3" applyFont="1" applyFill="1" applyBorder="1"/>
    <xf numFmtId="168" fontId="0" fillId="9" borderId="6" xfId="3" applyNumberFormat="1" applyFont="1" applyFill="1" applyBorder="1"/>
    <xf numFmtId="0" fontId="0" fillId="0" borderId="17" xfId="0" applyBorder="1"/>
    <xf numFmtId="167" fontId="0" fillId="11" borderId="47" xfId="3" applyFont="1" applyFill="1" applyBorder="1" applyAlignment="1">
      <alignment horizontal="center" vertical="center"/>
    </xf>
    <xf numFmtId="167" fontId="0" fillId="11" borderId="33" xfId="3" applyFont="1" applyFill="1" applyBorder="1"/>
    <xf numFmtId="0" fontId="0" fillId="0" borderId="41" xfId="0" applyBorder="1"/>
    <xf numFmtId="0" fontId="2" fillId="0" borderId="43" xfId="0" applyFont="1" applyBorder="1"/>
    <xf numFmtId="0" fontId="0" fillId="0" borderId="0" xfId="0" quotePrefix="1"/>
    <xf numFmtId="0" fontId="0" fillId="10" borderId="58" xfId="0" applyFill="1" applyBorder="1"/>
    <xf numFmtId="0" fontId="0" fillId="10" borderId="40" xfId="0" applyFill="1" applyBorder="1"/>
    <xf numFmtId="0" fontId="0" fillId="10" borderId="23" xfId="0" applyFill="1" applyBorder="1"/>
    <xf numFmtId="0" fontId="0" fillId="10" borderId="49" xfId="0" applyFill="1" applyBorder="1"/>
    <xf numFmtId="0" fontId="0" fillId="10" borderId="24" xfId="0" applyFill="1" applyBorder="1"/>
    <xf numFmtId="0" fontId="2" fillId="0" borderId="53" xfId="0" applyFont="1" applyBorder="1"/>
    <xf numFmtId="0" fontId="0" fillId="10" borderId="68" xfId="0" applyFill="1" applyBorder="1"/>
    <xf numFmtId="0" fontId="0" fillId="10" borderId="15" xfId="0" applyFill="1" applyBorder="1"/>
    <xf numFmtId="0" fontId="2" fillId="0" borderId="72" xfId="0" applyFont="1" applyBorder="1"/>
    <xf numFmtId="0" fontId="0" fillId="0" borderId="0" xfId="0" applyAlignment="1">
      <alignment wrapText="1"/>
    </xf>
    <xf numFmtId="0" fontId="3" fillId="0" borderId="21" xfId="0" applyFont="1" applyBorder="1" applyAlignment="1">
      <alignment wrapText="1"/>
    </xf>
    <xf numFmtId="0" fontId="3" fillId="0" borderId="46" xfId="0" applyFont="1" applyBorder="1" applyAlignment="1">
      <alignment horizontal="center" wrapText="1"/>
    </xf>
    <xf numFmtId="0" fontId="3" fillId="0" borderId="26" xfId="0" applyFont="1" applyBorder="1" applyAlignment="1">
      <alignment horizontal="center" wrapText="1"/>
    </xf>
    <xf numFmtId="0" fontId="0" fillId="18" borderId="24" xfId="0" applyFill="1" applyBorder="1" applyAlignment="1">
      <alignment horizontal="center"/>
    </xf>
    <xf numFmtId="0" fontId="0" fillId="18" borderId="18" xfId="0" applyFill="1" applyBorder="1" applyAlignment="1">
      <alignment horizontal="center"/>
    </xf>
    <xf numFmtId="0" fontId="0" fillId="18" borderId="24" xfId="0" applyFill="1" applyBorder="1" applyAlignment="1">
      <alignment horizontal="center" vertical="center"/>
    </xf>
    <xf numFmtId="0" fontId="0" fillId="18" borderId="24" xfId="0" applyFill="1" applyBorder="1" applyAlignment="1">
      <alignment horizontal="left" vertical="center"/>
    </xf>
    <xf numFmtId="167" fontId="0" fillId="0" borderId="0" xfId="0" applyNumberFormat="1"/>
    <xf numFmtId="0" fontId="11" fillId="16" borderId="4" xfId="0" applyFont="1" applyFill="1" applyBorder="1"/>
    <xf numFmtId="0" fontId="0" fillId="15" borderId="6" xfId="0" applyFill="1" applyBorder="1"/>
    <xf numFmtId="0" fontId="0" fillId="0" borderId="18" xfId="0" applyBorder="1"/>
    <xf numFmtId="0" fontId="0" fillId="0" borderId="0" xfId="0" applyAlignment="1">
      <alignment vertical="center"/>
    </xf>
    <xf numFmtId="0" fontId="18" fillId="22" borderId="18" xfId="0" applyFont="1" applyFill="1" applyBorder="1" applyAlignment="1">
      <alignment vertical="center"/>
    </xf>
    <xf numFmtId="0" fontId="2" fillId="0" borderId="18" xfId="0" applyFont="1" applyBorder="1" applyAlignment="1">
      <alignment horizontal="center" vertical="center"/>
    </xf>
    <xf numFmtId="0" fontId="18" fillId="23" borderId="18" xfId="0" applyFont="1" applyFill="1" applyBorder="1"/>
    <xf numFmtId="0" fontId="18" fillId="0" borderId="18" xfId="0" applyFont="1" applyBorder="1" applyAlignment="1">
      <alignment horizontal="center" vertical="center" wrapText="1"/>
    </xf>
    <xf numFmtId="0" fontId="0" fillId="0" borderId="58" xfId="0" applyBorder="1"/>
    <xf numFmtId="0" fontId="0" fillId="0" borderId="0" xfId="0" applyAlignment="1">
      <alignment horizontal="center" vertical="center" wrapText="1"/>
    </xf>
    <xf numFmtId="0" fontId="0" fillId="0" borderId="0" xfId="0" applyAlignment="1">
      <alignment horizontal="left" vertical="center" wrapText="1"/>
    </xf>
    <xf numFmtId="0" fontId="0" fillId="10" borderId="0" xfId="0" applyFill="1" applyAlignment="1">
      <alignment horizontal="center" vertical="center" wrapText="1"/>
    </xf>
    <xf numFmtId="0" fontId="0" fillId="10" borderId="0" xfId="0" applyFill="1" applyAlignment="1">
      <alignment horizontal="left" vertical="center" wrapText="1"/>
    </xf>
    <xf numFmtId="0" fontId="20" fillId="10" borderId="0" xfId="0" applyFont="1" applyFill="1"/>
    <xf numFmtId="0" fontId="2" fillId="19" borderId="64" xfId="0" applyFont="1" applyFill="1" applyBorder="1" applyAlignment="1">
      <alignment horizontal="center" vertical="center"/>
    </xf>
    <xf numFmtId="0" fontId="2" fillId="19" borderId="64" xfId="0" applyFont="1" applyFill="1" applyBorder="1" applyAlignment="1">
      <alignment horizontal="center" vertical="center" wrapText="1"/>
    </xf>
    <xf numFmtId="0" fontId="0" fillId="19" borderId="58" xfId="0" applyFill="1" applyBorder="1"/>
    <xf numFmtId="0" fontId="0" fillId="19" borderId="18" xfId="0" applyFill="1" applyBorder="1"/>
    <xf numFmtId="0" fontId="0" fillId="20" borderId="18" xfId="0" applyFill="1" applyBorder="1" applyAlignment="1">
      <alignment shrinkToFit="1"/>
    </xf>
    <xf numFmtId="164" fontId="10" fillId="0" borderId="0" xfId="4" applyNumberFormat="1" applyFont="1" applyAlignment="1" applyProtection="1">
      <alignment wrapText="1"/>
      <protection hidden="1"/>
    </xf>
    <xf numFmtId="0" fontId="1" fillId="0" borderId="0" xfId="4" applyProtection="1">
      <protection hidden="1"/>
    </xf>
    <xf numFmtId="164" fontId="10" fillId="0" borderId="0" xfId="4" applyNumberFormat="1" applyFont="1" applyProtection="1">
      <protection hidden="1"/>
    </xf>
    <xf numFmtId="0" fontId="22" fillId="24" borderId="39" xfId="4" applyFont="1" applyFill="1" applyBorder="1" applyProtection="1">
      <protection hidden="1"/>
    </xf>
    <xf numFmtId="0" fontId="23" fillId="0" borderId="0" xfId="5"/>
    <xf numFmtId="0" fontId="23" fillId="0" borderId="2" xfId="5" applyBorder="1"/>
    <xf numFmtId="0" fontId="2" fillId="26" borderId="29" xfId="6" applyFont="1" applyFill="1" applyBorder="1" applyAlignment="1" applyProtection="1">
      <alignment horizontal="center" vertical="center" wrapText="1"/>
      <protection hidden="1"/>
    </xf>
    <xf numFmtId="0" fontId="2" fillId="26" borderId="31" xfId="5" applyFont="1" applyFill="1" applyBorder="1" applyAlignment="1" applyProtection="1">
      <alignment horizontal="center" vertical="center" wrapText="1"/>
      <protection hidden="1"/>
    </xf>
    <xf numFmtId="0" fontId="2" fillId="27" borderId="31" xfId="5" applyFont="1" applyFill="1" applyBorder="1" applyAlignment="1" applyProtection="1">
      <alignment horizontal="center" vertical="center" wrapText="1"/>
      <protection hidden="1"/>
    </xf>
    <xf numFmtId="0" fontId="2" fillId="13" borderId="31" xfId="5" applyFont="1" applyFill="1" applyBorder="1" applyAlignment="1" applyProtection="1">
      <alignment horizontal="center" vertical="center" wrapText="1"/>
      <protection hidden="1"/>
    </xf>
    <xf numFmtId="0" fontId="2" fillId="28" borderId="31" xfId="5" applyFont="1" applyFill="1" applyBorder="1" applyAlignment="1" applyProtection="1">
      <alignment horizontal="center" vertical="center" wrapText="1"/>
      <protection hidden="1"/>
    </xf>
    <xf numFmtId="0" fontId="2" fillId="2" borderId="31" xfId="5" applyFont="1" applyFill="1" applyBorder="1" applyAlignment="1" applyProtection="1">
      <alignment horizontal="center" vertical="center" wrapText="1"/>
      <protection hidden="1"/>
    </xf>
    <xf numFmtId="0" fontId="2" fillId="27" borderId="31" xfId="4" applyFont="1" applyFill="1" applyBorder="1" applyAlignment="1" applyProtection="1">
      <alignment horizontal="center" vertical="center" wrapText="1"/>
      <protection hidden="1"/>
    </xf>
    <xf numFmtId="0" fontId="2" fillId="2" borderId="31" xfId="4" applyFont="1" applyFill="1" applyBorder="1" applyAlignment="1" applyProtection="1">
      <alignment horizontal="center" vertical="center" wrapText="1"/>
      <protection hidden="1"/>
    </xf>
    <xf numFmtId="0" fontId="2" fillId="2" borderId="74" xfId="4" applyFont="1" applyFill="1" applyBorder="1" applyAlignment="1" applyProtection="1">
      <alignment horizontal="center" vertical="center" wrapText="1"/>
      <protection hidden="1"/>
    </xf>
    <xf numFmtId="0" fontId="4" fillId="25" borderId="38" xfId="4" applyFont="1" applyFill="1" applyBorder="1" applyAlignment="1" applyProtection="1">
      <alignment wrapText="1"/>
      <protection hidden="1"/>
    </xf>
    <xf numFmtId="166" fontId="3" fillId="0" borderId="18" xfId="7" applyNumberFormat="1" applyFont="1" applyFill="1" applyBorder="1" applyProtection="1">
      <protection hidden="1"/>
    </xf>
    <xf numFmtId="165" fontId="2" fillId="0" borderId="58" xfId="5" applyNumberFormat="1" applyFont="1" applyBorder="1"/>
    <xf numFmtId="167" fontId="3" fillId="0" borderId="18" xfId="8" applyFont="1" applyFill="1" applyBorder="1"/>
    <xf numFmtId="166" fontId="23" fillId="0" borderId="58" xfId="5" applyNumberFormat="1" applyBorder="1"/>
    <xf numFmtId="0" fontId="3" fillId="29" borderId="38" xfId="4" applyFont="1" applyFill="1" applyBorder="1" applyAlignment="1" applyProtection="1">
      <alignment wrapText="1"/>
      <protection hidden="1"/>
    </xf>
    <xf numFmtId="170" fontId="3" fillId="29" borderId="18" xfId="4" applyNumberFormat="1" applyFont="1" applyFill="1" applyBorder="1" applyAlignment="1" applyProtection="1">
      <alignment wrapText="1"/>
      <protection hidden="1"/>
    </xf>
    <xf numFmtId="170" fontId="3" fillId="29" borderId="18" xfId="4" applyNumberFormat="1" applyFont="1" applyFill="1" applyBorder="1" applyProtection="1">
      <protection hidden="1"/>
    </xf>
    <xf numFmtId="165" fontId="23" fillId="0" borderId="0" xfId="5" applyNumberFormat="1"/>
    <xf numFmtId="0" fontId="25" fillId="30" borderId="38" xfId="4" applyFont="1" applyFill="1" applyBorder="1" applyAlignment="1" applyProtection="1">
      <alignment wrapText="1"/>
      <protection hidden="1"/>
    </xf>
    <xf numFmtId="0" fontId="25" fillId="30" borderId="18" xfId="4" applyFont="1" applyFill="1" applyBorder="1" applyProtection="1">
      <protection hidden="1"/>
    </xf>
    <xf numFmtId="170" fontId="25" fillId="30" borderId="18" xfId="5" applyNumberFormat="1" applyFont="1" applyFill="1" applyBorder="1" applyProtection="1">
      <protection hidden="1"/>
    </xf>
    <xf numFmtId="164" fontId="25" fillId="30" borderId="18" xfId="4" applyNumberFormat="1" applyFont="1" applyFill="1" applyBorder="1" applyProtection="1">
      <protection hidden="1"/>
    </xf>
    <xf numFmtId="0" fontId="25" fillId="30" borderId="18" xfId="4" applyFont="1" applyFill="1" applyBorder="1" applyAlignment="1" applyProtection="1">
      <alignment wrapText="1"/>
      <protection hidden="1"/>
    </xf>
    <xf numFmtId="171" fontId="25" fillId="30" borderId="18" xfId="4" applyNumberFormat="1" applyFont="1" applyFill="1" applyBorder="1" applyProtection="1">
      <protection hidden="1"/>
    </xf>
    <xf numFmtId="0" fontId="1" fillId="0" borderId="0" xfId="4" applyAlignment="1" applyProtection="1">
      <alignment wrapText="1"/>
      <protection hidden="1"/>
    </xf>
    <xf numFmtId="0" fontId="4" fillId="0" borderId="18" xfId="4" applyFont="1" applyBorder="1" applyProtection="1">
      <protection hidden="1"/>
    </xf>
    <xf numFmtId="0" fontId="4" fillId="0" borderId="0" xfId="4" applyFont="1" applyProtection="1">
      <protection hidden="1"/>
    </xf>
    <xf numFmtId="0" fontId="23" fillId="0" borderId="0" xfId="5" applyAlignment="1">
      <alignment wrapText="1"/>
    </xf>
    <xf numFmtId="165" fontId="2" fillId="2" borderId="3" xfId="1" applyFont="1" applyFill="1" applyBorder="1" applyAlignment="1">
      <alignment horizontal="center"/>
    </xf>
    <xf numFmtId="0" fontId="17" fillId="17" borderId="0" xfId="0" applyFont="1" applyFill="1" applyAlignment="1">
      <alignment horizontal="left" vertical="center"/>
    </xf>
    <xf numFmtId="0" fontId="17" fillId="17" borderId="0" xfId="0" applyFont="1" applyFill="1"/>
    <xf numFmtId="0" fontId="0" fillId="14" borderId="0" xfId="0" applyFill="1" applyAlignment="1">
      <alignment horizontal="left"/>
    </xf>
    <xf numFmtId="0" fontId="0" fillId="3" borderId="18" xfId="0" applyFill="1" applyBorder="1" applyAlignment="1">
      <alignment horizontal="center"/>
    </xf>
    <xf numFmtId="0" fontId="0" fillId="3" borderId="25" xfId="0" applyFill="1" applyBorder="1" applyAlignment="1">
      <alignment horizontal="center" vertical="center"/>
    </xf>
    <xf numFmtId="0" fontId="0" fillId="8" borderId="18" xfId="0" applyFill="1" applyBorder="1" applyAlignment="1">
      <alignment horizontal="center"/>
    </xf>
    <xf numFmtId="0" fontId="0" fillId="8" borderId="18" xfId="0" applyFill="1" applyBorder="1" applyAlignment="1">
      <alignment horizontal="center" vertical="center"/>
    </xf>
    <xf numFmtId="0" fontId="0" fillId="3" borderId="66" xfId="0" applyFill="1" applyBorder="1" applyAlignment="1">
      <alignment horizontal="center"/>
    </xf>
    <xf numFmtId="0" fontId="0" fillId="3" borderId="66" xfId="0" applyFill="1" applyBorder="1" applyAlignment="1">
      <alignment horizontal="center" vertical="center"/>
    </xf>
    <xf numFmtId="0" fontId="0" fillId="0" borderId="38" xfId="0" applyBorder="1" applyAlignment="1">
      <alignment horizontal="center" vertical="center"/>
    </xf>
    <xf numFmtId="0" fontId="3" fillId="0" borderId="26" xfId="0" applyFont="1" applyBorder="1" applyAlignment="1">
      <alignment horizontal="center" vertical="center"/>
    </xf>
    <xf numFmtId="0" fontId="0" fillId="0" borderId="67" xfId="0" applyBorder="1" applyAlignment="1">
      <alignment horizontal="center" vertical="center"/>
    </xf>
    <xf numFmtId="0" fontId="0" fillId="0" borderId="66" xfId="0" applyBorder="1" applyAlignment="1">
      <alignment horizontal="center" vertical="center"/>
    </xf>
    <xf numFmtId="0" fontId="0" fillId="0" borderId="38" xfId="0" applyBorder="1" applyAlignment="1">
      <alignment horizontal="center"/>
    </xf>
    <xf numFmtId="0" fontId="0" fillId="18" borderId="38" xfId="0" applyFill="1" applyBorder="1" applyAlignment="1">
      <alignment horizontal="center" vertical="center"/>
    </xf>
    <xf numFmtId="0" fontId="0" fillId="0" borderId="39" xfId="0" applyBorder="1" applyAlignment="1">
      <alignment horizontal="center" vertical="center"/>
    </xf>
    <xf numFmtId="0" fontId="0" fillId="0" borderId="73" xfId="0" applyBorder="1" applyAlignment="1">
      <alignment horizontal="center" vertical="center"/>
    </xf>
    <xf numFmtId="0" fontId="0" fillId="0" borderId="16" xfId="0" applyBorder="1"/>
    <xf numFmtId="0" fontId="0" fillId="0" borderId="44" xfId="0" applyBorder="1"/>
    <xf numFmtId="0" fontId="0" fillId="0" borderId="27" xfId="0" applyBorder="1"/>
    <xf numFmtId="0" fontId="0" fillId="0" borderId="29" xfId="0" applyBorder="1" applyAlignment="1">
      <alignment horizontal="center" vertical="center"/>
    </xf>
    <xf numFmtId="0" fontId="0" fillId="3" borderId="0" xfId="0" applyFill="1"/>
    <xf numFmtId="0" fontId="0" fillId="11" borderId="24" xfId="0" applyFill="1" applyBorder="1" applyAlignment="1">
      <alignment horizontal="center"/>
    </xf>
    <xf numFmtId="0" fontId="0" fillId="11" borderId="24" xfId="0" applyFill="1" applyBorder="1" applyAlignment="1">
      <alignment horizontal="center" vertical="center"/>
    </xf>
    <xf numFmtId="0" fontId="0" fillId="11" borderId="18" xfId="0" applyFill="1" applyBorder="1" applyAlignment="1">
      <alignment horizontal="center"/>
    </xf>
    <xf numFmtId="0" fontId="0" fillId="3" borderId="18" xfId="0" applyFill="1" applyBorder="1" applyAlignment="1">
      <alignment horizontal="center" vertical="center"/>
    </xf>
    <xf numFmtId="0" fontId="0" fillId="11" borderId="0" xfId="0" applyFill="1"/>
    <xf numFmtId="0" fontId="0" fillId="17" borderId="0" xfId="0" applyFill="1" applyAlignment="1">
      <alignment horizontal="center"/>
    </xf>
    <xf numFmtId="0" fontId="0" fillId="11" borderId="3" xfId="0" applyFill="1" applyBorder="1" applyAlignment="1">
      <alignment horizontal="left"/>
    </xf>
    <xf numFmtId="0" fontId="0" fillId="11" borderId="33" xfId="0" applyFill="1" applyBorder="1" applyAlignment="1">
      <alignment horizontal="left"/>
    </xf>
    <xf numFmtId="0" fontId="2" fillId="12" borderId="54" xfId="0" applyFont="1" applyFill="1" applyBorder="1" applyAlignment="1">
      <alignment horizontal="center" vertical="center"/>
    </xf>
    <xf numFmtId="0" fontId="2" fillId="12" borderId="52" xfId="0" applyFont="1" applyFill="1" applyBorder="1" applyAlignment="1">
      <alignment horizontal="center" vertical="center"/>
    </xf>
    <xf numFmtId="0" fontId="2" fillId="12" borderId="53" xfId="0" applyFont="1" applyFill="1" applyBorder="1" applyAlignment="1">
      <alignment horizontal="center" vertical="center"/>
    </xf>
    <xf numFmtId="0" fontId="2" fillId="12" borderId="14" xfId="0" applyFont="1" applyFill="1" applyBorder="1" applyAlignment="1">
      <alignment horizontal="center" vertical="center" wrapText="1"/>
    </xf>
    <xf numFmtId="0" fontId="0" fillId="10" borderId="31" xfId="0" applyFill="1" applyBorder="1"/>
    <xf numFmtId="0" fontId="0" fillId="21" borderId="0" xfId="0" applyFill="1"/>
    <xf numFmtId="0" fontId="0" fillId="8" borderId="23" xfId="0" applyFill="1" applyBorder="1" applyAlignment="1">
      <alignment horizontal="center" vertical="center"/>
    </xf>
    <xf numFmtId="0" fontId="10" fillId="16" borderId="0" xfId="0" applyFont="1" applyFill="1" applyAlignment="1">
      <alignment horizontal="center" vertical="center"/>
    </xf>
    <xf numFmtId="0" fontId="10" fillId="16" borderId="0" xfId="0" applyFont="1" applyFill="1" applyAlignment="1">
      <alignment horizontal="center"/>
    </xf>
    <xf numFmtId="0" fontId="0" fillId="0" borderId="12" xfId="0" applyBorder="1"/>
    <xf numFmtId="0" fontId="0" fillId="0" borderId="28" xfId="0" applyBorder="1" applyAlignment="1">
      <alignment horizontal="center"/>
    </xf>
    <xf numFmtId="0" fontId="0" fillId="0" borderId="66" xfId="0" applyBorder="1" applyAlignment="1">
      <alignment horizontal="center"/>
    </xf>
    <xf numFmtId="0" fontId="0" fillId="18" borderId="38" xfId="0" applyFill="1" applyBorder="1" applyAlignment="1">
      <alignment horizontal="center"/>
    </xf>
    <xf numFmtId="0" fontId="0" fillId="18" borderId="76" xfId="0" applyFill="1" applyBorder="1" applyAlignment="1">
      <alignment horizontal="center"/>
    </xf>
    <xf numFmtId="0" fontId="0" fillId="11" borderId="38" xfId="0" applyFill="1" applyBorder="1" applyAlignment="1">
      <alignment horizontal="center"/>
    </xf>
    <xf numFmtId="0" fontId="0" fillId="11" borderId="38" xfId="0" applyFill="1" applyBorder="1" applyAlignment="1">
      <alignment horizontal="center" vertical="center"/>
    </xf>
    <xf numFmtId="2" fontId="0" fillId="18" borderId="38" xfId="0" applyNumberFormat="1" applyFill="1" applyBorder="1" applyAlignment="1">
      <alignment horizontal="center" vertical="center"/>
    </xf>
    <xf numFmtId="2" fontId="0" fillId="18" borderId="66" xfId="0" applyNumberFormat="1" applyFill="1" applyBorder="1" applyAlignment="1">
      <alignment horizontal="center"/>
    </xf>
    <xf numFmtId="0" fontId="0" fillId="18" borderId="66" xfId="0" applyFill="1" applyBorder="1" applyAlignment="1">
      <alignment horizontal="center"/>
    </xf>
    <xf numFmtId="0" fontId="0" fillId="0" borderId="71" xfId="0" applyBorder="1" applyAlignment="1">
      <alignment horizontal="center" vertical="center"/>
    </xf>
    <xf numFmtId="0" fontId="2" fillId="25" borderId="18" xfId="5" applyFont="1" applyFill="1" applyBorder="1" applyAlignment="1">
      <alignment horizontal="center" vertical="top" wrapText="1"/>
    </xf>
    <xf numFmtId="44" fontId="2" fillId="25" borderId="18" xfId="9" applyFont="1" applyFill="1" applyBorder="1" applyAlignment="1">
      <alignment horizontal="center" vertical="top" wrapText="1"/>
    </xf>
    <xf numFmtId="9" fontId="2" fillId="25" borderId="18" xfId="2" applyFont="1" applyFill="1" applyBorder="1" applyAlignment="1">
      <alignment horizontal="center" vertical="top" wrapText="1"/>
    </xf>
    <xf numFmtId="0" fontId="23" fillId="0" borderId="18" xfId="5" applyBorder="1" applyAlignment="1">
      <alignment vertical="top" wrapText="1"/>
    </xf>
    <xf numFmtId="44" fontId="23" fillId="0" borderId="18" xfId="9" applyFont="1" applyBorder="1" applyAlignment="1">
      <alignment vertical="top" wrapText="1"/>
    </xf>
    <xf numFmtId="9" fontId="23" fillId="0" borderId="18" xfId="2" applyFont="1" applyBorder="1" applyAlignment="1">
      <alignment vertical="top" wrapText="1"/>
    </xf>
    <xf numFmtId="0" fontId="23" fillId="0" borderId="0" xfId="5" applyAlignment="1">
      <alignment vertical="top" wrapText="1"/>
    </xf>
    <xf numFmtId="44" fontId="23" fillId="0" borderId="0" xfId="9" applyFont="1" applyAlignment="1">
      <alignment vertical="top" wrapText="1"/>
    </xf>
    <xf numFmtId="9" fontId="23" fillId="0" borderId="0" xfId="2" applyFont="1" applyAlignment="1">
      <alignment vertical="top" wrapText="1"/>
    </xf>
    <xf numFmtId="0" fontId="23" fillId="0" borderId="0" xfId="10" applyAlignment="1">
      <alignment vertical="top" wrapText="1"/>
    </xf>
    <xf numFmtId="0" fontId="2" fillId="25" borderId="18" xfId="10" applyFont="1" applyFill="1" applyBorder="1" applyAlignment="1">
      <alignment horizontal="center" vertical="top" wrapText="1"/>
    </xf>
    <xf numFmtId="0" fontId="27" fillId="25" borderId="18" xfId="10" applyFont="1" applyFill="1" applyBorder="1" applyAlignment="1">
      <alignment horizontal="center" vertical="top" wrapText="1"/>
    </xf>
    <xf numFmtId="0" fontId="28" fillId="0" borderId="18" xfId="10" applyFont="1" applyBorder="1" applyAlignment="1">
      <alignment horizontal="center" vertical="top" wrapText="1"/>
    </xf>
    <xf numFmtId="0" fontId="27" fillId="0" borderId="24" xfId="10" applyFont="1" applyBorder="1" applyAlignment="1">
      <alignment horizontal="left" vertical="top" wrapText="1"/>
    </xf>
    <xf numFmtId="0" fontId="27" fillId="0" borderId="18" xfId="10" applyFont="1" applyBorder="1" applyAlignment="1">
      <alignment horizontal="center" vertical="top" wrapText="1"/>
    </xf>
    <xf numFmtId="0" fontId="27" fillId="21" borderId="24" xfId="10" applyFont="1" applyFill="1" applyBorder="1" applyAlignment="1">
      <alignment horizontal="left" vertical="top" wrapText="1"/>
    </xf>
    <xf numFmtId="0" fontId="29" fillId="21" borderId="24" xfId="10" applyFont="1" applyFill="1" applyBorder="1" applyAlignment="1">
      <alignment horizontal="left" vertical="top" wrapText="1"/>
    </xf>
    <xf numFmtId="0" fontId="30" fillId="0" borderId="18" xfId="10" applyFont="1" applyBorder="1" applyAlignment="1">
      <alignment vertical="top" wrapText="1"/>
    </xf>
    <xf numFmtId="0" fontId="30" fillId="21" borderId="24" xfId="10" applyFont="1" applyFill="1" applyBorder="1" applyAlignment="1">
      <alignment horizontal="left" vertical="top" wrapText="1"/>
    </xf>
    <xf numFmtId="0" fontId="27" fillId="31" borderId="24" xfId="10" applyFont="1" applyFill="1" applyBorder="1" applyAlignment="1">
      <alignment horizontal="left" vertical="top" wrapText="1"/>
    </xf>
    <xf numFmtId="0" fontId="30" fillId="0" borderId="24" xfId="10" applyFont="1" applyBorder="1" applyAlignment="1">
      <alignment horizontal="left" vertical="top" wrapText="1"/>
    </xf>
    <xf numFmtId="0" fontId="30" fillId="0" borderId="24" xfId="10" applyFont="1" applyBorder="1" applyAlignment="1">
      <alignment vertical="top" wrapText="1"/>
    </xf>
    <xf numFmtId="0" fontId="23" fillId="0" borderId="0" xfId="10" applyAlignment="1">
      <alignment horizontal="center" vertical="top" wrapText="1"/>
    </xf>
    <xf numFmtId="0" fontId="23" fillId="0" borderId="0" xfId="10" applyAlignment="1">
      <alignment horizontal="left" vertical="top" wrapText="1"/>
    </xf>
    <xf numFmtId="0" fontId="30" fillId="0" borderId="0" xfId="10" applyFont="1" applyAlignment="1">
      <alignment vertical="top" wrapText="1"/>
    </xf>
    <xf numFmtId="0" fontId="2" fillId="32" borderId="29" xfId="5" applyFont="1" applyFill="1" applyBorder="1" applyAlignment="1" applyProtection="1">
      <alignment horizontal="center" vertical="center" wrapText="1"/>
      <protection hidden="1"/>
    </xf>
    <xf numFmtId="0" fontId="10" fillId="0" borderId="0" xfId="4" applyFont="1" applyAlignment="1" applyProtection="1">
      <alignment wrapText="1"/>
      <protection hidden="1"/>
    </xf>
    <xf numFmtId="0" fontId="4" fillId="25" borderId="24" xfId="4" applyFont="1" applyFill="1" applyBorder="1" applyAlignment="1" applyProtection="1">
      <alignment wrapText="1"/>
      <protection hidden="1"/>
    </xf>
    <xf numFmtId="0" fontId="3" fillId="29" borderId="24" xfId="4" applyFont="1" applyFill="1" applyBorder="1" applyAlignment="1" applyProtection="1">
      <alignment wrapText="1"/>
      <protection hidden="1"/>
    </xf>
    <xf numFmtId="0" fontId="25" fillId="30" borderId="24" xfId="4" applyFont="1" applyFill="1" applyBorder="1" applyAlignment="1" applyProtection="1">
      <alignment wrapText="1"/>
      <protection hidden="1"/>
    </xf>
    <xf numFmtId="0" fontId="0" fillId="8" borderId="0" xfId="0" applyFill="1" applyAlignment="1">
      <alignment horizontal="center"/>
    </xf>
    <xf numFmtId="0" fontId="26" fillId="25" borderId="18" xfId="4" applyFont="1" applyFill="1" applyBorder="1" applyAlignment="1" applyProtection="1">
      <alignment wrapText="1"/>
      <protection hidden="1"/>
    </xf>
    <xf numFmtId="0" fontId="0" fillId="3" borderId="58" xfId="0" applyFill="1" applyBorder="1" applyAlignment="1">
      <alignment wrapText="1"/>
    </xf>
    <xf numFmtId="0" fontId="0" fillId="3" borderId="61" xfId="0" applyFill="1" applyBorder="1" applyAlignment="1">
      <alignment horizontal="center"/>
    </xf>
    <xf numFmtId="0" fontId="0" fillId="0" borderId="15" xfId="0" applyBorder="1" applyAlignment="1">
      <alignment horizontal="center" vertical="center"/>
    </xf>
    <xf numFmtId="0" fontId="0" fillId="0" borderId="36" xfId="0" applyBorder="1" applyAlignment="1">
      <alignment horizontal="center" vertical="center"/>
    </xf>
    <xf numFmtId="0" fontId="3" fillId="0" borderId="22" xfId="0" applyFont="1" applyBorder="1" applyAlignment="1">
      <alignment horizontal="center" wrapText="1"/>
    </xf>
    <xf numFmtId="0" fontId="0" fillId="8" borderId="18" xfId="0" applyFill="1" applyBorder="1"/>
    <xf numFmtId="0" fontId="3" fillId="5" borderId="3" xfId="0" applyFont="1" applyFill="1" applyBorder="1" applyAlignment="1">
      <alignment horizontal="center" vertical="center" wrapText="1"/>
    </xf>
    <xf numFmtId="0" fontId="0" fillId="0" borderId="0" xfId="0" applyAlignment="1">
      <alignment vertical="center" wrapText="1"/>
    </xf>
    <xf numFmtId="0" fontId="25" fillId="0" borderId="14" xfId="0" applyFont="1" applyBorder="1" applyAlignment="1">
      <alignment vertical="center" wrapText="1"/>
    </xf>
    <xf numFmtId="0" fontId="33" fillId="0" borderId="9" xfId="14" applyBorder="1" applyAlignment="1">
      <alignment vertical="center" wrapText="1"/>
    </xf>
    <xf numFmtId="0" fontId="0" fillId="0" borderId="9" xfId="0" applyBorder="1" applyAlignment="1">
      <alignment vertical="center" wrapText="1"/>
    </xf>
    <xf numFmtId="0" fontId="2" fillId="0" borderId="0" xfId="0" applyFont="1" applyAlignment="1">
      <alignment horizontal="center" vertical="center"/>
    </xf>
    <xf numFmtId="0" fontId="2" fillId="10" borderId="15" xfId="0" applyFont="1" applyFill="1" applyBorder="1" applyAlignment="1">
      <alignment horizontal="center" vertical="center"/>
    </xf>
    <xf numFmtId="0" fontId="33" fillId="0" borderId="41" xfId="14" applyBorder="1" applyAlignment="1">
      <alignment vertical="center" wrapText="1"/>
    </xf>
    <xf numFmtId="0" fontId="33" fillId="0" borderId="42" xfId="14" applyBorder="1" applyAlignment="1">
      <alignment vertical="center" wrapText="1"/>
    </xf>
    <xf numFmtId="0" fontId="0" fillId="0" borderId="43" xfId="0" applyBorder="1" applyAlignment="1">
      <alignment vertical="center" wrapText="1"/>
    </xf>
    <xf numFmtId="0" fontId="0" fillId="0" borderId="41" xfId="0" applyBorder="1" applyAlignment="1">
      <alignment vertical="center" wrapText="1"/>
    </xf>
    <xf numFmtId="0" fontId="0" fillId="0" borderId="42" xfId="0" applyBorder="1" applyAlignment="1">
      <alignment vertical="center" wrapText="1"/>
    </xf>
    <xf numFmtId="0" fontId="25" fillId="0" borderId="14" xfId="0" applyFont="1" applyBorder="1" applyAlignment="1">
      <alignment horizontal="center" vertical="center"/>
    </xf>
    <xf numFmtId="0" fontId="2" fillId="10" borderId="9" xfId="0" applyFont="1" applyFill="1" applyBorder="1" applyAlignment="1">
      <alignment horizontal="center" vertical="center" wrapText="1"/>
    </xf>
    <xf numFmtId="0" fontId="2" fillId="10" borderId="57" xfId="0" applyFont="1" applyFill="1" applyBorder="1" applyAlignment="1">
      <alignment horizontal="center" vertical="center" wrapText="1"/>
    </xf>
    <xf numFmtId="0" fontId="2" fillId="10" borderId="15" xfId="0" applyFont="1" applyFill="1" applyBorder="1" applyAlignment="1">
      <alignment horizontal="center" vertical="center" wrapText="1"/>
    </xf>
    <xf numFmtId="0" fontId="33" fillId="0" borderId="46" xfId="14" applyBorder="1" applyAlignment="1">
      <alignment vertical="center" wrapText="1"/>
    </xf>
    <xf numFmtId="0" fontId="0" fillId="0" borderId="0" xfId="0" applyAlignment="1">
      <alignment vertical="top"/>
    </xf>
    <xf numFmtId="0" fontId="0" fillId="15" borderId="9" xfId="0" applyFill="1" applyBorder="1" applyAlignment="1">
      <alignment horizontal="left"/>
    </xf>
    <xf numFmtId="0" fontId="0" fillId="15" borderId="14" xfId="0" applyFill="1" applyBorder="1" applyAlignment="1">
      <alignment horizontal="left"/>
    </xf>
    <xf numFmtId="0" fontId="2" fillId="9" borderId="3" xfId="0" applyFont="1" applyFill="1" applyBorder="1"/>
    <xf numFmtId="0" fontId="2" fillId="15" borderId="9" xfId="0" applyFont="1" applyFill="1" applyBorder="1" applyAlignment="1">
      <alignment horizontal="left"/>
    </xf>
    <xf numFmtId="0" fontId="0" fillId="0" borderId="0" xfId="0" applyBorder="1"/>
    <xf numFmtId="0" fontId="2" fillId="0" borderId="6" xfId="0" applyFont="1" applyBorder="1" applyAlignment="1">
      <alignment horizontal="center" vertical="center"/>
    </xf>
    <xf numFmtId="0" fontId="0" fillId="0" borderId="0" xfId="0" applyAlignment="1">
      <alignment vertical="top" wrapText="1"/>
    </xf>
    <xf numFmtId="0" fontId="3" fillId="6" borderId="9" xfId="0" applyFont="1" applyFill="1" applyBorder="1" applyAlignment="1"/>
    <xf numFmtId="0" fontId="0" fillId="3" borderId="19" xfId="0" applyFill="1" applyBorder="1" applyAlignment="1">
      <alignment horizontal="center" vertical="center"/>
    </xf>
    <xf numFmtId="0" fontId="0" fillId="11" borderId="75" xfId="0" applyFill="1" applyBorder="1"/>
    <xf numFmtId="0" fontId="2" fillId="10" borderId="38" xfId="0" applyFont="1" applyFill="1" applyBorder="1"/>
    <xf numFmtId="0" fontId="0" fillId="11" borderId="66" xfId="0" applyFill="1" applyBorder="1"/>
    <xf numFmtId="0" fontId="2" fillId="10" borderId="39" xfId="0" applyFont="1" applyFill="1" applyBorder="1"/>
    <xf numFmtId="0" fontId="0" fillId="11" borderId="73" xfId="0" applyFill="1" applyBorder="1"/>
    <xf numFmtId="0" fontId="8" fillId="4" borderId="6" xfId="0" applyFont="1" applyFill="1" applyBorder="1" applyAlignment="1">
      <alignment horizontal="center" vertical="center"/>
    </xf>
    <xf numFmtId="0" fontId="2" fillId="0" borderId="18" xfId="0" applyFont="1" applyFill="1" applyBorder="1" applyAlignment="1">
      <alignment horizontal="center" vertical="center"/>
    </xf>
    <xf numFmtId="0" fontId="0" fillId="0" borderId="0" xfId="0" applyAlignment="1">
      <alignment horizontal="left"/>
    </xf>
    <xf numFmtId="0" fontId="0" fillId="9" borderId="18" xfId="0" applyFill="1" applyBorder="1" applyAlignment="1">
      <alignment horizontal="center" vertical="center"/>
    </xf>
    <xf numFmtId="0" fontId="10" fillId="35" borderId="18" xfId="0" applyFont="1" applyFill="1" applyBorder="1" applyAlignment="1">
      <alignment horizontal="center" vertical="center"/>
    </xf>
    <xf numFmtId="0" fontId="0" fillId="0" borderId="18" xfId="0" applyBorder="1" applyAlignment="1">
      <alignment horizontal="left"/>
    </xf>
    <xf numFmtId="0" fontId="3" fillId="3" borderId="8" xfId="0" applyFont="1" applyFill="1" applyBorder="1" applyAlignment="1">
      <alignment horizontal="center" vertical="center"/>
    </xf>
    <xf numFmtId="0" fontId="0" fillId="0" borderId="4" xfId="0"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2" fillId="2" borderId="0" xfId="0" applyFont="1" applyFill="1" applyBorder="1" applyAlignment="1">
      <alignment horizontal="center"/>
    </xf>
    <xf numFmtId="166" fontId="1" fillId="0" borderId="9" xfId="1" applyNumberFormat="1" applyFont="1" applyFill="1" applyBorder="1" applyAlignment="1">
      <alignment horizontal="center"/>
    </xf>
    <xf numFmtId="166" fontId="0" fillId="0" borderId="0" xfId="1" applyNumberFormat="1" applyFont="1" applyFill="1" applyBorder="1" applyAlignment="1">
      <alignment horizontal="center"/>
    </xf>
    <xf numFmtId="166" fontId="1" fillId="0" borderId="0" xfId="1" applyNumberFormat="1" applyFont="1" applyFill="1" applyBorder="1" applyAlignment="1">
      <alignment horizontal="center"/>
    </xf>
    <xf numFmtId="166" fontId="0" fillId="0" borderId="33" xfId="1" applyNumberFormat="1" applyFont="1" applyFill="1" applyBorder="1" applyAlignment="1">
      <alignment horizontal="center"/>
    </xf>
    <xf numFmtId="0" fontId="0" fillId="0" borderId="63" xfId="0" applyBorder="1" applyAlignment="1">
      <alignment horizontal="center" vertical="center"/>
    </xf>
    <xf numFmtId="0" fontId="0" fillId="0" borderId="70" xfId="0" applyBorder="1" applyAlignment="1">
      <alignment horizontal="center" vertical="center"/>
    </xf>
    <xf numFmtId="0" fontId="0" fillId="0" borderId="3" xfId="0" applyBorder="1" applyAlignment="1">
      <alignment horizontal="center" vertical="center"/>
    </xf>
    <xf numFmtId="0" fontId="0" fillId="8" borderId="5" xfId="0" applyFill="1" applyBorder="1" applyAlignment="1">
      <alignment horizontal="center" vertical="center"/>
    </xf>
    <xf numFmtId="0" fontId="2" fillId="10" borderId="41" xfId="0" applyFont="1" applyFill="1" applyBorder="1" applyAlignment="1">
      <alignment horizontal="center" vertical="center" wrapText="1"/>
    </xf>
    <xf numFmtId="0" fontId="2" fillId="10" borderId="42" xfId="0" applyFont="1" applyFill="1" applyBorder="1" applyAlignment="1">
      <alignment horizontal="center" vertical="center" wrapText="1"/>
    </xf>
    <xf numFmtId="0" fontId="2" fillId="10" borderId="42" xfId="0" applyFont="1" applyFill="1" applyBorder="1" applyAlignment="1">
      <alignment horizontal="center" vertical="center"/>
    </xf>
    <xf numFmtId="0" fontId="0" fillId="0" borderId="0" xfId="0" applyFill="1"/>
    <xf numFmtId="0" fontId="0" fillId="0" borderId="71" xfId="0" applyBorder="1"/>
    <xf numFmtId="0" fontId="0" fillId="0" borderId="57" xfId="0" applyBorder="1"/>
    <xf numFmtId="0" fontId="3" fillId="2" borderId="4" xfId="0" applyFont="1" applyFill="1" applyBorder="1"/>
    <xf numFmtId="0" fontId="3" fillId="2" borderId="7" xfId="0" applyFont="1" applyFill="1" applyBorder="1"/>
    <xf numFmtId="0" fontId="3" fillId="2" borderId="8" xfId="0" applyFont="1" applyFill="1" applyBorder="1" applyAlignment="1">
      <alignment vertical="center"/>
    </xf>
    <xf numFmtId="0" fontId="3" fillId="2" borderId="7" xfId="0" applyFont="1" applyFill="1" applyBorder="1" applyAlignment="1">
      <alignment vertical="center"/>
    </xf>
    <xf numFmtId="0" fontId="3" fillId="2" borderId="4" xfId="0" applyFont="1" applyFill="1" applyBorder="1" applyAlignment="1">
      <alignment vertical="center"/>
    </xf>
    <xf numFmtId="0" fontId="6" fillId="0" borderId="0" xfId="1" applyNumberFormat="1" applyFont="1" applyFill="1" applyBorder="1" applyAlignment="1">
      <alignment horizontal="center"/>
    </xf>
    <xf numFmtId="166" fontId="0" fillId="0" borderId="0" xfId="3" applyNumberFormat="1" applyFont="1" applyFill="1" applyBorder="1" applyAlignment="1">
      <alignment horizontal="center"/>
    </xf>
    <xf numFmtId="168" fontId="2" fillId="0" borderId="0" xfId="3" applyNumberFormat="1" applyFont="1" applyFill="1" applyBorder="1" applyAlignment="1">
      <alignment horizontal="center"/>
    </xf>
    <xf numFmtId="0" fontId="0" fillId="0" borderId="0" xfId="0" applyFill="1" applyBorder="1"/>
    <xf numFmtId="0" fontId="0" fillId="0" borderId="0" xfId="0" applyFill="1" applyBorder="1" applyAlignment="1">
      <alignment horizontal="center"/>
    </xf>
    <xf numFmtId="0" fontId="6" fillId="0" borderId="0" xfId="0" applyFont="1" applyFill="1" applyBorder="1" applyAlignment="1">
      <alignment horizontal="center"/>
    </xf>
    <xf numFmtId="0" fontId="4" fillId="0" borderId="0" xfId="0" applyFont="1" applyFill="1" applyBorder="1"/>
    <xf numFmtId="0" fontId="5" fillId="0" borderId="0" xfId="1" applyNumberFormat="1" applyFont="1" applyFill="1" applyBorder="1" applyAlignment="1">
      <alignment horizontal="center"/>
    </xf>
    <xf numFmtId="165" fontId="6" fillId="0" borderId="0" xfId="0" applyNumberFormat="1" applyFont="1" applyFill="1" applyBorder="1" applyAlignment="1">
      <alignment horizontal="center" vertical="center"/>
    </xf>
    <xf numFmtId="0" fontId="3" fillId="0" borderId="0" xfId="0" applyFont="1" applyFill="1" applyBorder="1"/>
    <xf numFmtId="0" fontId="2" fillId="0" borderId="0" xfId="0" applyFont="1" applyFill="1" applyBorder="1"/>
    <xf numFmtId="0" fontId="2" fillId="0" borderId="0" xfId="0" applyFont="1" applyFill="1" applyBorder="1" applyAlignment="1">
      <alignment horizontal="center"/>
    </xf>
    <xf numFmtId="2" fontId="0" fillId="0" borderId="0" xfId="0" applyNumberFormat="1" applyFill="1" applyBorder="1" applyAlignment="1">
      <alignment horizontal="center"/>
    </xf>
    <xf numFmtId="0" fontId="2" fillId="2" borderId="15" xfId="0" applyFont="1" applyFill="1" applyBorder="1" applyAlignment="1">
      <alignment horizontal="left"/>
    </xf>
    <xf numFmtId="0" fontId="2" fillId="9" borderId="18" xfId="0" applyFont="1" applyFill="1" applyBorder="1" applyAlignment="1">
      <alignment horizontal="center" vertical="center"/>
    </xf>
    <xf numFmtId="0" fontId="0" fillId="11" borderId="16" xfId="0" applyFill="1" applyBorder="1"/>
    <xf numFmtId="0" fontId="0" fillId="11" borderId="38" xfId="0" applyFill="1" applyBorder="1"/>
    <xf numFmtId="0" fontId="2" fillId="0" borderId="29" xfId="0" applyFont="1" applyFill="1" applyBorder="1" applyAlignment="1">
      <alignment horizontal="center" vertical="center"/>
    </xf>
    <xf numFmtId="0" fontId="2" fillId="2" borderId="0" xfId="0" applyFont="1" applyFill="1" applyBorder="1" applyAlignment="1">
      <alignment horizontal="left"/>
    </xf>
    <xf numFmtId="0" fontId="2" fillId="0" borderId="10" xfId="0" applyFont="1" applyFill="1" applyBorder="1" applyAlignment="1">
      <alignment horizontal="center" vertical="center"/>
    </xf>
    <xf numFmtId="0" fontId="9" fillId="16" borderId="3" xfId="0" applyFont="1" applyFill="1" applyBorder="1" applyAlignment="1">
      <alignment horizontal="center"/>
    </xf>
    <xf numFmtId="0" fontId="2" fillId="0" borderId="58" xfId="0" applyFont="1" applyFill="1" applyBorder="1" applyAlignment="1">
      <alignment horizontal="center" vertical="center"/>
    </xf>
    <xf numFmtId="165" fontId="4" fillId="0" borderId="3" xfId="1" applyFont="1" applyFill="1" applyBorder="1" applyAlignment="1">
      <alignment horizontal="center" vertical="center"/>
    </xf>
    <xf numFmtId="0" fontId="0" fillId="0" borderId="0" xfId="0" applyFill="1" applyBorder="1" applyAlignment="1">
      <alignment horizontal="center" vertical="center"/>
    </xf>
    <xf numFmtId="0" fontId="9" fillId="16" borderId="5" xfId="0" applyFont="1" applyFill="1" applyBorder="1" applyAlignment="1">
      <alignment horizontal="center" vertical="center"/>
    </xf>
    <xf numFmtId="165" fontId="2" fillId="2" borderId="42" xfId="1" applyFont="1" applyFill="1" applyBorder="1" applyAlignment="1">
      <alignment horizontal="center" vertical="center"/>
    </xf>
    <xf numFmtId="0" fontId="2" fillId="2" borderId="33" xfId="0" applyFont="1" applyFill="1" applyBorder="1" applyAlignment="1">
      <alignment horizontal="left"/>
    </xf>
    <xf numFmtId="0" fontId="34" fillId="0" borderId="1" xfId="0" applyFont="1" applyFill="1" applyBorder="1" applyAlignment="1">
      <alignment horizontal="center" vertical="center"/>
    </xf>
    <xf numFmtId="0" fontId="2" fillId="0" borderId="0" xfId="0" applyFont="1" applyFill="1" applyAlignment="1">
      <alignment horizontal="center" vertical="center"/>
    </xf>
    <xf numFmtId="0" fontId="0" fillId="0" borderId="0" xfId="0" applyFill="1" applyBorder="1" applyAlignment="1">
      <alignment vertical="center" wrapText="1"/>
    </xf>
    <xf numFmtId="0" fontId="34" fillId="0" borderId="19" xfId="0" applyFont="1" applyFill="1" applyBorder="1" applyAlignment="1">
      <alignment horizontal="center" vertical="center"/>
    </xf>
    <xf numFmtId="0" fontId="2" fillId="0" borderId="61" xfId="0" applyFont="1" applyFill="1" applyBorder="1" applyAlignment="1">
      <alignment horizontal="center" vertical="center"/>
    </xf>
    <xf numFmtId="0" fontId="0" fillId="0" borderId="61" xfId="0" applyFill="1" applyBorder="1" applyAlignment="1">
      <alignment vertical="center" wrapText="1"/>
    </xf>
    <xf numFmtId="0" fontId="2" fillId="0" borderId="27" xfId="0" applyFont="1" applyFill="1" applyBorder="1" applyAlignment="1">
      <alignment horizontal="center" vertical="center"/>
    </xf>
    <xf numFmtId="0" fontId="0" fillId="0" borderId="9" xfId="0" applyFill="1" applyBorder="1" applyAlignment="1">
      <alignment vertical="center" wrapText="1"/>
    </xf>
    <xf numFmtId="0" fontId="2" fillId="0" borderId="68" xfId="0" applyFont="1" applyFill="1" applyBorder="1" applyAlignment="1">
      <alignment horizontal="center" vertical="center"/>
    </xf>
    <xf numFmtId="0" fontId="0" fillId="0" borderId="37" xfId="0" applyFill="1" applyBorder="1" applyAlignment="1">
      <alignment vertical="center" wrapText="1"/>
    </xf>
    <xf numFmtId="0" fontId="2" fillId="0" borderId="16" xfId="0" applyFont="1" applyFill="1" applyBorder="1" applyAlignment="1">
      <alignment horizontal="center" vertical="center"/>
    </xf>
    <xf numFmtId="0" fontId="2" fillId="0" borderId="15" xfId="0" applyFont="1" applyFill="1" applyBorder="1" applyAlignment="1">
      <alignment horizontal="center" vertical="center"/>
    </xf>
    <xf numFmtId="0" fontId="0" fillId="0" borderId="17" xfId="0" applyFill="1" applyBorder="1" applyAlignment="1">
      <alignment vertical="center" wrapText="1"/>
    </xf>
    <xf numFmtId="0" fontId="2" fillId="0" borderId="12" xfId="0" applyFont="1" applyFill="1" applyBorder="1" applyAlignment="1">
      <alignment horizontal="center" vertical="center"/>
    </xf>
    <xf numFmtId="0" fontId="0" fillId="0" borderId="67" xfId="0" applyFill="1" applyBorder="1" applyAlignment="1">
      <alignment vertical="center" wrapText="1"/>
    </xf>
    <xf numFmtId="0" fontId="0" fillId="0" borderId="32" xfId="0" applyFill="1" applyBorder="1" applyAlignment="1">
      <alignment vertical="center" wrapText="1"/>
    </xf>
    <xf numFmtId="0" fontId="2" fillId="0" borderId="44" xfId="0" applyFont="1" applyFill="1" applyBorder="1" applyAlignment="1">
      <alignment horizontal="center" vertical="center"/>
    </xf>
    <xf numFmtId="0" fontId="2" fillId="0" borderId="69" xfId="0" applyFont="1" applyFill="1" applyBorder="1" applyAlignment="1">
      <alignment horizontal="center" vertical="center"/>
    </xf>
    <xf numFmtId="0" fontId="2" fillId="0" borderId="1" xfId="0" applyFont="1" applyFill="1" applyBorder="1" applyAlignment="1">
      <alignment horizontal="center" vertical="center"/>
    </xf>
    <xf numFmtId="0" fontId="2" fillId="10" borderId="6" xfId="0" applyFont="1" applyFill="1" applyBorder="1" applyAlignment="1">
      <alignment horizontal="center" vertical="center" wrapText="1"/>
    </xf>
    <xf numFmtId="0" fontId="2" fillId="10" borderId="43" xfId="0" applyFont="1" applyFill="1" applyBorder="1" applyAlignment="1">
      <alignment horizontal="center" vertical="center"/>
    </xf>
    <xf numFmtId="166" fontId="1" fillId="0" borderId="9" xfId="1" applyNumberFormat="1" applyFont="1" applyFill="1" applyBorder="1" applyAlignment="1">
      <alignment horizontal="center" vertical="center"/>
    </xf>
    <xf numFmtId="0" fontId="2" fillId="0" borderId="4" xfId="0" applyFont="1" applyBorder="1" applyAlignment="1">
      <alignment vertical="center" wrapText="1"/>
    </xf>
    <xf numFmtId="165" fontId="4" fillId="0" borderId="8" xfId="1" applyFont="1" applyFill="1" applyBorder="1" applyAlignment="1">
      <alignment horizontal="center" vertical="center" wrapText="1"/>
    </xf>
    <xf numFmtId="0" fontId="4" fillId="0" borderId="1" xfId="0" applyFont="1" applyFill="1" applyBorder="1"/>
    <xf numFmtId="0" fontId="4" fillId="0" borderId="1" xfId="0" applyFont="1" applyFill="1" applyBorder="1" applyAlignment="1">
      <alignment vertical="center"/>
    </xf>
    <xf numFmtId="0" fontId="4" fillId="0" borderId="2" xfId="0" applyFont="1" applyFill="1" applyBorder="1" applyAlignment="1">
      <alignment vertical="center"/>
    </xf>
    <xf numFmtId="0" fontId="0" fillId="10" borderId="47" xfId="0" applyFill="1" applyBorder="1"/>
    <xf numFmtId="0" fontId="0" fillId="10" borderId="19" xfId="0" applyFill="1" applyBorder="1"/>
    <xf numFmtId="0" fontId="0" fillId="10" borderId="61" xfId="0" applyFill="1" applyBorder="1"/>
    <xf numFmtId="0" fontId="0" fillId="10" borderId="20" xfId="0" applyFill="1" applyBorder="1"/>
    <xf numFmtId="0" fontId="2" fillId="0" borderId="13" xfId="0" applyFont="1" applyBorder="1" applyAlignment="1">
      <alignment horizontal="center" vertical="center"/>
    </xf>
    <xf numFmtId="0" fontId="0" fillId="11" borderId="18" xfId="0" applyFill="1" applyBorder="1"/>
    <xf numFmtId="0" fontId="2" fillId="10" borderId="18" xfId="0" applyFont="1" applyFill="1" applyBorder="1" applyAlignment="1">
      <alignment horizontal="center" vertical="center"/>
    </xf>
    <xf numFmtId="0" fontId="0" fillId="0" borderId="12" xfId="0" applyBorder="1" applyAlignment="1">
      <alignment horizontal="center" vertical="center"/>
    </xf>
    <xf numFmtId="0" fontId="0" fillId="2" borderId="7" xfId="0" applyFill="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2" borderId="8" xfId="0" applyFont="1" applyFill="1" applyBorder="1"/>
    <xf numFmtId="0" fontId="0" fillId="2" borderId="7" xfId="0" applyFill="1" applyBorder="1"/>
    <xf numFmtId="0" fontId="0" fillId="2" borderId="8" xfId="0" applyFill="1" applyBorder="1"/>
    <xf numFmtId="0" fontId="0" fillId="0" borderId="25" xfId="0" applyBorder="1" applyAlignment="1">
      <alignment horizontal="center" vertical="center"/>
    </xf>
    <xf numFmtId="0" fontId="0" fillId="0" borderId="58" xfId="0" applyBorder="1" applyAlignment="1">
      <alignment horizontal="center" vertical="center"/>
    </xf>
    <xf numFmtId="0" fontId="2" fillId="10" borderId="59" xfId="0" applyFont="1" applyFill="1" applyBorder="1"/>
    <xf numFmtId="0" fontId="0" fillId="11" borderId="55" xfId="0" applyFill="1" applyBorder="1"/>
    <xf numFmtId="0" fontId="0" fillId="0" borderId="66" xfId="0" applyBorder="1"/>
    <xf numFmtId="0" fontId="0" fillId="0" borderId="62" xfId="0" applyBorder="1"/>
    <xf numFmtId="0" fontId="0" fillId="0" borderId="58" xfId="0" applyBorder="1" applyAlignment="1">
      <alignment horizontal="center"/>
    </xf>
    <xf numFmtId="0" fontId="0" fillId="18" borderId="58" xfId="0" applyFill="1" applyBorder="1" applyAlignment="1">
      <alignment horizontal="center" vertical="center"/>
    </xf>
    <xf numFmtId="0" fontId="0" fillId="18" borderId="76" xfId="0" applyFill="1" applyBorder="1" applyAlignment="1">
      <alignment horizontal="center" vertical="center"/>
    </xf>
    <xf numFmtId="0" fontId="0" fillId="0" borderId="76" xfId="0" applyBorder="1" applyAlignment="1">
      <alignment horizontal="center" vertical="center"/>
    </xf>
    <xf numFmtId="0" fontId="0" fillId="0" borderId="48" xfId="0" applyBorder="1" applyAlignment="1">
      <alignment horizontal="center" vertical="center"/>
    </xf>
    <xf numFmtId="0" fontId="0" fillId="0" borderId="60" xfId="0" applyBorder="1" applyAlignment="1">
      <alignment horizontal="center" vertical="center"/>
    </xf>
    <xf numFmtId="0" fontId="0" fillId="0" borderId="59" xfId="0" applyBorder="1" applyAlignment="1">
      <alignment horizontal="center" vertical="center"/>
    </xf>
    <xf numFmtId="0" fontId="0" fillId="0" borderId="55" xfId="0" applyBorder="1" applyAlignment="1">
      <alignment horizontal="center" vertical="center"/>
    </xf>
    <xf numFmtId="0" fontId="0" fillId="3" borderId="58" xfId="0" applyFill="1" applyBorder="1" applyAlignment="1">
      <alignment horizontal="center"/>
    </xf>
    <xf numFmtId="0" fontId="0" fillId="3" borderId="55" xfId="0" applyFill="1" applyBorder="1" applyAlignment="1">
      <alignment horizontal="center"/>
    </xf>
    <xf numFmtId="0" fontId="0" fillId="3" borderId="25" xfId="0" applyFill="1" applyBorder="1" applyAlignment="1">
      <alignment horizontal="center"/>
    </xf>
    <xf numFmtId="0" fontId="0" fillId="3" borderId="60" xfId="0" applyFill="1" applyBorder="1" applyAlignment="1">
      <alignment horizontal="center"/>
    </xf>
    <xf numFmtId="0" fontId="0" fillId="8" borderId="56" xfId="0" applyFill="1" applyBorder="1" applyAlignment="1">
      <alignment horizontal="center" vertical="center"/>
    </xf>
    <xf numFmtId="0" fontId="0" fillId="8" borderId="58" xfId="0" applyFill="1" applyBorder="1" applyAlignment="1">
      <alignment horizontal="center" vertical="center"/>
    </xf>
    <xf numFmtId="0" fontId="0" fillId="8" borderId="62" xfId="0" applyFill="1" applyBorder="1" applyAlignment="1">
      <alignment horizontal="center" vertical="center"/>
    </xf>
    <xf numFmtId="0" fontId="0" fillId="0" borderId="70" xfId="0" applyBorder="1"/>
    <xf numFmtId="0" fontId="0" fillId="3" borderId="48" xfId="0" applyFill="1" applyBorder="1" applyAlignment="1">
      <alignment horizontal="center" vertical="center"/>
    </xf>
    <xf numFmtId="0" fontId="0" fillId="0" borderId="25" xfId="0" applyBorder="1" applyAlignment="1">
      <alignment horizontal="center"/>
    </xf>
    <xf numFmtId="0" fontId="0" fillId="18" borderId="58" xfId="0" applyFill="1" applyBorder="1" applyAlignment="1">
      <alignment horizontal="center"/>
    </xf>
    <xf numFmtId="0" fontId="0" fillId="18" borderId="25" xfId="0" applyFill="1" applyBorder="1" applyAlignment="1">
      <alignment horizontal="center"/>
    </xf>
    <xf numFmtId="0" fontId="0" fillId="18" borderId="56" xfId="0" applyFill="1" applyBorder="1" applyAlignment="1">
      <alignment horizontal="center"/>
    </xf>
    <xf numFmtId="0" fontId="0" fillId="18" borderId="20" xfId="0" applyFill="1" applyBorder="1" applyAlignment="1">
      <alignment horizontal="center"/>
    </xf>
    <xf numFmtId="0" fontId="0" fillId="0" borderId="56" xfId="0" applyBorder="1" applyAlignment="1">
      <alignment horizontal="center" vertical="center"/>
    </xf>
    <xf numFmtId="0" fontId="0" fillId="0" borderId="62" xfId="0" applyBorder="1" applyAlignment="1">
      <alignment horizontal="center" vertical="center"/>
    </xf>
    <xf numFmtId="0" fontId="0" fillId="0" borderId="48" xfId="0" applyBorder="1" applyAlignment="1">
      <alignment horizontal="center"/>
    </xf>
    <xf numFmtId="0" fontId="0" fillId="0" borderId="59" xfId="0" applyBorder="1" applyAlignment="1">
      <alignment horizontal="center"/>
    </xf>
    <xf numFmtId="0" fontId="0" fillId="18" borderId="20" xfId="0" applyFill="1" applyBorder="1" applyAlignment="1">
      <alignment horizontal="center" vertical="center"/>
    </xf>
    <xf numFmtId="0" fontId="0" fillId="0" borderId="19" xfId="0" applyBorder="1" applyAlignment="1">
      <alignment horizontal="center" vertical="center"/>
    </xf>
    <xf numFmtId="0" fontId="0" fillId="0" borderId="41" xfId="0" applyBorder="1" applyAlignment="1">
      <alignment horizontal="center" vertical="center"/>
    </xf>
    <xf numFmtId="0" fontId="3" fillId="0" borderId="22" xfId="0" applyFont="1" applyBorder="1" applyAlignment="1">
      <alignment horizontal="center" vertical="center" wrapText="1"/>
    </xf>
    <xf numFmtId="0" fontId="0" fillId="18" borderId="25" xfId="0" applyFill="1" applyBorder="1" applyAlignment="1">
      <alignment horizontal="center" vertical="center"/>
    </xf>
    <xf numFmtId="0" fontId="0" fillId="18" borderId="56" xfId="0" applyFill="1" applyBorder="1" applyAlignment="1">
      <alignment horizontal="center" vertical="center"/>
    </xf>
    <xf numFmtId="0" fontId="0" fillId="2" borderId="7" xfId="0" applyFill="1" applyBorder="1" applyAlignment="1">
      <alignment horizontal="center"/>
    </xf>
    <xf numFmtId="0" fontId="3" fillId="0" borderId="26" xfId="0" applyFont="1" applyBorder="1" applyAlignment="1">
      <alignment horizontal="center" vertical="center" wrapText="1"/>
    </xf>
    <xf numFmtId="0" fontId="3" fillId="0" borderId="22" xfId="0" applyFont="1" applyBorder="1" applyAlignment="1">
      <alignment horizontal="center" vertical="center"/>
    </xf>
    <xf numFmtId="0" fontId="0" fillId="0" borderId="40" xfId="0" applyBorder="1"/>
    <xf numFmtId="0" fontId="3" fillId="2" borderId="4" xfId="0" applyFont="1" applyFill="1" applyBorder="1" applyAlignment="1"/>
    <xf numFmtId="0" fontId="3" fillId="2" borderId="7" xfId="0" applyFont="1" applyFill="1" applyBorder="1" applyAlignment="1"/>
    <xf numFmtId="0" fontId="3" fillId="2" borderId="8" xfId="0" applyFont="1" applyFill="1" applyBorder="1" applyAlignment="1"/>
    <xf numFmtId="0" fontId="0" fillId="3" borderId="25" xfId="0" applyFill="1" applyBorder="1"/>
    <xf numFmtId="0" fontId="3" fillId="8" borderId="18" xfId="0" applyFont="1" applyFill="1" applyBorder="1" applyAlignment="1">
      <alignment horizontal="center" vertical="center" wrapText="1"/>
    </xf>
    <xf numFmtId="0" fontId="0" fillId="0" borderId="24" xfId="0" applyBorder="1" applyAlignment="1">
      <alignment horizontal="center"/>
    </xf>
    <xf numFmtId="0" fontId="0" fillId="0" borderId="56" xfId="0" applyBorder="1" applyAlignment="1">
      <alignment horizontal="center"/>
    </xf>
    <xf numFmtId="0" fontId="3" fillId="8" borderId="27" xfId="0" applyFont="1" applyFill="1" applyBorder="1"/>
    <xf numFmtId="0" fontId="3" fillId="0" borderId="12" xfId="0" applyFont="1" applyBorder="1" applyAlignment="1">
      <alignment horizontal="center" wrapText="1"/>
    </xf>
    <xf numFmtId="0" fontId="0" fillId="3" borderId="22" xfId="0" applyFill="1" applyBorder="1" applyAlignment="1">
      <alignment horizontal="center"/>
    </xf>
    <xf numFmtId="0" fontId="3" fillId="0" borderId="18"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6" xfId="0" applyFont="1" applyBorder="1" applyAlignment="1">
      <alignment horizontal="center" wrapText="1"/>
    </xf>
    <xf numFmtId="0" fontId="0" fillId="11" borderId="58" xfId="0" applyFill="1" applyBorder="1" applyAlignment="1">
      <alignment horizontal="center"/>
    </xf>
    <xf numFmtId="0" fontId="0" fillId="11" borderId="25" xfId="0" applyFill="1" applyBorder="1" applyAlignment="1">
      <alignment horizontal="center"/>
    </xf>
    <xf numFmtId="0" fontId="0" fillId="11" borderId="20" xfId="0" applyFill="1" applyBorder="1" applyAlignment="1">
      <alignment horizontal="center" vertical="center"/>
    </xf>
    <xf numFmtId="0" fontId="0" fillId="11" borderId="59" xfId="0" applyFill="1" applyBorder="1" applyAlignment="1">
      <alignment horizontal="center"/>
    </xf>
    <xf numFmtId="0" fontId="0" fillId="11" borderId="48" xfId="0" applyFill="1" applyBorder="1" applyAlignment="1">
      <alignment horizontal="center"/>
    </xf>
    <xf numFmtId="0" fontId="0" fillId="11" borderId="59" xfId="0" applyFill="1" applyBorder="1" applyAlignment="1">
      <alignment horizontal="center" vertical="center"/>
    </xf>
    <xf numFmtId="0" fontId="0" fillId="18" borderId="48" xfId="0" applyFill="1" applyBorder="1" applyAlignment="1">
      <alignment horizontal="center" vertical="center"/>
    </xf>
    <xf numFmtId="0" fontId="0" fillId="11" borderId="39" xfId="0" applyFill="1" applyBorder="1" applyAlignment="1">
      <alignment horizontal="center" vertical="center"/>
    </xf>
    <xf numFmtId="0" fontId="0" fillId="11" borderId="76" xfId="0" applyFill="1" applyBorder="1" applyAlignment="1">
      <alignment horizontal="center"/>
    </xf>
    <xf numFmtId="0" fontId="0" fillId="11" borderId="76" xfId="0" applyFill="1" applyBorder="1" applyAlignment="1">
      <alignment horizontal="center" vertical="center"/>
    </xf>
    <xf numFmtId="0" fontId="16" fillId="8" borderId="18" xfId="0" applyFont="1" applyFill="1" applyBorder="1" applyAlignment="1">
      <alignment horizontal="center" vertical="center"/>
    </xf>
    <xf numFmtId="0" fontId="0" fillId="0" borderId="9" xfId="0" applyBorder="1" applyAlignment="1">
      <alignment horizontal="center" vertical="center"/>
    </xf>
    <xf numFmtId="0" fontId="0" fillId="0" borderId="33" xfId="0" applyBorder="1" applyAlignment="1">
      <alignment horizontal="center" vertical="center"/>
    </xf>
    <xf numFmtId="0" fontId="0" fillId="0" borderId="1" xfId="0" applyBorder="1" applyAlignment="1">
      <alignment horizontal="center" vertical="center"/>
    </xf>
    <xf numFmtId="0" fontId="0" fillId="0" borderId="63" xfId="0" applyBorder="1"/>
    <xf numFmtId="0" fontId="0" fillId="0" borderId="67" xfId="0" applyBorder="1"/>
    <xf numFmtId="0" fontId="0" fillId="0" borderId="68" xfId="0" applyBorder="1"/>
    <xf numFmtId="0" fontId="0" fillId="0" borderId="3" xfId="0" applyBorder="1"/>
    <xf numFmtId="0" fontId="0" fillId="0" borderId="34" xfId="0" applyBorder="1"/>
    <xf numFmtId="0" fontId="0" fillId="0" borderId="57" xfId="0" applyBorder="1" applyAlignment="1">
      <alignment horizontal="center" vertical="center"/>
    </xf>
    <xf numFmtId="0" fontId="0" fillId="0" borderId="18" xfId="0" applyFill="1" applyBorder="1" applyAlignment="1">
      <alignment horizontal="center"/>
    </xf>
    <xf numFmtId="0" fontId="17" fillId="18" borderId="24" xfId="0" applyFont="1" applyFill="1" applyBorder="1" applyAlignment="1">
      <alignment horizontal="center"/>
    </xf>
    <xf numFmtId="0" fontId="17" fillId="18" borderId="23" xfId="0" applyFont="1" applyFill="1" applyBorder="1" applyAlignment="1">
      <alignment horizontal="center"/>
    </xf>
    <xf numFmtId="0" fontId="17" fillId="18" borderId="18" xfId="0" applyFont="1" applyFill="1" applyBorder="1" applyAlignment="1">
      <alignment horizontal="center"/>
    </xf>
    <xf numFmtId="0" fontId="0" fillId="0" borderId="28" xfId="0" applyBorder="1" applyAlignment="1">
      <alignment horizontal="center" vertical="center"/>
    </xf>
    <xf numFmtId="0" fontId="0" fillId="0" borderId="40" xfId="0" applyBorder="1" applyAlignment="1">
      <alignment horizontal="center" vertical="center"/>
    </xf>
    <xf numFmtId="0" fontId="17" fillId="0" borderId="52" xfId="0" applyFont="1" applyBorder="1" applyAlignment="1">
      <alignment horizontal="center" vertical="center"/>
    </xf>
    <xf numFmtId="0" fontId="17" fillId="0" borderId="24" xfId="0" applyFont="1" applyBorder="1" applyAlignment="1">
      <alignment horizontal="center" vertical="center"/>
    </xf>
    <xf numFmtId="0" fontId="17" fillId="0" borderId="56" xfId="0" applyFont="1" applyBorder="1" applyAlignment="1">
      <alignment horizontal="center" vertical="center"/>
    </xf>
    <xf numFmtId="0" fontId="17" fillId="0" borderId="23" xfId="0" applyFont="1" applyFill="1" applyBorder="1" applyAlignment="1">
      <alignment horizontal="center" vertical="center"/>
    </xf>
    <xf numFmtId="0" fontId="17" fillId="0" borderId="24" xfId="0" applyFont="1" applyFill="1" applyBorder="1" applyAlignment="1">
      <alignment horizontal="center"/>
    </xf>
    <xf numFmtId="0" fontId="17" fillId="0" borderId="18" xfId="0" applyFont="1" applyFill="1" applyBorder="1" applyAlignment="1">
      <alignment horizontal="center"/>
    </xf>
    <xf numFmtId="0" fontId="17" fillId="0" borderId="23" xfId="0" applyFont="1" applyFill="1" applyBorder="1" applyAlignment="1">
      <alignment horizontal="center"/>
    </xf>
    <xf numFmtId="0" fontId="17" fillId="0" borderId="23" xfId="0" applyFont="1" applyBorder="1" applyAlignment="1">
      <alignment horizontal="center" vertical="center"/>
    </xf>
    <xf numFmtId="0" fontId="17" fillId="0" borderId="18" xfId="0" applyFont="1" applyBorder="1" applyAlignment="1">
      <alignment horizontal="center" vertical="center"/>
    </xf>
    <xf numFmtId="0" fontId="17" fillId="18" borderId="23" xfId="0" applyFont="1" applyFill="1" applyBorder="1" applyAlignment="1">
      <alignment horizontal="center" vertical="center"/>
    </xf>
    <xf numFmtId="0" fontId="17" fillId="0" borderId="76" xfId="0" applyFont="1" applyBorder="1" applyAlignment="1">
      <alignment horizontal="center" vertical="center"/>
    </xf>
    <xf numFmtId="0" fontId="17" fillId="0" borderId="29" xfId="0" applyFont="1" applyBorder="1" applyAlignment="1">
      <alignment horizontal="center" vertical="center"/>
    </xf>
    <xf numFmtId="0" fontId="17" fillId="18" borderId="24" xfId="0" applyFont="1" applyFill="1" applyBorder="1" applyAlignment="1">
      <alignment horizontal="center" vertical="center"/>
    </xf>
    <xf numFmtId="0" fontId="17" fillId="18" borderId="18" xfId="0" applyFont="1" applyFill="1" applyBorder="1" applyAlignment="1">
      <alignment horizontal="center" vertical="center"/>
    </xf>
    <xf numFmtId="0" fontId="0" fillId="0" borderId="23" xfId="0" applyFill="1" applyBorder="1" applyAlignment="1">
      <alignment horizontal="center" vertical="center"/>
    </xf>
    <xf numFmtId="0" fontId="17" fillId="0" borderId="28" xfId="0" applyFont="1" applyBorder="1" applyAlignment="1">
      <alignment horizontal="center" vertical="center"/>
    </xf>
    <xf numFmtId="0" fontId="17" fillId="0" borderId="40" xfId="0" applyFont="1" applyBorder="1" applyAlignment="1">
      <alignment horizontal="center" vertical="center"/>
    </xf>
    <xf numFmtId="0" fontId="17" fillId="0" borderId="56" xfId="0" applyFont="1" applyFill="1" applyBorder="1" applyAlignment="1">
      <alignment horizontal="center"/>
    </xf>
    <xf numFmtId="0" fontId="17" fillId="18" borderId="62" xfId="0" applyFont="1" applyFill="1" applyBorder="1" applyAlignment="1">
      <alignment horizontal="center"/>
    </xf>
    <xf numFmtId="0" fontId="17" fillId="0" borderId="20" xfId="0" applyFont="1" applyFill="1" applyBorder="1" applyAlignment="1">
      <alignment horizontal="center"/>
    </xf>
    <xf numFmtId="0" fontId="17" fillId="0" borderId="24" xfId="0" applyFont="1" applyFill="1" applyBorder="1" applyAlignment="1">
      <alignment horizontal="center" vertical="center"/>
    </xf>
    <xf numFmtId="0" fontId="17" fillId="8" borderId="24" xfId="0" applyFont="1" applyFill="1" applyBorder="1" applyAlignment="1">
      <alignment horizontal="center" vertical="center"/>
    </xf>
    <xf numFmtId="0" fontId="17" fillId="0" borderId="38" xfId="0" applyFont="1" applyBorder="1" applyAlignment="1">
      <alignment horizontal="center" vertical="center"/>
    </xf>
    <xf numFmtId="0" fontId="17" fillId="18" borderId="20" xfId="0" applyFont="1" applyFill="1" applyBorder="1" applyAlignment="1">
      <alignment horizontal="center" vertical="center"/>
    </xf>
    <xf numFmtId="0" fontId="17" fillId="0" borderId="49" xfId="0" applyFont="1" applyBorder="1" applyAlignment="1">
      <alignment horizontal="center" vertical="center"/>
    </xf>
    <xf numFmtId="0" fontId="17" fillId="18" borderId="36" xfId="0" applyFont="1" applyFill="1" applyBorder="1" applyAlignment="1">
      <alignment horizontal="center" vertical="center"/>
    </xf>
    <xf numFmtId="0" fontId="17" fillId="0" borderId="39" xfId="0" applyFont="1" applyBorder="1" applyAlignment="1">
      <alignment horizontal="center" vertical="center"/>
    </xf>
    <xf numFmtId="0" fontId="17" fillId="18" borderId="45" xfId="0" applyFont="1" applyFill="1" applyBorder="1" applyAlignment="1">
      <alignment horizontal="center"/>
    </xf>
    <xf numFmtId="0" fontId="17" fillId="0" borderId="28" xfId="0" applyFont="1" applyFill="1" applyBorder="1" applyAlignment="1">
      <alignment horizontal="center"/>
    </xf>
    <xf numFmtId="0" fontId="17" fillId="18" borderId="75" xfId="0" applyFont="1" applyFill="1" applyBorder="1" applyAlignment="1">
      <alignment horizontal="center"/>
    </xf>
    <xf numFmtId="0" fontId="17" fillId="18" borderId="38" xfId="0" applyFont="1" applyFill="1" applyBorder="1" applyAlignment="1">
      <alignment horizontal="center"/>
    </xf>
    <xf numFmtId="0" fontId="17" fillId="18" borderId="66" xfId="0" applyFont="1" applyFill="1" applyBorder="1" applyAlignment="1">
      <alignment horizontal="center"/>
    </xf>
    <xf numFmtId="0" fontId="17" fillId="18" borderId="39" xfId="0" applyFont="1" applyFill="1" applyBorder="1" applyAlignment="1">
      <alignment horizontal="center"/>
    </xf>
    <xf numFmtId="0" fontId="17" fillId="0" borderId="29" xfId="0" applyFont="1" applyFill="1" applyBorder="1" applyAlignment="1">
      <alignment horizontal="center"/>
    </xf>
    <xf numFmtId="0" fontId="17" fillId="18" borderId="73" xfId="0" applyFont="1" applyFill="1" applyBorder="1" applyAlignment="1">
      <alignment horizontal="center"/>
    </xf>
    <xf numFmtId="0" fontId="17" fillId="0" borderId="18" xfId="0" applyFont="1" applyFill="1" applyBorder="1" applyAlignment="1">
      <alignment horizontal="center" vertical="center"/>
    </xf>
    <xf numFmtId="0" fontId="0" fillId="0" borderId="75" xfId="0" applyBorder="1"/>
    <xf numFmtId="0" fontId="17" fillId="0" borderId="58" xfId="0" applyFont="1" applyFill="1" applyBorder="1" applyAlignment="1">
      <alignment horizontal="center"/>
    </xf>
    <xf numFmtId="0" fontId="17" fillId="0" borderId="25" xfId="0" applyFont="1" applyFill="1" applyBorder="1" applyAlignment="1">
      <alignment horizontal="center"/>
    </xf>
    <xf numFmtId="0" fontId="0" fillId="0" borderId="25" xfId="0" applyBorder="1" applyAlignment="1">
      <alignment horizontal="center" vertical="center"/>
    </xf>
    <xf numFmtId="0" fontId="17" fillId="0" borderId="19" xfId="0" applyFont="1" applyBorder="1" applyAlignment="1">
      <alignment horizontal="center" vertical="center"/>
    </xf>
    <xf numFmtId="0" fontId="17" fillId="8" borderId="15" xfId="0" applyFont="1" applyFill="1" applyBorder="1" applyAlignment="1">
      <alignment horizontal="center" vertical="center"/>
    </xf>
    <xf numFmtId="0" fontId="0" fillId="0" borderId="24" xfId="0" applyFill="1" applyBorder="1" applyAlignment="1">
      <alignment horizontal="center" vertical="center"/>
    </xf>
    <xf numFmtId="0" fontId="17" fillId="0" borderId="54" xfId="0" applyFont="1" applyBorder="1" applyAlignment="1">
      <alignment horizontal="center" vertical="center"/>
    </xf>
    <xf numFmtId="0" fontId="0" fillId="0" borderId="75" xfId="0" applyBorder="1" applyAlignment="1">
      <alignment horizontal="center" vertical="center"/>
    </xf>
    <xf numFmtId="0" fontId="17" fillId="0" borderId="59" xfId="0" applyFont="1"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center"/>
    </xf>
    <xf numFmtId="0" fontId="0" fillId="18" borderId="32" xfId="0" applyFill="1" applyBorder="1" applyAlignment="1">
      <alignment horizontal="center"/>
    </xf>
    <xf numFmtId="0" fontId="3" fillId="2" borderId="10" xfId="0" applyFont="1" applyFill="1" applyBorder="1"/>
    <xf numFmtId="0" fontId="0" fillId="0" borderId="58" xfId="0" applyFill="1" applyBorder="1" applyAlignment="1">
      <alignment horizontal="center"/>
    </xf>
    <xf numFmtId="0" fontId="0" fillId="0" borderId="20" xfId="0" applyFill="1" applyBorder="1" applyAlignment="1">
      <alignment horizontal="center" vertical="center"/>
    </xf>
    <xf numFmtId="0" fontId="0" fillId="0" borderId="58" xfId="0" applyBorder="1" applyAlignment="1">
      <alignment horizontal="center" vertical="center"/>
    </xf>
    <xf numFmtId="0" fontId="2" fillId="0" borderId="3" xfId="0" applyFont="1" applyBorder="1" applyAlignment="1">
      <alignment horizontal="left"/>
    </xf>
    <xf numFmtId="167" fontId="0" fillId="9" borderId="41" xfId="3" applyFont="1" applyFill="1" applyBorder="1"/>
    <xf numFmtId="167" fontId="0" fillId="9" borderId="42" xfId="3" applyFont="1" applyFill="1" applyBorder="1"/>
    <xf numFmtId="167" fontId="0" fillId="9" borderId="46" xfId="3" applyFont="1" applyFill="1" applyBorder="1"/>
    <xf numFmtId="2" fontId="0" fillId="11" borderId="0" xfId="0" applyNumberFormat="1" applyFill="1" applyBorder="1" applyAlignment="1">
      <alignment horizontal="center"/>
    </xf>
    <xf numFmtId="0" fontId="0" fillId="0" borderId="25" xfId="0" applyBorder="1" applyAlignment="1">
      <alignment horizontal="center" vertical="center"/>
    </xf>
    <xf numFmtId="0" fontId="0" fillId="0" borderId="58" xfId="0" applyBorder="1" applyAlignment="1">
      <alignment horizontal="center" vertical="center"/>
    </xf>
    <xf numFmtId="0" fontId="0" fillId="0" borderId="45" xfId="0" applyBorder="1" applyAlignment="1">
      <alignment horizontal="center" vertical="center"/>
    </xf>
    <xf numFmtId="0" fontId="0" fillId="0" borderId="38" xfId="0" applyFill="1" applyBorder="1" applyAlignment="1">
      <alignment horizontal="center" vertical="center"/>
    </xf>
    <xf numFmtId="0" fontId="0" fillId="3" borderId="21" xfId="0" applyFill="1" applyBorder="1" applyAlignment="1">
      <alignment horizontal="center"/>
    </xf>
    <xf numFmtId="0" fontId="0" fillId="3" borderId="35" xfId="0" applyFill="1" applyBorder="1" applyAlignment="1">
      <alignment horizontal="center"/>
    </xf>
    <xf numFmtId="0" fontId="0" fillId="0" borderId="24" xfId="0" applyFill="1" applyBorder="1" applyAlignment="1">
      <alignment horizontal="center"/>
    </xf>
    <xf numFmtId="0" fontId="3" fillId="0" borderId="21" xfId="0" applyFont="1" applyBorder="1" applyAlignment="1">
      <alignment horizontal="center" vertical="center"/>
    </xf>
    <xf numFmtId="0" fontId="3" fillId="0" borderId="22" xfId="0" applyFont="1" applyBorder="1" applyAlignment="1">
      <alignment horizontal="center" vertical="center" wrapText="1"/>
    </xf>
    <xf numFmtId="0" fontId="3" fillId="0" borderId="26" xfId="0" applyFont="1" applyBorder="1" applyAlignment="1">
      <alignment horizontal="center" vertical="center" wrapText="1"/>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58" xfId="0" applyBorder="1" applyAlignment="1">
      <alignment horizontal="center"/>
    </xf>
    <xf numFmtId="0" fontId="0" fillId="0" borderId="25" xfId="0" applyBorder="1" applyAlignment="1">
      <alignment horizontal="center"/>
    </xf>
    <xf numFmtId="0" fontId="0" fillId="0" borderId="56" xfId="0" applyBorder="1" applyAlignment="1">
      <alignment horizontal="center" vertic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58" xfId="0" applyBorder="1" applyAlignment="1">
      <alignment horizontal="center"/>
    </xf>
    <xf numFmtId="0" fontId="0" fillId="0" borderId="25" xfId="0" applyBorder="1" applyAlignment="1">
      <alignment horizontal="center"/>
    </xf>
    <xf numFmtId="0" fontId="0" fillId="0" borderId="56" xfId="0" applyBorder="1" applyAlignment="1">
      <alignment horizontal="center" vertic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58" xfId="0" applyBorder="1" applyAlignment="1">
      <alignment horizontal="center"/>
    </xf>
    <xf numFmtId="0" fontId="0" fillId="0" borderId="25" xfId="0" applyBorder="1" applyAlignment="1">
      <alignment horizontal="center"/>
    </xf>
    <xf numFmtId="0" fontId="0" fillId="0" borderId="56" xfId="0" applyBorder="1" applyAlignment="1">
      <alignment horizontal="center" vertic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25" xfId="0"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vertical="center"/>
    </xf>
    <xf numFmtId="0" fontId="0" fillId="0" borderId="24" xfId="0" applyBorder="1" applyAlignment="1">
      <alignment horizontal="center" vertical="center"/>
    </xf>
    <xf numFmtId="0" fontId="0" fillId="0" borderId="18" xfId="0" applyFill="1" applyBorder="1" applyAlignment="1">
      <alignment horizontal="center" vertical="center"/>
    </xf>
    <xf numFmtId="0" fontId="0" fillId="0" borderId="58" xfId="0" applyBorder="1" applyAlignment="1">
      <alignment horizontal="center" vertical="center"/>
    </xf>
    <xf numFmtId="0" fontId="0" fillId="0" borderId="56" xfId="0" applyBorder="1" applyAlignment="1">
      <alignment horizontal="center" vertical="center"/>
    </xf>
    <xf numFmtId="0" fontId="0" fillId="0" borderId="24" xfId="0" applyFill="1" applyBorder="1" applyAlignment="1">
      <alignment horizontal="center" vertic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4" xfId="0" applyFill="1" applyBorder="1" applyAlignment="1">
      <alignment horizontal="center"/>
    </xf>
    <xf numFmtId="0" fontId="0" fillId="0" borderId="18" xfId="0" applyBorder="1" applyAlignment="1">
      <alignment horizont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32" xfId="0" applyBorder="1" applyAlignment="1">
      <alignment horizontal="center" vertical="center"/>
    </xf>
    <xf numFmtId="0" fontId="0" fillId="0" borderId="42" xfId="0" applyBorder="1" applyAlignment="1">
      <alignment horizontal="center" vertical="center"/>
    </xf>
    <xf numFmtId="0" fontId="0" fillId="0" borderId="42" xfId="0" applyBorder="1"/>
    <xf numFmtId="0" fontId="0" fillId="0" borderId="43" xfId="0" applyBorder="1"/>
    <xf numFmtId="0" fontId="0" fillId="0" borderId="43" xfId="0" applyBorder="1" applyAlignment="1">
      <alignment horizontal="center" vertical="center"/>
    </xf>
    <xf numFmtId="0" fontId="0" fillId="0" borderId="23" xfId="0" applyBorder="1" applyAlignment="1">
      <alignment horizontal="center" vertical="center"/>
    </xf>
    <xf numFmtId="0" fontId="0" fillId="0" borderId="46" xfId="0" applyBorder="1"/>
    <xf numFmtId="0" fontId="0" fillId="0" borderId="24" xfId="0" applyBorder="1" applyAlignment="1">
      <alignment horizontal="center" vertical="center"/>
    </xf>
    <xf numFmtId="0" fontId="0" fillId="0" borderId="20" xfId="0" applyBorder="1" applyAlignment="1">
      <alignment horizontal="center" vertical="center"/>
    </xf>
    <xf numFmtId="0" fontId="0" fillId="0" borderId="41" xfId="0" applyBorder="1"/>
    <xf numFmtId="0" fontId="0" fillId="18" borderId="24" xfId="0" applyFill="1" applyBorder="1" applyAlignment="1">
      <alignment horizontal="center"/>
    </xf>
    <xf numFmtId="0" fontId="0" fillId="18" borderId="18" xfId="0" applyFill="1" applyBorder="1" applyAlignment="1">
      <alignment horizontal="center" vertical="center"/>
    </xf>
    <xf numFmtId="0" fontId="0" fillId="18" borderId="18" xfId="0" applyFill="1" applyBorder="1" applyAlignment="1">
      <alignment horizontal="center"/>
    </xf>
    <xf numFmtId="0" fontId="0" fillId="18" borderId="24" xfId="0" applyFill="1" applyBorder="1" applyAlignment="1">
      <alignment horizontal="center" vertical="center"/>
    </xf>
    <xf numFmtId="0" fontId="3" fillId="0" borderId="47" xfId="0" applyFont="1" applyBorder="1" applyAlignment="1">
      <alignment horizontal="center"/>
    </xf>
    <xf numFmtId="0" fontId="3" fillId="0" borderId="26" xfId="0" applyFont="1" applyBorder="1" applyAlignment="1">
      <alignment horizontal="center"/>
    </xf>
    <xf numFmtId="0" fontId="0" fillId="8" borderId="18" xfId="0" applyFill="1" applyBorder="1" applyAlignment="1">
      <alignment horizontal="center"/>
    </xf>
    <xf numFmtId="0" fontId="0" fillId="8" borderId="24" xfId="0" applyFill="1" applyBorder="1" applyAlignment="1">
      <alignment horizontal="center" vertical="center"/>
    </xf>
    <xf numFmtId="0" fontId="0" fillId="8" borderId="18" xfId="0" applyFill="1" applyBorder="1" applyAlignment="1">
      <alignment horizontal="center" vertical="center"/>
    </xf>
    <xf numFmtId="0" fontId="0" fillId="8" borderId="24" xfId="0" applyFill="1" applyBorder="1" applyAlignment="1">
      <alignment horizontal="center"/>
    </xf>
    <xf numFmtId="0" fontId="0" fillId="8" borderId="38" xfId="0" applyFill="1" applyBorder="1" applyAlignment="1">
      <alignment horizontal="center" vertical="center"/>
    </xf>
    <xf numFmtId="0" fontId="0" fillId="8" borderId="66" xfId="0" applyFill="1" applyBorder="1" applyAlignment="1">
      <alignment horizontal="center" vertical="center"/>
    </xf>
    <xf numFmtId="0" fontId="0" fillId="0" borderId="38" xfId="0" applyBorder="1" applyAlignment="1">
      <alignment horizontal="center" vertical="center"/>
    </xf>
    <xf numFmtId="0" fontId="0" fillId="8" borderId="17" xfId="0" applyFill="1" applyBorder="1" applyAlignment="1">
      <alignment horizontal="center" vertical="center"/>
    </xf>
    <xf numFmtId="0" fontId="0" fillId="8" borderId="39" xfId="0" applyFill="1" applyBorder="1" applyAlignment="1">
      <alignment horizontal="center" vertical="center"/>
    </xf>
    <xf numFmtId="0" fontId="0" fillId="8" borderId="76" xfId="0" applyFill="1" applyBorder="1" applyAlignment="1">
      <alignment horizontal="center"/>
    </xf>
    <xf numFmtId="0" fontId="0" fillId="8" borderId="32" xfId="0" applyFill="1" applyBorder="1" applyAlignment="1">
      <alignment horizontal="center" vertical="center"/>
    </xf>
    <xf numFmtId="0" fontId="3" fillId="0" borderId="26" xfId="0" applyFont="1" applyBorder="1" applyAlignment="1">
      <alignment horizontal="center" vertical="center"/>
    </xf>
    <xf numFmtId="0" fontId="0" fillId="0" borderId="66" xfId="0" applyBorder="1" applyAlignment="1">
      <alignment horizontal="center" vertical="center"/>
    </xf>
    <xf numFmtId="0" fontId="0" fillId="0" borderId="38" xfId="0" applyBorder="1" applyAlignment="1">
      <alignment horizontal="center"/>
    </xf>
    <xf numFmtId="0" fontId="0" fillId="18" borderId="38" xfId="0" applyFill="1" applyBorder="1" applyAlignment="1">
      <alignment horizontal="center" vertical="center"/>
    </xf>
    <xf numFmtId="0" fontId="0" fillId="0" borderId="39" xfId="0" applyBorder="1" applyAlignment="1">
      <alignment horizontal="center" vertical="center"/>
    </xf>
    <xf numFmtId="0" fontId="0" fillId="0" borderId="29" xfId="0" applyBorder="1" applyAlignment="1">
      <alignment horizontal="center" vertical="center"/>
    </xf>
    <xf numFmtId="0" fontId="0" fillId="0" borderId="45" xfId="0" applyBorder="1" applyAlignment="1">
      <alignment horizontal="center"/>
    </xf>
    <xf numFmtId="0" fontId="0" fillId="8" borderId="23" xfId="0" applyFill="1" applyBorder="1" applyAlignment="1">
      <alignment horizontal="center" vertical="center"/>
    </xf>
    <xf numFmtId="0" fontId="0" fillId="0" borderId="28" xfId="0" applyBorder="1" applyAlignment="1">
      <alignment horizontal="center"/>
    </xf>
    <xf numFmtId="0" fontId="0" fillId="0" borderId="75" xfId="0" applyBorder="1" applyAlignment="1">
      <alignment horizontal="center"/>
    </xf>
    <xf numFmtId="0" fontId="0" fillId="0" borderId="66" xfId="0" applyBorder="1" applyAlignment="1">
      <alignment horizontal="center"/>
    </xf>
    <xf numFmtId="0" fontId="0" fillId="18" borderId="38" xfId="0" applyFill="1" applyBorder="1" applyAlignment="1">
      <alignment horizontal="center"/>
    </xf>
    <xf numFmtId="0" fontId="0" fillId="18" borderId="76" xfId="0" applyFill="1" applyBorder="1" applyAlignment="1">
      <alignment horizontal="center"/>
    </xf>
    <xf numFmtId="0" fontId="0" fillId="0" borderId="18" xfId="0" applyFill="1"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0" fillId="0" borderId="58" xfId="0" applyBorder="1" applyAlignment="1">
      <alignment horizontal="center"/>
    </xf>
    <xf numFmtId="0" fontId="0" fillId="0" borderId="48" xfId="0" applyBorder="1" applyAlignment="1">
      <alignment horizontal="center" vertical="center"/>
    </xf>
    <xf numFmtId="0" fontId="0" fillId="0" borderId="60" xfId="0" applyBorder="1" applyAlignment="1">
      <alignment horizontal="center" vertical="center"/>
    </xf>
    <xf numFmtId="0" fontId="0" fillId="0" borderId="59" xfId="0" applyBorder="1" applyAlignment="1">
      <alignment horizontal="center" vertical="center"/>
    </xf>
    <xf numFmtId="0" fontId="0" fillId="0" borderId="55" xfId="0" applyBorder="1" applyAlignment="1">
      <alignment horizontal="center" vertical="center"/>
    </xf>
    <xf numFmtId="0" fontId="0" fillId="8" borderId="58" xfId="0" applyFill="1" applyBorder="1" applyAlignment="1">
      <alignment horizontal="center"/>
    </xf>
    <xf numFmtId="0" fontId="0" fillId="8" borderId="25" xfId="0" applyFill="1" applyBorder="1" applyAlignment="1">
      <alignment horizontal="center"/>
    </xf>
    <xf numFmtId="0" fontId="0" fillId="8" borderId="56" xfId="0" applyFill="1" applyBorder="1" applyAlignment="1">
      <alignment horizontal="center" vertical="center"/>
    </xf>
    <xf numFmtId="0" fontId="0" fillId="8" borderId="58" xfId="0" applyFill="1" applyBorder="1" applyAlignment="1">
      <alignment horizontal="center" vertical="center"/>
    </xf>
    <xf numFmtId="0" fontId="0" fillId="8" borderId="62" xfId="0" applyFill="1" applyBorder="1" applyAlignment="1">
      <alignment horizontal="center" vertical="center"/>
    </xf>
    <xf numFmtId="0" fontId="0" fillId="8" borderId="20" xfId="0" applyFill="1" applyBorder="1" applyAlignment="1">
      <alignment horizontal="center" vertical="center"/>
    </xf>
    <xf numFmtId="0" fontId="0" fillId="8" borderId="25" xfId="0" applyFill="1" applyBorder="1" applyAlignment="1">
      <alignment horizontal="center" vertical="center"/>
    </xf>
    <xf numFmtId="0" fontId="0" fillId="0" borderId="25" xfId="0" applyBorder="1" applyAlignment="1">
      <alignment horizontal="center"/>
    </xf>
    <xf numFmtId="0" fontId="0" fillId="18" borderId="58" xfId="0" applyFill="1" applyBorder="1" applyAlignment="1">
      <alignment horizontal="center"/>
    </xf>
    <xf numFmtId="0" fontId="0" fillId="18" borderId="25" xfId="0" applyFill="1" applyBorder="1" applyAlignment="1">
      <alignment horizontal="center"/>
    </xf>
    <xf numFmtId="0" fontId="0" fillId="18" borderId="56" xfId="0" applyFill="1" applyBorder="1" applyAlignment="1">
      <alignment horizontal="center"/>
    </xf>
    <xf numFmtId="0" fontId="0" fillId="18" borderId="20" xfId="0" applyFill="1" applyBorder="1" applyAlignment="1">
      <alignment horizontal="center"/>
    </xf>
    <xf numFmtId="0" fontId="0" fillId="0" borderId="56" xfId="0" applyBorder="1" applyAlignment="1">
      <alignment horizontal="center" vertical="center"/>
    </xf>
    <xf numFmtId="0" fontId="0" fillId="0" borderId="62" xfId="0" applyBorder="1" applyAlignment="1">
      <alignment horizontal="center" vertical="center"/>
    </xf>
    <xf numFmtId="0" fontId="0" fillId="0" borderId="48" xfId="0" applyBorder="1" applyAlignment="1">
      <alignment horizontal="center"/>
    </xf>
    <xf numFmtId="0" fontId="0" fillId="0" borderId="59" xfId="0" applyBorder="1" applyAlignment="1">
      <alignment horizontal="center"/>
    </xf>
    <xf numFmtId="0" fontId="0" fillId="18" borderId="20" xfId="0" applyFill="1" applyBorder="1" applyAlignment="1">
      <alignment horizontal="center" vertical="center"/>
    </xf>
    <xf numFmtId="0" fontId="0" fillId="0" borderId="41" xfId="0" applyBorder="1" applyAlignment="1">
      <alignment horizontal="center" vertical="center"/>
    </xf>
    <xf numFmtId="0" fontId="3" fillId="0" borderId="22" xfId="0" applyFont="1" applyBorder="1" applyAlignment="1">
      <alignment horizontal="center" vertical="center"/>
    </xf>
    <xf numFmtId="0" fontId="0" fillId="18" borderId="48" xfId="0" applyFill="1" applyBorder="1" applyAlignment="1">
      <alignment horizontal="center" vertical="center"/>
    </xf>
    <xf numFmtId="0" fontId="0" fillId="0" borderId="55" xfId="0" applyBorder="1" applyAlignment="1">
      <alignment horizontal="center"/>
    </xf>
    <xf numFmtId="0" fontId="0" fillId="0" borderId="60" xfId="0" applyBorder="1" applyAlignment="1">
      <alignment horizontal="center"/>
    </xf>
    <xf numFmtId="0" fontId="0" fillId="18" borderId="59" xfId="0" applyFill="1" applyBorder="1" applyAlignment="1">
      <alignment horizontal="center" vertical="center"/>
    </xf>
    <xf numFmtId="0" fontId="0" fillId="0" borderId="24" xfId="0" applyFill="1" applyBorder="1" applyAlignment="1">
      <alignment horizontal="center" vertic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4" xfId="0" applyFill="1" applyBorder="1" applyAlignment="1">
      <alignment horizontal="center"/>
    </xf>
    <xf numFmtId="0" fontId="0" fillId="0" borderId="25" xfId="0" applyFill="1" applyBorder="1" applyAlignment="1">
      <alignment horizontal="center"/>
    </xf>
    <xf numFmtId="0" fontId="0" fillId="0" borderId="29" xfId="0" applyFill="1" applyBorder="1" applyAlignment="1">
      <alignment horizontal="center" vertical="center"/>
    </xf>
    <xf numFmtId="0" fontId="0" fillId="0" borderId="38" xfId="0" applyFill="1" applyBorder="1" applyAlignment="1">
      <alignment horizontal="center" vertical="center"/>
    </xf>
    <xf numFmtId="0" fontId="0" fillId="8" borderId="56" xfId="0" applyFill="1" applyBorder="1" applyAlignment="1">
      <alignment horizontal="center"/>
    </xf>
    <xf numFmtId="0" fontId="0" fillId="8" borderId="20" xfId="0" applyFill="1" applyBorder="1" applyAlignment="1">
      <alignment horizontal="center"/>
    </xf>
    <xf numFmtId="0" fontId="0" fillId="0" borderId="25" xfId="0" applyBorder="1" applyAlignment="1">
      <alignment horizontal="center" vertical="center"/>
    </xf>
    <xf numFmtId="0" fontId="0" fillId="0" borderId="58" xfId="0" applyBorder="1" applyAlignment="1">
      <alignment horizontal="center" vertical="center"/>
    </xf>
    <xf numFmtId="0" fontId="0" fillId="18" borderId="23" xfId="0" applyFill="1" applyBorder="1" applyAlignment="1">
      <alignment horizontal="center" vertical="center"/>
    </xf>
    <xf numFmtId="0" fontId="0" fillId="18" borderId="71" xfId="0" applyFill="1" applyBorder="1" applyAlignment="1">
      <alignment horizontal="center" vertical="center"/>
    </xf>
    <xf numFmtId="0" fontId="0" fillId="0" borderId="71" xfId="0" applyFill="1" applyBorder="1" applyAlignment="1">
      <alignment horizontal="center" vertical="center"/>
    </xf>
    <xf numFmtId="0" fontId="0" fillId="18" borderId="42" xfId="0" applyFill="1" applyBorder="1" applyAlignment="1">
      <alignment horizontal="center" vertical="center"/>
    </xf>
    <xf numFmtId="0" fontId="0" fillId="0" borderId="42" xfId="0" applyFill="1" applyBorder="1" applyAlignment="1">
      <alignment horizontal="center" vertical="center"/>
    </xf>
    <xf numFmtId="0" fontId="0" fillId="18" borderId="46" xfId="0" applyFill="1" applyBorder="1" applyAlignment="1">
      <alignment horizontal="center" vertical="center"/>
    </xf>
    <xf numFmtId="0" fontId="0" fillId="0" borderId="46" xfId="0" applyFill="1" applyBorder="1" applyAlignment="1">
      <alignment horizontal="center" vertical="center"/>
    </xf>
    <xf numFmtId="0" fontId="0" fillId="8" borderId="42" xfId="0" applyFill="1" applyBorder="1" applyAlignment="1">
      <alignment horizontal="center" vertical="center"/>
    </xf>
    <xf numFmtId="0" fontId="0" fillId="0" borderId="58" xfId="0"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0" fillId="0" borderId="76" xfId="0" applyFill="1" applyBorder="1" applyAlignment="1">
      <alignment horizontal="center"/>
    </xf>
    <xf numFmtId="0" fontId="0" fillId="0" borderId="25" xfId="0" applyBorder="1" applyAlignment="1">
      <alignment horizontal="center" vertical="center"/>
    </xf>
    <xf numFmtId="0" fontId="0" fillId="0" borderId="58" xfId="0" applyBorder="1" applyAlignment="1">
      <alignment horizontal="center" vertical="center"/>
    </xf>
    <xf numFmtId="0" fontId="0" fillId="8" borderId="17" xfId="0" applyFill="1" applyBorder="1" applyAlignment="1">
      <alignment horizontal="center"/>
    </xf>
    <xf numFmtId="0" fontId="0" fillId="18" borderId="73" xfId="0" applyFill="1" applyBorder="1" applyAlignment="1">
      <alignment horizontal="center" vertical="center"/>
    </xf>
    <xf numFmtId="0" fontId="0" fillId="18" borderId="66" xfId="0" applyFill="1" applyBorder="1" applyAlignment="1">
      <alignment horizontal="center" vertical="center"/>
    </xf>
    <xf numFmtId="0" fontId="3" fillId="0" borderId="26" xfId="0" applyFont="1" applyBorder="1" applyAlignment="1">
      <alignment horizontal="center" vertical="center"/>
    </xf>
    <xf numFmtId="0" fontId="3" fillId="0" borderId="22" xfId="0" applyFont="1" applyBorder="1" applyAlignment="1">
      <alignment horizontal="center" vertic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18" xfId="0" applyBorder="1" applyAlignment="1">
      <alignment horizontal="center"/>
    </xf>
    <xf numFmtId="0" fontId="0" fillId="0" borderId="58" xfId="0" applyBorder="1" applyAlignment="1">
      <alignment horizontal="center"/>
    </xf>
    <xf numFmtId="0" fontId="0" fillId="0" borderId="25" xfId="0" applyBorder="1" applyAlignment="1">
      <alignment horizontal="center"/>
    </xf>
    <xf numFmtId="0" fontId="0" fillId="0" borderId="56" xfId="0" applyBorder="1" applyAlignment="1">
      <alignment horizontal="center" vertical="center"/>
    </xf>
    <xf numFmtId="0" fontId="0" fillId="0" borderId="18" xfId="0" applyBorder="1" applyAlignment="1">
      <alignment horizontal="center"/>
    </xf>
    <xf numFmtId="0" fontId="0" fillId="0" borderId="18"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25" xfId="0" applyBorder="1" applyAlignment="1">
      <alignment horizontal="center" vertical="center"/>
    </xf>
    <xf numFmtId="0" fontId="0" fillId="0" borderId="18" xfId="0" applyFill="1" applyBorder="1" applyAlignment="1">
      <alignment horizontal="center"/>
    </xf>
    <xf numFmtId="0" fontId="0" fillId="0" borderId="18" xfId="0" applyBorder="1" applyAlignment="1">
      <alignment horizont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3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0" fillId="18" borderId="24" xfId="0" applyFill="1" applyBorder="1" applyAlignment="1">
      <alignment horizontal="center"/>
    </xf>
    <xf numFmtId="0" fontId="0" fillId="18" borderId="24" xfId="0" applyFill="1" applyBorder="1" applyAlignment="1">
      <alignment horizontal="center" vertical="center"/>
    </xf>
    <xf numFmtId="0" fontId="0" fillId="0" borderId="38" xfId="0" applyBorder="1" applyAlignment="1">
      <alignment horizontal="center" vertical="center"/>
    </xf>
    <xf numFmtId="0" fontId="0" fillId="0" borderId="66" xfId="0" applyBorder="1" applyAlignment="1">
      <alignment horizontal="center" vertical="center"/>
    </xf>
    <xf numFmtId="0" fontId="0" fillId="18" borderId="38" xfId="0" applyFill="1" applyBorder="1" applyAlignment="1">
      <alignment horizontal="center" vertical="center"/>
    </xf>
    <xf numFmtId="0" fontId="0" fillId="0" borderId="39" xfId="0" applyBorder="1" applyAlignment="1">
      <alignment horizontal="center" vertical="center"/>
    </xf>
    <xf numFmtId="0" fontId="0" fillId="0" borderId="29" xfId="0" applyBorder="1" applyAlignment="1">
      <alignment horizontal="center" vertical="center"/>
    </xf>
    <xf numFmtId="0" fontId="0" fillId="0" borderId="15" xfId="0"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0" fillId="0" borderId="58" xfId="0" applyBorder="1" applyAlignment="1">
      <alignment horizontal="center"/>
    </xf>
    <xf numFmtId="0" fontId="0" fillId="0" borderId="60" xfId="0" applyBorder="1" applyAlignment="1">
      <alignment horizontal="center" vertical="center"/>
    </xf>
    <xf numFmtId="0" fontId="0" fillId="0" borderId="59" xfId="0" applyBorder="1" applyAlignment="1">
      <alignment horizontal="center" vertical="center"/>
    </xf>
    <xf numFmtId="0" fontId="0" fillId="0" borderId="25" xfId="0" applyBorder="1" applyAlignment="1">
      <alignment horizontal="center"/>
    </xf>
    <xf numFmtId="0" fontId="0" fillId="0" borderId="56" xfId="0" applyBorder="1" applyAlignment="1">
      <alignment horizontal="center" vertical="center"/>
    </xf>
    <xf numFmtId="0" fontId="0" fillId="0" borderId="62" xfId="0" applyBorder="1" applyAlignment="1">
      <alignment horizontal="center" vertical="center"/>
    </xf>
    <xf numFmtId="0" fontId="0" fillId="0" borderId="24" xfId="0" applyFill="1" applyBorder="1" applyAlignment="1">
      <alignment horizontal="center"/>
    </xf>
    <xf numFmtId="0" fontId="0" fillId="0" borderId="58" xfId="0" applyFill="1" applyBorder="1" applyAlignment="1">
      <alignment horizontal="center"/>
    </xf>
    <xf numFmtId="0" fontId="0" fillId="0" borderId="18" xfId="0" applyFill="1" applyBorder="1" applyAlignment="1">
      <alignment horizontal="center"/>
    </xf>
    <xf numFmtId="0" fontId="0" fillId="0" borderId="25" xfId="0" applyFill="1" applyBorder="1" applyAlignment="1">
      <alignment horizontal="center"/>
    </xf>
    <xf numFmtId="0" fontId="0" fillId="0" borderId="25" xfId="0" applyBorder="1" applyAlignment="1">
      <alignment horizontal="center" vertical="center"/>
    </xf>
    <xf numFmtId="0" fontId="0" fillId="0" borderId="58" xfId="0" applyBorder="1" applyAlignment="1">
      <alignment horizontal="center" vertical="center"/>
    </xf>
    <xf numFmtId="0" fontId="0" fillId="3" borderId="19" xfId="0" applyFill="1" applyBorder="1" applyAlignment="1">
      <alignment horizontal="center" vertical="center"/>
    </xf>
    <xf numFmtId="0" fontId="0" fillId="10" borderId="48" xfId="0" applyFill="1" applyBorder="1"/>
    <xf numFmtId="0" fontId="9" fillId="16" borderId="52" xfId="0" applyFont="1" applyFill="1" applyBorder="1"/>
    <xf numFmtId="0" fontId="0" fillId="0" borderId="1" xfId="0" applyBorder="1" applyAlignment="1">
      <alignment horizontal="center"/>
    </xf>
    <xf numFmtId="0" fontId="0" fillId="0" borderId="2" xfId="0" applyBorder="1" applyAlignment="1">
      <alignment horizontal="center"/>
    </xf>
    <xf numFmtId="165" fontId="2" fillId="2" borderId="33" xfId="1" applyFont="1" applyFill="1" applyBorder="1" applyAlignment="1">
      <alignment horizontal="center"/>
    </xf>
    <xf numFmtId="165" fontId="2" fillId="2" borderId="5" xfId="1" applyFont="1" applyFill="1" applyBorder="1" applyAlignment="1">
      <alignment horizontal="center"/>
    </xf>
    <xf numFmtId="165" fontId="2" fillId="2" borderId="1" xfId="1" applyFont="1" applyFill="1" applyBorder="1" applyAlignment="1">
      <alignment horizontal="center"/>
    </xf>
    <xf numFmtId="165" fontId="2" fillId="2" borderId="13" xfId="1" applyFont="1" applyFill="1" applyBorder="1" applyAlignment="1">
      <alignment horizontal="center"/>
    </xf>
    <xf numFmtId="0" fontId="0" fillId="0" borderId="2" xfId="0" applyBorder="1" applyAlignment="1">
      <alignment horizontal="center" vertical="center"/>
    </xf>
    <xf numFmtId="0" fontId="0" fillId="0" borderId="34" xfId="0" applyBorder="1" applyAlignment="1">
      <alignment horizontal="center" vertical="center"/>
    </xf>
    <xf numFmtId="0" fontId="3" fillId="0" borderId="6" xfId="0" applyFont="1" applyBorder="1" applyAlignment="1">
      <alignment horizontal="center" vertical="center"/>
    </xf>
    <xf numFmtId="0" fontId="2" fillId="10" borderId="48" xfId="0" applyFont="1" applyFill="1" applyBorder="1"/>
    <xf numFmtId="0" fontId="0" fillId="11" borderId="60" xfId="0" applyFill="1" applyBorder="1"/>
    <xf numFmtId="0" fontId="0" fillId="2" borderId="11" xfId="0" applyFill="1" applyBorder="1" applyAlignment="1">
      <alignment horizontal="center" vertical="center"/>
    </xf>
    <xf numFmtId="0" fontId="0" fillId="2" borderId="10" xfId="0" applyFill="1" applyBorder="1" applyAlignment="1">
      <alignment horizontal="center" vertical="center"/>
    </xf>
    <xf numFmtId="167" fontId="1" fillId="8" borderId="16" xfId="3" applyFont="1" applyFill="1" applyBorder="1"/>
    <xf numFmtId="167" fontId="17" fillId="8" borderId="70" xfId="3" applyFont="1" applyFill="1" applyBorder="1"/>
    <xf numFmtId="168" fontId="2" fillId="8" borderId="44" xfId="3" applyNumberFormat="1" applyFont="1" applyFill="1" applyBorder="1"/>
    <xf numFmtId="0" fontId="2" fillId="10" borderId="45" xfId="0" applyFont="1" applyFill="1" applyBorder="1"/>
    <xf numFmtId="0" fontId="0" fillId="0" borderId="44" xfId="0" applyBorder="1" applyAlignment="1">
      <alignment horizontal="center" vertical="center"/>
    </xf>
    <xf numFmtId="0" fontId="0" fillId="2" borderId="8" xfId="0" applyFill="1" applyBorder="1" applyAlignment="1">
      <alignment horizontal="center" vertical="center"/>
    </xf>
    <xf numFmtId="167" fontId="0" fillId="9" borderId="43" xfId="3" applyFont="1" applyFill="1" applyBorder="1"/>
    <xf numFmtId="0" fontId="0" fillId="0" borderId="14" xfId="0" applyFill="1" applyBorder="1" applyAlignment="1">
      <alignment horizontal="center" vertical="center"/>
    </xf>
    <xf numFmtId="0" fontId="0" fillId="0" borderId="13" xfId="0" applyFill="1" applyBorder="1" applyAlignment="1">
      <alignment horizontal="center" vertical="center"/>
    </xf>
    <xf numFmtId="0" fontId="0" fillId="0" borderId="5" xfId="0" applyFill="1" applyBorder="1" applyAlignment="1">
      <alignment horizontal="center" vertical="center"/>
    </xf>
    <xf numFmtId="168" fontId="0" fillId="0" borderId="38" xfId="1" applyNumberFormat="1" applyFont="1" applyFill="1" applyBorder="1" applyAlignment="1">
      <alignment horizontal="center" vertical="center"/>
    </xf>
    <xf numFmtId="168" fontId="2" fillId="0" borderId="66" xfId="1" applyNumberFormat="1" applyFont="1" applyFill="1" applyBorder="1" applyAlignment="1">
      <alignment horizontal="center" vertical="center"/>
    </xf>
    <xf numFmtId="168" fontId="0" fillId="0" borderId="18" xfId="1" applyNumberFormat="1" applyFont="1" applyFill="1" applyBorder="1" applyAlignment="1">
      <alignment horizontal="center" vertical="center"/>
    </xf>
    <xf numFmtId="168" fontId="0" fillId="0" borderId="39" xfId="1" applyNumberFormat="1" applyFont="1" applyFill="1" applyBorder="1" applyAlignment="1">
      <alignment horizontal="center" vertical="center"/>
    </xf>
    <xf numFmtId="168" fontId="0" fillId="0" borderId="29" xfId="1" applyNumberFormat="1" applyFont="1" applyFill="1" applyBorder="1" applyAlignment="1">
      <alignment horizontal="center" vertical="center"/>
    </xf>
    <xf numFmtId="168" fontId="2" fillId="0" borderId="73" xfId="1" applyNumberFormat="1" applyFont="1" applyFill="1"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center"/>
    </xf>
    <xf numFmtId="0" fontId="0" fillId="0" borderId="24" xfId="0" applyFill="1" applyBorder="1" applyAlignment="1">
      <alignment horizontal="center"/>
    </xf>
    <xf numFmtId="0" fontId="0" fillId="0" borderId="24" xfId="0" applyBorder="1" applyAlignment="1">
      <alignment horizontal="center" vertical="center"/>
    </xf>
    <xf numFmtId="0" fontId="0" fillId="0" borderId="15" xfId="0" applyBorder="1" applyAlignment="1">
      <alignment horizontal="center" vertical="center"/>
    </xf>
    <xf numFmtId="0" fontId="0" fillId="0" borderId="24" xfId="0" applyFill="1" applyBorder="1" applyAlignment="1">
      <alignment horizontal="center"/>
    </xf>
    <xf numFmtId="0" fontId="0" fillId="0" borderId="24" xfId="0" applyBorder="1" applyAlignment="1">
      <alignment horizontal="center" vertical="center"/>
    </xf>
    <xf numFmtId="0" fontId="0" fillId="0" borderId="15" xfId="0" applyBorder="1" applyAlignment="1">
      <alignment horizontal="center" vertical="center"/>
    </xf>
    <xf numFmtId="0" fontId="0" fillId="0" borderId="24" xfId="0" applyFill="1" applyBorder="1" applyAlignment="1">
      <alignment horizontal="center"/>
    </xf>
    <xf numFmtId="0" fontId="0" fillId="0" borderId="18" xfId="0" applyBorder="1" applyAlignment="1">
      <alignment horizontal="center" vertical="center"/>
    </xf>
    <xf numFmtId="0" fontId="0" fillId="0" borderId="66" xfId="0" applyBorder="1" applyAlignment="1">
      <alignment horizontal="center" vertical="center"/>
    </xf>
    <xf numFmtId="0" fontId="0" fillId="0" borderId="25" xfId="0" applyBorder="1" applyAlignment="1">
      <alignment horizontal="center" vertical="center"/>
    </xf>
    <xf numFmtId="0" fontId="0" fillId="0" borderId="60" xfId="0" applyBorder="1" applyAlignment="1">
      <alignment horizontal="center" vertical="center"/>
    </xf>
    <xf numFmtId="0" fontId="0" fillId="0" borderId="18" xfId="0" applyBorder="1" applyAlignment="1">
      <alignment horizont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32" xfId="0" applyBorder="1" applyAlignment="1">
      <alignment horizontal="center" vertical="center"/>
    </xf>
    <xf numFmtId="0" fontId="0" fillId="0" borderId="42" xfId="0" applyBorder="1"/>
    <xf numFmtId="0" fontId="0" fillId="0" borderId="43" xfId="0" applyBorder="1"/>
    <xf numFmtId="0" fontId="0" fillId="0" borderId="23" xfId="0" applyBorder="1" applyAlignment="1">
      <alignment horizontal="center" vertical="center"/>
    </xf>
    <xf numFmtId="0" fontId="0" fillId="0" borderId="46" xfId="0" applyBorder="1"/>
    <xf numFmtId="0" fontId="0" fillId="0" borderId="24" xfId="0" applyBorder="1" applyAlignment="1">
      <alignment horizontal="center" vertical="center"/>
    </xf>
    <xf numFmtId="0" fontId="0" fillId="0" borderId="41" xfId="0" applyBorder="1"/>
    <xf numFmtId="0" fontId="0" fillId="0" borderId="38" xfId="0" applyBorder="1" applyAlignment="1">
      <alignment horizontal="center" vertical="center"/>
    </xf>
    <xf numFmtId="0" fontId="0" fillId="0" borderId="66" xfId="0" applyBorder="1" applyAlignment="1">
      <alignment horizontal="center" vertical="center"/>
    </xf>
    <xf numFmtId="0" fontId="0" fillId="18" borderId="38" xfId="0" applyFill="1" applyBorder="1" applyAlignment="1">
      <alignment horizontal="center" vertical="center"/>
    </xf>
    <xf numFmtId="0" fontId="0" fillId="0" borderId="39" xfId="0" applyBorder="1" applyAlignment="1">
      <alignment horizontal="center" vertical="center"/>
    </xf>
    <xf numFmtId="0" fontId="0" fillId="0" borderId="58" xfId="0" applyBorder="1" applyAlignment="1">
      <alignment horizontal="center" vertical="center"/>
    </xf>
    <xf numFmtId="0" fontId="0" fillId="0" borderId="58" xfId="0" applyBorder="1" applyAlignment="1">
      <alignment horizontal="center"/>
    </xf>
    <xf numFmtId="0" fontId="0" fillId="0" borderId="76" xfId="0" applyBorder="1" applyAlignment="1">
      <alignment horizontal="center" vertical="center"/>
    </xf>
    <xf numFmtId="0" fontId="0" fillId="0" borderId="59" xfId="0" applyBorder="1" applyAlignment="1">
      <alignment horizontal="center" vertical="center"/>
    </xf>
    <xf numFmtId="0" fontId="0" fillId="0" borderId="55" xfId="0" applyBorder="1" applyAlignment="1">
      <alignment horizontal="center" vertical="center"/>
    </xf>
    <xf numFmtId="0" fontId="0" fillId="0" borderId="25" xfId="0" applyBorder="1" applyAlignment="1">
      <alignment horizontal="center"/>
    </xf>
    <xf numFmtId="0" fontId="0" fillId="0" borderId="62" xfId="0" applyBorder="1" applyAlignment="1">
      <alignment horizontal="center" vertical="center"/>
    </xf>
    <xf numFmtId="0" fontId="0" fillId="18" borderId="25" xfId="0" applyFill="1" applyBorder="1" applyAlignment="1">
      <alignment horizontal="center" vertical="center"/>
    </xf>
    <xf numFmtId="0" fontId="3" fillId="0" borderId="22" xfId="0" applyFont="1" applyBorder="1" applyAlignment="1">
      <alignment horizontal="center" vertical="center"/>
    </xf>
    <xf numFmtId="0" fontId="0" fillId="18" borderId="48" xfId="0" applyFill="1" applyBorder="1" applyAlignment="1">
      <alignment horizontal="center" vertical="center"/>
    </xf>
    <xf numFmtId="0" fontId="0" fillId="0" borderId="24" xfId="0" applyFill="1" applyBorder="1" applyAlignment="1">
      <alignment horizontal="center" vertical="center"/>
    </xf>
    <xf numFmtId="0" fontId="0" fillId="0" borderId="38" xfId="0" applyFill="1" applyBorder="1" applyAlignment="1">
      <alignment horizontal="center" vertical="center"/>
    </xf>
    <xf numFmtId="0" fontId="35" fillId="0" borderId="0" xfId="0" applyFont="1" applyBorder="1"/>
    <xf numFmtId="0" fontId="36" fillId="0" borderId="0" xfId="0" applyFont="1" applyAlignment="1">
      <alignment horizontal="left"/>
    </xf>
    <xf numFmtId="0" fontId="35" fillId="8" borderId="0" xfId="0" applyFont="1" applyFill="1"/>
    <xf numFmtId="0" fontId="35" fillId="0" borderId="0" xfId="0" applyFont="1"/>
    <xf numFmtId="0" fontId="35" fillId="21" borderId="0" xfId="0" applyFont="1" applyFill="1"/>
    <xf numFmtId="169" fontId="0" fillId="11" borderId="25" xfId="0" applyNumberFormat="1" applyFill="1" applyBorder="1" applyAlignment="1">
      <alignment horizontal="center"/>
    </xf>
    <xf numFmtId="169" fontId="0" fillId="11" borderId="26" xfId="0" applyNumberFormat="1" applyFill="1" applyBorder="1" applyAlignment="1">
      <alignment horizontal="center"/>
    </xf>
    <xf numFmtId="169" fontId="0" fillId="11" borderId="58" xfId="0" applyNumberFormat="1" applyFill="1" applyBorder="1" applyAlignment="1">
      <alignment horizontal="center"/>
    </xf>
    <xf numFmtId="169" fontId="0" fillId="11" borderId="31" xfId="0" applyNumberFormat="1" applyFill="1" applyBorder="1" applyAlignment="1">
      <alignment horizontal="center"/>
    </xf>
    <xf numFmtId="0" fontId="2" fillId="0" borderId="23" xfId="0" applyFont="1" applyFill="1" applyBorder="1" applyAlignment="1">
      <alignment horizontal="center" vertical="center"/>
    </xf>
    <xf numFmtId="0" fontId="2" fillId="9" borderId="23" xfId="0" applyFont="1" applyFill="1" applyBorder="1" applyAlignment="1">
      <alignment horizontal="center" vertical="center"/>
    </xf>
    <xf numFmtId="0" fontId="2" fillId="0" borderId="36" xfId="0" applyFont="1" applyFill="1" applyBorder="1" applyAlignment="1">
      <alignment horizontal="center" vertical="center"/>
    </xf>
    <xf numFmtId="166" fontId="1" fillId="0" borderId="42" xfId="1" applyNumberFormat="1" applyFont="1" applyFill="1" applyBorder="1" applyAlignment="1">
      <alignment horizontal="center" vertical="center"/>
    </xf>
    <xf numFmtId="166" fontId="1" fillId="0" borderId="43" xfId="1" applyNumberFormat="1" applyFont="1" applyFill="1" applyBorder="1" applyAlignment="1">
      <alignment horizontal="center" vertical="center"/>
    </xf>
    <xf numFmtId="0" fontId="0" fillId="3" borderId="21" xfId="0" applyFill="1" applyBorder="1" applyAlignment="1">
      <alignment horizontal="center" vertical="center"/>
    </xf>
    <xf numFmtId="0" fontId="0" fillId="0" borderId="68" xfId="0" applyBorder="1" applyAlignment="1">
      <alignment horizontal="center" vertical="center"/>
    </xf>
    <xf numFmtId="0" fontId="0" fillId="0" borderId="0" xfId="0" applyBorder="1" applyAlignment="1">
      <alignment horizontal="center" vertical="center"/>
    </xf>
    <xf numFmtId="0" fontId="0" fillId="3" borderId="22" xfId="0" applyFill="1" applyBorder="1"/>
    <xf numFmtId="0" fontId="0" fillId="11" borderId="0" xfId="0" applyFill="1" applyBorder="1" applyAlignment="1">
      <alignment horizontal="center"/>
    </xf>
    <xf numFmtId="0" fontId="0" fillId="3" borderId="25" xfId="0" applyFill="1" applyBorder="1" applyAlignment="1">
      <alignment vertical="center"/>
    </xf>
    <xf numFmtId="0" fontId="0" fillId="3" borderId="26" xfId="0" applyFill="1" applyBorder="1" applyAlignment="1">
      <alignment vertical="center"/>
    </xf>
    <xf numFmtId="0" fontId="0" fillId="3" borderId="58" xfId="0" applyFill="1" applyBorder="1" applyAlignment="1">
      <alignment vertical="center"/>
    </xf>
    <xf numFmtId="0" fontId="0" fillId="10" borderId="21" xfId="0" applyFill="1" applyBorder="1"/>
    <xf numFmtId="0" fontId="0" fillId="0" borderId="45" xfId="0" applyBorder="1"/>
    <xf numFmtId="0" fontId="0" fillId="0" borderId="28" xfId="0" applyBorder="1"/>
    <xf numFmtId="0" fontId="0" fillId="0" borderId="38" xfId="0" applyBorder="1"/>
    <xf numFmtId="0" fontId="0" fillId="0" borderId="39" xfId="0" applyBorder="1"/>
    <xf numFmtId="0" fontId="0" fillId="0" borderId="29" xfId="0" applyBorder="1"/>
    <xf numFmtId="0" fontId="2" fillId="36" borderId="33" xfId="0" applyFont="1" applyFill="1" applyBorder="1"/>
    <xf numFmtId="0" fontId="2" fillId="36" borderId="3" xfId="0" applyFont="1" applyFill="1" applyBorder="1"/>
    <xf numFmtId="0" fontId="2" fillId="15" borderId="6" xfId="0" applyFont="1" applyFill="1" applyBorder="1" applyAlignment="1">
      <alignment horizontal="center"/>
    </xf>
    <xf numFmtId="0" fontId="2" fillId="36" borderId="6" xfId="0" applyFont="1" applyFill="1" applyBorder="1"/>
    <xf numFmtId="0" fontId="2" fillId="20" borderId="18" xfId="0" applyFont="1" applyFill="1" applyBorder="1" applyAlignment="1">
      <alignment horizontal="center" vertical="center"/>
    </xf>
    <xf numFmtId="0" fontId="2" fillId="11" borderId="18" xfId="0" applyFont="1" applyFill="1" applyBorder="1" applyAlignment="1">
      <alignment horizontal="center" vertical="center"/>
    </xf>
    <xf numFmtId="0" fontId="9" fillId="35" borderId="18" xfId="0" applyFont="1" applyFill="1" applyBorder="1" applyAlignment="1">
      <alignment horizontal="center" vertical="center"/>
    </xf>
    <xf numFmtId="0" fontId="13" fillId="9" borderId="18" xfId="0" applyFont="1" applyFill="1" applyBorder="1" applyAlignment="1">
      <alignment horizontal="center" vertical="center"/>
    </xf>
    <xf numFmtId="0" fontId="13" fillId="35" borderId="18" xfId="0" applyFont="1" applyFill="1" applyBorder="1" applyAlignment="1">
      <alignment horizontal="center" vertical="center"/>
    </xf>
    <xf numFmtId="0" fontId="13" fillId="35" borderId="18" xfId="0" applyFont="1" applyFill="1" applyBorder="1" applyAlignment="1">
      <alignment horizontal="center" vertical="center" wrapText="1"/>
    </xf>
    <xf numFmtId="0" fontId="13" fillId="20" borderId="18" xfId="0" applyFont="1" applyFill="1" applyBorder="1" applyAlignment="1">
      <alignment horizontal="center" vertical="center"/>
    </xf>
    <xf numFmtId="0" fontId="13" fillId="11" borderId="18" xfId="0" applyFont="1" applyFill="1" applyBorder="1" applyAlignment="1">
      <alignment horizontal="center" vertical="center"/>
    </xf>
    <xf numFmtId="0" fontId="0" fillId="0" borderId="18" xfId="0" applyBorder="1" applyAlignment="1">
      <alignment wrapText="1"/>
    </xf>
    <xf numFmtId="0" fontId="0" fillId="0" borderId="18" xfId="0" applyBorder="1" applyAlignment="1">
      <alignment vertical="center"/>
    </xf>
    <xf numFmtId="0" fontId="0" fillId="15" borderId="3" xfId="0" applyFill="1" applyBorder="1" applyAlignment="1">
      <alignment horizontal="left"/>
    </xf>
    <xf numFmtId="0" fontId="0" fillId="15" borderId="33" xfId="0" applyFill="1" applyBorder="1"/>
    <xf numFmtId="0" fontId="0" fillId="15" borderId="34" xfId="0" applyFill="1" applyBorder="1"/>
    <xf numFmtId="0" fontId="0" fillId="0" borderId="38" xfId="0" applyBorder="1" applyAlignment="1">
      <alignment vertical="center" wrapText="1"/>
    </xf>
    <xf numFmtId="0" fontId="0" fillId="0" borderId="39" xfId="0" applyBorder="1" applyAlignment="1">
      <alignment vertical="center" wrapText="1"/>
    </xf>
    <xf numFmtId="0" fontId="0" fillId="0" borderId="73" xfId="0" applyBorder="1"/>
    <xf numFmtId="0" fontId="27" fillId="0" borderId="45" xfId="0" applyFont="1" applyBorder="1" applyAlignment="1">
      <alignment vertical="center" wrapText="1"/>
    </xf>
    <xf numFmtId="0" fontId="2" fillId="0" borderId="45" xfId="0" applyFont="1" applyBorder="1" applyAlignment="1">
      <alignment vertical="center" wrapText="1"/>
    </xf>
    <xf numFmtId="0" fontId="0" fillId="10" borderId="18" xfId="0" applyFill="1" applyBorder="1" applyAlignment="1">
      <alignment horizontal="center" vertical="center"/>
    </xf>
    <xf numFmtId="0" fontId="0" fillId="0" borderId="18" xfId="0" applyBorder="1" applyAlignment="1">
      <alignment horizontal="left" vertical="center"/>
    </xf>
    <xf numFmtId="0" fontId="0" fillId="20" borderId="18" xfId="0" applyFill="1" applyBorder="1" applyAlignment="1">
      <alignment horizontal="center" vertical="center"/>
    </xf>
    <xf numFmtId="0" fontId="0" fillId="11" borderId="18" xfId="0" applyFill="1" applyBorder="1" applyAlignment="1">
      <alignment horizontal="center" vertical="center"/>
    </xf>
    <xf numFmtId="0" fontId="17" fillId="11" borderId="18" xfId="0" applyFont="1" applyFill="1" applyBorder="1" applyAlignment="1">
      <alignment horizontal="center" vertical="center"/>
    </xf>
    <xf numFmtId="0" fontId="0" fillId="9" borderId="25" xfId="0" applyFill="1" applyBorder="1" applyAlignment="1">
      <alignment horizontal="center" vertical="center"/>
    </xf>
    <xf numFmtId="0" fontId="10" fillId="35" borderId="25" xfId="0" applyFont="1" applyFill="1" applyBorder="1" applyAlignment="1">
      <alignment horizontal="center" vertical="center"/>
    </xf>
    <xf numFmtId="0" fontId="0" fillId="10" borderId="18" xfId="0" applyFill="1" applyBorder="1" applyAlignment="1">
      <alignment vertical="center"/>
    </xf>
    <xf numFmtId="0" fontId="0" fillId="10" borderId="62" xfId="0" applyFill="1" applyBorder="1" applyAlignment="1">
      <alignment vertical="center"/>
    </xf>
    <xf numFmtId="0" fontId="10" fillId="35" borderId="24" xfId="0" applyFont="1" applyFill="1" applyBorder="1" applyAlignment="1">
      <alignment horizontal="center" vertical="center"/>
    </xf>
    <xf numFmtId="0" fontId="0" fillId="10" borderId="58" xfId="0" applyFill="1" applyBorder="1" applyAlignment="1">
      <alignment vertical="center"/>
    </xf>
    <xf numFmtId="0" fontId="17" fillId="20" borderId="18" xfId="0" applyFont="1" applyFill="1" applyBorder="1" applyAlignment="1">
      <alignment horizontal="center" vertical="center"/>
    </xf>
    <xf numFmtId="0" fontId="0" fillId="11" borderId="25" xfId="0" applyFill="1" applyBorder="1" applyAlignment="1">
      <alignment horizontal="center" vertical="center"/>
    </xf>
    <xf numFmtId="0" fontId="35" fillId="35" borderId="18" xfId="0" applyFont="1" applyFill="1" applyBorder="1" applyAlignment="1">
      <alignment horizontal="center" vertical="center"/>
    </xf>
    <xf numFmtId="0" fontId="10" fillId="10" borderId="18" xfId="0" applyFont="1" applyFill="1" applyBorder="1" applyAlignment="1">
      <alignment horizontal="center" vertical="center"/>
    </xf>
    <xf numFmtId="0" fontId="0" fillId="0" borderId="25" xfId="0" applyBorder="1" applyAlignment="1">
      <alignment vertical="center"/>
    </xf>
    <xf numFmtId="0" fontId="0" fillId="0" borderId="18" xfId="0" applyBorder="1" applyAlignment="1">
      <alignment vertical="center" wrapText="1"/>
    </xf>
    <xf numFmtId="0" fontId="0" fillId="37" borderId="18" xfId="0" applyFill="1" applyBorder="1" applyAlignment="1">
      <alignment horizontal="center" vertical="center"/>
    </xf>
    <xf numFmtId="0" fontId="17" fillId="9" borderId="18" xfId="0" applyFont="1" applyFill="1" applyBorder="1" applyAlignment="1">
      <alignment horizontal="center" vertical="center"/>
    </xf>
    <xf numFmtId="0" fontId="37" fillId="11" borderId="18" xfId="0" applyFont="1" applyFill="1" applyBorder="1" applyAlignment="1">
      <alignment horizontal="center" vertical="center"/>
    </xf>
    <xf numFmtId="0" fontId="37" fillId="9" borderId="18" xfId="0" applyFont="1" applyFill="1" applyBorder="1" applyAlignment="1">
      <alignment horizontal="center" vertical="center"/>
    </xf>
    <xf numFmtId="0" fontId="37" fillId="35" borderId="18" xfId="0" applyFont="1" applyFill="1" applyBorder="1" applyAlignment="1">
      <alignment horizontal="center" vertical="center"/>
    </xf>
    <xf numFmtId="0" fontId="3" fillId="0" borderId="18" xfId="0" applyFont="1" applyBorder="1" applyAlignment="1">
      <alignment horizontal="center" vertical="center"/>
    </xf>
    <xf numFmtId="0" fontId="3" fillId="20" borderId="18" xfId="0" applyFont="1" applyFill="1" applyBorder="1" applyAlignment="1">
      <alignment horizontal="center" vertical="center"/>
    </xf>
    <xf numFmtId="0" fontId="3" fillId="11" borderId="18" xfId="0" applyFont="1" applyFill="1" applyBorder="1" applyAlignment="1">
      <alignment horizontal="center" vertical="center"/>
    </xf>
    <xf numFmtId="0" fontId="3" fillId="9" borderId="18" xfId="0" applyFont="1" applyFill="1" applyBorder="1" applyAlignment="1">
      <alignment horizontal="center" vertical="center"/>
    </xf>
    <xf numFmtId="0" fontId="38" fillId="35" borderId="18" xfId="0" applyFont="1" applyFill="1" applyBorder="1" applyAlignment="1">
      <alignment horizontal="center" vertical="center"/>
    </xf>
    <xf numFmtId="0" fontId="0" fillId="11" borderId="34" xfId="0" applyFill="1" applyBorder="1" applyAlignment="1">
      <alignment horizontal="left"/>
    </xf>
    <xf numFmtId="0" fontId="0" fillId="0" borderId="25" xfId="0" applyBorder="1" applyAlignment="1">
      <alignment horizontal="center" vertical="center"/>
    </xf>
    <xf numFmtId="0" fontId="0" fillId="0" borderId="58" xfId="0" applyBorder="1" applyAlignment="1">
      <alignment horizontal="center" vertical="center"/>
    </xf>
    <xf numFmtId="0" fontId="0" fillId="11" borderId="60" xfId="0" applyFill="1" applyBorder="1" applyAlignment="1">
      <alignment horizontal="center" vertical="center"/>
    </xf>
    <xf numFmtId="0" fontId="0" fillId="11" borderId="30" xfId="0" applyFill="1" applyBorder="1" applyAlignment="1">
      <alignment horizontal="center" vertical="center"/>
    </xf>
    <xf numFmtId="0" fontId="0" fillId="11" borderId="55" xfId="0" applyFill="1" applyBorder="1" applyAlignment="1">
      <alignment horizontal="center" vertical="center"/>
    </xf>
    <xf numFmtId="0" fontId="0" fillId="3" borderId="19" xfId="0" applyFill="1" applyBorder="1" applyAlignment="1">
      <alignment horizontal="center" vertical="center"/>
    </xf>
    <xf numFmtId="0" fontId="0" fillId="11" borderId="77" xfId="0" applyFill="1" applyBorder="1" applyAlignment="1">
      <alignment horizontal="center" vertical="center"/>
    </xf>
    <xf numFmtId="0" fontId="3" fillId="0" borderId="3" xfId="0" applyFont="1" applyBorder="1" applyAlignment="1">
      <alignment horizontal="center" vertical="center"/>
    </xf>
    <xf numFmtId="0" fontId="0" fillId="0" borderId="11" xfId="0" applyBorder="1" applyAlignment="1">
      <alignment horizontal="center" vertical="center"/>
    </xf>
    <xf numFmtId="0" fontId="0" fillId="10" borderId="18" xfId="0" applyFill="1" applyBorder="1" applyAlignment="1">
      <alignment horizontal="center" vertical="center"/>
    </xf>
    <xf numFmtId="0" fontId="0" fillId="38" borderId="0" xfId="0" applyFill="1"/>
    <xf numFmtId="0" fontId="3" fillId="25" borderId="83" xfId="0" applyFont="1" applyFill="1" applyBorder="1"/>
    <xf numFmtId="0" fontId="3" fillId="25" borderId="86" xfId="0" applyFont="1" applyFill="1" applyBorder="1"/>
    <xf numFmtId="0" fontId="3" fillId="25" borderId="89" xfId="0" applyFont="1" applyFill="1" applyBorder="1"/>
    <xf numFmtId="0" fontId="3" fillId="39" borderId="94" xfId="0" applyFont="1" applyFill="1" applyBorder="1" applyAlignment="1">
      <alignment horizontal="center" vertical="center"/>
    </xf>
    <xf numFmtId="0" fontId="3" fillId="39" borderId="95" xfId="0" applyFont="1" applyFill="1" applyBorder="1" applyAlignment="1">
      <alignment horizontal="center" vertical="center"/>
    </xf>
    <xf numFmtId="0" fontId="3" fillId="39" borderId="96" xfId="0" applyFont="1" applyFill="1" applyBorder="1" applyAlignment="1">
      <alignment horizontal="center" vertical="center"/>
    </xf>
    <xf numFmtId="0" fontId="3" fillId="39" borderId="97" xfId="0" applyFont="1" applyFill="1" applyBorder="1" applyAlignment="1">
      <alignment horizontal="center" vertical="center"/>
    </xf>
    <xf numFmtId="0" fontId="3" fillId="39" borderId="98" xfId="0" applyFont="1" applyFill="1" applyBorder="1" applyAlignment="1">
      <alignment horizontal="center" vertical="center"/>
    </xf>
    <xf numFmtId="0" fontId="3" fillId="39" borderId="99" xfId="0" applyFont="1" applyFill="1" applyBorder="1" applyAlignment="1">
      <alignment horizontal="center" vertical="center"/>
    </xf>
    <xf numFmtId="0" fontId="0" fillId="8" borderId="100" xfId="0" applyFill="1" applyBorder="1"/>
    <xf numFmtId="0" fontId="0" fillId="40" borderId="101" xfId="0" applyFill="1" applyBorder="1"/>
    <xf numFmtId="0" fontId="0" fillId="0" borderId="83" xfId="0" applyBorder="1" applyAlignment="1">
      <alignment wrapText="1"/>
    </xf>
    <xf numFmtId="0" fontId="0" fillId="40" borderId="87" xfId="0" applyFill="1" applyBorder="1"/>
    <xf numFmtId="0" fontId="0" fillId="0" borderId="85" xfId="0" applyBorder="1"/>
    <xf numFmtId="169" fontId="0" fillId="0" borderId="88" xfId="0" applyNumberFormat="1" applyBorder="1"/>
    <xf numFmtId="0" fontId="0" fillId="0" borderId="86" xfId="0" applyBorder="1"/>
    <xf numFmtId="0" fontId="0" fillId="0" borderId="88" xfId="0" applyBorder="1"/>
    <xf numFmtId="0" fontId="42" fillId="8" borderId="100" xfId="0" applyFont="1" applyFill="1" applyBorder="1"/>
    <xf numFmtId="0" fontId="42" fillId="8" borderId="103" xfId="0" applyFont="1" applyFill="1" applyBorder="1"/>
    <xf numFmtId="0" fontId="0" fillId="8" borderId="107" xfId="0" applyFill="1" applyBorder="1"/>
    <xf numFmtId="0" fontId="0" fillId="8" borderId="100" xfId="0" applyFill="1" applyBorder="1" applyAlignment="1">
      <alignment horizontal="left" vertical="center"/>
    </xf>
    <xf numFmtId="0" fontId="0" fillId="8" borderId="103" xfId="0" applyFill="1" applyBorder="1"/>
    <xf numFmtId="0" fontId="0" fillId="40" borderId="108" xfId="0" applyFill="1" applyBorder="1"/>
    <xf numFmtId="0" fontId="0" fillId="8" borderId="109" xfId="0" applyFill="1" applyBorder="1"/>
    <xf numFmtId="0" fontId="0" fillId="40" borderId="110" xfId="0" applyFill="1" applyBorder="1"/>
    <xf numFmtId="0" fontId="0" fillId="8" borderId="111" xfId="0" applyFill="1" applyBorder="1"/>
    <xf numFmtId="0" fontId="0" fillId="8" borderId="112" xfId="0" applyFill="1" applyBorder="1"/>
    <xf numFmtId="0" fontId="0" fillId="40" borderId="113" xfId="0" applyFill="1" applyBorder="1"/>
    <xf numFmtId="0" fontId="0" fillId="23" borderId="92" xfId="0" applyFill="1" applyBorder="1"/>
    <xf numFmtId="0" fontId="0" fillId="23" borderId="101" xfId="0" applyFill="1" applyBorder="1"/>
    <xf numFmtId="0" fontId="0" fillId="23" borderId="100" xfId="0" applyFill="1" applyBorder="1"/>
    <xf numFmtId="0" fontId="0" fillId="23" borderId="87" xfId="0" applyFill="1" applyBorder="1"/>
    <xf numFmtId="169" fontId="0" fillId="23" borderId="85" xfId="0" applyNumberFormat="1" applyFill="1" applyBorder="1"/>
    <xf numFmtId="0" fontId="2" fillId="23" borderId="100" xfId="0" applyFont="1" applyFill="1" applyBorder="1"/>
    <xf numFmtId="0" fontId="0" fillId="23" borderId="104" xfId="0" applyFill="1" applyBorder="1"/>
    <xf numFmtId="0" fontId="0" fillId="23" borderId="90" xfId="0" applyFill="1" applyBorder="1"/>
    <xf numFmtId="0" fontId="0" fillId="0" borderId="89" xfId="0" applyBorder="1"/>
    <xf numFmtId="0" fontId="0" fillId="40" borderId="90" xfId="0" applyFill="1" applyBorder="1"/>
    <xf numFmtId="0" fontId="0" fillId="0" borderId="91" xfId="0" applyBorder="1"/>
    <xf numFmtId="0" fontId="2" fillId="23" borderId="114" xfId="0" applyFont="1" applyFill="1" applyBorder="1" applyAlignment="1">
      <alignment horizontal="center" vertical="center"/>
    </xf>
    <xf numFmtId="0" fontId="2" fillId="23" borderId="114" xfId="0" applyFont="1" applyFill="1" applyBorder="1" applyAlignment="1">
      <alignment vertical="center"/>
    </xf>
    <xf numFmtId="0" fontId="2" fillId="23" borderId="93" xfId="0" applyFont="1" applyFill="1" applyBorder="1" applyAlignment="1">
      <alignment vertical="center"/>
    </xf>
    <xf numFmtId="0" fontId="0" fillId="0" borderId="87" xfId="0" applyBorder="1"/>
    <xf numFmtId="0" fontId="0" fillId="0" borderId="87" xfId="0" applyBorder="1" applyAlignment="1">
      <alignment vertical="center"/>
    </xf>
    <xf numFmtId="0" fontId="0" fillId="0" borderId="87" xfId="0" applyBorder="1" applyAlignment="1">
      <alignment horizontal="center"/>
    </xf>
    <xf numFmtId="0" fontId="0" fillId="42" borderId="100" xfId="0" applyFill="1" applyBorder="1"/>
    <xf numFmtId="0" fontId="0" fillId="42" borderId="0" xfId="0" applyFill="1" applyBorder="1"/>
    <xf numFmtId="0" fontId="0" fillId="42" borderId="0" xfId="0" applyFill="1" applyBorder="1" applyAlignment="1">
      <alignment horizontal="center"/>
    </xf>
    <xf numFmtId="0" fontId="0" fillId="42" borderId="102" xfId="0" applyFill="1" applyBorder="1"/>
    <xf numFmtId="0" fontId="0" fillId="41" borderId="120" xfId="0" applyFill="1" applyBorder="1" applyAlignment="1">
      <alignment horizontal="right" wrapText="1"/>
    </xf>
    <xf numFmtId="0" fontId="0" fillId="41" borderId="0" xfId="0" applyFill="1" applyBorder="1" applyAlignment="1">
      <alignment horizontal="center" wrapText="1"/>
    </xf>
    <xf numFmtId="0" fontId="0" fillId="41" borderId="0" xfId="0" applyFill="1" applyBorder="1" applyAlignment="1">
      <alignment wrapText="1"/>
    </xf>
    <xf numFmtId="0" fontId="0" fillId="41" borderId="102" xfId="0" applyFill="1" applyBorder="1" applyAlignment="1">
      <alignment wrapText="1"/>
    </xf>
    <xf numFmtId="0" fontId="0" fillId="41" borderId="0" xfId="0" applyFill="1" applyBorder="1" applyAlignment="1">
      <alignment horizontal="center"/>
    </xf>
    <xf numFmtId="0" fontId="0" fillId="41" borderId="0" xfId="0" applyFill="1" applyBorder="1"/>
    <xf numFmtId="0" fontId="0" fillId="41" borderId="102" xfId="0" applyFill="1" applyBorder="1"/>
    <xf numFmtId="0" fontId="0" fillId="41" borderId="100" xfId="0" applyFill="1" applyBorder="1"/>
    <xf numFmtId="0" fontId="0" fillId="41" borderId="120" xfId="0" applyFill="1" applyBorder="1" applyAlignment="1">
      <alignment horizontal="center"/>
    </xf>
    <xf numFmtId="0" fontId="0" fillId="40" borderId="87" xfId="0" applyFill="1" applyBorder="1" applyAlignment="1">
      <alignment vertical="center" wrapText="1"/>
    </xf>
    <xf numFmtId="0" fontId="0" fillId="40" borderId="87" xfId="0" applyFill="1" applyBorder="1" applyAlignment="1">
      <alignment wrapText="1"/>
    </xf>
    <xf numFmtId="0" fontId="0" fillId="0" borderId="87" xfId="0" applyBorder="1" applyAlignment="1">
      <alignment horizontal="center" vertical="center"/>
    </xf>
    <xf numFmtId="0" fontId="0" fillId="41" borderId="104" xfId="0" applyFill="1" applyBorder="1"/>
    <xf numFmtId="0" fontId="0" fillId="41" borderId="105" xfId="0" applyFill="1" applyBorder="1"/>
    <xf numFmtId="0" fontId="0" fillId="41" borderId="105" xfId="0" applyFill="1" applyBorder="1" applyAlignment="1">
      <alignment horizontal="center"/>
    </xf>
    <xf numFmtId="0" fontId="0" fillId="41" borderId="106" xfId="0" applyFill="1" applyBorder="1"/>
    <xf numFmtId="0" fontId="0" fillId="0" borderId="101" xfId="0" applyBorder="1"/>
    <xf numFmtId="0" fontId="0" fillId="0" borderId="101" xfId="0" applyBorder="1" applyAlignment="1">
      <alignment vertical="center"/>
    </xf>
    <xf numFmtId="0" fontId="0" fillId="0" borderId="101" xfId="0" applyBorder="1" applyAlignment="1">
      <alignment horizontal="center"/>
    </xf>
    <xf numFmtId="0" fontId="0" fillId="0" borderId="108" xfId="0" applyBorder="1"/>
    <xf numFmtId="0" fontId="0" fillId="0" borderId="108" xfId="0" applyBorder="1" applyAlignment="1">
      <alignment vertical="center"/>
    </xf>
    <xf numFmtId="0" fontId="0" fillId="0" borderId="108" xfId="0" applyBorder="1" applyAlignment="1">
      <alignment horizontal="center"/>
    </xf>
    <xf numFmtId="0" fontId="0" fillId="41" borderId="120" xfId="0" applyFill="1" applyBorder="1" applyAlignment="1">
      <alignment horizontal="right"/>
    </xf>
    <xf numFmtId="0" fontId="44" fillId="42" borderId="0" xfId="0" applyFont="1" applyFill="1" applyBorder="1" applyAlignment="1">
      <alignment horizontal="left" vertical="center" indent="1"/>
    </xf>
    <xf numFmtId="0" fontId="0" fillId="20" borderId="126" xfId="0" applyFill="1" applyBorder="1" applyAlignment="1">
      <alignment horizontal="right"/>
    </xf>
    <xf numFmtId="0" fontId="0" fillId="20" borderId="0" xfId="0" applyFill="1" applyBorder="1" applyAlignment="1">
      <alignment wrapText="1"/>
    </xf>
    <xf numFmtId="0" fontId="0" fillId="20" borderId="0" xfId="0" applyFill="1" applyBorder="1" applyAlignment="1">
      <alignment horizontal="center"/>
    </xf>
    <xf numFmtId="0" fontId="0" fillId="20" borderId="0" xfId="0" applyFill="1" applyBorder="1"/>
    <xf numFmtId="0" fontId="0" fillId="20" borderId="129" xfId="0" applyFill="1" applyBorder="1" applyAlignment="1">
      <alignment horizontal="right"/>
    </xf>
    <xf numFmtId="0" fontId="0" fillId="20" borderId="129" xfId="0" applyFill="1" applyBorder="1" applyAlignment="1">
      <alignment wrapText="1"/>
    </xf>
    <xf numFmtId="0" fontId="0" fillId="20" borderId="132" xfId="0" applyFill="1" applyBorder="1" applyAlignment="1">
      <alignment horizontal="right"/>
    </xf>
    <xf numFmtId="0" fontId="0" fillId="20" borderId="101" xfId="0" applyFill="1" applyBorder="1"/>
    <xf numFmtId="0" fontId="0" fillId="20" borderId="101" xfId="0" applyFill="1" applyBorder="1" applyAlignment="1">
      <alignment wrapText="1"/>
    </xf>
    <xf numFmtId="0" fontId="0" fillId="20" borderId="101" xfId="0" applyFill="1" applyBorder="1" applyAlignment="1">
      <alignment horizontal="center"/>
    </xf>
    <xf numFmtId="0" fontId="6" fillId="0" borderId="87" xfId="0" applyFont="1" applyBorder="1" applyAlignment="1">
      <alignment vertical="top"/>
    </xf>
    <xf numFmtId="0" fontId="44" fillId="41" borderId="0" xfId="0" applyFont="1" applyFill="1" applyBorder="1" applyAlignment="1">
      <alignment horizontal="left" vertical="center" indent="1"/>
    </xf>
    <xf numFmtId="0" fontId="0" fillId="41" borderId="122" xfId="0" applyFill="1" applyBorder="1"/>
    <xf numFmtId="0" fontId="0" fillId="41" borderId="122" xfId="0" applyFill="1" applyBorder="1" applyAlignment="1">
      <alignment horizontal="center"/>
    </xf>
    <xf numFmtId="0" fontId="18" fillId="0" borderId="87" xfId="0" applyFont="1" applyBorder="1" applyAlignment="1">
      <alignment vertical="top"/>
    </xf>
    <xf numFmtId="0" fontId="0" fillId="40" borderId="87" xfId="0" applyFill="1" applyBorder="1" applyAlignment="1">
      <alignment vertical="center"/>
    </xf>
    <xf numFmtId="0" fontId="0" fillId="8" borderId="87" xfId="0" applyFill="1" applyBorder="1" applyAlignment="1">
      <alignment vertical="center" wrapText="1"/>
    </xf>
    <xf numFmtId="0" fontId="0" fillId="8" borderId="87" xfId="0" applyFill="1" applyBorder="1" applyAlignment="1">
      <alignment wrapText="1"/>
    </xf>
    <xf numFmtId="0" fontId="0" fillId="0" borderId="87" xfId="0" applyBorder="1" applyAlignment="1"/>
    <xf numFmtId="0" fontId="0" fillId="8" borderId="87" xfId="0" applyFont="1" applyFill="1" applyBorder="1" applyAlignment="1">
      <alignment vertical="center" wrapText="1"/>
    </xf>
    <xf numFmtId="0" fontId="0" fillId="8" borderId="101" xfId="0" applyFill="1" applyBorder="1"/>
    <xf numFmtId="0" fontId="0" fillId="8" borderId="87" xfId="0" applyFill="1" applyBorder="1"/>
    <xf numFmtId="0" fontId="2" fillId="20" borderId="18" xfId="0" applyFont="1" applyFill="1" applyBorder="1"/>
    <xf numFmtId="0" fontId="2" fillId="21" borderId="18" xfId="0" applyFont="1" applyFill="1" applyBorder="1"/>
    <xf numFmtId="0" fontId="2" fillId="43" borderId="18" xfId="0" applyFont="1" applyFill="1" applyBorder="1"/>
    <xf numFmtId="0" fontId="2" fillId="7" borderId="18" xfId="0" applyFont="1" applyFill="1" applyBorder="1"/>
    <xf numFmtId="0" fontId="2" fillId="41" borderId="18" xfId="0" applyFont="1" applyFill="1" applyBorder="1"/>
    <xf numFmtId="0" fontId="2" fillId="20" borderId="18" xfId="0" applyFont="1" applyFill="1" applyBorder="1" applyAlignment="1">
      <alignment vertical="top"/>
    </xf>
    <xf numFmtId="0" fontId="0" fillId="0" borderId="25" xfId="0" applyBorder="1"/>
    <xf numFmtId="0" fontId="0" fillId="0" borderId="24" xfId="0" applyBorder="1"/>
    <xf numFmtId="0" fontId="2" fillId="42" borderId="51" xfId="0" applyFont="1" applyFill="1" applyBorder="1"/>
    <xf numFmtId="0" fontId="0" fillId="42" borderId="31" xfId="0" applyFill="1" applyBorder="1"/>
    <xf numFmtId="0" fontId="46" fillId="44" borderId="6" xfId="0" applyFont="1" applyFill="1" applyBorder="1" applyAlignment="1">
      <alignment horizontal="center" vertical="center" wrapText="1"/>
    </xf>
    <xf numFmtId="0" fontId="46" fillId="8" borderId="55" xfId="0" applyFont="1" applyFill="1" applyBorder="1" applyAlignment="1">
      <alignment horizontal="left" vertical="center" wrapText="1"/>
    </xf>
    <xf numFmtId="0" fontId="46" fillId="42" borderId="71" xfId="0" applyFont="1" applyFill="1" applyBorder="1" applyAlignment="1">
      <alignment horizontal="left" vertical="center" wrapText="1"/>
    </xf>
    <xf numFmtId="0" fontId="46" fillId="8" borderId="71" xfId="0" applyFont="1" applyFill="1" applyBorder="1" applyAlignment="1">
      <alignment horizontal="center" vertical="center" wrapText="1"/>
    </xf>
    <xf numFmtId="0" fontId="46" fillId="8" borderId="66" xfId="0" applyFont="1" applyFill="1" applyBorder="1" applyAlignment="1">
      <alignment horizontal="left" vertical="center" wrapText="1"/>
    </xf>
    <xf numFmtId="0" fontId="46" fillId="42" borderId="42" xfId="0" applyFont="1" applyFill="1" applyBorder="1" applyAlignment="1">
      <alignment horizontal="left" vertical="center" wrapText="1"/>
    </xf>
    <xf numFmtId="0" fontId="46" fillId="8" borderId="42" xfId="0" applyFont="1" applyFill="1" applyBorder="1" applyAlignment="1">
      <alignment horizontal="center" vertical="center" wrapText="1"/>
    </xf>
    <xf numFmtId="0" fontId="46" fillId="8" borderId="17" xfId="0" applyFont="1" applyFill="1" applyBorder="1" applyAlignment="1">
      <alignment horizontal="center" vertical="center" wrapText="1"/>
    </xf>
    <xf numFmtId="0" fontId="46" fillId="8" borderId="42" xfId="0" applyFont="1" applyFill="1" applyBorder="1" applyAlignment="1">
      <alignment horizontal="left" vertical="center" wrapText="1"/>
    </xf>
    <xf numFmtId="0" fontId="47" fillId="8" borderId="66" xfId="0" applyFont="1" applyFill="1" applyBorder="1" applyAlignment="1">
      <alignment horizontal="left" vertical="center" wrapText="1"/>
    </xf>
    <xf numFmtId="0" fontId="47" fillId="8" borderId="42" xfId="0" applyFont="1" applyFill="1" applyBorder="1" applyAlignment="1">
      <alignment horizontal="left" vertical="center" wrapText="1"/>
    </xf>
    <xf numFmtId="0" fontId="46" fillId="8" borderId="41" xfId="0" applyFont="1" applyFill="1" applyBorder="1" applyAlignment="1">
      <alignment horizontal="left" vertical="center" wrapText="1"/>
    </xf>
    <xf numFmtId="0" fontId="47" fillId="8" borderId="41" xfId="0" applyFont="1" applyFill="1" applyBorder="1" applyAlignment="1">
      <alignment horizontal="left" vertical="center" wrapText="1"/>
    </xf>
    <xf numFmtId="0" fontId="46" fillId="8" borderId="41" xfId="0" applyFont="1" applyFill="1" applyBorder="1" applyAlignment="1">
      <alignment horizontal="center" vertical="center" wrapText="1"/>
    </xf>
    <xf numFmtId="0" fontId="46" fillId="0" borderId="42" xfId="0" applyFont="1" applyBorder="1" applyAlignment="1">
      <alignment horizontal="center" vertical="center" wrapText="1"/>
    </xf>
    <xf numFmtId="0" fontId="46" fillId="8" borderId="16" xfId="0" applyFont="1" applyFill="1" applyBorder="1" applyAlignment="1">
      <alignment horizontal="center" vertical="center" wrapText="1"/>
    </xf>
    <xf numFmtId="0" fontId="47" fillId="8" borderId="16" xfId="0" applyFont="1" applyFill="1" applyBorder="1" applyAlignment="1">
      <alignment horizontal="left" vertical="center" wrapText="1"/>
    </xf>
    <xf numFmtId="0" fontId="0" fillId="8" borderId="39" xfId="0" applyFill="1" applyBorder="1"/>
    <xf numFmtId="0" fontId="47" fillId="8" borderId="43" xfId="0" applyFont="1" applyFill="1" applyBorder="1" applyAlignment="1">
      <alignment horizontal="left" vertical="center" wrapText="1"/>
    </xf>
    <xf numFmtId="0" fontId="46" fillId="0" borderId="43" xfId="0" applyFont="1" applyBorder="1" applyAlignment="1">
      <alignment horizontal="center" vertical="center" wrapText="1"/>
    </xf>
    <xf numFmtId="0" fontId="46" fillId="8" borderId="43" xfId="0" applyFont="1" applyFill="1" applyBorder="1" applyAlignment="1">
      <alignment horizontal="center" vertical="center" wrapText="1"/>
    </xf>
    <xf numFmtId="0" fontId="0" fillId="8" borderId="43" xfId="0" applyFill="1" applyBorder="1"/>
    <xf numFmtId="0" fontId="46" fillId="8" borderId="6" xfId="0" applyFont="1" applyFill="1" applyBorder="1" applyAlignment="1">
      <alignment horizontal="left" vertical="center" wrapText="1"/>
    </xf>
    <xf numFmtId="0" fontId="46" fillId="8" borderId="4" xfId="0" applyFont="1" applyFill="1" applyBorder="1" applyAlignment="1">
      <alignment horizontal="center" vertical="center" wrapText="1"/>
    </xf>
    <xf numFmtId="0" fontId="46" fillId="8" borderId="65" xfId="0" applyFont="1" applyFill="1" applyBorder="1" applyAlignment="1">
      <alignment horizontal="center" vertical="center" wrapText="1"/>
    </xf>
    <xf numFmtId="0" fontId="46" fillId="8" borderId="64" xfId="0" applyFont="1" applyFill="1" applyBorder="1" applyAlignment="1">
      <alignment horizontal="center" vertical="center" wrapText="1"/>
    </xf>
    <xf numFmtId="0" fontId="0" fillId="0" borderId="64" xfId="0" applyBorder="1"/>
    <xf numFmtId="0" fontId="46" fillId="8" borderId="74" xfId="0" applyFont="1" applyFill="1" applyBorder="1" applyAlignment="1">
      <alignment horizontal="center" vertical="center" wrapText="1"/>
    </xf>
    <xf numFmtId="0" fontId="46" fillId="8" borderId="77" xfId="0" applyFont="1" applyFill="1" applyBorder="1" applyAlignment="1">
      <alignment horizontal="left" vertical="center" wrapText="1"/>
    </xf>
    <xf numFmtId="0" fontId="46" fillId="8" borderId="2" xfId="0" applyFont="1" applyFill="1" applyBorder="1" applyAlignment="1">
      <alignment horizontal="center" vertical="center" wrapText="1"/>
    </xf>
    <xf numFmtId="0" fontId="46" fillId="8" borderId="51" xfId="0" applyFont="1" applyFill="1" applyBorder="1" applyAlignment="1">
      <alignment horizontal="center" vertical="center" wrapText="1"/>
    </xf>
    <xf numFmtId="0" fontId="46" fillId="8" borderId="31" xfId="0" applyFont="1" applyFill="1" applyBorder="1" applyAlignment="1">
      <alignment horizontal="center" vertical="center" wrapText="1"/>
    </xf>
    <xf numFmtId="0" fontId="0" fillId="0" borderId="31" xfId="0" applyBorder="1"/>
    <xf numFmtId="0" fontId="46" fillId="8" borderId="77" xfId="0" applyFont="1" applyFill="1" applyBorder="1" applyAlignment="1">
      <alignment horizontal="center" vertical="center" wrapText="1"/>
    </xf>
    <xf numFmtId="0" fontId="0" fillId="8" borderId="0" xfId="0" applyFill="1"/>
    <xf numFmtId="0" fontId="0" fillId="8" borderId="58" xfId="0" applyFill="1" applyBorder="1"/>
    <xf numFmtId="0" fontId="17" fillId="10" borderId="18" xfId="0" applyFont="1" applyFill="1" applyBorder="1"/>
    <xf numFmtId="0" fontId="46" fillId="8" borderId="73" xfId="0" applyFont="1" applyFill="1" applyBorder="1" applyAlignment="1">
      <alignment horizontal="left" vertical="center" wrapText="1"/>
    </xf>
    <xf numFmtId="0" fontId="46" fillId="3" borderId="66" xfId="0" applyFont="1" applyFill="1" applyBorder="1" applyAlignment="1">
      <alignment horizontal="left" vertical="center" wrapText="1"/>
    </xf>
    <xf numFmtId="0" fontId="0" fillId="8" borderId="23" xfId="0" applyFill="1" applyBorder="1"/>
    <xf numFmtId="0" fontId="0" fillId="8" borderId="42" xfId="0" applyFill="1" applyBorder="1"/>
    <xf numFmtId="0" fontId="48" fillId="0" borderId="4" xfId="0" applyFont="1" applyBorder="1" applyAlignment="1">
      <alignment horizontal="center" vertical="center"/>
    </xf>
    <xf numFmtId="0" fontId="48" fillId="0" borderId="7" xfId="0" applyFont="1" applyBorder="1" applyAlignment="1">
      <alignment horizontal="center" vertical="center"/>
    </xf>
    <xf numFmtId="0" fontId="48" fillId="0" borderId="8" xfId="0" applyFont="1" applyBorder="1" applyAlignment="1">
      <alignment horizontal="center" vertical="center"/>
    </xf>
    <xf numFmtId="0" fontId="46" fillId="0" borderId="14" xfId="0" applyFont="1" applyBorder="1" applyAlignment="1">
      <alignment horizontal="center" vertical="center" wrapText="1"/>
    </xf>
    <xf numFmtId="0" fontId="46" fillId="0" borderId="3" xfId="0" applyFont="1" applyFill="1" applyBorder="1" applyAlignment="1">
      <alignment horizontal="center" vertical="center" wrapText="1"/>
    </xf>
    <xf numFmtId="0" fontId="46" fillId="45" borderId="3" xfId="0" applyFont="1" applyFill="1" applyBorder="1" applyAlignment="1">
      <alignment horizontal="center" vertical="center" wrapText="1"/>
    </xf>
    <xf numFmtId="0" fontId="46" fillId="3" borderId="3" xfId="0" applyFont="1" applyFill="1" applyBorder="1" applyAlignment="1">
      <alignment horizontal="center" vertical="center" wrapText="1"/>
    </xf>
    <xf numFmtId="0" fontId="46" fillId="17" borderId="3" xfId="0" applyFont="1" applyFill="1" applyBorder="1" applyAlignment="1">
      <alignment horizontal="center" vertical="center" wrapText="1"/>
    </xf>
    <xf numFmtId="0" fontId="47" fillId="21" borderId="5" xfId="0" applyFont="1" applyFill="1" applyBorder="1" applyAlignment="1">
      <alignment horizontal="left" vertical="center" wrapText="1"/>
    </xf>
    <xf numFmtId="0" fontId="46" fillId="21" borderId="13" xfId="0" applyFont="1" applyFill="1" applyBorder="1" applyAlignment="1">
      <alignment horizontal="left" vertical="center" wrapText="1"/>
    </xf>
    <xf numFmtId="0" fontId="46" fillId="0" borderId="13" xfId="0" applyFont="1" applyFill="1" applyBorder="1" applyAlignment="1">
      <alignment horizontal="center" vertical="center" wrapText="1"/>
    </xf>
    <xf numFmtId="0" fontId="46" fillId="0" borderId="14" xfId="0" applyFont="1" applyFill="1" applyBorder="1" applyAlignment="1">
      <alignment horizontal="center" vertical="center" wrapText="1"/>
    </xf>
    <xf numFmtId="0" fontId="47" fillId="21" borderId="1" xfId="0" applyFont="1" applyFill="1" applyBorder="1" applyAlignment="1">
      <alignment horizontal="left" vertical="center" wrapText="1"/>
    </xf>
    <xf numFmtId="0" fontId="46" fillId="21" borderId="0" xfId="0" applyFont="1" applyFill="1" applyBorder="1" applyAlignment="1">
      <alignment horizontal="left" vertical="center" wrapText="1"/>
    </xf>
    <xf numFmtId="0" fontId="46" fillId="0" borderId="0" xfId="0" applyFont="1" applyFill="1" applyBorder="1" applyAlignment="1">
      <alignment horizontal="center" vertical="center" wrapText="1"/>
    </xf>
    <xf numFmtId="0" fontId="46" fillId="0" borderId="9" xfId="0" applyFont="1" applyFill="1" applyBorder="1" applyAlignment="1">
      <alignment horizontal="center" vertical="center" wrapText="1"/>
    </xf>
    <xf numFmtId="0" fontId="47" fillId="0" borderId="1" xfId="0" applyFont="1" applyFill="1" applyBorder="1" applyAlignment="1">
      <alignment horizontal="left" vertical="center" wrapText="1"/>
    </xf>
    <xf numFmtId="0" fontId="46" fillId="0" borderId="0" xfId="0" applyFont="1" applyFill="1" applyBorder="1" applyAlignment="1">
      <alignment horizontal="left" vertical="center" wrapText="1"/>
    </xf>
    <xf numFmtId="0" fontId="46" fillId="0" borderId="45" xfId="0" applyFont="1" applyFill="1" applyBorder="1" applyAlignment="1">
      <alignment horizontal="left" vertical="center" wrapText="1"/>
    </xf>
    <xf numFmtId="0" fontId="46" fillId="0" borderId="28" xfId="0" applyFont="1" applyFill="1" applyBorder="1" applyAlignment="1">
      <alignment horizontal="left" vertical="center" wrapText="1"/>
    </xf>
    <xf numFmtId="0" fontId="46" fillId="0" borderId="28" xfId="0" applyFont="1" applyFill="1" applyBorder="1" applyAlignment="1">
      <alignment horizontal="center" vertical="center" wrapText="1"/>
    </xf>
    <xf numFmtId="9" fontId="46" fillId="0" borderId="28" xfId="0" applyNumberFormat="1" applyFont="1" applyFill="1" applyBorder="1" applyAlignment="1">
      <alignment horizontal="center" vertical="center" wrapText="1"/>
    </xf>
    <xf numFmtId="0" fontId="46" fillId="0" borderId="75" xfId="0" applyFont="1" applyFill="1" applyBorder="1" applyAlignment="1">
      <alignment horizontal="center" vertical="center" wrapText="1"/>
    </xf>
    <xf numFmtId="0" fontId="47" fillId="0" borderId="38" xfId="0" applyFont="1" applyFill="1" applyBorder="1" applyAlignment="1">
      <alignment horizontal="left" vertical="center" wrapText="1"/>
    </xf>
    <xf numFmtId="0" fontId="47" fillId="42" borderId="18" xfId="0" applyFont="1" applyFill="1" applyBorder="1" applyAlignment="1">
      <alignment horizontal="left" vertical="center" wrapText="1"/>
    </xf>
    <xf numFmtId="0" fontId="46" fillId="0" borderId="18" xfId="0" applyFont="1" applyFill="1" applyBorder="1" applyAlignment="1">
      <alignment horizontal="center" vertical="center" wrapText="1"/>
    </xf>
    <xf numFmtId="0" fontId="46" fillId="45" borderId="18" xfId="0" applyFont="1" applyFill="1" applyBorder="1" applyAlignment="1">
      <alignment horizontal="center" vertical="center" wrapText="1"/>
    </xf>
    <xf numFmtId="0" fontId="46" fillId="3" borderId="18" xfId="0" applyFont="1" applyFill="1" applyBorder="1" applyAlignment="1">
      <alignment horizontal="center" vertical="center" wrapText="1"/>
    </xf>
    <xf numFmtId="0" fontId="46" fillId="17" borderId="18" xfId="0" applyFont="1" applyFill="1" applyBorder="1" applyAlignment="1">
      <alignment horizontal="center" vertical="center" wrapText="1"/>
    </xf>
    <xf numFmtId="0" fontId="46" fillId="0" borderId="66" xfId="0" applyFont="1" applyFill="1" applyBorder="1" applyAlignment="1">
      <alignment horizontal="center" vertical="center" wrapText="1"/>
    </xf>
    <xf numFmtId="0" fontId="46" fillId="0" borderId="38" xfId="0" applyFont="1" applyFill="1" applyBorder="1" applyAlignment="1">
      <alignment horizontal="left" vertical="center" wrapText="1"/>
    </xf>
    <xf numFmtId="0" fontId="46" fillId="0" borderId="18" xfId="0" applyFont="1" applyFill="1" applyBorder="1" applyAlignment="1">
      <alignment horizontal="left" vertical="center" wrapText="1"/>
    </xf>
    <xf numFmtId="0" fontId="47" fillId="0" borderId="18" xfId="0" applyFont="1" applyFill="1" applyBorder="1" applyAlignment="1">
      <alignment horizontal="left" vertical="center" wrapText="1"/>
    </xf>
    <xf numFmtId="9" fontId="46" fillId="0" borderId="18" xfId="0" applyNumberFormat="1" applyFont="1" applyFill="1" applyBorder="1" applyAlignment="1">
      <alignment horizontal="center" vertical="center" wrapText="1"/>
    </xf>
    <xf numFmtId="0" fontId="47" fillId="0" borderId="38" xfId="0" applyFont="1" applyBorder="1" applyAlignment="1">
      <alignment horizontal="left" vertical="center" wrapText="1"/>
    </xf>
    <xf numFmtId="0" fontId="46" fillId="0" borderId="38" xfId="0" applyFont="1" applyBorder="1" applyAlignment="1">
      <alignment horizontal="left" vertical="center" wrapText="1"/>
    </xf>
    <xf numFmtId="0" fontId="46" fillId="0" borderId="18" xfId="0" applyFont="1" applyBorder="1" applyAlignment="1">
      <alignment horizontal="left" vertical="center" wrapText="1"/>
    </xf>
    <xf numFmtId="0" fontId="46" fillId="16" borderId="66" xfId="0" applyFont="1" applyFill="1" applyBorder="1" applyAlignment="1">
      <alignment horizontal="center" vertical="center" wrapText="1"/>
    </xf>
    <xf numFmtId="0" fontId="47" fillId="16" borderId="38" xfId="0" applyFont="1" applyFill="1" applyBorder="1" applyAlignment="1">
      <alignment horizontal="left" vertical="center" wrapText="1"/>
    </xf>
    <xf numFmtId="0" fontId="47" fillId="16" borderId="18" xfId="0" applyFont="1" applyFill="1" applyBorder="1" applyAlignment="1">
      <alignment horizontal="left" vertical="center" wrapText="1"/>
    </xf>
    <xf numFmtId="0" fontId="46" fillId="16" borderId="18" xfId="0" applyFont="1" applyFill="1" applyBorder="1" applyAlignment="1">
      <alignment horizontal="center" vertical="center" wrapText="1"/>
    </xf>
    <xf numFmtId="0" fontId="46" fillId="0" borderId="73" xfId="0" applyFont="1" applyFill="1" applyBorder="1" applyAlignment="1">
      <alignment horizontal="center" vertical="center" wrapText="1"/>
    </xf>
    <xf numFmtId="0" fontId="47" fillId="0" borderId="39" xfId="0" applyFont="1" applyFill="1" applyBorder="1" applyAlignment="1">
      <alignment horizontal="left" vertical="center" wrapText="1"/>
    </xf>
    <xf numFmtId="0" fontId="47" fillId="0" borderId="29" xfId="0" applyFont="1" applyFill="1" applyBorder="1" applyAlignment="1">
      <alignment horizontal="left" vertical="center" wrapText="1"/>
    </xf>
    <xf numFmtId="0" fontId="46" fillId="0" borderId="29" xfId="0" applyFont="1" applyFill="1" applyBorder="1" applyAlignment="1">
      <alignment horizontal="center" vertical="center" wrapText="1"/>
    </xf>
    <xf numFmtId="0" fontId="46" fillId="19" borderId="0" xfId="0" applyFont="1" applyFill="1" applyBorder="1" applyAlignment="1">
      <alignment horizontal="right" vertical="center" wrapText="1"/>
    </xf>
    <xf numFmtId="0" fontId="0" fillId="45" borderId="0" xfId="0" applyFill="1"/>
    <xf numFmtId="2" fontId="46" fillId="8" borderId="42" xfId="0" applyNumberFormat="1" applyFont="1" applyFill="1" applyBorder="1" applyAlignment="1">
      <alignment horizontal="center" vertical="center" wrapText="1"/>
    </xf>
    <xf numFmtId="169" fontId="0" fillId="10" borderId="18" xfId="0" applyNumberFormat="1" applyFill="1" applyBorder="1"/>
    <xf numFmtId="2" fontId="0" fillId="10" borderId="18" xfId="0" applyNumberFormat="1" applyFill="1" applyBorder="1"/>
    <xf numFmtId="0" fontId="47" fillId="0" borderId="42" xfId="0" applyFont="1" applyBorder="1" applyAlignment="1">
      <alignment horizontal="left" vertical="center" wrapText="1"/>
    </xf>
    <xf numFmtId="2" fontId="46" fillId="8" borderId="71" xfId="0" applyNumberFormat="1" applyFont="1" applyFill="1" applyBorder="1" applyAlignment="1">
      <alignment horizontal="center" vertical="center" wrapText="1"/>
    </xf>
    <xf numFmtId="2" fontId="0" fillId="8" borderId="42" xfId="0" applyNumberFormat="1" applyFill="1" applyBorder="1"/>
    <xf numFmtId="169" fontId="0" fillId="8" borderId="18" xfId="0" applyNumberFormat="1" applyFill="1" applyBorder="1"/>
    <xf numFmtId="2" fontId="46" fillId="8" borderId="43" xfId="0" applyNumberFormat="1" applyFont="1" applyFill="1" applyBorder="1" applyAlignment="1">
      <alignment horizontal="center" vertical="center" wrapText="1"/>
    </xf>
    <xf numFmtId="0" fontId="47" fillId="42" borderId="42" xfId="0" applyFont="1" applyFill="1" applyBorder="1" applyAlignment="1">
      <alignment horizontal="left" vertical="center" wrapText="1"/>
    </xf>
    <xf numFmtId="0" fontId="46" fillId="8" borderId="18" xfId="0" applyFont="1" applyFill="1" applyBorder="1" applyAlignment="1">
      <alignment horizontal="center" vertical="center" wrapText="1"/>
    </xf>
    <xf numFmtId="0" fontId="46" fillId="8" borderId="39" xfId="0" applyFont="1" applyFill="1" applyBorder="1" applyAlignment="1">
      <alignment horizontal="center" vertical="center" wrapText="1"/>
    </xf>
    <xf numFmtId="0" fontId="46" fillId="8" borderId="32" xfId="0" applyFont="1" applyFill="1" applyBorder="1" applyAlignment="1">
      <alignment horizontal="center" vertical="center" wrapText="1"/>
    </xf>
    <xf numFmtId="0" fontId="47" fillId="8" borderId="30" xfId="0" applyFont="1" applyFill="1" applyBorder="1" applyAlignment="1">
      <alignment horizontal="left" vertical="center" wrapText="1"/>
    </xf>
    <xf numFmtId="0" fontId="47" fillId="8" borderId="18" xfId="0" applyFont="1" applyFill="1" applyBorder="1" applyAlignment="1">
      <alignment horizontal="left" vertical="center" wrapText="1"/>
    </xf>
    <xf numFmtId="0" fontId="47" fillId="8" borderId="17" xfId="0" applyFont="1" applyFill="1" applyBorder="1" applyAlignment="1">
      <alignment horizontal="left" vertical="center" wrapText="1"/>
    </xf>
    <xf numFmtId="0" fontId="0" fillId="42" borderId="0" xfId="0" applyFill="1"/>
    <xf numFmtId="0" fontId="0" fillId="8" borderId="0" xfId="0" applyFill="1" applyAlignment="1">
      <alignment horizontal="center" vertical="center"/>
    </xf>
    <xf numFmtId="0" fontId="0" fillId="8" borderId="0" xfId="0" applyFont="1" applyFill="1"/>
    <xf numFmtId="0" fontId="13" fillId="3" borderId="0" xfId="0" applyFont="1" applyFill="1"/>
    <xf numFmtId="0" fontId="46" fillId="8" borderId="37" xfId="0" applyFont="1" applyFill="1" applyBorder="1" applyAlignment="1">
      <alignment horizontal="center" vertical="center" wrapText="1"/>
    </xf>
    <xf numFmtId="0" fontId="46" fillId="8" borderId="3" xfId="0" applyFont="1" applyFill="1" applyBorder="1" applyAlignment="1">
      <alignment horizontal="center" vertical="center" wrapText="1"/>
    </xf>
    <xf numFmtId="0" fontId="46" fillId="8" borderId="14" xfId="0" applyFont="1" applyFill="1" applyBorder="1" applyAlignment="1">
      <alignment horizontal="center" vertical="center" wrapText="1"/>
    </xf>
    <xf numFmtId="0" fontId="46" fillId="8" borderId="16" xfId="0" applyFont="1" applyFill="1" applyBorder="1" applyAlignment="1">
      <alignment horizontal="left" vertical="center" wrapText="1"/>
    </xf>
    <xf numFmtId="0" fontId="46" fillId="0" borderId="16" xfId="0" applyFont="1" applyFill="1" applyBorder="1" applyAlignment="1">
      <alignment horizontal="left" vertical="center" wrapText="1"/>
    </xf>
    <xf numFmtId="0" fontId="46" fillId="8" borderId="24" xfId="0" applyFont="1" applyFill="1" applyBorder="1" applyAlignment="1">
      <alignment horizontal="center" vertical="center" wrapText="1"/>
    </xf>
    <xf numFmtId="0" fontId="46" fillId="0" borderId="15" xfId="0" applyFont="1" applyFill="1" applyBorder="1" applyAlignment="1">
      <alignment horizontal="left" vertical="center" wrapText="1"/>
    </xf>
    <xf numFmtId="0" fontId="46" fillId="3" borderId="15" xfId="0" applyFont="1" applyFill="1" applyBorder="1" applyAlignment="1">
      <alignment horizontal="left" vertical="center" wrapText="1"/>
    </xf>
    <xf numFmtId="0" fontId="46" fillId="3" borderId="17" xfId="0" applyFont="1" applyFill="1" applyBorder="1" applyAlignment="1">
      <alignment horizontal="center" vertical="center" wrapText="1"/>
    </xf>
    <xf numFmtId="0" fontId="46" fillId="3" borderId="42" xfId="0" applyFont="1" applyFill="1" applyBorder="1" applyAlignment="1">
      <alignment horizontal="center" vertical="center" wrapText="1"/>
    </xf>
    <xf numFmtId="0" fontId="46" fillId="0" borderId="0" xfId="0" applyFont="1" applyBorder="1" applyAlignment="1">
      <alignment horizontal="left" vertical="center" wrapText="1"/>
    </xf>
    <xf numFmtId="0" fontId="46" fillId="0" borderId="22" xfId="0" applyFont="1" applyFill="1" applyBorder="1" applyAlignment="1">
      <alignment horizontal="center" vertical="center" wrapText="1"/>
    </xf>
    <xf numFmtId="0" fontId="0" fillId="8" borderId="17" xfId="0" applyFill="1" applyBorder="1"/>
    <xf numFmtId="0" fontId="47" fillId="0" borderId="15" xfId="0" applyFont="1" applyFill="1" applyBorder="1" applyAlignment="1">
      <alignment horizontal="left" vertical="center" wrapText="1"/>
    </xf>
    <xf numFmtId="0" fontId="47" fillId="8" borderId="67" xfId="0" applyFont="1" applyFill="1" applyBorder="1" applyAlignment="1">
      <alignment horizontal="left" vertical="center" wrapText="1"/>
    </xf>
    <xf numFmtId="0" fontId="46" fillId="8" borderId="67" xfId="0" applyFont="1" applyFill="1" applyBorder="1" applyAlignment="1">
      <alignment horizontal="center" vertical="center" wrapText="1"/>
    </xf>
    <xf numFmtId="0" fontId="46" fillId="8" borderId="46" xfId="0" applyFont="1" applyFill="1" applyBorder="1" applyAlignment="1">
      <alignment horizontal="center" vertical="center" wrapText="1"/>
    </xf>
    <xf numFmtId="0" fontId="46" fillId="8" borderId="6" xfId="0" applyFont="1" applyFill="1" applyBorder="1" applyAlignment="1">
      <alignment horizontal="center" vertical="center" wrapText="1"/>
    </xf>
    <xf numFmtId="0" fontId="46" fillId="8" borderId="63" xfId="0" applyFont="1" applyFill="1" applyBorder="1" applyAlignment="1">
      <alignment horizontal="center" vertical="center" wrapText="1"/>
    </xf>
    <xf numFmtId="2" fontId="46" fillId="8" borderId="17" xfId="0" applyNumberFormat="1" applyFont="1" applyFill="1" applyBorder="1" applyAlignment="1">
      <alignment horizontal="center" vertical="center" wrapText="1"/>
    </xf>
    <xf numFmtId="169" fontId="46" fillId="8" borderId="17" xfId="0" applyNumberFormat="1" applyFont="1" applyFill="1" applyBorder="1" applyAlignment="1">
      <alignment horizontal="center" vertical="center" wrapText="1"/>
    </xf>
    <xf numFmtId="0" fontId="47" fillId="3" borderId="66" xfId="0" applyFont="1" applyFill="1" applyBorder="1" applyAlignment="1">
      <alignment horizontal="left" vertical="center" wrapText="1"/>
    </xf>
    <xf numFmtId="0" fontId="47" fillId="8" borderId="17" xfId="0" applyFont="1" applyFill="1" applyBorder="1" applyAlignment="1">
      <alignment horizontal="center" vertical="center" wrapText="1"/>
    </xf>
    <xf numFmtId="0" fontId="47" fillId="8" borderId="32" xfId="0" applyFont="1" applyFill="1" applyBorder="1" applyAlignment="1">
      <alignment horizontal="left" vertical="center" wrapText="1"/>
    </xf>
    <xf numFmtId="0" fontId="0" fillId="8" borderId="6" xfId="0" applyFill="1" applyBorder="1"/>
    <xf numFmtId="0" fontId="0" fillId="8" borderId="8" xfId="0" applyFill="1" applyBorder="1"/>
    <xf numFmtId="0" fontId="0" fillId="8" borderId="41" xfId="0" applyFill="1" applyBorder="1"/>
    <xf numFmtId="0" fontId="0" fillId="8" borderId="71" xfId="0" applyFill="1" applyBorder="1" applyAlignment="1">
      <alignment horizontal="center"/>
    </xf>
    <xf numFmtId="0" fontId="0" fillId="8" borderId="63" xfId="0" applyFill="1" applyBorder="1" applyAlignment="1">
      <alignment horizontal="center"/>
    </xf>
    <xf numFmtId="0" fontId="0" fillId="8" borderId="42" xfId="0" applyFill="1" applyBorder="1" applyAlignment="1">
      <alignment horizontal="center"/>
    </xf>
    <xf numFmtId="0" fontId="0" fillId="8" borderId="46" xfId="0" applyFill="1" applyBorder="1"/>
    <xf numFmtId="0" fontId="0" fillId="8" borderId="46" xfId="0" applyFill="1" applyBorder="1" applyAlignment="1">
      <alignment horizontal="center"/>
    </xf>
    <xf numFmtId="0" fontId="0" fillId="8" borderId="67" xfId="0" applyFill="1" applyBorder="1" applyAlignment="1">
      <alignment horizontal="center"/>
    </xf>
    <xf numFmtId="0" fontId="0" fillId="8" borderId="6" xfId="0" applyFill="1" applyBorder="1" applyAlignment="1">
      <alignment horizontal="center"/>
    </xf>
    <xf numFmtId="0" fontId="0" fillId="8" borderId="8" xfId="0" applyFill="1" applyBorder="1" applyAlignment="1">
      <alignment horizontal="center"/>
    </xf>
    <xf numFmtId="0" fontId="2" fillId="40" borderId="18" xfId="0" applyFont="1" applyFill="1" applyBorder="1" applyAlignment="1">
      <alignment horizontal="center"/>
    </xf>
    <xf numFmtId="0" fontId="2" fillId="40" borderId="18" xfId="0" applyFont="1" applyFill="1" applyBorder="1" applyAlignment="1">
      <alignment horizontal="center" wrapText="1"/>
    </xf>
    <xf numFmtId="0" fontId="2" fillId="40" borderId="18" xfId="0" applyFont="1" applyFill="1" applyBorder="1" applyAlignment="1">
      <alignment wrapText="1"/>
    </xf>
    <xf numFmtId="0" fontId="2" fillId="40" borderId="24" xfId="0" applyFont="1" applyFill="1" applyBorder="1"/>
    <xf numFmtId="0" fontId="2" fillId="40" borderId="18" xfId="0" applyFont="1" applyFill="1" applyBorder="1"/>
    <xf numFmtId="0" fontId="2" fillId="40" borderId="24" xfId="0" applyFont="1" applyFill="1" applyBorder="1" applyAlignment="1">
      <alignment horizontal="center"/>
    </xf>
    <xf numFmtId="0" fontId="46" fillId="43" borderId="18" xfId="0" applyFont="1" applyFill="1" applyBorder="1" applyAlignment="1">
      <alignment horizontal="left" vertical="center" wrapText="1"/>
    </xf>
    <xf numFmtId="0" fontId="0" fillId="0" borderId="23" xfId="0" applyBorder="1" applyAlignment="1">
      <alignment horizontal="right"/>
    </xf>
    <xf numFmtId="0" fontId="0" fillId="0" borderId="18" xfId="0" applyBorder="1" applyAlignment="1">
      <alignment horizontal="right"/>
    </xf>
    <xf numFmtId="0" fontId="0" fillId="43" borderId="18" xfId="0" applyFill="1" applyBorder="1" applyAlignment="1">
      <alignment wrapText="1"/>
    </xf>
    <xf numFmtId="0" fontId="0" fillId="0" borderId="23" xfId="0" applyBorder="1" applyAlignment="1">
      <alignment wrapText="1"/>
    </xf>
    <xf numFmtId="0" fontId="46" fillId="0" borderId="18" xfId="0" applyNumberFormat="1" applyFont="1" applyBorder="1" applyAlignment="1">
      <alignment horizontal="right" vertical="center" wrapText="1"/>
    </xf>
    <xf numFmtId="0" fontId="0" fillId="0" borderId="18" xfId="0" applyNumberFormat="1" applyBorder="1" applyAlignment="1">
      <alignment horizontal="right"/>
    </xf>
    <xf numFmtId="0" fontId="46" fillId="40" borderId="18" xfId="0" applyFont="1" applyFill="1" applyBorder="1" applyAlignment="1">
      <alignment horizontal="left" vertical="center" wrapText="1"/>
    </xf>
    <xf numFmtId="0" fontId="47" fillId="0" borderId="18" xfId="0" applyFont="1" applyBorder="1" applyAlignment="1">
      <alignment horizontal="left" vertical="center" wrapText="1"/>
    </xf>
    <xf numFmtId="0" fontId="47" fillId="0" borderId="18" xfId="0" applyNumberFormat="1" applyFont="1" applyBorder="1" applyAlignment="1">
      <alignment horizontal="right" vertical="center" wrapText="1"/>
    </xf>
    <xf numFmtId="0" fontId="2" fillId="0" borderId="18" xfId="0" applyFont="1" applyBorder="1" applyAlignment="1">
      <alignment horizontal="right"/>
    </xf>
    <xf numFmtId="0" fontId="2" fillId="40" borderId="18" xfId="0" applyFont="1" applyFill="1" applyBorder="1" applyAlignment="1">
      <alignment horizontal="left"/>
    </xf>
    <xf numFmtId="0" fontId="0" fillId="0" borderId="18" xfId="0" applyFont="1" applyFill="1" applyBorder="1" applyAlignment="1">
      <alignment horizontal="left" vertical="center" wrapText="1"/>
    </xf>
    <xf numFmtId="0" fontId="0" fillId="20" borderId="18" xfId="0" applyFill="1" applyBorder="1" applyAlignment="1">
      <alignment wrapText="1"/>
    </xf>
    <xf numFmtId="0" fontId="0" fillId="20" borderId="18" xfId="0" applyFill="1" applyBorder="1" applyAlignment="1">
      <alignment horizontal="right"/>
    </xf>
    <xf numFmtId="0" fontId="0" fillId="0" borderId="18" xfId="0" applyFill="1" applyBorder="1" applyAlignment="1">
      <alignment wrapText="1"/>
    </xf>
    <xf numFmtId="2" fontId="2" fillId="0" borderId="18" xfId="0" applyNumberFormat="1" applyFont="1" applyBorder="1" applyAlignment="1">
      <alignment horizontal="right"/>
    </xf>
    <xf numFmtId="0" fontId="0" fillId="3" borderId="18" xfId="0" applyFill="1" applyBorder="1" applyAlignment="1">
      <alignment wrapText="1"/>
    </xf>
    <xf numFmtId="0" fontId="0" fillId="3" borderId="23" xfId="0" applyFill="1" applyBorder="1" applyAlignment="1">
      <alignment horizontal="right"/>
    </xf>
    <xf numFmtId="0" fontId="0" fillId="8" borderId="18" xfId="0" applyFill="1" applyBorder="1" applyAlignment="1">
      <alignment horizontal="right"/>
    </xf>
    <xf numFmtId="0" fontId="0" fillId="3" borderId="18" xfId="0" applyFill="1" applyBorder="1" applyAlignment="1">
      <alignment horizontal="right"/>
    </xf>
    <xf numFmtId="0" fontId="25" fillId="47" borderId="58" xfId="0" applyFont="1" applyFill="1" applyBorder="1"/>
    <xf numFmtId="0" fontId="0" fillId="42" borderId="58" xfId="0" applyFill="1" applyBorder="1"/>
    <xf numFmtId="0" fontId="0" fillId="8" borderId="62" xfId="0" applyFill="1" applyBorder="1" applyAlignment="1">
      <alignment horizontal="right"/>
    </xf>
    <xf numFmtId="0" fontId="2" fillId="42" borderId="18" xfId="0" applyFont="1" applyFill="1" applyBorder="1" applyAlignment="1">
      <alignment horizontal="right"/>
    </xf>
    <xf numFmtId="0" fontId="0" fillId="42" borderId="18" xfId="0" applyFill="1" applyBorder="1" applyAlignment="1">
      <alignment horizontal="right"/>
    </xf>
    <xf numFmtId="0" fontId="25" fillId="47" borderId="18" xfId="0" applyFont="1" applyFill="1" applyBorder="1"/>
    <xf numFmtId="0" fontId="0" fillId="42" borderId="18" xfId="0" applyFill="1" applyBorder="1"/>
    <xf numFmtId="0" fontId="0" fillId="8" borderId="62" xfId="0" applyFill="1" applyBorder="1"/>
    <xf numFmtId="0" fontId="2" fillId="42" borderId="18" xfId="0" applyFont="1" applyFill="1" applyBorder="1"/>
    <xf numFmtId="0" fontId="2" fillId="8" borderId="18" xfId="0" applyFont="1" applyFill="1" applyBorder="1" applyAlignment="1">
      <alignment horizontal="right"/>
    </xf>
    <xf numFmtId="0" fontId="0" fillId="8" borderId="18" xfId="0" applyFill="1" applyBorder="1" applyAlignment="1">
      <alignment wrapText="1"/>
    </xf>
    <xf numFmtId="0" fontId="0" fillId="42" borderId="18" xfId="0" applyFill="1" applyBorder="1" applyAlignment="1">
      <alignment wrapText="1"/>
    </xf>
    <xf numFmtId="0" fontId="0" fillId="8" borderId="23" xfId="0" applyFill="1" applyBorder="1" applyAlignment="1">
      <alignment horizontal="right"/>
    </xf>
    <xf numFmtId="169" fontId="2" fillId="20" borderId="18" xfId="0" applyNumberFormat="1" applyFont="1" applyFill="1" applyBorder="1" applyAlignment="1">
      <alignment horizontal="right"/>
    </xf>
    <xf numFmtId="169" fontId="2" fillId="20" borderId="18" xfId="0" applyNumberFormat="1" applyFont="1" applyFill="1" applyBorder="1"/>
    <xf numFmtId="0" fontId="46" fillId="8" borderId="8" xfId="0" applyFont="1" applyFill="1" applyBorder="1" applyAlignment="1">
      <alignment horizontal="center" vertical="center" wrapText="1"/>
    </xf>
    <xf numFmtId="0" fontId="46" fillId="8" borderId="7" xfId="0" applyFont="1" applyFill="1" applyBorder="1" applyAlignment="1">
      <alignment horizontal="center" vertical="center" wrapText="1"/>
    </xf>
    <xf numFmtId="0" fontId="46" fillId="8" borderId="70" xfId="0" applyFont="1" applyFill="1" applyBorder="1" applyAlignment="1">
      <alignment horizontal="left" vertical="center" wrapText="1"/>
    </xf>
    <xf numFmtId="0" fontId="47" fillId="42" borderId="71" xfId="0" applyFont="1" applyFill="1" applyBorder="1" applyAlignment="1">
      <alignment horizontal="left" vertical="center" wrapText="1"/>
    </xf>
    <xf numFmtId="0" fontId="46" fillId="8" borderId="57" xfId="0" applyFont="1" applyFill="1" applyBorder="1" applyAlignment="1">
      <alignment horizontal="center" vertical="center" wrapText="1"/>
    </xf>
    <xf numFmtId="0" fontId="0" fillId="8" borderId="71" xfId="0" applyFill="1" applyBorder="1"/>
    <xf numFmtId="0" fontId="46" fillId="8" borderId="15" xfId="0" applyFont="1" applyFill="1" applyBorder="1" applyAlignment="1">
      <alignment horizontal="center" vertical="center" wrapText="1"/>
    </xf>
    <xf numFmtId="0" fontId="2" fillId="8" borderId="42" xfId="0" applyFont="1" applyFill="1" applyBorder="1" applyAlignment="1">
      <alignment horizontal="center" vertical="center"/>
    </xf>
    <xf numFmtId="0" fontId="0" fillId="8" borderId="1" xfId="0" applyFill="1" applyBorder="1"/>
    <xf numFmtId="0" fontId="0" fillId="8" borderId="15" xfId="0" applyFill="1" applyBorder="1"/>
    <xf numFmtId="0" fontId="46" fillId="8" borderId="44" xfId="0" applyFont="1" applyFill="1" applyBorder="1" applyAlignment="1">
      <alignment horizontal="left" vertical="center" wrapText="1"/>
    </xf>
    <xf numFmtId="0" fontId="46" fillId="8" borderId="69" xfId="0" applyFont="1" applyFill="1" applyBorder="1" applyAlignment="1">
      <alignment horizontal="center" vertical="center" wrapText="1"/>
    </xf>
    <xf numFmtId="0" fontId="2" fillId="8" borderId="43" xfId="0" applyFont="1" applyFill="1" applyBorder="1" applyAlignment="1">
      <alignment horizontal="center" vertical="center"/>
    </xf>
    <xf numFmtId="0" fontId="46" fillId="8" borderId="70" xfId="0" applyFont="1" applyFill="1" applyBorder="1" applyAlignment="1">
      <alignment horizontal="center" vertical="center" wrapText="1"/>
    </xf>
    <xf numFmtId="0" fontId="46" fillId="8" borderId="28" xfId="0" applyFont="1" applyFill="1" applyBorder="1" applyAlignment="1">
      <alignment horizontal="center" vertical="center" wrapText="1"/>
    </xf>
    <xf numFmtId="0" fontId="46" fillId="42" borderId="16" xfId="0" applyFont="1" applyFill="1" applyBorder="1" applyAlignment="1">
      <alignment horizontal="left" vertical="center" wrapText="1"/>
    </xf>
    <xf numFmtId="0" fontId="46" fillId="8" borderId="58" xfId="0" applyFont="1" applyFill="1" applyBorder="1" applyAlignment="1">
      <alignment horizontal="center" vertical="center" wrapText="1"/>
    </xf>
    <xf numFmtId="0" fontId="47" fillId="0" borderId="0" xfId="0" applyFont="1" applyBorder="1" applyAlignment="1">
      <alignment horizontal="left" vertical="center" wrapText="1"/>
    </xf>
    <xf numFmtId="0" fontId="46" fillId="0" borderId="16" xfId="0" applyFont="1" applyFill="1" applyBorder="1" applyAlignment="1">
      <alignment horizontal="center" vertical="center" wrapText="1"/>
    </xf>
    <xf numFmtId="0" fontId="46" fillId="0" borderId="17" xfId="0" applyFont="1" applyFill="1" applyBorder="1" applyAlignment="1">
      <alignment horizontal="center" vertical="center" wrapText="1"/>
    </xf>
    <xf numFmtId="0" fontId="46" fillId="8" borderId="12" xfId="0" applyFont="1" applyFill="1" applyBorder="1" applyAlignment="1">
      <alignment horizontal="center" vertical="center" wrapText="1"/>
    </xf>
    <xf numFmtId="0" fontId="46" fillId="8" borderId="25" xfId="0" applyFont="1" applyFill="1" applyBorder="1" applyAlignment="1">
      <alignment horizontal="center" vertical="center" wrapText="1"/>
    </xf>
    <xf numFmtId="0" fontId="46" fillId="8" borderId="44" xfId="0" applyFont="1" applyFill="1" applyBorder="1" applyAlignment="1">
      <alignment horizontal="center" vertical="center" wrapText="1"/>
    </xf>
    <xf numFmtId="0" fontId="0" fillId="8" borderId="69" xfId="0" applyFill="1" applyBorder="1"/>
    <xf numFmtId="0" fontId="0" fillId="8" borderId="32" xfId="0" applyFill="1" applyBorder="1"/>
    <xf numFmtId="0" fontId="46" fillId="8" borderId="23" xfId="0" applyFont="1" applyFill="1" applyBorder="1" applyAlignment="1">
      <alignment horizontal="center" vertical="center" wrapText="1"/>
    </xf>
    <xf numFmtId="0" fontId="46" fillId="0" borderId="23" xfId="0" applyFont="1" applyFill="1" applyBorder="1" applyAlignment="1">
      <alignment horizontal="center" vertical="center" wrapText="1"/>
    </xf>
    <xf numFmtId="0" fontId="46" fillId="8" borderId="61" xfId="0" applyFont="1" applyFill="1" applyBorder="1" applyAlignment="1">
      <alignment horizontal="center" vertical="center" wrapText="1"/>
    </xf>
    <xf numFmtId="0" fontId="46" fillId="42" borderId="42" xfId="0" applyFont="1" applyFill="1" applyBorder="1" applyAlignment="1">
      <alignment horizontal="center" vertical="center" wrapText="1"/>
    </xf>
    <xf numFmtId="0" fontId="47" fillId="8" borderId="42" xfId="0" applyFont="1" applyFill="1" applyBorder="1" applyAlignment="1">
      <alignment horizontal="center" vertical="center" wrapText="1"/>
    </xf>
    <xf numFmtId="0" fontId="47" fillId="8" borderId="16" xfId="0" applyFont="1" applyFill="1" applyBorder="1" applyAlignment="1">
      <alignment horizontal="center" vertical="center" wrapText="1"/>
    </xf>
    <xf numFmtId="0" fontId="47" fillId="3" borderId="18" xfId="0" applyFont="1" applyFill="1" applyBorder="1" applyAlignment="1">
      <alignment horizontal="left" vertical="center" wrapText="1"/>
    </xf>
    <xf numFmtId="0" fontId="46" fillId="0" borderId="1" xfId="0" applyFont="1" applyFill="1" applyBorder="1" applyAlignment="1">
      <alignment horizontal="center" vertical="center" wrapText="1"/>
    </xf>
    <xf numFmtId="0" fontId="2" fillId="8" borderId="17" xfId="0" applyFont="1" applyFill="1" applyBorder="1"/>
    <xf numFmtId="0" fontId="2" fillId="8" borderId="17" xfId="0" applyFont="1" applyFill="1" applyBorder="1" applyAlignment="1">
      <alignment horizontal="center"/>
    </xf>
    <xf numFmtId="0" fontId="2" fillId="8" borderId="17" xfId="0" applyFont="1" applyFill="1" applyBorder="1" applyAlignment="1">
      <alignment horizontal="center" vertical="center"/>
    </xf>
    <xf numFmtId="0" fontId="47" fillId="8" borderId="46" xfId="0" applyFont="1" applyFill="1" applyBorder="1" applyAlignment="1">
      <alignment horizontal="left" vertical="center" wrapText="1"/>
    </xf>
    <xf numFmtId="0" fontId="0" fillId="8" borderId="49" xfId="0" applyFill="1" applyBorder="1"/>
    <xf numFmtId="0" fontId="0" fillId="8" borderId="28" xfId="0" applyFill="1" applyBorder="1"/>
    <xf numFmtId="0" fontId="0" fillId="8" borderId="40" xfId="0" applyFill="1" applyBorder="1"/>
    <xf numFmtId="0" fontId="0" fillId="8" borderId="18" xfId="0" applyFont="1" applyFill="1" applyBorder="1"/>
    <xf numFmtId="0" fontId="2" fillId="48" borderId="25" xfId="0" applyFont="1" applyFill="1" applyBorder="1" applyAlignment="1">
      <alignment vertical="top"/>
    </xf>
    <xf numFmtId="0" fontId="2" fillId="48" borderId="18" xfId="0" applyFont="1" applyFill="1" applyBorder="1"/>
    <xf numFmtId="0" fontId="0" fillId="0" borderId="32" xfId="0" applyBorder="1"/>
    <xf numFmtId="167" fontId="0" fillId="11" borderId="51" xfId="3" applyFont="1" applyFill="1" applyBorder="1" applyAlignment="1">
      <alignment horizontal="center" vertical="center"/>
    </xf>
    <xf numFmtId="167" fontId="0" fillId="11" borderId="34" xfId="3" applyFont="1" applyFill="1" applyBorder="1"/>
    <xf numFmtId="0" fontId="2" fillId="8" borderId="8" xfId="0" applyFont="1" applyFill="1" applyBorder="1"/>
    <xf numFmtId="0" fontId="0" fillId="0" borderId="71" xfId="0" applyBorder="1" applyAlignment="1">
      <alignment horizontal="center"/>
    </xf>
    <xf numFmtId="0" fontId="0" fillId="10" borderId="63" xfId="0" applyFill="1" applyBorder="1"/>
    <xf numFmtId="0" fontId="0" fillId="0" borderId="42" xfId="0" applyBorder="1" applyAlignment="1">
      <alignment horizontal="center"/>
    </xf>
    <xf numFmtId="0" fontId="0" fillId="10" borderId="17" xfId="0" applyFill="1" applyBorder="1"/>
    <xf numFmtId="0" fontId="0" fillId="0" borderId="43" xfId="0" applyBorder="1" applyAlignment="1">
      <alignment horizontal="center"/>
    </xf>
    <xf numFmtId="0" fontId="0" fillId="10" borderId="32" xfId="0" applyFill="1" applyBorder="1"/>
    <xf numFmtId="0" fontId="19" fillId="0" borderId="18" xfId="0" applyFont="1" applyBorder="1"/>
    <xf numFmtId="0" fontId="0" fillId="0" borderId="0" xfId="0"/>
    <xf numFmtId="0" fontId="3" fillId="0" borderId="0" xfId="0" applyFont="1"/>
    <xf numFmtId="0" fontId="3" fillId="0" borderId="0" xfId="0" applyFont="1" applyAlignment="1">
      <alignment horizontal="center"/>
    </xf>
    <xf numFmtId="0" fontId="0" fillId="0" borderId="27" xfId="0" applyBorder="1" applyAlignment="1">
      <alignment wrapText="1"/>
    </xf>
    <xf numFmtId="0" fontId="3" fillId="0" borderId="41" xfId="0" applyFont="1" applyBorder="1" applyAlignment="1">
      <alignment vertical="top"/>
    </xf>
    <xf numFmtId="0" fontId="3" fillId="0" borderId="28" xfId="0" applyFont="1" applyBorder="1" applyAlignment="1">
      <alignment horizontal="left" vertical="top" wrapText="1"/>
    </xf>
    <xf numFmtId="0" fontId="3" fillId="0" borderId="28" xfId="0" applyFont="1" applyBorder="1" applyAlignment="1">
      <alignment horizontal="center" vertical="top" wrapText="1"/>
    </xf>
    <xf numFmtId="0" fontId="3" fillId="0" borderId="44" xfId="0" applyFont="1" applyBorder="1"/>
    <xf numFmtId="0" fontId="3" fillId="2" borderId="70" xfId="0" applyFont="1" applyFill="1" applyBorder="1"/>
    <xf numFmtId="0" fontId="3" fillId="2" borderId="41" xfId="0" applyFont="1" applyFill="1" applyBorder="1"/>
    <xf numFmtId="0" fontId="3" fillId="2" borderId="49" xfId="0" applyFont="1" applyFill="1" applyBorder="1"/>
    <xf numFmtId="0" fontId="3" fillId="2" borderId="28" xfId="0" applyFont="1" applyFill="1" applyBorder="1"/>
    <xf numFmtId="0" fontId="3" fillId="2" borderId="75" xfId="0" applyFont="1" applyFill="1" applyBorder="1"/>
    <xf numFmtId="0" fontId="3" fillId="2" borderId="63" xfId="0" applyFont="1" applyFill="1" applyBorder="1"/>
    <xf numFmtId="0" fontId="0" fillId="2" borderId="59" xfId="0" applyFill="1" applyBorder="1"/>
    <xf numFmtId="0" fontId="0" fillId="2" borderId="58" xfId="0" applyFill="1" applyBorder="1"/>
    <xf numFmtId="0" fontId="0" fillId="2" borderId="55" xfId="0" applyFill="1" applyBorder="1"/>
    <xf numFmtId="0" fontId="0" fillId="2" borderId="63" xfId="0" applyFill="1" applyBorder="1"/>
    <xf numFmtId="0" fontId="0" fillId="0" borderId="66" xfId="0" applyFill="1" applyBorder="1" applyAlignment="1">
      <alignment horizontal="center" vertical="center"/>
    </xf>
    <xf numFmtId="0" fontId="0" fillId="0" borderId="73" xfId="0" applyFill="1" applyBorder="1" applyAlignment="1">
      <alignment horizontal="center" vertical="center"/>
    </xf>
    <xf numFmtId="0" fontId="0" fillId="0" borderId="39" xfId="0" applyBorder="1" applyAlignment="1">
      <alignment horizontal="center"/>
    </xf>
    <xf numFmtId="0" fontId="0" fillId="0" borderId="29" xfId="0" applyBorder="1" applyAlignment="1">
      <alignment horizontal="center"/>
    </xf>
    <xf numFmtId="0" fontId="0" fillId="0" borderId="73" xfId="0" applyBorder="1" applyAlignment="1">
      <alignment horizontal="center"/>
    </xf>
    <xf numFmtId="0" fontId="3" fillId="2" borderId="62" xfId="0" applyFont="1" applyFill="1" applyBorder="1" applyAlignment="1">
      <alignment vertical="center"/>
    </xf>
    <xf numFmtId="0" fontId="3" fillId="2" borderId="70" xfId="0" applyFont="1" applyFill="1" applyBorder="1" applyAlignment="1">
      <alignment vertical="center"/>
    </xf>
    <xf numFmtId="0" fontId="3" fillId="2" borderId="45" xfId="0" applyFont="1" applyFill="1" applyBorder="1" applyAlignment="1">
      <alignment vertical="center"/>
    </xf>
    <xf numFmtId="0" fontId="3" fillId="2" borderId="58" xfId="0" applyFont="1" applyFill="1" applyBorder="1" applyAlignment="1">
      <alignment vertical="center"/>
    </xf>
    <xf numFmtId="0" fontId="3" fillId="2" borderId="0" xfId="0" applyFont="1" applyFill="1" applyBorder="1" applyAlignment="1">
      <alignment vertical="center"/>
    </xf>
    <xf numFmtId="0" fontId="3" fillId="2" borderId="14" xfId="0" applyFont="1" applyFill="1" applyBorder="1" applyAlignment="1">
      <alignment vertical="center"/>
    </xf>
    <xf numFmtId="0" fontId="0" fillId="3" borderId="43" xfId="0" applyFill="1" applyBorder="1" applyAlignment="1">
      <alignment horizontal="center" vertical="center"/>
    </xf>
    <xf numFmtId="0" fontId="0" fillId="0" borderId="61" xfId="0" applyBorder="1" applyAlignment="1">
      <alignment horizontal="center" vertical="center"/>
    </xf>
    <xf numFmtId="0" fontId="0" fillId="8" borderId="29" xfId="0" applyFill="1" applyBorder="1" applyAlignment="1">
      <alignment horizontal="center" vertical="center"/>
    </xf>
    <xf numFmtId="0" fontId="30" fillId="0" borderId="27" xfId="0" applyFont="1" applyBorder="1" applyAlignment="1">
      <alignment wrapText="1"/>
    </xf>
    <xf numFmtId="0" fontId="27" fillId="0" borderId="41" xfId="0" applyFont="1" applyBorder="1" applyAlignment="1">
      <alignment horizontal="center" vertical="top"/>
    </xf>
    <xf numFmtId="0" fontId="27" fillId="0" borderId="28" xfId="0" applyFont="1" applyBorder="1" applyAlignment="1">
      <alignment horizontal="center" vertical="top" wrapText="1"/>
    </xf>
    <xf numFmtId="0" fontId="30" fillId="0" borderId="0" xfId="0" applyFont="1"/>
    <xf numFmtId="0" fontId="27" fillId="0" borderId="44" xfId="0" applyFont="1" applyBorder="1"/>
    <xf numFmtId="0" fontId="30" fillId="3" borderId="43" xfId="0" applyFont="1" applyFill="1" applyBorder="1" applyAlignment="1">
      <alignment horizontal="center" vertical="center"/>
    </xf>
    <xf numFmtId="0" fontId="30" fillId="3" borderId="25" xfId="0" applyFont="1" applyFill="1" applyBorder="1" applyAlignment="1">
      <alignment horizontal="center"/>
    </xf>
    <xf numFmtId="0" fontId="30" fillId="0" borderId="18" xfId="0" applyFont="1" applyBorder="1" applyAlignment="1">
      <alignment wrapText="1"/>
    </xf>
    <xf numFmtId="0" fontId="27" fillId="2" borderId="70" xfId="0" applyFont="1" applyFill="1" applyBorder="1"/>
    <xf numFmtId="0" fontId="27" fillId="2" borderId="41" xfId="0" applyFont="1" applyFill="1" applyBorder="1"/>
    <xf numFmtId="0" fontId="27" fillId="2" borderId="49" xfId="0" applyFont="1" applyFill="1" applyBorder="1"/>
    <xf numFmtId="0" fontId="27" fillId="2" borderId="28" xfId="0" applyFont="1" applyFill="1" applyBorder="1"/>
    <xf numFmtId="0" fontId="27" fillId="2" borderId="75" xfId="0" applyFont="1" applyFill="1" applyBorder="1"/>
    <xf numFmtId="0" fontId="27" fillId="2" borderId="63" xfId="0" applyFont="1" applyFill="1" applyBorder="1"/>
    <xf numFmtId="0" fontId="30" fillId="2" borderId="59" xfId="0" applyFont="1" applyFill="1" applyBorder="1"/>
    <xf numFmtId="0" fontId="30" fillId="2" borderId="58" xfId="0" applyFont="1" applyFill="1" applyBorder="1"/>
    <xf numFmtId="0" fontId="30" fillId="2" borderId="55" xfId="0" applyFont="1" applyFill="1" applyBorder="1"/>
    <xf numFmtId="0" fontId="30" fillId="2" borderId="63" xfId="0" applyFont="1" applyFill="1" applyBorder="1"/>
    <xf numFmtId="0" fontId="30" fillId="0" borderId="42" xfId="0" applyFont="1" applyBorder="1"/>
    <xf numFmtId="0" fontId="30" fillId="0" borderId="18" xfId="0" applyFont="1" applyFill="1" applyBorder="1" applyAlignment="1">
      <alignment horizontal="center" vertical="center"/>
    </xf>
    <xf numFmtId="0" fontId="30" fillId="0" borderId="18" xfId="0" applyFont="1" applyBorder="1" applyAlignment="1">
      <alignment horizontal="center"/>
    </xf>
    <xf numFmtId="0" fontId="30" fillId="0" borderId="66" xfId="0" applyFont="1" applyFill="1" applyBorder="1" applyAlignment="1">
      <alignment horizontal="center" vertical="center"/>
    </xf>
    <xf numFmtId="0" fontId="30" fillId="0" borderId="17" xfId="0" applyFont="1" applyBorder="1" applyAlignment="1">
      <alignment horizontal="center" vertical="center"/>
    </xf>
    <xf numFmtId="0" fontId="30" fillId="0" borderId="17" xfId="0" applyFont="1" applyBorder="1"/>
    <xf numFmtId="0" fontId="30" fillId="0" borderId="71" xfId="0" applyFont="1" applyBorder="1"/>
    <xf numFmtId="0" fontId="30" fillId="18" borderId="18" xfId="0" applyFont="1" applyFill="1" applyBorder="1" applyAlignment="1">
      <alignment horizontal="center" vertical="center"/>
    </xf>
    <xf numFmtId="0" fontId="30" fillId="0" borderId="67" xfId="0" applyFont="1" applyBorder="1" applyAlignment="1">
      <alignment horizontal="center" vertical="center"/>
    </xf>
    <xf numFmtId="0" fontId="30" fillId="0" borderId="67" xfId="0" applyFont="1" applyBorder="1"/>
    <xf numFmtId="0" fontId="30" fillId="0" borderId="43" xfId="0" applyFont="1" applyBorder="1"/>
    <xf numFmtId="0" fontId="30" fillId="0" borderId="29" xfId="0" applyFont="1" applyFill="1" applyBorder="1" applyAlignment="1">
      <alignment horizontal="center" vertical="center"/>
    </xf>
    <xf numFmtId="0" fontId="30" fillId="0" borderId="73" xfId="0" applyFont="1" applyFill="1" applyBorder="1" applyAlignment="1">
      <alignment horizontal="center" vertical="center"/>
    </xf>
    <xf numFmtId="0" fontId="30" fillId="0" borderId="32" xfId="0" applyFont="1" applyBorder="1" applyAlignment="1">
      <alignment horizontal="center" vertical="center"/>
    </xf>
    <xf numFmtId="0" fontId="30" fillId="0" borderId="32" xfId="0" applyFont="1" applyBorder="1"/>
    <xf numFmtId="0" fontId="27" fillId="2" borderId="62" xfId="0" applyFont="1" applyFill="1" applyBorder="1" applyAlignment="1">
      <alignment vertical="center"/>
    </xf>
    <xf numFmtId="0" fontId="27" fillId="2" borderId="70" xfId="0" applyFont="1" applyFill="1" applyBorder="1" applyAlignment="1">
      <alignment vertical="center"/>
    </xf>
    <xf numFmtId="0" fontId="27" fillId="2" borderId="45" xfId="0" applyFont="1" applyFill="1" applyBorder="1" applyAlignment="1">
      <alignment vertical="center"/>
    </xf>
    <xf numFmtId="0" fontId="27" fillId="2" borderId="58" xfId="0" applyFont="1" applyFill="1" applyBorder="1" applyAlignment="1">
      <alignment vertical="center"/>
    </xf>
    <xf numFmtId="0" fontId="27" fillId="2" borderId="0" xfId="0" applyFont="1" applyFill="1" applyBorder="1" applyAlignment="1">
      <alignment vertical="center"/>
    </xf>
    <xf numFmtId="0" fontId="27" fillId="2" borderId="14" xfId="0" applyFont="1" applyFill="1" applyBorder="1" applyAlignment="1">
      <alignment vertical="center"/>
    </xf>
    <xf numFmtId="0" fontId="30" fillId="0" borderId="70" xfId="0" applyFont="1" applyBorder="1"/>
    <xf numFmtId="0" fontId="30" fillId="0" borderId="38" xfId="0" applyFont="1" applyBorder="1" applyAlignment="1">
      <alignment horizontal="center"/>
    </xf>
    <xf numFmtId="0" fontId="30" fillId="18" borderId="66" xfId="0" applyFont="1" applyFill="1" applyBorder="1" applyAlignment="1">
      <alignment horizontal="center" vertical="center"/>
    </xf>
    <xf numFmtId="0" fontId="30" fillId="0" borderId="15" xfId="0" applyFont="1" applyBorder="1" applyAlignment="1">
      <alignment horizontal="center" vertical="center"/>
    </xf>
    <xf numFmtId="0" fontId="30" fillId="0" borderId="66" xfId="0" applyFont="1" applyBorder="1" applyAlignment="1">
      <alignment horizontal="center"/>
    </xf>
    <xf numFmtId="0" fontId="30" fillId="0" borderId="16" xfId="0" applyFont="1" applyBorder="1"/>
    <xf numFmtId="0" fontId="30" fillId="0" borderId="12" xfId="0" applyFont="1" applyBorder="1"/>
    <xf numFmtId="0" fontId="30" fillId="0" borderId="24" xfId="0" applyFont="1" applyBorder="1" applyAlignment="1">
      <alignment horizontal="center"/>
    </xf>
    <xf numFmtId="0" fontId="30" fillId="0" borderId="48" xfId="0" applyFont="1" applyBorder="1" applyAlignment="1">
      <alignment horizontal="center"/>
    </xf>
    <xf numFmtId="0" fontId="30" fillId="0" borderId="25" xfId="0" applyFont="1" applyFill="1" applyBorder="1" applyAlignment="1">
      <alignment horizontal="center" vertical="center"/>
    </xf>
    <xf numFmtId="0" fontId="30" fillId="18" borderId="25" xfId="0" applyFont="1" applyFill="1" applyBorder="1" applyAlignment="1">
      <alignment horizontal="center" vertical="center"/>
    </xf>
    <xf numFmtId="0" fontId="30" fillId="18" borderId="60" xfId="0" applyFont="1" applyFill="1" applyBorder="1" applyAlignment="1">
      <alignment horizontal="center" vertical="center"/>
    </xf>
    <xf numFmtId="0" fontId="30" fillId="0" borderId="61" xfId="0" applyFont="1" applyBorder="1" applyAlignment="1">
      <alignment horizontal="center" vertical="center"/>
    </xf>
    <xf numFmtId="0" fontId="30" fillId="0" borderId="25" xfId="0" applyFont="1" applyBorder="1" applyAlignment="1">
      <alignment horizontal="center"/>
    </xf>
    <xf numFmtId="0" fontId="30" fillId="0" borderId="60" xfId="0" applyFont="1" applyBorder="1" applyAlignment="1">
      <alignment horizontal="center"/>
    </xf>
    <xf numFmtId="0" fontId="30" fillId="0" borderId="59" xfId="0" applyFont="1" applyBorder="1" applyAlignment="1">
      <alignment horizontal="center"/>
    </xf>
    <xf numFmtId="0" fontId="30" fillId="0" borderId="58" xfId="0" applyFont="1" applyFill="1" applyBorder="1" applyAlignment="1">
      <alignment horizontal="center" vertical="center"/>
    </xf>
    <xf numFmtId="0" fontId="30" fillId="18" borderId="58" xfId="0" applyFont="1" applyFill="1" applyBorder="1" applyAlignment="1">
      <alignment horizontal="center" vertical="center"/>
    </xf>
    <xf numFmtId="0" fontId="30" fillId="18" borderId="55" xfId="0" applyFont="1" applyFill="1" applyBorder="1" applyAlignment="1">
      <alignment horizontal="center" vertical="center"/>
    </xf>
    <xf numFmtId="0" fontId="30" fillId="0" borderId="57" xfId="0" applyFont="1" applyBorder="1" applyAlignment="1">
      <alignment horizontal="center" vertical="center"/>
    </xf>
    <xf numFmtId="0" fontId="30" fillId="0" borderId="58" xfId="0" applyFont="1" applyBorder="1" applyAlignment="1">
      <alignment horizontal="center"/>
    </xf>
    <xf numFmtId="0" fontId="30" fillId="0" borderId="55" xfId="0" applyFont="1" applyBorder="1" applyAlignment="1">
      <alignment horizontal="center"/>
    </xf>
    <xf numFmtId="0" fontId="30" fillId="0" borderId="63" xfId="0" applyFont="1" applyBorder="1"/>
    <xf numFmtId="0" fontId="30" fillId="0" borderId="44" xfId="0" applyFont="1" applyBorder="1"/>
    <xf numFmtId="0" fontId="30" fillId="0" borderId="39" xfId="0" applyFont="1" applyBorder="1" applyAlignment="1">
      <alignment horizontal="center"/>
    </xf>
    <xf numFmtId="0" fontId="30" fillId="18" borderId="29" xfId="0" applyFont="1" applyFill="1" applyBorder="1" applyAlignment="1">
      <alignment horizontal="center" vertical="center"/>
    </xf>
    <xf numFmtId="0" fontId="30" fillId="18" borderId="73" xfId="0" applyFont="1" applyFill="1" applyBorder="1" applyAlignment="1">
      <alignment horizontal="center" vertical="center"/>
    </xf>
    <xf numFmtId="0" fontId="30" fillId="0" borderId="69" xfId="0" applyFont="1" applyBorder="1" applyAlignment="1">
      <alignment horizontal="center" vertical="center"/>
    </xf>
    <xf numFmtId="0" fontId="30" fillId="0" borderId="29" xfId="0" applyFont="1" applyBorder="1" applyAlignment="1">
      <alignment horizontal="center"/>
    </xf>
    <xf numFmtId="0" fontId="30" fillId="0" borderId="73" xfId="0" applyFont="1" applyBorder="1" applyAlignment="1">
      <alignment horizontal="center"/>
    </xf>
    <xf numFmtId="0" fontId="30" fillId="0" borderId="24" xfId="0" applyFont="1" applyBorder="1" applyAlignment="1">
      <alignment horizontal="center" vertical="center"/>
    </xf>
    <xf numFmtId="0" fontId="30" fillId="0" borderId="76" xfId="0" applyFont="1" applyBorder="1" applyAlignment="1">
      <alignment horizontal="center" vertical="center"/>
    </xf>
    <xf numFmtId="0" fontId="30" fillId="8" borderId="18" xfId="0" applyFont="1" applyFill="1" applyBorder="1" applyAlignment="1">
      <alignment horizontal="center" vertical="center"/>
    </xf>
    <xf numFmtId="0" fontId="30" fillId="8" borderId="29" xfId="0" applyFont="1" applyFill="1" applyBorder="1" applyAlignment="1">
      <alignment horizontal="center" vertical="center"/>
    </xf>
    <xf numFmtId="0" fontId="3" fillId="0" borderId="18" xfId="0" applyFont="1" applyBorder="1" applyAlignment="1">
      <alignment vertical="top"/>
    </xf>
    <xf numFmtId="0" fontId="3" fillId="0" borderId="18" xfId="0" applyFont="1" applyBorder="1" applyAlignment="1">
      <alignment horizontal="left" vertical="top" wrapText="1"/>
    </xf>
    <xf numFmtId="0" fontId="3" fillId="9" borderId="18" xfId="0" applyFont="1" applyFill="1" applyBorder="1" applyAlignment="1">
      <alignment horizontal="left" vertical="top" wrapText="1"/>
    </xf>
    <xf numFmtId="0" fontId="3" fillId="0" borderId="18" xfId="0" applyFont="1" applyBorder="1"/>
    <xf numFmtId="0" fontId="0" fillId="9" borderId="18" xfId="0" applyFill="1" applyBorder="1"/>
    <xf numFmtId="0" fontId="0" fillId="0" borderId="18" xfId="0" applyFill="1" applyBorder="1"/>
    <xf numFmtId="9" fontId="0" fillId="0" borderId="18" xfId="2" applyFont="1" applyFill="1" applyBorder="1"/>
    <xf numFmtId="0" fontId="0" fillId="9" borderId="18" xfId="0" applyFill="1" applyBorder="1" applyAlignment="1">
      <alignment horizontal="center" wrapText="1"/>
    </xf>
    <xf numFmtId="0" fontId="3" fillId="2" borderId="18" xfId="0" applyFont="1" applyFill="1" applyBorder="1" applyAlignment="1">
      <alignment vertical="center"/>
    </xf>
    <xf numFmtId="0" fontId="0" fillId="2" borderId="18" xfId="0" applyFill="1" applyBorder="1"/>
    <xf numFmtId="0" fontId="3" fillId="0" borderId="18" xfId="0" applyFont="1" applyBorder="1" applyAlignment="1">
      <alignment horizontal="center" vertical="top" wrapText="1"/>
    </xf>
    <xf numFmtId="0" fontId="3" fillId="2" borderId="18" xfId="0" applyFont="1" applyFill="1" applyBorder="1"/>
    <xf numFmtId="0" fontId="0" fillId="3" borderId="18" xfId="0" applyFill="1" applyBorder="1" applyAlignment="1">
      <alignment horizontal="center" vertical="center" wrapText="1"/>
    </xf>
    <xf numFmtId="0" fontId="3" fillId="0" borderId="18" xfId="0" applyFont="1" applyBorder="1" applyAlignment="1">
      <alignment vertical="top" wrapText="1"/>
    </xf>
    <xf numFmtId="0" fontId="18" fillId="42" borderId="6" xfId="0" applyFont="1" applyFill="1" applyBorder="1"/>
    <xf numFmtId="0" fontId="18" fillId="0" borderId="0" xfId="0" applyFont="1"/>
    <xf numFmtId="0" fontId="18" fillId="0" borderId="0" xfId="0" applyFont="1" applyAlignment="1">
      <alignment vertical="center"/>
    </xf>
    <xf numFmtId="0" fontId="18" fillId="0" borderId="0" xfId="0" applyFont="1" applyAlignment="1">
      <alignment wrapText="1"/>
    </xf>
    <xf numFmtId="0" fontId="18" fillId="3" borderId="6" xfId="0" applyFont="1" applyFill="1" applyBorder="1"/>
    <xf numFmtId="0" fontId="18" fillId="3" borderId="18" xfId="0" applyFont="1" applyFill="1" applyBorder="1"/>
    <xf numFmtId="0" fontId="18" fillId="0" borderId="18" xfId="0" applyFont="1" applyBorder="1" applyAlignment="1">
      <alignment wrapText="1"/>
    </xf>
    <xf numFmtId="0" fontId="18" fillId="43" borderId="6" xfId="0" applyFont="1" applyFill="1" applyBorder="1"/>
    <xf numFmtId="0" fontId="18" fillId="47" borderId="6" xfId="0" applyFont="1" applyFill="1" applyBorder="1"/>
    <xf numFmtId="0" fontId="18" fillId="39" borderId="6" xfId="0" applyFont="1" applyFill="1" applyBorder="1"/>
    <xf numFmtId="0" fontId="18" fillId="50" borderId="6" xfId="0" applyFont="1" applyFill="1" applyBorder="1"/>
    <xf numFmtId="0" fontId="18" fillId="51" borderId="6" xfId="0" applyFont="1" applyFill="1" applyBorder="1"/>
    <xf numFmtId="0" fontId="51" fillId="0" borderId="0" xfId="0" applyFont="1" applyFill="1"/>
    <xf numFmtId="0" fontId="18" fillId="52" borderId="6" xfId="0" applyFont="1" applyFill="1" applyBorder="1"/>
    <xf numFmtId="0" fontId="18" fillId="53" borderId="6" xfId="0" applyFont="1" applyFill="1" applyBorder="1"/>
    <xf numFmtId="0" fontId="19" fillId="47" borderId="18" xfId="0" applyFont="1" applyFill="1" applyBorder="1" applyAlignment="1">
      <alignment horizontal="center" vertical="center" wrapText="1"/>
    </xf>
    <xf numFmtId="0" fontId="19" fillId="47" borderId="18" xfId="0" applyFont="1" applyFill="1" applyBorder="1" applyAlignment="1">
      <alignment horizontal="center" vertical="center"/>
    </xf>
    <xf numFmtId="0" fontId="19" fillId="47" borderId="25" xfId="0" applyFont="1" applyFill="1" applyBorder="1" applyAlignment="1">
      <alignment horizontal="center" vertical="center" wrapText="1"/>
    </xf>
    <xf numFmtId="0" fontId="19" fillId="47" borderId="25" xfId="0" applyFont="1" applyFill="1" applyBorder="1" applyAlignment="1">
      <alignment horizontal="center" vertical="center"/>
    </xf>
    <xf numFmtId="0" fontId="18" fillId="3" borderId="6" xfId="0" applyFont="1" applyFill="1" applyBorder="1" applyAlignment="1">
      <alignment horizontal="center" vertical="center"/>
    </xf>
    <xf numFmtId="0" fontId="18" fillId="19" borderId="18" xfId="0" applyFont="1" applyFill="1" applyBorder="1" applyAlignment="1">
      <alignment horizontal="center" vertical="center"/>
    </xf>
    <xf numFmtId="0" fontId="18" fillId="25" borderId="18" xfId="0" applyFont="1" applyFill="1" applyBorder="1" applyAlignment="1">
      <alignment horizontal="center" vertical="center"/>
    </xf>
    <xf numFmtId="0" fontId="18" fillId="19" borderId="18" xfId="0" applyFont="1" applyFill="1" applyBorder="1" applyAlignment="1">
      <alignment horizontal="left" vertical="center"/>
    </xf>
    <xf numFmtId="0" fontId="18" fillId="47" borderId="18" xfId="0" applyFont="1" applyFill="1" applyBorder="1"/>
    <xf numFmtId="0" fontId="18" fillId="47" borderId="58" xfId="0" applyFont="1" applyFill="1" applyBorder="1"/>
    <xf numFmtId="0" fontId="26" fillId="55" borderId="18" xfId="0" applyFont="1" applyFill="1" applyBorder="1" applyAlignment="1">
      <alignment horizontal="center" vertical="center"/>
    </xf>
    <xf numFmtId="0" fontId="26" fillId="19" borderId="18" xfId="0" applyFont="1" applyFill="1" applyBorder="1" applyAlignment="1">
      <alignment horizontal="center" vertical="center"/>
    </xf>
    <xf numFmtId="0" fontId="18" fillId="47" borderId="18" xfId="0" applyFont="1" applyFill="1" applyBorder="1" applyAlignment="1">
      <alignment horizontal="center" vertical="center"/>
    </xf>
    <xf numFmtId="0" fontId="18" fillId="19" borderId="18" xfId="0" applyFont="1" applyFill="1" applyBorder="1" applyAlignment="1">
      <alignment horizontal="left" vertical="center" wrapText="1"/>
    </xf>
    <xf numFmtId="0" fontId="18" fillId="47" borderId="25" xfId="0" applyFont="1" applyFill="1" applyBorder="1"/>
    <xf numFmtId="0" fontId="18" fillId="55" borderId="18" xfId="0" applyFont="1" applyFill="1" applyBorder="1" applyAlignment="1">
      <alignment horizontal="center" vertical="center"/>
    </xf>
    <xf numFmtId="0" fontId="2" fillId="55" borderId="18" xfId="0" applyFont="1" applyFill="1" applyBorder="1" applyAlignment="1">
      <alignment wrapText="1"/>
    </xf>
    <xf numFmtId="0" fontId="18" fillId="55" borderId="18" xfId="0" applyFont="1" applyFill="1" applyBorder="1" applyAlignment="1">
      <alignment horizontal="left" vertical="center" wrapText="1"/>
    </xf>
    <xf numFmtId="0" fontId="18" fillId="19" borderId="18" xfId="0" applyFont="1" applyFill="1" applyBorder="1"/>
    <xf numFmtId="0" fontId="18" fillId="55" borderId="18" xfId="0" applyFont="1" applyFill="1" applyBorder="1" applyAlignment="1">
      <alignment horizontal="left" vertical="center"/>
    </xf>
    <xf numFmtId="0" fontId="18" fillId="19" borderId="18" xfId="0" applyFont="1" applyFill="1" applyBorder="1" applyAlignment="1">
      <alignment wrapText="1"/>
    </xf>
    <xf numFmtId="0" fontId="3" fillId="55" borderId="18" xfId="0" applyFont="1" applyFill="1" applyBorder="1" applyAlignment="1">
      <alignment horizontal="center" vertical="center"/>
    </xf>
    <xf numFmtId="0" fontId="3" fillId="19" borderId="18" xfId="0" applyFont="1" applyFill="1" applyBorder="1" applyAlignment="1">
      <alignment horizontal="center" vertical="center"/>
    </xf>
    <xf numFmtId="0" fontId="38" fillId="56" borderId="18" xfId="0" applyFont="1" applyFill="1" applyBorder="1" applyAlignment="1">
      <alignment horizontal="center" vertical="center"/>
    </xf>
    <xf numFmtId="0" fontId="52" fillId="56" borderId="20" xfId="0" applyFont="1" applyFill="1" applyBorder="1" applyAlignment="1">
      <alignment horizontal="left" vertical="center"/>
    </xf>
    <xf numFmtId="0" fontId="19" fillId="7" borderId="23" xfId="0" applyFont="1" applyFill="1" applyBorder="1" applyAlignment="1">
      <alignment horizontal="center" vertical="center" wrapText="1"/>
    </xf>
    <xf numFmtId="0" fontId="19" fillId="7" borderId="24"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18" fillId="43" borderId="18" xfId="0" applyFont="1" applyFill="1" applyBorder="1" applyAlignment="1">
      <alignment horizontal="center" vertical="center"/>
    </xf>
    <xf numFmtId="0" fontId="2" fillId="43" borderId="18" xfId="0" applyFont="1" applyFill="1" applyBorder="1" applyAlignment="1">
      <alignment wrapText="1"/>
    </xf>
    <xf numFmtId="0" fontId="26" fillId="43" borderId="18" xfId="0" applyFont="1" applyFill="1" applyBorder="1" applyAlignment="1">
      <alignment horizontal="center" vertical="center"/>
    </xf>
    <xf numFmtId="0" fontId="18" fillId="43" borderId="18" xfId="0" applyFont="1" applyFill="1" applyBorder="1" applyAlignment="1">
      <alignment horizontal="left" vertical="center" wrapText="1"/>
    </xf>
    <xf numFmtId="0" fontId="18" fillId="21" borderId="18" xfId="0" applyFont="1" applyFill="1" applyBorder="1" applyAlignment="1">
      <alignment horizontal="center" vertical="center"/>
    </xf>
    <xf numFmtId="0" fontId="18" fillId="21" borderId="18" xfId="0" applyFont="1" applyFill="1" applyBorder="1"/>
    <xf numFmtId="0" fontId="26" fillId="21" borderId="18" xfId="0" applyFont="1" applyFill="1" applyBorder="1" applyAlignment="1">
      <alignment horizontal="center" vertical="center"/>
    </xf>
    <xf numFmtId="0" fontId="18" fillId="21" borderId="18" xfId="0" applyFont="1" applyFill="1" applyBorder="1" applyAlignment="1">
      <alignment horizontal="left" vertical="center"/>
    </xf>
    <xf numFmtId="0" fontId="18" fillId="43" borderId="18" xfId="0" applyFont="1" applyFill="1" applyBorder="1" applyAlignment="1">
      <alignment horizontal="left" vertical="center"/>
    </xf>
    <xf numFmtId="0" fontId="18" fillId="21" borderId="18" xfId="0" applyFont="1" applyFill="1" applyBorder="1" applyAlignment="1">
      <alignment wrapText="1"/>
    </xf>
    <xf numFmtId="0" fontId="18" fillId="9" borderId="18" xfId="0" applyFont="1" applyFill="1" applyBorder="1" applyAlignment="1">
      <alignment horizontal="left" vertical="center" wrapText="1"/>
    </xf>
    <xf numFmtId="0" fontId="18" fillId="21" borderId="18" xfId="0" applyFont="1" applyFill="1" applyBorder="1" applyAlignment="1">
      <alignment horizontal="left" vertical="center" wrapText="1"/>
    </xf>
    <xf numFmtId="0" fontId="19" fillId="7" borderId="15" xfId="0" applyFont="1" applyFill="1" applyBorder="1" applyAlignment="1">
      <alignment horizontal="center" vertical="center" wrapText="1"/>
    </xf>
    <xf numFmtId="0" fontId="18" fillId="7" borderId="18" xfId="0" applyFont="1" applyFill="1" applyBorder="1" applyAlignment="1">
      <alignment horizontal="center" vertical="center"/>
    </xf>
    <xf numFmtId="0" fontId="3" fillId="7" borderId="18" xfId="0" applyFont="1" applyFill="1" applyBorder="1" applyAlignment="1">
      <alignment horizontal="center" vertical="center"/>
    </xf>
    <xf numFmtId="0" fontId="18" fillId="7" borderId="18" xfId="0" applyFont="1" applyFill="1" applyBorder="1" applyAlignment="1">
      <alignment horizontal="left" vertical="center"/>
    </xf>
    <xf numFmtId="0" fontId="19" fillId="7" borderId="19" xfId="0" applyFont="1" applyFill="1" applyBorder="1" applyAlignment="1">
      <alignment horizontal="center" vertical="center" wrapText="1"/>
    </xf>
    <xf numFmtId="0" fontId="19" fillId="7" borderId="61" xfId="0" applyFont="1" applyFill="1" applyBorder="1" applyAlignment="1">
      <alignment horizontal="center" vertical="center" wrapText="1"/>
    </xf>
    <xf numFmtId="0" fontId="3" fillId="43" borderId="18" xfId="0" applyFont="1" applyFill="1" applyBorder="1" applyAlignment="1">
      <alignment horizontal="center" vertical="center"/>
    </xf>
    <xf numFmtId="0" fontId="38" fillId="57" borderId="18" xfId="0" applyFont="1" applyFill="1" applyBorder="1" applyAlignment="1">
      <alignment horizontal="center" vertical="center"/>
    </xf>
    <xf numFmtId="0" fontId="52" fillId="57" borderId="20" xfId="0" applyFont="1" applyFill="1" applyBorder="1" applyAlignment="1">
      <alignment horizontal="left" vertical="center"/>
    </xf>
    <xf numFmtId="0" fontId="19" fillId="23" borderId="23" xfId="0" applyFont="1" applyFill="1" applyBorder="1" applyAlignment="1">
      <alignment horizontal="center" vertical="center" wrapText="1"/>
    </xf>
    <xf numFmtId="0" fontId="19" fillId="23" borderId="24"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18" fillId="39" borderId="18" xfId="0" applyFont="1" applyFill="1" applyBorder="1" applyAlignment="1">
      <alignment horizontal="center" vertical="center"/>
    </xf>
    <xf numFmtId="0" fontId="2" fillId="39" borderId="18" xfId="0" applyFont="1" applyFill="1" applyBorder="1" applyAlignment="1">
      <alignment wrapText="1"/>
    </xf>
    <xf numFmtId="0" fontId="26" fillId="39" borderId="18" xfId="0" applyFont="1" applyFill="1" applyBorder="1" applyAlignment="1">
      <alignment horizontal="center" vertical="center"/>
    </xf>
    <xf numFmtId="0" fontId="18" fillId="39" borderId="18" xfId="0" applyFont="1" applyFill="1" applyBorder="1" applyAlignment="1">
      <alignment horizontal="left" vertical="center" wrapText="1"/>
    </xf>
    <xf numFmtId="0" fontId="18" fillId="26" borderId="18" xfId="0" applyFont="1" applyFill="1" applyBorder="1" applyAlignment="1">
      <alignment horizontal="center" vertical="center"/>
    </xf>
    <xf numFmtId="0" fontId="18" fillId="8" borderId="18" xfId="0" applyFont="1" applyFill="1" applyBorder="1" applyAlignment="1">
      <alignment horizontal="center" vertical="center"/>
    </xf>
    <xf numFmtId="0" fontId="18" fillId="26" borderId="18" xfId="0" applyFont="1" applyFill="1" applyBorder="1"/>
    <xf numFmtId="0" fontId="26" fillId="26" borderId="18" xfId="0" applyFont="1" applyFill="1" applyBorder="1" applyAlignment="1">
      <alignment horizontal="center" vertical="center"/>
    </xf>
    <xf numFmtId="0" fontId="18" fillId="26" borderId="18" xfId="0" applyFont="1" applyFill="1" applyBorder="1" applyAlignment="1">
      <alignment horizontal="left" vertical="center"/>
    </xf>
    <xf numFmtId="0" fontId="18" fillId="39" borderId="18" xfId="0" applyFont="1" applyFill="1" applyBorder="1" applyAlignment="1">
      <alignment horizontal="left" vertical="center"/>
    </xf>
    <xf numFmtId="0" fontId="18" fillId="26" borderId="18" xfId="0" applyFont="1" applyFill="1" applyBorder="1" applyAlignment="1">
      <alignment wrapText="1"/>
    </xf>
    <xf numFmtId="0" fontId="18" fillId="26" borderId="18" xfId="0" applyFont="1" applyFill="1" applyBorder="1" applyAlignment="1">
      <alignment horizontal="left" vertical="center" wrapText="1"/>
    </xf>
    <xf numFmtId="0" fontId="19" fillId="23" borderId="15" xfId="0" applyFont="1" applyFill="1" applyBorder="1" applyAlignment="1">
      <alignment horizontal="center" vertical="center" wrapText="1"/>
    </xf>
    <xf numFmtId="0" fontId="18" fillId="23" borderId="25" xfId="0" applyFont="1" applyFill="1" applyBorder="1" applyAlignment="1">
      <alignment horizontal="center" vertical="center"/>
    </xf>
    <xf numFmtId="0" fontId="18" fillId="23" borderId="25" xfId="0" applyFont="1" applyFill="1" applyBorder="1" applyAlignment="1">
      <alignment horizontal="left" vertical="center"/>
    </xf>
    <xf numFmtId="0" fontId="19" fillId="23" borderId="19" xfId="0" applyFont="1" applyFill="1" applyBorder="1" applyAlignment="1">
      <alignment horizontal="center" vertical="center" wrapText="1"/>
    </xf>
    <xf numFmtId="0" fontId="19" fillId="23" borderId="61" xfId="0" applyFont="1" applyFill="1" applyBorder="1" applyAlignment="1">
      <alignment horizontal="center" vertical="center" wrapText="1"/>
    </xf>
    <xf numFmtId="0" fontId="3" fillId="39" borderId="18" xfId="0" applyFont="1" applyFill="1" applyBorder="1" applyAlignment="1">
      <alignment horizontal="center" vertical="center"/>
    </xf>
    <xf numFmtId="0" fontId="52" fillId="35" borderId="20" xfId="0" applyFont="1" applyFill="1" applyBorder="1" applyAlignment="1">
      <alignment horizontal="left" vertical="center"/>
    </xf>
    <xf numFmtId="0" fontId="19" fillId="58" borderId="23" xfId="0" applyFont="1" applyFill="1" applyBorder="1" applyAlignment="1">
      <alignment horizontal="center" vertical="center" wrapText="1"/>
    </xf>
    <xf numFmtId="0" fontId="19" fillId="58" borderId="24" xfId="0" applyFont="1" applyFill="1" applyBorder="1" applyAlignment="1">
      <alignment horizontal="center" vertical="center" wrapText="1"/>
    </xf>
    <xf numFmtId="0" fontId="19" fillId="58" borderId="18" xfId="0" applyFont="1" applyFill="1" applyBorder="1" applyAlignment="1">
      <alignment horizontal="center" vertical="center" wrapText="1"/>
    </xf>
    <xf numFmtId="0" fontId="18" fillId="50" borderId="18" xfId="0" applyFont="1" applyFill="1" applyBorder="1" applyAlignment="1">
      <alignment horizontal="center" vertical="center"/>
    </xf>
    <xf numFmtId="0" fontId="26" fillId="50" borderId="18" xfId="0" applyFont="1" applyFill="1" applyBorder="1" applyAlignment="1">
      <alignment horizontal="center" vertical="center"/>
    </xf>
    <xf numFmtId="0" fontId="18" fillId="50" borderId="18" xfId="0" applyFont="1" applyFill="1" applyBorder="1" applyAlignment="1">
      <alignment horizontal="left" vertical="center" wrapText="1"/>
    </xf>
    <xf numFmtId="0" fontId="18" fillId="59" borderId="18" xfId="0" applyFont="1" applyFill="1" applyBorder="1" applyAlignment="1">
      <alignment horizontal="center" vertical="center"/>
    </xf>
    <xf numFmtId="0" fontId="18" fillId="59" borderId="18" xfId="0" applyFont="1" applyFill="1" applyBorder="1"/>
    <xf numFmtId="0" fontId="26" fillId="59" borderId="18" xfId="0" applyFont="1" applyFill="1" applyBorder="1" applyAlignment="1">
      <alignment horizontal="center" vertical="center"/>
    </xf>
    <xf numFmtId="0" fontId="18" fillId="59" borderId="18" xfId="0" applyFont="1" applyFill="1" applyBorder="1" applyAlignment="1">
      <alignment horizontal="left" vertical="center"/>
    </xf>
    <xf numFmtId="0" fontId="18" fillId="50" borderId="18" xfId="0" applyFont="1" applyFill="1" applyBorder="1" applyAlignment="1">
      <alignment horizontal="left" vertical="center"/>
    </xf>
    <xf numFmtId="0" fontId="18" fillId="59" borderId="18" xfId="0" applyFont="1" applyFill="1" applyBorder="1" applyAlignment="1">
      <alignment wrapText="1"/>
    </xf>
    <xf numFmtId="0" fontId="18" fillId="59" borderId="18" xfId="0" applyFont="1" applyFill="1" applyBorder="1" applyAlignment="1">
      <alignment horizontal="left" vertical="center" wrapText="1"/>
    </xf>
    <xf numFmtId="0" fontId="19" fillId="58" borderId="19" xfId="0" applyFont="1" applyFill="1" applyBorder="1" applyAlignment="1">
      <alignment horizontal="center" vertical="center" wrapText="1"/>
    </xf>
    <xf numFmtId="0" fontId="19" fillId="58" borderId="61" xfId="0" applyFont="1" applyFill="1" applyBorder="1" applyAlignment="1">
      <alignment horizontal="center" vertical="center" wrapText="1"/>
    </xf>
    <xf numFmtId="0" fontId="3" fillId="50" borderId="18" xfId="0" applyFont="1" applyFill="1" applyBorder="1" applyAlignment="1">
      <alignment horizontal="center" vertical="center"/>
    </xf>
    <xf numFmtId="0" fontId="38" fillId="51" borderId="18" xfId="0" applyFont="1" applyFill="1" applyBorder="1" applyAlignment="1">
      <alignment horizontal="center" vertical="center"/>
    </xf>
    <xf numFmtId="0" fontId="52" fillId="51" borderId="20" xfId="0" applyFont="1" applyFill="1" applyBorder="1" applyAlignment="1">
      <alignment horizontal="left" vertical="center"/>
    </xf>
    <xf numFmtId="0" fontId="18" fillId="60" borderId="18" xfId="0" applyFont="1" applyFill="1" applyBorder="1" applyAlignment="1">
      <alignment horizontal="center" vertical="center"/>
    </xf>
    <xf numFmtId="0" fontId="3" fillId="60" borderId="18" xfId="0" applyFont="1" applyFill="1" applyBorder="1" applyAlignment="1">
      <alignment horizontal="center" vertical="center"/>
    </xf>
    <xf numFmtId="0" fontId="19" fillId="60" borderId="24" xfId="0" applyFont="1" applyFill="1" applyBorder="1" applyAlignment="1">
      <alignment horizontal="center" vertical="center" wrapText="1"/>
    </xf>
    <xf numFmtId="0" fontId="18" fillId="60" borderId="18" xfId="0" applyFont="1" applyFill="1" applyBorder="1" applyAlignment="1">
      <alignment horizontal="left" vertical="center"/>
    </xf>
    <xf numFmtId="0" fontId="18" fillId="61" borderId="18" xfId="0" applyFont="1" applyFill="1" applyBorder="1" applyAlignment="1">
      <alignment horizontal="center" vertical="center"/>
    </xf>
    <xf numFmtId="0" fontId="18" fillId="61" borderId="18" xfId="0" applyFont="1" applyFill="1" applyBorder="1" applyAlignment="1">
      <alignment wrapText="1"/>
    </xf>
    <xf numFmtId="0" fontId="26" fillId="62" borderId="18" xfId="0" applyFont="1" applyFill="1" applyBorder="1" applyAlignment="1">
      <alignment horizontal="center" vertical="center"/>
    </xf>
    <xf numFmtId="0" fontId="26" fillId="61" borderId="18" xfId="0" applyFont="1" applyFill="1" applyBorder="1" applyAlignment="1">
      <alignment horizontal="center" vertical="center"/>
    </xf>
    <xf numFmtId="0" fontId="18" fillId="61" borderId="18" xfId="0" applyFont="1" applyFill="1" applyBorder="1" applyAlignment="1">
      <alignment horizontal="left" vertical="center"/>
    </xf>
    <xf numFmtId="0" fontId="18" fillId="61" borderId="18" xfId="0" applyFont="1" applyFill="1" applyBorder="1"/>
    <xf numFmtId="0" fontId="38" fillId="63" borderId="18" xfId="0" applyFont="1" applyFill="1" applyBorder="1" applyAlignment="1">
      <alignment horizontal="center" vertical="center"/>
    </xf>
    <xf numFmtId="0" fontId="52" fillId="63" borderId="20" xfId="0" applyFont="1" applyFill="1" applyBorder="1" applyAlignment="1">
      <alignment horizontal="left" vertical="center"/>
    </xf>
    <xf numFmtId="0" fontId="18" fillId="52" borderId="25" xfId="0" applyFont="1" applyFill="1" applyBorder="1" applyAlignment="1">
      <alignment horizontal="center" vertical="center"/>
    </xf>
    <xf numFmtId="0" fontId="3" fillId="52" borderId="25" xfId="0" applyFont="1" applyFill="1" applyBorder="1" applyAlignment="1">
      <alignment horizontal="center" vertical="center"/>
    </xf>
    <xf numFmtId="0" fontId="19" fillId="52" borderId="24" xfId="0" applyFont="1" applyFill="1" applyBorder="1" applyAlignment="1">
      <alignment horizontal="center" vertical="center" wrapText="1"/>
    </xf>
    <xf numFmtId="0" fontId="18" fillId="52" borderId="25" xfId="0" applyFont="1" applyFill="1" applyBorder="1" applyAlignment="1">
      <alignment horizontal="left" vertical="center"/>
    </xf>
    <xf numFmtId="0" fontId="18" fillId="64" borderId="18" xfId="0" applyFont="1" applyFill="1" applyBorder="1" applyAlignment="1">
      <alignment horizontal="center" vertical="center"/>
    </xf>
    <xf numFmtId="0" fontId="2" fillId="64" borderId="18" xfId="0" applyFont="1" applyFill="1" applyBorder="1" applyAlignment="1">
      <alignment wrapText="1"/>
    </xf>
    <xf numFmtId="0" fontId="3" fillId="64" borderId="18" xfId="0" applyFont="1" applyFill="1" applyBorder="1" applyAlignment="1">
      <alignment horizontal="center" vertical="center"/>
    </xf>
    <xf numFmtId="0" fontId="18" fillId="64" borderId="18" xfId="0" applyFont="1" applyFill="1" applyBorder="1" applyAlignment="1">
      <alignment horizontal="left" vertical="center"/>
    </xf>
    <xf numFmtId="0" fontId="18" fillId="65" borderId="18" xfId="0" applyFont="1" applyFill="1" applyBorder="1" applyAlignment="1">
      <alignment horizontal="center" vertical="center"/>
    </xf>
    <xf numFmtId="0" fontId="18" fillId="65" borderId="18" xfId="0" applyFont="1" applyFill="1" applyBorder="1" applyAlignment="1">
      <alignment wrapText="1"/>
    </xf>
    <xf numFmtId="0" fontId="26" fillId="65" borderId="18" xfId="0" applyFont="1" applyFill="1" applyBorder="1" applyAlignment="1">
      <alignment horizontal="center" vertical="center"/>
    </xf>
    <xf numFmtId="0" fontId="18" fillId="65" borderId="18" xfId="0" applyFont="1" applyFill="1" applyBorder="1" applyAlignment="1">
      <alignment horizontal="left" vertical="center"/>
    </xf>
    <xf numFmtId="0" fontId="38" fillId="53" borderId="18" xfId="0" applyFont="1" applyFill="1" applyBorder="1" applyAlignment="1">
      <alignment horizontal="center" vertical="center"/>
    </xf>
    <xf numFmtId="0" fontId="52" fillId="53" borderId="20" xfId="0" applyFont="1" applyFill="1" applyBorder="1" applyAlignment="1">
      <alignment horizontal="left" vertical="center"/>
    </xf>
    <xf numFmtId="0" fontId="19" fillId="66" borderId="24" xfId="0" applyFont="1" applyFill="1" applyBorder="1" applyAlignment="1">
      <alignment horizontal="center" vertical="center" wrapText="1"/>
    </xf>
    <xf numFmtId="0" fontId="18" fillId="67" borderId="18" xfId="0" applyFont="1" applyFill="1" applyBorder="1" applyAlignment="1">
      <alignment horizontal="center" vertical="center"/>
    </xf>
    <xf numFmtId="0" fontId="18" fillId="67" borderId="18" xfId="0" applyFont="1" applyFill="1" applyBorder="1" applyAlignment="1">
      <alignment wrapText="1"/>
    </xf>
    <xf numFmtId="0" fontId="3" fillId="66" borderId="18" xfId="0" applyFont="1" applyFill="1" applyBorder="1" applyAlignment="1">
      <alignment horizontal="center" vertical="center"/>
    </xf>
    <xf numFmtId="0" fontId="26" fillId="67" borderId="18" xfId="0" applyFont="1" applyFill="1" applyBorder="1" applyAlignment="1">
      <alignment horizontal="center" vertical="center"/>
    </xf>
    <xf numFmtId="0" fontId="18" fillId="67" borderId="18" xfId="0" applyFont="1" applyFill="1" applyBorder="1" applyAlignment="1">
      <alignment horizontal="left" vertical="center"/>
    </xf>
    <xf numFmtId="0" fontId="0" fillId="0" borderId="0" xfId="0"/>
    <xf numFmtId="0" fontId="3" fillId="0" borderId="18" xfId="0" applyFont="1" applyBorder="1" applyAlignment="1">
      <alignment vertical="top"/>
    </xf>
    <xf numFmtId="0" fontId="0" fillId="0" borderId="0" xfId="0"/>
    <xf numFmtId="0" fontId="0" fillId="3" borderId="21" xfId="0" applyFill="1" applyBorder="1" applyAlignment="1">
      <alignment horizontal="center" vertical="center"/>
    </xf>
    <xf numFmtId="0" fontId="2" fillId="21" borderId="0" xfId="0" applyFont="1" applyFill="1"/>
    <xf numFmtId="2" fontId="0" fillId="0" borderId="0" xfId="0" applyNumberFormat="1"/>
    <xf numFmtId="2" fontId="0" fillId="10" borderId="0" xfId="0" applyNumberFormat="1" applyFill="1"/>
    <xf numFmtId="0" fontId="0" fillId="0" borderId="135" xfId="0" applyBorder="1"/>
    <xf numFmtId="0" fontId="0" fillId="0" borderId="136" xfId="0" applyBorder="1"/>
    <xf numFmtId="0" fontId="0" fillId="0" borderId="137" xfId="0"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47" borderId="0" xfId="0" applyFill="1"/>
    <xf numFmtId="2" fontId="0" fillId="47" borderId="0" xfId="0" applyNumberFormat="1" applyFill="1"/>
    <xf numFmtId="0" fontId="54" fillId="0" borderId="0" xfId="0" applyFont="1"/>
    <xf numFmtId="0" fontId="0" fillId="20" borderId="56" xfId="0" applyFill="1" applyBorder="1" applyAlignment="1">
      <alignment shrinkToFit="1"/>
    </xf>
    <xf numFmtId="0" fontId="13" fillId="20" borderId="56" xfId="0" applyFont="1" applyFill="1" applyBorder="1" applyAlignment="1">
      <alignment shrinkToFit="1"/>
    </xf>
    <xf numFmtId="0" fontId="0" fillId="20" borderId="24" xfId="0" applyFill="1" applyBorder="1" applyAlignment="1">
      <alignment shrinkToFit="1"/>
    </xf>
    <xf numFmtId="0" fontId="13" fillId="20" borderId="18" xfId="0" applyFont="1" applyFill="1" applyBorder="1" applyAlignment="1">
      <alignment shrinkToFit="1"/>
    </xf>
    <xf numFmtId="0" fontId="2" fillId="20" borderId="56" xfId="0" applyFont="1" applyFill="1" applyBorder="1" applyAlignment="1">
      <alignment shrinkToFit="1"/>
    </xf>
    <xf numFmtId="0" fontId="2" fillId="20" borderId="18" xfId="0" applyFont="1" applyFill="1" applyBorder="1" applyAlignment="1">
      <alignment shrinkToFit="1"/>
    </xf>
    <xf numFmtId="16" fontId="2" fillId="21" borderId="18" xfId="0" applyNumberFormat="1" applyFont="1" applyFill="1" applyBorder="1" applyAlignment="1">
      <alignment horizontal="left" vertical="center" wrapText="1"/>
    </xf>
    <xf numFmtId="0" fontId="2" fillId="21" borderId="18" xfId="0" applyFont="1" applyFill="1" applyBorder="1" applyAlignment="1">
      <alignment horizontal="left" vertical="center" wrapText="1"/>
    </xf>
    <xf numFmtId="0" fontId="0" fillId="47" borderId="0" xfId="0" applyFill="1" applyAlignment="1">
      <alignment horizontal="center" vertical="center" wrapText="1"/>
    </xf>
    <xf numFmtId="0" fontId="0" fillId="47" borderId="61" xfId="0" applyFill="1" applyBorder="1"/>
    <xf numFmtId="0" fontId="0" fillId="0" borderId="149" xfId="0" applyBorder="1"/>
    <xf numFmtId="0" fontId="0" fillId="0" borderId="145" xfId="0" applyBorder="1"/>
    <xf numFmtId="0" fontId="16" fillId="0" borderId="138" xfId="0" applyFont="1" applyBorder="1" applyAlignment="1">
      <alignment horizontal="center" vertical="center"/>
    </xf>
    <xf numFmtId="0" fontId="55" fillId="0" borderId="149" xfId="0" applyFont="1" applyBorder="1"/>
    <xf numFmtId="0" fontId="13" fillId="0" borderId="149" xfId="0" applyFont="1" applyBorder="1"/>
    <xf numFmtId="2" fontId="0" fillId="0" borderId="88" xfId="0" applyNumberFormat="1" applyBorder="1" applyAlignment="1">
      <alignment horizontal="right"/>
    </xf>
    <xf numFmtId="0" fontId="13" fillId="21" borderId="0" xfId="0" applyFont="1" applyFill="1"/>
    <xf numFmtId="0" fontId="0" fillId="0" borderId="0" xfId="0"/>
    <xf numFmtId="2" fontId="0" fillId="11" borderId="26" xfId="0" applyNumberFormat="1" applyFill="1" applyBorder="1" applyAlignment="1">
      <alignment horizontal="center"/>
    </xf>
    <xf numFmtId="2" fontId="0" fillId="21" borderId="0" xfId="0" applyNumberFormat="1" applyFill="1"/>
    <xf numFmtId="165" fontId="2" fillId="2" borderId="0" xfId="1" applyFont="1" applyFill="1" applyBorder="1" applyAlignment="1">
      <alignment horizontal="center"/>
    </xf>
    <xf numFmtId="168" fontId="0" fillId="2" borderId="18" xfId="1" applyNumberFormat="1" applyFont="1" applyFill="1" applyBorder="1" applyAlignment="1">
      <alignment horizontal="center" vertical="center"/>
    </xf>
    <xf numFmtId="168" fontId="2" fillId="2" borderId="66" xfId="1" applyNumberFormat="1" applyFont="1" applyFill="1" applyBorder="1" applyAlignment="1">
      <alignment horizontal="center" vertical="center"/>
    </xf>
    <xf numFmtId="168" fontId="0" fillId="2" borderId="38" xfId="1" applyNumberFormat="1" applyFont="1" applyFill="1" applyBorder="1" applyAlignment="1">
      <alignment horizontal="center" vertical="center"/>
    </xf>
    <xf numFmtId="0" fontId="2" fillId="19" borderId="21" xfId="0" applyFont="1" applyFill="1" applyBorder="1" applyAlignment="1">
      <alignment horizontal="center" vertical="center"/>
    </xf>
    <xf numFmtId="167" fontId="0" fillId="2" borderId="45" xfId="3" applyFont="1" applyFill="1" applyBorder="1"/>
    <xf numFmtId="167" fontId="0" fillId="2" borderId="28" xfId="3" applyFont="1" applyFill="1" applyBorder="1"/>
    <xf numFmtId="167" fontId="0" fillId="2" borderId="40" xfId="3" applyFont="1" applyFill="1" applyBorder="1"/>
    <xf numFmtId="167" fontId="0" fillId="2" borderId="78" xfId="3" applyFont="1" applyFill="1" applyBorder="1"/>
    <xf numFmtId="167" fontId="0" fillId="2" borderId="38" xfId="3" applyFont="1" applyFill="1" applyBorder="1"/>
    <xf numFmtId="167" fontId="0" fillId="2" borderId="18" xfId="3" applyFont="1" applyFill="1" applyBorder="1"/>
    <xf numFmtId="167" fontId="0" fillId="2" borderId="23" xfId="3" applyFont="1" applyFill="1" applyBorder="1"/>
    <xf numFmtId="167" fontId="0" fillId="2" borderId="66" xfId="3" applyFont="1" applyFill="1" applyBorder="1"/>
    <xf numFmtId="0" fontId="0" fillId="3" borderId="58" xfId="0" applyFill="1" applyBorder="1" applyAlignment="1">
      <alignment horizontal="center" vertical="center"/>
    </xf>
    <xf numFmtId="0" fontId="0" fillId="0" borderId="0" xfId="0"/>
    <xf numFmtId="0" fontId="3" fillId="0" borderId="28" xfId="0" applyFont="1" applyBorder="1" applyAlignment="1">
      <alignment horizontal="center" vertical="top" wrapText="1"/>
    </xf>
    <xf numFmtId="0" fontId="18" fillId="21" borderId="18" xfId="0" applyFont="1" applyFill="1" applyBorder="1" applyAlignment="1">
      <alignment vertical="center" wrapText="1"/>
    </xf>
    <xf numFmtId="0" fontId="18" fillId="0" borderId="18" xfId="0" applyFont="1" applyBorder="1" applyAlignment="1">
      <alignment horizontal="center" vertical="center"/>
    </xf>
    <xf numFmtId="0" fontId="3" fillId="2" borderId="0" xfId="0" applyFont="1" applyFill="1" applyAlignment="1">
      <alignment vertical="center"/>
    </xf>
    <xf numFmtId="0" fontId="58" fillId="8" borderId="0" xfId="0" applyFont="1" applyFill="1"/>
    <xf numFmtId="0" fontId="3" fillId="23" borderId="25" xfId="0" applyFont="1" applyFill="1" applyBorder="1" applyAlignment="1">
      <alignment horizontal="center" vertical="center"/>
    </xf>
    <xf numFmtId="0" fontId="18" fillId="23" borderId="25" xfId="0" applyFont="1" applyFill="1" applyBorder="1" applyAlignment="1">
      <alignment horizontal="center" vertical="center"/>
    </xf>
    <xf numFmtId="0" fontId="19" fillId="54" borderId="23" xfId="0" applyFont="1" applyFill="1" applyBorder="1" applyAlignment="1">
      <alignment horizontal="center" vertical="center" wrapText="1"/>
    </xf>
    <xf numFmtId="0" fontId="19" fillId="54" borderId="15" xfId="0" applyFont="1" applyFill="1" applyBorder="1" applyAlignment="1">
      <alignment horizontal="center" vertical="center" wrapText="1"/>
    </xf>
    <xf numFmtId="0" fontId="19" fillId="54" borderId="24" xfId="0" applyFont="1" applyFill="1" applyBorder="1" applyAlignment="1">
      <alignment horizontal="center" vertical="center" wrapText="1"/>
    </xf>
    <xf numFmtId="0" fontId="19" fillId="54" borderId="18" xfId="0" applyFont="1" applyFill="1" applyBorder="1" applyAlignment="1">
      <alignment horizontal="center" vertical="center" wrapText="1"/>
    </xf>
    <xf numFmtId="0" fontId="3" fillId="42" borderId="18" xfId="0" applyFont="1" applyFill="1" applyBorder="1" applyAlignment="1">
      <alignment horizontal="center" vertical="center" wrapText="1"/>
    </xf>
    <xf numFmtId="0" fontId="18" fillId="42" borderId="18" xfId="0" applyFont="1" applyFill="1" applyBorder="1"/>
    <xf numFmtId="0" fontId="26" fillId="42" borderId="18" xfId="0" applyFont="1" applyFill="1" applyBorder="1" applyAlignment="1">
      <alignment horizontal="center" vertical="center"/>
    </xf>
    <xf numFmtId="0" fontId="18" fillId="42" borderId="18" xfId="0" applyFont="1" applyFill="1" applyBorder="1" applyAlignment="1">
      <alignment horizontal="left" vertical="center" wrapText="1"/>
    </xf>
    <xf numFmtId="0" fontId="27" fillId="55" borderId="18" xfId="0" applyFont="1" applyFill="1" applyBorder="1" applyAlignment="1">
      <alignment wrapText="1"/>
    </xf>
    <xf numFmtId="0" fontId="19" fillId="54" borderId="19" xfId="0" applyFont="1" applyFill="1" applyBorder="1" applyAlignment="1">
      <alignment horizontal="center" vertical="center" wrapText="1"/>
    </xf>
    <xf numFmtId="0" fontId="19" fillId="54" borderId="61" xfId="0" applyFont="1" applyFill="1" applyBorder="1" applyAlignment="1">
      <alignment horizontal="center" vertical="center" wrapText="1"/>
    </xf>
    <xf numFmtId="0" fontId="3" fillId="55" borderId="18" xfId="0" applyFont="1" applyFill="1" applyBorder="1" applyAlignment="1">
      <alignment horizontal="center" vertical="center" wrapText="1"/>
    </xf>
    <xf numFmtId="0" fontId="3" fillId="43" borderId="18" xfId="0" applyFont="1" applyFill="1" applyBorder="1" applyAlignment="1">
      <alignment horizontal="center" vertical="center" wrapText="1"/>
    </xf>
    <xf numFmtId="0" fontId="18" fillId="69" borderId="18" xfId="0" applyFont="1" applyFill="1" applyBorder="1" applyAlignment="1">
      <alignment horizontal="center" vertical="center"/>
    </xf>
    <xf numFmtId="0" fontId="27" fillId="69" borderId="18" xfId="0" applyFont="1" applyFill="1" applyBorder="1" applyAlignment="1">
      <alignment wrapText="1"/>
    </xf>
    <xf numFmtId="0" fontId="18" fillId="69" borderId="18" xfId="0" applyFont="1" applyFill="1" applyBorder="1"/>
    <xf numFmtId="0" fontId="26" fillId="69" borderId="18" xfId="0" applyFont="1" applyFill="1" applyBorder="1" applyAlignment="1">
      <alignment horizontal="center" vertical="center"/>
    </xf>
    <xf numFmtId="0" fontId="18" fillId="69" borderId="18" xfId="0" applyFont="1" applyFill="1" applyBorder="1" applyAlignment="1">
      <alignment horizontal="left" vertical="center" wrapText="1"/>
    </xf>
    <xf numFmtId="0" fontId="19" fillId="69" borderId="24" xfId="0" applyFont="1" applyFill="1" applyBorder="1" applyAlignment="1">
      <alignment horizontal="center" vertical="center" wrapText="1"/>
    </xf>
    <xf numFmtId="0" fontId="3" fillId="39" borderId="18" xfId="0" applyFont="1" applyFill="1" applyBorder="1" applyAlignment="1">
      <alignment horizontal="center" vertical="center" wrapText="1"/>
    </xf>
    <xf numFmtId="0" fontId="18" fillId="70" borderId="18" xfId="0" applyFont="1" applyFill="1" applyBorder="1" applyAlignment="1">
      <alignment horizontal="center" vertical="center"/>
    </xf>
    <xf numFmtId="0" fontId="27" fillId="70" borderId="18" xfId="0" applyFont="1" applyFill="1" applyBorder="1" applyAlignment="1">
      <alignment wrapText="1"/>
    </xf>
    <xf numFmtId="0" fontId="26" fillId="70" borderId="18" xfId="0" applyFont="1" applyFill="1" applyBorder="1" applyAlignment="1">
      <alignment horizontal="center" vertical="center"/>
    </xf>
    <xf numFmtId="0" fontId="18" fillId="70" borderId="18" xfId="0" applyFont="1" applyFill="1" applyBorder="1" applyAlignment="1">
      <alignment horizontal="left" vertical="center"/>
    </xf>
    <xf numFmtId="0" fontId="19" fillId="70" borderId="24" xfId="0" applyFont="1" applyFill="1" applyBorder="1" applyAlignment="1">
      <alignment horizontal="center" vertical="center" wrapText="1"/>
    </xf>
    <xf numFmtId="0" fontId="3" fillId="71" borderId="18" xfId="0" applyFont="1" applyFill="1" applyBorder="1" applyAlignment="1">
      <alignment horizontal="center" vertical="center" wrapText="1"/>
    </xf>
    <xf numFmtId="0" fontId="18" fillId="72" borderId="18" xfId="0" applyFont="1" applyFill="1" applyBorder="1" applyAlignment="1">
      <alignment horizontal="center" vertical="center"/>
    </xf>
    <xf numFmtId="0" fontId="27" fillId="72" borderId="18" xfId="0" applyFont="1" applyFill="1" applyBorder="1" applyAlignment="1">
      <alignment wrapText="1"/>
    </xf>
    <xf numFmtId="0" fontId="26" fillId="72" borderId="18" xfId="0" applyFont="1" applyFill="1" applyBorder="1" applyAlignment="1">
      <alignment horizontal="center" vertical="center"/>
    </xf>
    <xf numFmtId="0" fontId="18" fillId="72" borderId="18" xfId="0" applyFont="1" applyFill="1" applyBorder="1" applyAlignment="1">
      <alignment horizontal="left" vertical="center" wrapText="1"/>
    </xf>
    <xf numFmtId="0" fontId="19" fillId="72" borderId="24" xfId="0" applyFont="1" applyFill="1" applyBorder="1" applyAlignment="1">
      <alignment horizontal="center" vertical="center" wrapText="1"/>
    </xf>
    <xf numFmtId="0" fontId="18" fillId="71" borderId="18" xfId="0" applyFont="1" applyFill="1" applyBorder="1" applyAlignment="1">
      <alignment horizontal="center" vertical="center"/>
    </xf>
    <xf numFmtId="0" fontId="2" fillId="71" borderId="18" xfId="0" applyFont="1" applyFill="1" applyBorder="1" applyAlignment="1">
      <alignment horizontal="center" vertical="center" wrapText="1"/>
    </xf>
    <xf numFmtId="0" fontId="18" fillId="71" borderId="18" xfId="0" applyFont="1" applyFill="1" applyBorder="1"/>
    <xf numFmtId="0" fontId="26" fillId="71" borderId="18" xfId="0" applyFont="1" applyFill="1" applyBorder="1" applyAlignment="1">
      <alignment horizontal="center" vertical="center"/>
    </xf>
    <xf numFmtId="0" fontId="3" fillId="71" borderId="18" xfId="0" applyFont="1" applyFill="1" applyBorder="1" applyAlignment="1">
      <alignment horizontal="center" vertical="center"/>
    </xf>
    <xf numFmtId="0" fontId="18" fillId="71" borderId="18" xfId="0" applyFont="1" applyFill="1" applyBorder="1" applyAlignment="1">
      <alignment horizontal="left" vertical="center"/>
    </xf>
    <xf numFmtId="0" fontId="0" fillId="0" borderId="0" xfId="0" applyAlignment="1">
      <alignment horizontal="center" vertical="center"/>
    </xf>
    <xf numFmtId="0" fontId="0" fillId="0" borderId="0" xfId="0"/>
    <xf numFmtId="0" fontId="0" fillId="49" borderId="0" xfId="0" applyFill="1"/>
    <xf numFmtId="0" fontId="0" fillId="0" borderId="144" xfId="0" applyBorder="1" applyAlignment="1">
      <alignment horizontal="center" vertical="center" wrapText="1"/>
    </xf>
    <xf numFmtId="0" fontId="0" fillId="0" borderId="145" xfId="0" applyBorder="1" applyAlignment="1">
      <alignment horizontal="center" vertical="center" wrapText="1"/>
    </xf>
    <xf numFmtId="0" fontId="38" fillId="73" borderId="18" xfId="0" applyFont="1" applyFill="1" applyBorder="1" applyAlignment="1">
      <alignment horizontal="center" vertical="center"/>
    </xf>
    <xf numFmtId="0" fontId="52" fillId="73" borderId="23" xfId="0" applyFont="1" applyFill="1" applyBorder="1" applyAlignment="1"/>
    <xf numFmtId="0" fontId="18" fillId="55" borderId="18" xfId="0" applyFont="1" applyFill="1" applyBorder="1"/>
    <xf numFmtId="0" fontId="18" fillId="43" borderId="18" xfId="0" applyFont="1" applyFill="1" applyBorder="1"/>
    <xf numFmtId="0" fontId="18" fillId="39" borderId="18" xfId="0" applyFont="1" applyFill="1" applyBorder="1"/>
    <xf numFmtId="0" fontId="18" fillId="70" borderId="18" xfId="0" applyFont="1" applyFill="1" applyBorder="1"/>
    <xf numFmtId="0" fontId="18" fillId="72" borderId="18" xfId="0" applyFont="1" applyFill="1" applyBorder="1"/>
    <xf numFmtId="169" fontId="0" fillId="0" borderId="58" xfId="0" applyNumberFormat="1" applyBorder="1"/>
    <xf numFmtId="169" fontId="2" fillId="0" borderId="58" xfId="0" applyNumberFormat="1" applyFont="1" applyBorder="1"/>
    <xf numFmtId="169" fontId="0" fillId="0" borderId="18" xfId="0" applyNumberFormat="1" applyBorder="1"/>
    <xf numFmtId="0" fontId="0" fillId="19" borderId="58" xfId="0" applyFill="1" applyBorder="1" applyAlignment="1">
      <alignment horizontal="center" vertical="center"/>
    </xf>
    <xf numFmtId="2" fontId="2" fillId="12" borderId="150" xfId="0" applyNumberFormat="1" applyFont="1" applyFill="1" applyBorder="1" applyAlignment="1">
      <alignment horizontal="center" vertical="center"/>
    </xf>
    <xf numFmtId="0" fontId="2" fillId="12" borderId="8" xfId="0" applyFont="1" applyFill="1" applyBorder="1" applyAlignment="1">
      <alignment horizontal="center" vertical="center" wrapText="1"/>
    </xf>
    <xf numFmtId="0" fontId="2" fillId="19" borderId="65" xfId="0" applyFont="1" applyFill="1" applyBorder="1" applyAlignment="1">
      <alignment horizontal="center" vertical="center"/>
    </xf>
    <xf numFmtId="0" fontId="2" fillId="19" borderId="74" xfId="0" applyFont="1" applyFill="1" applyBorder="1" applyAlignment="1">
      <alignment horizontal="center" vertical="center" wrapText="1"/>
    </xf>
    <xf numFmtId="0" fontId="0" fillId="21" borderId="34" xfId="0" applyFill="1" applyBorder="1"/>
    <xf numFmtId="0" fontId="0" fillId="0" borderId="0" xfId="0"/>
    <xf numFmtId="0" fontId="0" fillId="0" borderId="0" xfId="0"/>
    <xf numFmtId="0" fontId="3" fillId="0" borderId="18" xfId="0" applyFont="1" applyBorder="1" applyAlignment="1">
      <alignment horizontal="center" vertical="top" wrapText="1"/>
    </xf>
    <xf numFmtId="0" fontId="0" fillId="21" borderId="41" xfId="0" applyFill="1" applyBorder="1"/>
    <xf numFmtId="0" fontId="0" fillId="21" borderId="42" xfId="0" applyFill="1" applyBorder="1"/>
    <xf numFmtId="0" fontId="0" fillId="21" borderId="41" xfId="0" applyFill="1" applyBorder="1" applyAlignment="1">
      <alignment horizontal="left"/>
    </xf>
    <xf numFmtId="0" fontId="0" fillId="21" borderId="42" xfId="0" applyFill="1" applyBorder="1" applyAlignment="1">
      <alignment horizontal="left"/>
    </xf>
    <xf numFmtId="0" fontId="0" fillId="0" borderId="0" xfId="0"/>
    <xf numFmtId="0" fontId="0" fillId="21" borderId="0" xfId="0" applyFill="1" applyAlignment="1"/>
    <xf numFmtId="0" fontId="19" fillId="0" borderId="6" xfId="0" applyFont="1" applyBorder="1" applyAlignment="1">
      <alignment horizontal="left" vertical="top" wrapText="1"/>
    </xf>
    <xf numFmtId="0" fontId="30" fillId="0" borderId="28" xfId="0" applyFont="1" applyBorder="1" applyAlignment="1">
      <alignment vertical="center" wrapText="1"/>
    </xf>
    <xf numFmtId="0" fontId="30" fillId="0" borderId="29" xfId="0" applyFont="1" applyBorder="1" applyAlignment="1">
      <alignment vertical="center" wrapText="1"/>
    </xf>
    <xf numFmtId="0" fontId="30" fillId="0" borderId="58" xfId="0" applyFont="1" applyBorder="1" applyAlignment="1">
      <alignment vertical="center" wrapText="1"/>
    </xf>
    <xf numFmtId="0" fontId="2" fillId="21" borderId="0" xfId="0" applyFont="1" applyFill="1" applyAlignment="1"/>
    <xf numFmtId="0" fontId="19" fillId="0" borderId="6" xfId="0" applyFont="1" applyBorder="1" applyAlignment="1">
      <alignment horizontal="center" vertical="top" wrapText="1"/>
    </xf>
    <xf numFmtId="0" fontId="0" fillId="11" borderId="18" xfId="0" applyFont="1" applyFill="1" applyBorder="1" applyAlignment="1">
      <alignment vertical="center" wrapText="1"/>
    </xf>
    <xf numFmtId="0" fontId="0" fillId="11" borderId="58" xfId="0" applyFont="1" applyFill="1" applyBorder="1" applyAlignment="1">
      <alignment vertical="center" wrapText="1"/>
    </xf>
    <xf numFmtId="0" fontId="0" fillId="11" borderId="29" xfId="0" applyFont="1" applyFill="1" applyBorder="1" applyAlignment="1">
      <alignment vertical="center" wrapText="1"/>
    </xf>
    <xf numFmtId="0" fontId="0" fillId="11" borderId="25" xfId="0" applyFont="1" applyFill="1" applyBorder="1" applyAlignment="1">
      <alignment horizontal="center" vertical="center" wrapText="1"/>
    </xf>
    <xf numFmtId="0" fontId="0" fillId="11" borderId="19" xfId="0" applyFont="1" applyFill="1" applyBorder="1" applyAlignment="1">
      <alignment horizontal="center" vertical="center" wrapText="1"/>
    </xf>
    <xf numFmtId="0" fontId="0" fillId="11" borderId="29" xfId="0" applyFont="1" applyFill="1" applyBorder="1" applyAlignment="1">
      <alignment horizontal="center" vertical="center" wrapText="1"/>
    </xf>
    <xf numFmtId="0" fontId="0" fillId="11" borderId="18" xfId="0" applyFont="1" applyFill="1" applyBorder="1" applyAlignment="1">
      <alignment horizontal="center" vertical="center" wrapText="1"/>
    </xf>
    <xf numFmtId="0" fontId="0" fillId="11" borderId="31" xfId="0" applyFont="1" applyFill="1" applyBorder="1" applyAlignment="1">
      <alignment horizontal="center" vertical="center" wrapText="1"/>
    </xf>
    <xf numFmtId="0" fontId="0" fillId="11" borderId="58" xfId="0" applyFont="1" applyFill="1" applyBorder="1" applyAlignment="1">
      <alignment horizontal="center" vertical="center" wrapText="1"/>
    </xf>
    <xf numFmtId="0" fontId="35" fillId="0" borderId="45" xfId="0" applyFont="1" applyBorder="1" applyAlignment="1">
      <alignment vertical="center" wrapText="1"/>
    </xf>
    <xf numFmtId="0" fontId="35" fillId="0" borderId="59" xfId="0" applyFont="1" applyBorder="1" applyAlignment="1">
      <alignment horizontal="right" vertical="center" wrapText="1"/>
    </xf>
    <xf numFmtId="0" fontId="35" fillId="0" borderId="39" xfId="0" applyFont="1" applyBorder="1" applyAlignment="1">
      <alignment horizontal="right" vertical="center" wrapText="1"/>
    </xf>
    <xf numFmtId="0" fontId="0" fillId="11" borderId="55" xfId="0" applyFont="1" applyFill="1" applyBorder="1" applyAlignment="1">
      <alignment vertical="center" wrapText="1"/>
    </xf>
    <xf numFmtId="0" fontId="0" fillId="11" borderId="77" xfId="0" applyFont="1" applyFill="1" applyBorder="1" applyAlignment="1">
      <alignment vertical="center" wrapText="1"/>
    </xf>
    <xf numFmtId="0" fontId="19" fillId="8" borderId="6" xfId="0" applyFont="1" applyFill="1" applyBorder="1" applyAlignment="1">
      <alignment horizontal="center" vertical="top" wrapText="1"/>
    </xf>
    <xf numFmtId="0" fontId="51" fillId="8" borderId="4" xfId="0" applyFont="1" applyFill="1" applyBorder="1" applyAlignment="1">
      <alignment horizontal="center" vertical="top" wrapText="1"/>
    </xf>
    <xf numFmtId="0" fontId="0" fillId="0" borderId="0" xfId="0" applyBorder="1" applyAlignment="1"/>
    <xf numFmtId="2" fontId="0" fillId="0" borderId="0" xfId="0" applyNumberFormat="1" applyBorder="1"/>
    <xf numFmtId="0" fontId="0" fillId="0" borderId="0" xfId="0" applyBorder="1" applyAlignment="1">
      <alignment vertical="center"/>
    </xf>
    <xf numFmtId="169" fontId="0" fillId="0" borderId="66" xfId="0" applyNumberFormat="1" applyBorder="1"/>
    <xf numFmtId="2" fontId="2" fillId="0" borderId="6" xfId="0" applyNumberFormat="1" applyFont="1" applyBorder="1" applyAlignment="1">
      <alignment horizontal="center" vertical="center" wrapText="1"/>
    </xf>
    <xf numFmtId="0" fontId="18" fillId="0" borderId="23" xfId="0" applyFont="1" applyBorder="1" applyAlignment="1">
      <alignment horizontal="center" vertical="center" wrapText="1"/>
    </xf>
    <xf numFmtId="0" fontId="2" fillId="0" borderId="8" xfId="0" applyFont="1" applyBorder="1" applyAlignment="1">
      <alignment horizontal="center" vertical="center"/>
    </xf>
    <xf numFmtId="169" fontId="0" fillId="0" borderId="24" xfId="0" applyNumberFormat="1" applyBorder="1"/>
    <xf numFmtId="0" fontId="0" fillId="0" borderId="76" xfId="0" applyBorder="1"/>
    <xf numFmtId="2" fontId="2" fillId="0" borderId="59" xfId="0" applyNumberFormat="1" applyFont="1" applyBorder="1"/>
    <xf numFmtId="2" fontId="2" fillId="0" borderId="55" xfId="0" applyNumberFormat="1" applyFont="1" applyBorder="1" applyAlignment="1">
      <alignment horizontal="center" vertical="center"/>
    </xf>
    <xf numFmtId="2" fontId="0" fillId="0" borderId="59" xfId="0" applyNumberFormat="1" applyBorder="1"/>
    <xf numFmtId="2" fontId="0" fillId="0" borderId="66" xfId="0" applyNumberFormat="1" applyBorder="1"/>
    <xf numFmtId="2" fontId="0" fillId="0" borderId="38" xfId="0" applyNumberFormat="1" applyBorder="1"/>
    <xf numFmtId="2" fontId="0" fillId="0" borderId="39" xfId="0" applyNumberFormat="1" applyBorder="1"/>
    <xf numFmtId="2" fontId="0" fillId="0" borderId="73" xfId="0" applyNumberFormat="1" applyBorder="1"/>
    <xf numFmtId="0" fontId="0" fillId="0" borderId="0" xfId="0"/>
    <xf numFmtId="0" fontId="3" fillId="3" borderId="18" xfId="0" applyFont="1" applyFill="1" applyBorder="1" applyAlignment="1">
      <alignment horizontal="left"/>
    </xf>
    <xf numFmtId="0" fontId="0" fillId="0" borderId="18" xfId="0" applyBorder="1" applyAlignment="1">
      <alignment horizontal="left" vertical="center" wrapText="1"/>
    </xf>
    <xf numFmtId="0" fontId="2" fillId="18" borderId="24" xfId="0" applyFont="1" applyFill="1" applyBorder="1" applyAlignment="1">
      <alignment horizontal="left" vertical="center"/>
    </xf>
    <xf numFmtId="0" fontId="2" fillId="3" borderId="18" xfId="0" applyFont="1" applyFill="1" applyBorder="1" applyAlignment="1">
      <alignment horizontal="center" vertical="center"/>
    </xf>
    <xf numFmtId="0" fontId="0" fillId="18" borderId="73" xfId="0" applyFill="1" applyBorder="1" applyAlignment="1">
      <alignment horizontal="center"/>
    </xf>
    <xf numFmtId="0" fontId="0" fillId="74" borderId="0" xfId="0" applyFill="1"/>
    <xf numFmtId="0" fontId="63" fillId="74" borderId="58" xfId="0" applyFont="1" applyFill="1" applyBorder="1" applyAlignment="1">
      <alignment horizontal="center"/>
    </xf>
    <xf numFmtId="0" fontId="63" fillId="74" borderId="71" xfId="0" applyFont="1" applyFill="1" applyBorder="1" applyAlignment="1">
      <alignment horizontal="center" vertical="center"/>
    </xf>
    <xf numFmtId="0" fontId="63" fillId="74" borderId="42" xfId="0" applyFont="1" applyFill="1" applyBorder="1" applyAlignment="1">
      <alignment horizontal="center" vertical="center"/>
    </xf>
    <xf numFmtId="0" fontId="63" fillId="74" borderId="24" xfId="0" applyFont="1" applyFill="1" applyBorder="1" applyAlignment="1">
      <alignment horizontal="center"/>
    </xf>
    <xf numFmtId="0" fontId="63" fillId="74" borderId="18" xfId="0" applyFont="1" applyFill="1" applyBorder="1" applyAlignment="1">
      <alignment horizontal="center"/>
    </xf>
    <xf numFmtId="0" fontId="63" fillId="74" borderId="23" xfId="0" applyFont="1" applyFill="1" applyBorder="1" applyAlignment="1">
      <alignment horizontal="center"/>
    </xf>
    <xf numFmtId="0" fontId="63" fillId="74" borderId="52" xfId="0" applyFont="1" applyFill="1" applyBorder="1" applyAlignment="1">
      <alignment horizontal="center" vertical="center"/>
    </xf>
    <xf numFmtId="0" fontId="63" fillId="74" borderId="28" xfId="0" applyFont="1" applyFill="1" applyBorder="1" applyAlignment="1">
      <alignment horizontal="center" vertical="center"/>
    </xf>
    <xf numFmtId="0" fontId="63" fillId="74" borderId="40" xfId="0" applyFont="1" applyFill="1" applyBorder="1" applyAlignment="1">
      <alignment horizontal="center" vertical="center"/>
    </xf>
    <xf numFmtId="0" fontId="63" fillId="74" borderId="41" xfId="0" applyFont="1" applyFill="1" applyBorder="1" applyAlignment="1">
      <alignment horizontal="center" vertical="center"/>
    </xf>
    <xf numFmtId="0" fontId="63" fillId="74" borderId="24" xfId="0" applyFont="1" applyFill="1" applyBorder="1" applyAlignment="1">
      <alignment horizontal="center" vertical="center"/>
    </xf>
    <xf numFmtId="0" fontId="63" fillId="74" borderId="18" xfId="0" applyFont="1" applyFill="1" applyBorder="1" applyAlignment="1">
      <alignment horizontal="center" vertical="center"/>
    </xf>
    <xf numFmtId="0" fontId="63" fillId="74" borderId="23" xfId="0" applyFont="1" applyFill="1" applyBorder="1" applyAlignment="1">
      <alignment horizontal="center" vertical="center"/>
    </xf>
    <xf numFmtId="0" fontId="63" fillId="74" borderId="56" xfId="0" applyFont="1" applyFill="1" applyBorder="1" applyAlignment="1">
      <alignment horizontal="center"/>
    </xf>
    <xf numFmtId="0" fontId="63" fillId="74" borderId="62" xfId="0" applyFont="1" applyFill="1" applyBorder="1" applyAlignment="1">
      <alignment horizontal="center"/>
    </xf>
    <xf numFmtId="0" fontId="63" fillId="74" borderId="53" xfId="0" applyFont="1" applyFill="1" applyBorder="1" applyAlignment="1">
      <alignment horizontal="center" vertical="center"/>
    </xf>
    <xf numFmtId="0" fontId="63" fillId="74" borderId="46" xfId="0" applyFont="1" applyFill="1" applyBorder="1" applyAlignment="1">
      <alignment horizontal="center" vertical="center"/>
    </xf>
    <xf numFmtId="0" fontId="63" fillId="74" borderId="49" xfId="0" applyFont="1" applyFill="1" applyBorder="1" applyAlignment="1">
      <alignment horizontal="center" vertical="center"/>
    </xf>
    <xf numFmtId="0" fontId="63" fillId="74" borderId="63" xfId="0" applyFont="1" applyFill="1" applyBorder="1" applyAlignment="1">
      <alignment horizontal="center" vertical="center"/>
    </xf>
    <xf numFmtId="0" fontId="63" fillId="74" borderId="17" xfId="0" applyFont="1" applyFill="1" applyBorder="1" applyAlignment="1">
      <alignment horizontal="center" vertical="center"/>
    </xf>
    <xf numFmtId="0" fontId="63" fillId="74" borderId="15" xfId="0" applyFont="1" applyFill="1" applyBorder="1" applyAlignment="1">
      <alignment horizontal="center" vertical="center"/>
    </xf>
    <xf numFmtId="0" fontId="63" fillId="74" borderId="62" xfId="0" applyFont="1" applyFill="1" applyBorder="1"/>
    <xf numFmtId="0" fontId="63" fillId="74" borderId="66" xfId="0" applyFont="1" applyFill="1" applyBorder="1"/>
    <xf numFmtId="0" fontId="63" fillId="74" borderId="57" xfId="0" applyFont="1" applyFill="1" applyBorder="1"/>
    <xf numFmtId="0" fontId="63" fillId="74" borderId="23" xfId="0" applyFont="1" applyFill="1" applyBorder="1"/>
    <xf numFmtId="0" fontId="0" fillId="0" borderId="0" xfId="0"/>
    <xf numFmtId="0" fontId="0" fillId="75" borderId="62" xfId="0" applyFill="1" applyBorder="1"/>
    <xf numFmtId="0" fontId="0" fillId="75" borderId="71" xfId="0" applyFill="1" applyBorder="1"/>
    <xf numFmtId="0" fontId="0" fillId="75" borderId="58" xfId="0" applyFill="1" applyBorder="1" applyAlignment="1">
      <alignment horizontal="center"/>
    </xf>
    <xf numFmtId="0" fontId="0" fillId="75" borderId="56" xfId="0" applyFill="1" applyBorder="1" applyAlignment="1">
      <alignment horizontal="center"/>
    </xf>
    <xf numFmtId="0" fontId="0" fillId="75" borderId="71" xfId="0" applyFill="1" applyBorder="1" applyAlignment="1">
      <alignment horizontal="center" vertical="center"/>
    </xf>
    <xf numFmtId="0" fontId="0" fillId="75" borderId="23" xfId="0" applyFill="1" applyBorder="1"/>
    <xf numFmtId="0" fontId="0" fillId="75" borderId="42" xfId="0" applyFill="1" applyBorder="1"/>
    <xf numFmtId="0" fontId="0" fillId="75" borderId="42" xfId="0" applyFill="1" applyBorder="1" applyAlignment="1">
      <alignment horizontal="center" vertical="center"/>
    </xf>
    <xf numFmtId="0" fontId="0" fillId="75" borderId="57" xfId="0" applyFill="1" applyBorder="1"/>
    <xf numFmtId="0" fontId="17" fillId="75" borderId="52" xfId="0" applyFont="1" applyFill="1" applyBorder="1" applyAlignment="1">
      <alignment horizontal="center" vertical="center"/>
    </xf>
    <xf numFmtId="0" fontId="0" fillId="75" borderId="28" xfId="0" applyFill="1" applyBorder="1" applyAlignment="1">
      <alignment horizontal="center" vertical="center"/>
    </xf>
    <xf numFmtId="0" fontId="0" fillId="75" borderId="40" xfId="0" applyFill="1" applyBorder="1" applyAlignment="1">
      <alignment horizontal="center" vertical="center"/>
    </xf>
    <xf numFmtId="0" fontId="0" fillId="75" borderId="24" xfId="0" applyFill="1" applyBorder="1" applyAlignment="1">
      <alignment horizontal="center" vertical="center"/>
    </xf>
    <xf numFmtId="0" fontId="0" fillId="75" borderId="18" xfId="0" applyFill="1" applyBorder="1" applyAlignment="1">
      <alignment horizontal="center" vertical="center"/>
    </xf>
    <xf numFmtId="0" fontId="0" fillId="75" borderId="18" xfId="0" applyFill="1" applyBorder="1" applyAlignment="1">
      <alignment horizontal="center"/>
    </xf>
    <xf numFmtId="0" fontId="0" fillId="75" borderId="23" xfId="0" applyFill="1" applyBorder="1" applyAlignment="1">
      <alignment horizontal="center" vertical="center"/>
    </xf>
    <xf numFmtId="0" fontId="17" fillId="75" borderId="24" xfId="0" applyFont="1" applyFill="1" applyBorder="1" applyAlignment="1">
      <alignment horizontal="center" vertical="center"/>
    </xf>
    <xf numFmtId="0" fontId="0" fillId="75" borderId="38" xfId="0" applyFill="1" applyBorder="1" applyAlignment="1">
      <alignment horizontal="center" vertical="center"/>
    </xf>
    <xf numFmtId="0" fontId="0" fillId="75" borderId="66" xfId="0" applyFill="1" applyBorder="1" applyAlignment="1">
      <alignment horizontal="center" vertical="center"/>
    </xf>
    <xf numFmtId="0" fontId="17" fillId="75" borderId="54" xfId="0" applyFont="1" applyFill="1" applyBorder="1" applyAlignment="1">
      <alignment horizontal="center" vertical="center"/>
    </xf>
    <xf numFmtId="0" fontId="0" fillId="75" borderId="75" xfId="0" applyFill="1" applyBorder="1" applyAlignment="1">
      <alignment horizontal="center" vertical="center"/>
    </xf>
    <xf numFmtId="0" fontId="0" fillId="75" borderId="55" xfId="0" applyFill="1" applyBorder="1" applyAlignment="1">
      <alignment horizontal="center"/>
    </xf>
    <xf numFmtId="0" fontId="0" fillId="75" borderId="17" xfId="0" applyFill="1" applyBorder="1" applyAlignment="1">
      <alignment horizontal="center" vertical="center"/>
    </xf>
    <xf numFmtId="0" fontId="0" fillId="75" borderId="24" xfId="0" applyFill="1" applyBorder="1" applyAlignment="1">
      <alignment horizontal="center"/>
    </xf>
    <xf numFmtId="0" fontId="0" fillId="75" borderId="17" xfId="0" applyFill="1" applyBorder="1" applyAlignment="1">
      <alignment horizontal="center"/>
    </xf>
    <xf numFmtId="0" fontId="0" fillId="0" borderId="0" xfId="0"/>
    <xf numFmtId="0" fontId="0" fillId="0" borderId="20" xfId="0" applyBorder="1" applyAlignment="1">
      <alignment horizontal="center"/>
    </xf>
    <xf numFmtId="0" fontId="0" fillId="0" borderId="56" xfId="0" applyFill="1" applyBorder="1" applyAlignment="1">
      <alignment horizontal="center"/>
    </xf>
    <xf numFmtId="0" fontId="0" fillId="75" borderId="41" xfId="0" applyFill="1" applyBorder="1"/>
    <xf numFmtId="0" fontId="3" fillId="2" borderId="6" xfId="0" applyFont="1" applyFill="1" applyBorder="1"/>
    <xf numFmtId="0" fontId="3" fillId="2" borderId="6" xfId="0" applyFont="1" applyFill="1" applyBorder="1" applyAlignment="1">
      <alignment vertical="center"/>
    </xf>
    <xf numFmtId="0" fontId="63" fillId="74" borderId="9" xfId="0" applyFont="1" applyFill="1" applyBorder="1" applyAlignment="1">
      <alignment horizontal="center" vertical="center"/>
    </xf>
    <xf numFmtId="0" fontId="0" fillId="75" borderId="58" xfId="0" applyFill="1" applyBorder="1" applyAlignment="1">
      <alignment horizontal="center" vertical="center"/>
    </xf>
    <xf numFmtId="0" fontId="0" fillId="75" borderId="62" xfId="0" applyFill="1" applyBorder="1" applyAlignment="1">
      <alignment horizontal="center" vertical="center"/>
    </xf>
    <xf numFmtId="0" fontId="0" fillId="75" borderId="16" xfId="0" applyFill="1" applyBorder="1"/>
    <xf numFmtId="0" fontId="0" fillId="75" borderId="26" xfId="0" applyFill="1" applyBorder="1" applyAlignment="1">
      <alignment horizontal="center" vertical="center"/>
    </xf>
    <xf numFmtId="0" fontId="0" fillId="75" borderId="21" xfId="0" applyFill="1" applyBorder="1" applyAlignment="1">
      <alignment horizontal="center" vertical="center"/>
    </xf>
    <xf numFmtId="0" fontId="17" fillId="0" borderId="17" xfId="0" applyFont="1" applyBorder="1" applyAlignment="1">
      <alignment horizontal="center" vertical="center"/>
    </xf>
    <xf numFmtId="0" fontId="17" fillId="18" borderId="38" xfId="0" applyFont="1" applyFill="1" applyBorder="1" applyAlignment="1">
      <alignment horizontal="center" vertical="center"/>
    </xf>
    <xf numFmtId="0" fontId="17" fillId="18" borderId="29" xfId="0" applyFont="1" applyFill="1" applyBorder="1" applyAlignment="1">
      <alignment horizontal="center"/>
    </xf>
    <xf numFmtId="0" fontId="0" fillId="75" borderId="40" xfId="0" applyFill="1" applyBorder="1"/>
    <xf numFmtId="0" fontId="0" fillId="76" borderId="62" xfId="0" applyFill="1" applyBorder="1"/>
    <xf numFmtId="0" fontId="0" fillId="76" borderId="71" xfId="0" applyFill="1" applyBorder="1"/>
    <xf numFmtId="0" fontId="0" fillId="76" borderId="58" xfId="0" applyFill="1" applyBorder="1" applyAlignment="1">
      <alignment horizontal="center"/>
    </xf>
    <xf numFmtId="0" fontId="0" fillId="76" borderId="71" xfId="0" applyFill="1" applyBorder="1" applyAlignment="1">
      <alignment horizontal="center" vertical="center"/>
    </xf>
    <xf numFmtId="0" fontId="0" fillId="76" borderId="18" xfId="0" applyFill="1" applyBorder="1" applyAlignment="1">
      <alignment horizontal="center"/>
    </xf>
    <xf numFmtId="0" fontId="0" fillId="76" borderId="42" xfId="0" applyFill="1" applyBorder="1" applyAlignment="1">
      <alignment horizontal="center" vertical="center"/>
    </xf>
    <xf numFmtId="0" fontId="0" fillId="76" borderId="57" xfId="0" applyFill="1" applyBorder="1"/>
    <xf numFmtId="0" fontId="0" fillId="76" borderId="58" xfId="0" applyFill="1" applyBorder="1" applyAlignment="1">
      <alignment horizontal="center" vertical="center"/>
    </xf>
    <xf numFmtId="0" fontId="0" fillId="76" borderId="62" xfId="0" applyFill="1" applyBorder="1" applyAlignment="1">
      <alignment horizontal="center" vertical="center"/>
    </xf>
    <xf numFmtId="0" fontId="0" fillId="76" borderId="23" xfId="0" applyFill="1" applyBorder="1"/>
    <xf numFmtId="0" fontId="0" fillId="76" borderId="42" xfId="0" applyFill="1" applyBorder="1"/>
    <xf numFmtId="0" fontId="0" fillId="76" borderId="24" xfId="0" applyFill="1" applyBorder="1" applyAlignment="1">
      <alignment horizontal="center" vertical="center"/>
    </xf>
    <xf numFmtId="0" fontId="0" fillId="76" borderId="18" xfId="0" applyFill="1" applyBorder="1" applyAlignment="1">
      <alignment horizontal="center" vertical="center"/>
    </xf>
    <xf numFmtId="0" fontId="0" fillId="76" borderId="23" xfId="0" applyFill="1" applyBorder="1" applyAlignment="1">
      <alignment horizontal="center" vertical="center"/>
    </xf>
    <xf numFmtId="0" fontId="0" fillId="76" borderId="16" xfId="0" applyFill="1" applyBorder="1"/>
    <xf numFmtId="0" fontId="0" fillId="76" borderId="26" xfId="0" applyFill="1" applyBorder="1" applyAlignment="1">
      <alignment horizontal="center" vertical="center"/>
    </xf>
    <xf numFmtId="0" fontId="0" fillId="76" borderId="21" xfId="0" applyFill="1" applyBorder="1" applyAlignment="1">
      <alignment horizontal="center" vertical="center"/>
    </xf>
    <xf numFmtId="0" fontId="0" fillId="76" borderId="38" xfId="0" applyFill="1" applyBorder="1" applyAlignment="1">
      <alignment horizontal="center" vertical="center"/>
    </xf>
    <xf numFmtId="0" fontId="0" fillId="76" borderId="66" xfId="0" applyFill="1" applyBorder="1" applyAlignment="1">
      <alignment horizontal="center" vertical="center"/>
    </xf>
    <xf numFmtId="0" fontId="0" fillId="76" borderId="17" xfId="0" applyFill="1" applyBorder="1" applyAlignment="1">
      <alignment horizontal="center" vertical="center"/>
    </xf>
    <xf numFmtId="0" fontId="0" fillId="0" borderId="18" xfId="0" applyFill="1" applyBorder="1" applyAlignment="1">
      <alignment horizontal="left" vertical="center" wrapText="1"/>
    </xf>
    <xf numFmtId="0" fontId="0" fillId="0" borderId="0" xfId="0"/>
    <xf numFmtId="0" fontId="0" fillId="75" borderId="56" xfId="0" applyFill="1" applyBorder="1" applyAlignment="1">
      <alignment horizontal="center" vertical="center"/>
    </xf>
    <xf numFmtId="0" fontId="0" fillId="75" borderId="45" xfId="0" applyFill="1" applyBorder="1" applyAlignment="1">
      <alignment horizontal="center" vertical="center"/>
    </xf>
    <xf numFmtId="0" fontId="0" fillId="75" borderId="12" xfId="0" applyFill="1" applyBorder="1"/>
    <xf numFmtId="0" fontId="0" fillId="75" borderId="1" xfId="0" applyFill="1" applyBorder="1"/>
    <xf numFmtId="0" fontId="3" fillId="2" borderId="10" xfId="0" applyFont="1" applyFill="1" applyBorder="1" applyAlignment="1">
      <alignment vertical="center"/>
    </xf>
    <xf numFmtId="0" fontId="3" fillId="0" borderId="18" xfId="10" applyFont="1" applyBorder="1" applyAlignment="1">
      <alignment horizontal="center" vertical="top" wrapText="1"/>
    </xf>
    <xf numFmtId="0" fontId="0" fillId="0" borderId="5"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68" xfId="0" applyBorder="1" applyAlignment="1">
      <alignment horizontal="center"/>
    </xf>
    <xf numFmtId="0" fontId="0" fillId="0" borderId="37" xfId="0" applyBorder="1" applyAlignment="1">
      <alignment horizontal="center"/>
    </xf>
    <xf numFmtId="0" fontId="0" fillId="21" borderId="25" xfId="0" applyFill="1" applyBorder="1" applyAlignment="1">
      <alignment horizontal="left" vertical="center" wrapText="1"/>
    </xf>
    <xf numFmtId="0" fontId="0" fillId="21" borderId="26" xfId="0" applyFill="1" applyBorder="1" applyAlignment="1">
      <alignment horizontal="left" vertical="center" wrapText="1"/>
    </xf>
    <xf numFmtId="0" fontId="0" fillId="21" borderId="58" xfId="0" applyFill="1" applyBorder="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58" xfId="0" applyFont="1" applyBorder="1" applyAlignment="1">
      <alignment horizontal="center" vertical="center" wrapText="1"/>
    </xf>
    <xf numFmtId="0" fontId="21" fillId="0" borderId="135" xfId="0" applyFont="1" applyBorder="1" applyAlignment="1">
      <alignment horizontal="center" vertical="center" wrapText="1"/>
    </xf>
    <xf numFmtId="0" fontId="21" fillId="0" borderId="136" xfId="0" applyFont="1" applyBorder="1" applyAlignment="1">
      <alignment horizontal="center" vertical="center" wrapText="1"/>
    </xf>
    <xf numFmtId="0" fontId="21" fillId="0" borderId="139" xfId="0" applyFont="1" applyBorder="1" applyAlignment="1">
      <alignment horizontal="center" vertical="center" wrapText="1"/>
    </xf>
    <xf numFmtId="0" fontId="0" fillId="21" borderId="25" xfId="0" applyFill="1" applyBorder="1" applyAlignment="1">
      <alignment horizontal="left" vertical="center"/>
    </xf>
    <xf numFmtId="0" fontId="0" fillId="21" borderId="26" xfId="0" applyFill="1" applyBorder="1" applyAlignment="1">
      <alignment horizontal="left" vertical="center"/>
    </xf>
    <xf numFmtId="0" fontId="0" fillId="21" borderId="58" xfId="0" applyFill="1" applyBorder="1" applyAlignment="1">
      <alignment horizontal="left" vertical="center"/>
    </xf>
    <xf numFmtId="0" fontId="0" fillId="0" borderId="0" xfId="0" applyAlignment="1">
      <alignment horizontal="center" vertical="center"/>
    </xf>
    <xf numFmtId="0" fontId="0" fillId="21" borderId="25" xfId="0" applyFill="1" applyBorder="1" applyAlignment="1">
      <alignment horizontal="center" vertical="center"/>
    </xf>
    <xf numFmtId="0" fontId="0" fillId="21" borderId="26" xfId="0" applyFill="1" applyBorder="1" applyAlignment="1">
      <alignment horizontal="center" vertical="center"/>
    </xf>
    <xf numFmtId="0" fontId="0" fillId="21" borderId="58" xfId="0" applyFill="1" applyBorder="1" applyAlignment="1">
      <alignment horizontal="center" vertical="center"/>
    </xf>
    <xf numFmtId="0" fontId="0" fillId="49" borderId="0" xfId="0" applyFill="1"/>
    <xf numFmtId="0" fontId="0" fillId="0" borderId="0" xfId="0"/>
    <xf numFmtId="0" fontId="0" fillId="49" borderId="0" xfId="0" applyFill="1" applyAlignment="1">
      <alignment wrapText="1"/>
    </xf>
    <xf numFmtId="0" fontId="0" fillId="0" borderId="144" xfId="0" applyBorder="1" applyAlignment="1">
      <alignment horizontal="center" wrapText="1"/>
    </xf>
    <xf numFmtId="0" fontId="0" fillId="0" borderId="145" xfId="0" applyBorder="1" applyAlignment="1">
      <alignment horizontal="center" wrapText="1"/>
    </xf>
    <xf numFmtId="0" fontId="0" fillId="0" borderId="144" xfId="0" applyBorder="1" applyAlignment="1">
      <alignment horizontal="center" vertical="center" wrapText="1"/>
    </xf>
    <xf numFmtId="0" fontId="0" fillId="0" borderId="145" xfId="0" applyBorder="1" applyAlignment="1">
      <alignment horizontal="center" vertical="center" wrapText="1"/>
    </xf>
    <xf numFmtId="0" fontId="0" fillId="0" borderId="144" xfId="0" applyBorder="1" applyAlignment="1">
      <alignment horizontal="center" vertical="center"/>
    </xf>
    <xf numFmtId="0" fontId="0" fillId="0" borderId="145" xfId="0" applyBorder="1" applyAlignment="1">
      <alignment horizontal="center" vertical="center"/>
    </xf>
    <xf numFmtId="0" fontId="0" fillId="3" borderId="25" xfId="0" applyFill="1" applyBorder="1" applyAlignment="1">
      <alignment horizontal="left" vertical="center" wrapText="1"/>
    </xf>
    <xf numFmtId="0" fontId="0" fillId="3" borderId="26" xfId="0" applyFill="1" applyBorder="1" applyAlignment="1">
      <alignment horizontal="left" vertical="center" wrapText="1"/>
    </xf>
    <xf numFmtId="0" fontId="0" fillId="21" borderId="25" xfId="0" applyFill="1" applyBorder="1" applyAlignment="1">
      <alignment horizontal="center" vertical="center" wrapText="1"/>
    </xf>
    <xf numFmtId="0" fontId="0" fillId="21" borderId="26" xfId="0" applyFill="1" applyBorder="1" applyAlignment="1">
      <alignment horizontal="center" vertical="center" wrapText="1"/>
    </xf>
    <xf numFmtId="0" fontId="0" fillId="3" borderId="58" xfId="0" applyFill="1" applyBorder="1" applyAlignment="1">
      <alignment horizontal="left" vertical="center" wrapText="1"/>
    </xf>
    <xf numFmtId="0" fontId="0" fillId="21" borderId="148" xfId="0" applyFill="1" applyBorder="1" applyAlignment="1">
      <alignment horizontal="left" vertical="center" wrapText="1"/>
    </xf>
    <xf numFmtId="0" fontId="0" fillId="21" borderId="146" xfId="0" applyFill="1" applyBorder="1" applyAlignment="1">
      <alignment horizontal="left" vertical="center" wrapText="1"/>
    </xf>
    <xf numFmtId="0" fontId="0" fillId="21" borderId="147" xfId="0" applyFill="1" applyBorder="1" applyAlignment="1">
      <alignment horizontal="left" vertical="center" wrapText="1"/>
    </xf>
    <xf numFmtId="0" fontId="56" fillId="0" borderId="0" xfId="0" applyFont="1" applyAlignment="1">
      <alignment vertical="top" wrapText="1"/>
    </xf>
    <xf numFmtId="0" fontId="0" fillId="21" borderId="53" xfId="0" applyFill="1" applyBorder="1" applyAlignment="1">
      <alignment horizontal="left" vertical="center" wrapText="1"/>
    </xf>
    <xf numFmtId="0" fontId="13" fillId="0" borderId="53" xfId="0" applyFont="1" applyBorder="1" applyAlignment="1">
      <alignment horizontal="center" vertical="center" wrapText="1"/>
    </xf>
    <xf numFmtId="0" fontId="0" fillId="19" borderId="4" xfId="0" applyFill="1" applyBorder="1" applyAlignment="1">
      <alignment horizontal="center"/>
    </xf>
    <xf numFmtId="0" fontId="0" fillId="19" borderId="7" xfId="0" applyFill="1" applyBorder="1" applyAlignment="1">
      <alignment horizontal="center"/>
    </xf>
    <xf numFmtId="0" fontId="0" fillId="19" borderId="8" xfId="0" applyFill="1" applyBorder="1" applyAlignment="1">
      <alignment horizontal="center"/>
    </xf>
    <xf numFmtId="0" fontId="18" fillId="0" borderId="18" xfId="0" applyFont="1" applyBorder="1" applyAlignment="1">
      <alignment vertical="center"/>
    </xf>
    <xf numFmtId="0" fontId="18" fillId="0" borderId="23" xfId="0" applyFont="1" applyBorder="1" applyAlignment="1">
      <alignment vertical="center"/>
    </xf>
    <xf numFmtId="0" fontId="19" fillId="0" borderId="18" xfId="0" applyFont="1" applyBorder="1"/>
    <xf numFmtId="0" fontId="19" fillId="0" borderId="23" xfId="0" applyFont="1" applyBorder="1"/>
    <xf numFmtId="0" fontId="18" fillId="18" borderId="25" xfId="0" applyFont="1" applyFill="1" applyBorder="1" applyAlignment="1">
      <alignment horizontal="center" vertical="center"/>
    </xf>
    <xf numFmtId="0" fontId="18" fillId="18" borderId="26" xfId="0" applyFont="1" applyFill="1" applyBorder="1" applyAlignment="1">
      <alignment horizontal="center" vertical="center"/>
    </xf>
    <xf numFmtId="0" fontId="18" fillId="18" borderId="58" xfId="0" applyFont="1" applyFill="1" applyBorder="1" applyAlignment="1">
      <alignment horizontal="center" vertical="center"/>
    </xf>
    <xf numFmtId="0" fontId="2" fillId="9" borderId="25" xfId="0" applyNumberFormat="1" applyFont="1" applyFill="1" applyBorder="1" applyAlignment="1">
      <alignment horizontal="center" vertical="center"/>
    </xf>
    <xf numFmtId="0" fontId="2" fillId="9" borderId="26" xfId="0" applyNumberFormat="1" applyFont="1" applyFill="1" applyBorder="1" applyAlignment="1">
      <alignment horizontal="center" vertical="center"/>
    </xf>
    <xf numFmtId="0" fontId="2" fillId="9" borderId="58" xfId="0" applyNumberFormat="1" applyFont="1" applyFill="1" applyBorder="1" applyAlignment="1">
      <alignment horizontal="center" vertical="center"/>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58" xfId="0" applyBorder="1" applyAlignment="1">
      <alignment horizontal="center" vertical="center" wrapText="1"/>
    </xf>
    <xf numFmtId="0" fontId="2" fillId="10" borderId="47" xfId="0" applyFont="1" applyFill="1" applyBorder="1" applyAlignment="1">
      <alignment horizontal="center" vertical="center"/>
    </xf>
    <xf numFmtId="0" fontId="2" fillId="10" borderId="51" xfId="0"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6" fillId="0" borderId="25" xfId="0" applyFont="1" applyBorder="1" applyAlignment="1">
      <alignment vertical="center" wrapText="1"/>
    </xf>
    <xf numFmtId="0" fontId="6" fillId="0" borderId="26" xfId="0" applyFont="1" applyBorder="1" applyAlignment="1">
      <alignment vertical="center" wrapText="1"/>
    </xf>
    <xf numFmtId="0" fontId="5" fillId="0" borderId="26" xfId="0" applyFont="1" applyBorder="1" applyAlignment="1">
      <alignment vertical="center"/>
    </xf>
    <xf numFmtId="0" fontId="5" fillId="0" borderId="31" xfId="0" applyFont="1" applyBorder="1" applyAlignment="1">
      <alignment vertical="center"/>
    </xf>
    <xf numFmtId="0" fontId="0" fillId="10" borderId="48" xfId="0" applyFill="1" applyBorder="1" applyAlignment="1">
      <alignment horizontal="center" vertical="center" wrapText="1"/>
    </xf>
    <xf numFmtId="0" fontId="0" fillId="10" borderId="47" xfId="0" applyFill="1" applyBorder="1" applyAlignment="1">
      <alignment horizontal="center" vertical="center" wrapText="1"/>
    </xf>
    <xf numFmtId="0" fontId="0" fillId="3" borderId="25" xfId="0" applyFill="1" applyBorder="1" applyAlignment="1">
      <alignment horizontal="center" vertical="center"/>
    </xf>
    <xf numFmtId="0" fontId="0" fillId="3" borderId="26" xfId="0" applyFill="1" applyBorder="1" applyAlignment="1">
      <alignment horizontal="center" vertical="center"/>
    </xf>
    <xf numFmtId="0" fontId="0" fillId="3" borderId="58" xfId="0" applyFill="1" applyBorder="1" applyAlignment="1">
      <alignment horizontal="center" vertical="center"/>
    </xf>
    <xf numFmtId="0" fontId="0" fillId="10" borderId="38" xfId="0" applyFill="1" applyBorder="1" applyAlignment="1">
      <alignment horizontal="center" vertical="center" wrapText="1"/>
    </xf>
    <xf numFmtId="0" fontId="0" fillId="10" borderId="59" xfId="0" applyFill="1" applyBorder="1" applyAlignment="1">
      <alignment horizontal="center" vertical="center" wrapText="1"/>
    </xf>
    <xf numFmtId="9" fontId="6" fillId="0" borderId="25" xfId="0" applyNumberFormat="1" applyFont="1" applyBorder="1" applyAlignment="1">
      <alignment vertical="center" wrapText="1"/>
    </xf>
    <xf numFmtId="0" fontId="6" fillId="0" borderId="58" xfId="0" applyFont="1" applyBorder="1" applyAlignment="1">
      <alignment vertical="center" wrapText="1"/>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31" xfId="0" applyFont="1" applyBorder="1" applyAlignment="1">
      <alignment horizontal="center" vertical="center"/>
    </xf>
    <xf numFmtId="0" fontId="0" fillId="21" borderId="4" xfId="0" applyFill="1" applyBorder="1" applyAlignment="1">
      <alignment horizontal="center"/>
    </xf>
    <xf numFmtId="0" fontId="0" fillId="21" borderId="8" xfId="0" applyFill="1" applyBorder="1" applyAlignment="1">
      <alignment horizontal="center"/>
    </xf>
    <xf numFmtId="0" fontId="9" fillId="16" borderId="27" xfId="0" applyFont="1" applyFill="1" applyBorder="1" applyAlignment="1">
      <alignment horizontal="center"/>
    </xf>
    <xf numFmtId="0" fontId="9" fillId="16" borderId="37" xfId="0" applyFont="1" applyFill="1" applyBorder="1" applyAlignment="1">
      <alignment horizontal="center"/>
    </xf>
    <xf numFmtId="0" fontId="17" fillId="8" borderId="27" xfId="0" applyFont="1" applyFill="1" applyBorder="1" applyAlignment="1">
      <alignment horizontal="right"/>
    </xf>
    <xf numFmtId="0" fontId="17" fillId="8" borderId="68" xfId="0" applyFont="1" applyFill="1" applyBorder="1" applyAlignment="1">
      <alignment horizontal="right"/>
    </xf>
    <xf numFmtId="0" fontId="17" fillId="8" borderId="37" xfId="0" applyFont="1" applyFill="1" applyBorder="1" applyAlignment="1">
      <alignment horizontal="right"/>
    </xf>
    <xf numFmtId="0" fontId="0" fillId="8" borderId="16" xfId="0" applyFill="1" applyBorder="1" applyAlignment="1">
      <alignment horizontal="right"/>
    </xf>
    <xf numFmtId="0" fontId="0" fillId="8" borderId="15" xfId="0" applyFill="1" applyBorder="1" applyAlignment="1">
      <alignment horizontal="right"/>
    </xf>
    <xf numFmtId="0" fontId="0" fillId="8" borderId="17" xfId="0" applyFill="1" applyBorder="1" applyAlignment="1">
      <alignment horizontal="right"/>
    </xf>
    <xf numFmtId="0" fontId="2" fillId="8" borderId="2" xfId="0" applyFont="1" applyFill="1" applyBorder="1" applyAlignment="1">
      <alignment horizontal="right"/>
    </xf>
    <xf numFmtId="0" fontId="2" fillId="8" borderId="10" xfId="0" applyFont="1" applyFill="1" applyBorder="1" applyAlignment="1">
      <alignment horizontal="right"/>
    </xf>
    <xf numFmtId="0" fontId="2" fillId="8" borderId="11" xfId="0" applyFont="1" applyFill="1" applyBorder="1" applyAlignment="1">
      <alignment horizontal="right"/>
    </xf>
    <xf numFmtId="168" fontId="0" fillId="2" borderId="45" xfId="1" applyNumberFormat="1" applyFont="1" applyFill="1" applyBorder="1" applyAlignment="1">
      <alignment horizontal="center"/>
    </xf>
    <xf numFmtId="168" fontId="0" fillId="2" borderId="28" xfId="1" applyNumberFormat="1" applyFont="1" applyFill="1" applyBorder="1" applyAlignment="1">
      <alignment horizontal="center"/>
    </xf>
    <xf numFmtId="168" fontId="0" fillId="2" borderId="75" xfId="1" applyNumberFormat="1" applyFont="1" applyFill="1" applyBorder="1" applyAlignment="1">
      <alignment horizont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4" xfId="0" applyFill="1" applyBorder="1" applyAlignment="1">
      <alignment horizontal="center" vertical="center" wrapText="1"/>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0" fillId="10" borderId="18" xfId="0" applyFill="1" applyBorder="1" applyAlignment="1">
      <alignment horizontal="center"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58" xfId="0" applyBorder="1" applyAlignment="1">
      <alignment horizontal="left" vertical="center"/>
    </xf>
    <xf numFmtId="0" fontId="0" fillId="0" borderId="18" xfId="0" applyBorder="1" applyAlignment="1">
      <alignment horizontal="left" vertical="center"/>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58" xfId="0" applyBorder="1" applyAlignment="1">
      <alignment horizontal="left" vertical="center" wrapText="1"/>
    </xf>
    <xf numFmtId="0" fontId="2" fillId="2" borderId="16" xfId="0" applyFont="1" applyFill="1" applyBorder="1" applyAlignment="1">
      <alignment horizontal="left"/>
    </xf>
    <xf numFmtId="0" fontId="2" fillId="2" borderId="15" xfId="0" applyFont="1" applyFill="1" applyBorder="1" applyAlignment="1">
      <alignment horizontal="left"/>
    </xf>
    <xf numFmtId="0" fontId="2" fillId="2" borderId="24" xfId="0" applyFont="1" applyFill="1" applyBorder="1" applyAlignment="1">
      <alignment horizontal="left"/>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3" fillId="0" borderId="1" xfId="0" applyFont="1" applyBorder="1" applyAlignment="1">
      <alignment horizontal="left" vertical="center"/>
    </xf>
    <xf numFmtId="0" fontId="3" fillId="0" borderId="23" xfId="0" applyFont="1" applyBorder="1" applyAlignment="1">
      <alignment horizontal="left" vertical="center"/>
    </xf>
    <xf numFmtId="0" fontId="3" fillId="0" borderId="33" xfId="0" applyFont="1" applyBorder="1" applyAlignment="1">
      <alignment horizontal="center" vertical="center"/>
    </xf>
    <xf numFmtId="0" fontId="3" fillId="0" borderId="71" xfId="0" applyFont="1" applyBorder="1" applyAlignment="1">
      <alignment horizontal="center" vertical="center"/>
    </xf>
    <xf numFmtId="0" fontId="3" fillId="0" borderId="3" xfId="0" applyFont="1" applyBorder="1" applyAlignment="1">
      <alignment horizontal="left" vertical="center"/>
    </xf>
    <xf numFmtId="0" fontId="3" fillId="0" borderId="33" xfId="0" applyFont="1" applyBorder="1" applyAlignment="1">
      <alignment horizontal="left" vertical="center"/>
    </xf>
    <xf numFmtId="0" fontId="3" fillId="0" borderId="71" xfId="0" applyFont="1" applyBorder="1" applyAlignment="1">
      <alignment horizontal="left" vertical="center"/>
    </xf>
    <xf numFmtId="0" fontId="3" fillId="0" borderId="70" xfId="0" applyFont="1" applyBorder="1" applyAlignment="1">
      <alignment horizontal="left" vertical="center"/>
    </xf>
    <xf numFmtId="0" fontId="3" fillId="0" borderId="16" xfId="0" applyFont="1" applyBorder="1" applyAlignment="1">
      <alignment horizontal="left" vertical="center"/>
    </xf>
    <xf numFmtId="0" fontId="3" fillId="0" borderId="42" xfId="0" applyFont="1" applyBorder="1" applyAlignment="1">
      <alignment horizontal="center" vertical="center"/>
    </xf>
    <xf numFmtId="0" fontId="3" fillId="0" borderId="34" xfId="0" applyFont="1" applyBorder="1" applyAlignment="1">
      <alignment horizontal="center" vertical="center"/>
    </xf>
    <xf numFmtId="0" fontId="3" fillId="0" borderId="3" xfId="0" applyFont="1" applyBorder="1" applyAlignment="1">
      <alignment horizontal="center" vertical="center"/>
    </xf>
    <xf numFmtId="0" fontId="3" fillId="0" borderId="46" xfId="0" quotePrefix="1" applyFont="1" applyBorder="1" applyAlignment="1">
      <alignment horizontal="center" vertical="center"/>
    </xf>
    <xf numFmtId="0" fontId="3" fillId="0" borderId="3" xfId="0" quotePrefix="1" applyFont="1" applyBorder="1" applyAlignment="1">
      <alignment horizontal="center" vertical="center"/>
    </xf>
    <xf numFmtId="0" fontId="3" fillId="0" borderId="5" xfId="0" applyFont="1" applyBorder="1" applyAlignment="1">
      <alignment horizontal="left" vertical="center"/>
    </xf>
    <xf numFmtId="0" fontId="8" fillId="4" borderId="2" xfId="0" applyFont="1" applyFill="1" applyBorder="1" applyAlignment="1">
      <alignment horizontal="center" vertical="center"/>
    </xf>
    <xf numFmtId="0" fontId="8" fillId="4" borderId="10" xfId="0" applyFont="1" applyFill="1" applyBorder="1" applyAlignment="1">
      <alignment horizontal="center" vertical="center"/>
    </xf>
    <xf numFmtId="0" fontId="3" fillId="0" borderId="12" xfId="0" applyFont="1" applyBorder="1" applyAlignment="1">
      <alignment horizontal="left" vertical="center"/>
    </xf>
    <xf numFmtId="0" fontId="3" fillId="0" borderId="44" xfId="0" applyFont="1" applyBorder="1" applyAlignment="1">
      <alignment horizontal="left" vertical="center"/>
    </xf>
    <xf numFmtId="0" fontId="3" fillId="0" borderId="33" xfId="0" quotePrefix="1" applyFont="1" applyBorder="1" applyAlignment="1">
      <alignment horizontal="center" vertical="center"/>
    </xf>
    <xf numFmtId="0" fontId="3" fillId="0" borderId="46" xfId="0" applyFont="1" applyBorder="1" applyAlignment="1">
      <alignment horizontal="center" vertical="center"/>
    </xf>
    <xf numFmtId="0" fontId="8" fillId="4" borderId="0" xfId="0" applyFont="1" applyFill="1" applyBorder="1" applyAlignment="1">
      <alignment horizontal="center" vertical="center"/>
    </xf>
    <xf numFmtId="0" fontId="8" fillId="4" borderId="1" xfId="0" applyFont="1" applyFill="1" applyBorder="1" applyAlignment="1">
      <alignment horizontal="center" vertical="center"/>
    </xf>
    <xf numFmtId="0" fontId="3" fillId="18" borderId="23" xfId="0" applyFont="1" applyFill="1" applyBorder="1" applyAlignment="1">
      <alignment horizontal="center"/>
    </xf>
    <xf numFmtId="0" fontId="3" fillId="18" borderId="24" xfId="0" applyFont="1" applyFill="1" applyBorder="1" applyAlignment="1">
      <alignment horizontal="center"/>
    </xf>
    <xf numFmtId="0" fontId="3" fillId="0" borderId="1" xfId="0" applyFont="1" applyFill="1" applyBorder="1" applyAlignment="1">
      <alignment horizontal="left" vertical="center"/>
    </xf>
    <xf numFmtId="0" fontId="3" fillId="0" borderId="18" xfId="0" applyFont="1" applyFill="1" applyBorder="1" applyAlignment="1">
      <alignment horizontal="left" vertical="center"/>
    </xf>
    <xf numFmtId="0" fontId="3" fillId="0" borderId="2" xfId="0" applyFont="1" applyFill="1" applyBorder="1" applyAlignment="1">
      <alignment horizontal="left" vertical="center"/>
    </xf>
    <xf numFmtId="0" fontId="3" fillId="0" borderId="0" xfId="0" applyFont="1" applyFill="1" applyAlignment="1">
      <alignment horizontal="left" vertical="center"/>
    </xf>
    <xf numFmtId="0" fontId="3" fillId="0" borderId="18" xfId="0" applyFont="1" applyFill="1" applyBorder="1" applyAlignment="1">
      <alignment vertical="center"/>
    </xf>
    <xf numFmtId="0" fontId="3" fillId="0" borderId="38" xfId="0" applyFont="1" applyFill="1" applyBorder="1" applyAlignment="1">
      <alignment horizontal="left" vertical="center"/>
    </xf>
    <xf numFmtId="0" fontId="3" fillId="0" borderId="48" xfId="0" applyFont="1" applyFill="1" applyBorder="1" applyAlignment="1">
      <alignment horizontal="left" vertical="center"/>
    </xf>
    <xf numFmtId="0" fontId="3" fillId="6" borderId="4" xfId="0" applyFont="1" applyFill="1" applyBorder="1" applyAlignment="1">
      <alignment horizontal="center"/>
    </xf>
    <xf numFmtId="0" fontId="3" fillId="6" borderId="7" xfId="0" applyFont="1" applyFill="1" applyBorder="1" applyAlignment="1">
      <alignment horizontal="center"/>
    </xf>
    <xf numFmtId="0" fontId="3" fillId="6" borderId="8" xfId="0" applyFont="1" applyFill="1" applyBorder="1" applyAlignment="1">
      <alignment horizontal="center"/>
    </xf>
    <xf numFmtId="0" fontId="3" fillId="0" borderId="26" xfId="0" applyFont="1" applyBorder="1" applyAlignment="1">
      <alignment horizontal="center"/>
    </xf>
    <xf numFmtId="0" fontId="3" fillId="0" borderId="47" xfId="0" applyFont="1" applyFill="1" applyBorder="1" applyAlignment="1">
      <alignment horizontal="left" vertical="center"/>
    </xf>
    <xf numFmtId="0" fontId="3" fillId="0" borderId="59" xfId="0" applyFont="1" applyFill="1" applyBorder="1" applyAlignment="1">
      <alignment horizontal="left" vertical="center"/>
    </xf>
    <xf numFmtId="0" fontId="3" fillId="0" borderId="46" xfId="0" applyFont="1" applyBorder="1" applyAlignment="1">
      <alignment horizontal="center"/>
    </xf>
    <xf numFmtId="0" fontId="3" fillId="0" borderId="33" xfId="0" applyFont="1" applyBorder="1" applyAlignment="1">
      <alignment horizontal="center"/>
    </xf>
    <xf numFmtId="0" fontId="3" fillId="6" borderId="0" xfId="0" applyFont="1" applyFill="1" applyAlignment="1">
      <alignment horizontal="center"/>
    </xf>
    <xf numFmtId="0" fontId="2" fillId="25" borderId="18" xfId="5" applyFont="1" applyFill="1" applyBorder="1" applyAlignment="1">
      <alignment horizontal="center" vertical="top" wrapText="1"/>
    </xf>
    <xf numFmtId="0" fontId="2" fillId="25" borderId="40" xfId="6" applyFont="1" applyFill="1" applyBorder="1" applyAlignment="1" applyProtection="1">
      <alignment horizontal="center" vertical="center"/>
      <protection hidden="1"/>
    </xf>
    <xf numFmtId="0" fontId="2" fillId="25" borderId="68" xfId="6" applyFont="1" applyFill="1" applyBorder="1" applyAlignment="1" applyProtection="1">
      <alignment horizontal="center" vertical="center"/>
      <protection hidden="1"/>
    </xf>
    <xf numFmtId="0" fontId="2" fillId="25" borderId="49" xfId="6" applyFont="1" applyFill="1" applyBorder="1" applyAlignment="1" applyProtection="1">
      <alignment horizontal="center" vertical="center"/>
      <protection hidden="1"/>
    </xf>
    <xf numFmtId="0" fontId="9" fillId="33" borderId="4" xfId="0" applyFont="1" applyFill="1" applyBorder="1" applyAlignment="1">
      <alignment horizontal="center" wrapText="1"/>
    </xf>
    <xf numFmtId="0" fontId="9" fillId="33" borderId="7" xfId="0" applyFont="1" applyFill="1" applyBorder="1" applyAlignment="1">
      <alignment horizontal="center" wrapText="1"/>
    </xf>
    <xf numFmtId="0" fontId="0" fillId="34" borderId="7" xfId="0" applyFill="1" applyBorder="1" applyAlignment="1">
      <alignment horizontal="center" wrapText="1"/>
    </xf>
    <xf numFmtId="0" fontId="17" fillId="11" borderId="69" xfId="13" applyFont="1" applyFill="1" applyBorder="1" applyAlignment="1">
      <alignment horizontal="center" vertical="top"/>
    </xf>
    <xf numFmtId="0" fontId="2" fillId="2" borderId="45" xfId="4" applyFont="1" applyFill="1" applyBorder="1" applyAlignment="1" applyProtection="1">
      <alignment horizontal="center" vertical="center" wrapText="1"/>
      <protection hidden="1"/>
    </xf>
    <xf numFmtId="0" fontId="2" fillId="2" borderId="39" xfId="4" applyFont="1" applyFill="1" applyBorder="1" applyAlignment="1" applyProtection="1">
      <alignment horizontal="center" vertical="center" wrapText="1"/>
      <protection hidden="1"/>
    </xf>
    <xf numFmtId="0" fontId="2" fillId="2" borderId="72" xfId="4" applyFont="1" applyFill="1" applyBorder="1" applyAlignment="1" applyProtection="1">
      <alignment horizontal="center" vertical="center" wrapText="1"/>
      <protection hidden="1"/>
    </xf>
    <xf numFmtId="0" fontId="2" fillId="2" borderId="35" xfId="4" applyFont="1" applyFill="1" applyBorder="1" applyAlignment="1" applyProtection="1">
      <alignment horizontal="center" vertical="center" wrapText="1"/>
      <protection hidden="1"/>
    </xf>
    <xf numFmtId="0" fontId="2" fillId="25" borderId="28" xfId="4" applyFont="1" applyFill="1" applyBorder="1" applyAlignment="1" applyProtection="1">
      <alignment horizontal="center" vertical="center"/>
      <protection hidden="1"/>
    </xf>
    <xf numFmtId="0" fontId="2" fillId="25" borderId="58" xfId="4" applyFont="1" applyFill="1" applyBorder="1" applyAlignment="1" applyProtection="1">
      <alignment horizontal="center" vertical="center"/>
      <protection hidden="1"/>
    </xf>
    <xf numFmtId="0" fontId="2" fillId="25" borderId="58" xfId="6" applyFont="1" applyFill="1" applyBorder="1" applyAlignment="1" applyProtection="1">
      <alignment horizontal="center" vertical="center"/>
      <protection hidden="1"/>
    </xf>
    <xf numFmtId="0" fontId="2" fillId="2" borderId="53" xfId="4" applyFont="1" applyFill="1" applyBorder="1" applyAlignment="1" applyProtection="1">
      <alignment horizontal="center" vertical="center" wrapText="1"/>
      <protection hidden="1"/>
    </xf>
    <xf numFmtId="0" fontId="2" fillId="2" borderId="31" xfId="4" applyFont="1" applyFill="1" applyBorder="1" applyAlignment="1" applyProtection="1">
      <alignment horizontal="center" vertical="center" wrapText="1"/>
      <protection hidden="1"/>
    </xf>
    <xf numFmtId="0" fontId="3" fillId="2" borderId="4"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25" fillId="0" borderId="5" xfId="0" applyFont="1" applyBorder="1" applyAlignment="1">
      <alignment horizontal="center"/>
    </xf>
    <xf numFmtId="0" fontId="25" fillId="0" borderId="13" xfId="0" applyFont="1" applyBorder="1" applyAlignment="1">
      <alignment horizontal="center"/>
    </xf>
    <xf numFmtId="0" fontId="25" fillId="0" borderId="14" xfId="0" applyFont="1" applyBorder="1" applyAlignment="1">
      <alignment horizontal="center"/>
    </xf>
    <xf numFmtId="0" fontId="2" fillId="10" borderId="3" xfId="0" applyFont="1" applyFill="1" applyBorder="1" applyAlignment="1">
      <alignment horizontal="center" vertical="center" wrapText="1"/>
    </xf>
    <xf numFmtId="0" fontId="2" fillId="10" borderId="33" xfId="0" applyFont="1" applyFill="1" applyBorder="1" applyAlignment="1">
      <alignment horizontal="center" vertical="center" wrapText="1"/>
    </xf>
    <xf numFmtId="0" fontId="3" fillId="0" borderId="70" xfId="0" applyFont="1" applyFill="1" applyBorder="1" applyAlignment="1">
      <alignment horizontal="left" vertical="center"/>
    </xf>
    <xf numFmtId="0" fontId="3" fillId="0" borderId="18" xfId="0" applyFont="1" applyBorder="1" applyAlignment="1">
      <alignment horizontal="left" vertical="center"/>
    </xf>
    <xf numFmtId="0" fontId="3" fillId="0" borderId="2" xfId="0" applyFont="1" applyBorder="1" applyAlignment="1">
      <alignment horizontal="left" vertical="center"/>
    </xf>
    <xf numFmtId="0" fontId="3" fillId="0" borderId="31" xfId="0" applyFont="1" applyBorder="1" applyAlignment="1">
      <alignment horizontal="center"/>
    </xf>
    <xf numFmtId="0" fontId="3" fillId="0" borderId="5" xfId="0" applyFont="1" applyFill="1" applyBorder="1" applyAlignment="1">
      <alignment horizontal="left" vertical="center"/>
    </xf>
    <xf numFmtId="0" fontId="3" fillId="0" borderId="72" xfId="0" applyFont="1" applyBorder="1" applyAlignment="1">
      <alignment horizontal="center"/>
    </xf>
    <xf numFmtId="0" fontId="3" fillId="0" borderId="21" xfId="0" applyFont="1" applyBorder="1" applyAlignment="1">
      <alignment horizontal="center"/>
    </xf>
    <xf numFmtId="0" fontId="3" fillId="6" borderId="1" xfId="0" applyFont="1" applyFill="1" applyBorder="1" applyAlignment="1">
      <alignment horizontal="center"/>
    </xf>
    <xf numFmtId="0" fontId="3" fillId="6" borderId="9" xfId="0" applyFont="1" applyFill="1" applyBorder="1" applyAlignment="1">
      <alignment horizontal="center"/>
    </xf>
    <xf numFmtId="0" fontId="3" fillId="6" borderId="5" xfId="0" applyFont="1" applyFill="1" applyBorder="1" applyAlignment="1">
      <alignment horizontal="center"/>
    </xf>
    <xf numFmtId="0" fontId="3" fillId="6" borderId="13" xfId="0" applyFont="1" applyFill="1" applyBorder="1" applyAlignment="1">
      <alignment horizontal="center"/>
    </xf>
    <xf numFmtId="0" fontId="3" fillId="6" borderId="14" xfId="0" applyFont="1" applyFill="1" applyBorder="1" applyAlignment="1">
      <alignment horizontal="center"/>
    </xf>
    <xf numFmtId="0" fontId="3" fillId="0" borderId="30" xfId="0" applyFont="1" applyBorder="1" applyAlignment="1">
      <alignment horizontal="center"/>
    </xf>
    <xf numFmtId="0" fontId="3" fillId="0" borderId="58" xfId="0" applyFont="1" applyFill="1" applyBorder="1" applyAlignment="1">
      <alignment horizontal="left" vertical="center"/>
    </xf>
    <xf numFmtId="0" fontId="3" fillId="0" borderId="39" xfId="0" applyFont="1" applyFill="1" applyBorder="1" applyAlignment="1">
      <alignment horizontal="left" vertical="center"/>
    </xf>
    <xf numFmtId="0" fontId="0" fillId="3" borderId="0" xfId="0" applyFill="1" applyAlignment="1">
      <alignment horizontal="left" vertical="center" wrapText="1"/>
    </xf>
    <xf numFmtId="0" fontId="3" fillId="0" borderId="59" xfId="0" applyFont="1" applyBorder="1" applyAlignment="1">
      <alignment horizontal="left" vertical="center"/>
    </xf>
    <xf numFmtId="0" fontId="3" fillId="0" borderId="38" xfId="0" applyFont="1" applyBorder="1" applyAlignment="1">
      <alignment horizontal="left" vertical="center"/>
    </xf>
    <xf numFmtId="0" fontId="0" fillId="3" borderId="0" xfId="0" applyFill="1" applyAlignment="1">
      <alignment horizontal="center" vertical="center" wrapText="1"/>
    </xf>
    <xf numFmtId="0" fontId="3" fillId="0" borderId="48" xfId="0" applyFont="1" applyBorder="1" applyAlignment="1">
      <alignment horizontal="left" vertical="center"/>
    </xf>
    <xf numFmtId="0" fontId="3" fillId="0" borderId="18" xfId="0" applyFont="1" applyBorder="1" applyAlignment="1">
      <alignment vertical="center"/>
    </xf>
    <xf numFmtId="0" fontId="3" fillId="0" borderId="0" xfId="0" applyFont="1" applyAlignment="1">
      <alignment horizontal="left" vertical="center"/>
    </xf>
    <xf numFmtId="0" fontId="25" fillId="23" borderId="79" xfId="0" applyFont="1" applyFill="1" applyBorder="1" applyAlignment="1">
      <alignment horizontal="center" vertical="center"/>
    </xf>
    <xf numFmtId="0" fontId="25" fillId="23" borderId="80" xfId="0" applyFont="1" applyFill="1" applyBorder="1" applyAlignment="1">
      <alignment horizontal="center" vertical="center"/>
    </xf>
    <xf numFmtId="0" fontId="25" fillId="23" borderId="81" xfId="0" applyFont="1" applyFill="1" applyBorder="1" applyAlignment="1">
      <alignment horizontal="center" vertical="center"/>
    </xf>
    <xf numFmtId="0" fontId="25" fillId="23" borderId="82" xfId="0" applyFont="1" applyFill="1" applyBorder="1" applyAlignment="1">
      <alignment horizontal="center" vertical="center"/>
    </xf>
    <xf numFmtId="0" fontId="0" fillId="8" borderId="84" xfId="0" applyFill="1" applyBorder="1" applyAlignment="1">
      <alignment horizontal="left" vertical="center"/>
    </xf>
    <xf numFmtId="0" fontId="0" fillId="8" borderId="85" xfId="0" applyFill="1" applyBorder="1" applyAlignment="1">
      <alignment horizontal="left" vertical="center"/>
    </xf>
    <xf numFmtId="0" fontId="0" fillId="8" borderId="87" xfId="0" applyFont="1" applyFill="1" applyBorder="1" applyAlignment="1">
      <alignment horizontal="left" vertical="center"/>
    </xf>
    <xf numFmtId="0" fontId="0" fillId="8" borderId="88" xfId="0" applyFont="1" applyFill="1" applyBorder="1" applyAlignment="1">
      <alignment horizontal="left" vertical="center"/>
    </xf>
    <xf numFmtId="0" fontId="0" fillId="8" borderId="90" xfId="0" applyNumberFormat="1" applyFill="1" applyBorder="1" applyAlignment="1">
      <alignment horizontal="left" vertical="center"/>
    </xf>
    <xf numFmtId="0" fontId="0" fillId="8" borderId="91" xfId="0" applyNumberFormat="1" applyFill="1" applyBorder="1" applyAlignment="1">
      <alignment horizontal="left" vertical="center"/>
    </xf>
    <xf numFmtId="0" fontId="3" fillId="23" borderId="79" xfId="0" applyFont="1" applyFill="1" applyBorder="1" applyAlignment="1">
      <alignment horizontal="center" vertical="center"/>
    </xf>
    <xf numFmtId="0" fontId="3" fillId="23" borderId="81" xfId="0" applyFont="1" applyFill="1" applyBorder="1" applyAlignment="1">
      <alignment horizontal="center" vertical="center"/>
    </xf>
    <xf numFmtId="0" fontId="3" fillId="23" borderId="82" xfId="0" applyFont="1" applyFill="1" applyBorder="1" applyAlignment="1">
      <alignment horizontal="center" vertical="center"/>
    </xf>
    <xf numFmtId="0" fontId="2" fillId="23" borderId="79" xfId="0" applyFont="1" applyFill="1" applyBorder="1" applyAlignment="1">
      <alignment horizontal="center" wrapText="1"/>
    </xf>
    <xf numFmtId="0" fontId="2" fillId="23" borderId="81" xfId="0" applyFont="1" applyFill="1" applyBorder="1" applyAlignment="1">
      <alignment horizontal="center" wrapText="1"/>
    </xf>
    <xf numFmtId="0" fontId="2" fillId="23" borderId="82" xfId="0" applyFont="1" applyFill="1" applyBorder="1" applyAlignment="1">
      <alignment horizontal="center" wrapText="1"/>
    </xf>
    <xf numFmtId="0" fontId="2" fillId="23" borderId="92" xfId="0" applyFont="1" applyFill="1" applyBorder="1" applyAlignment="1">
      <alignment horizontal="center" vertical="center" wrapText="1"/>
    </xf>
    <xf numFmtId="0" fontId="2" fillId="23" borderId="80" xfId="0" applyFont="1" applyFill="1" applyBorder="1" applyAlignment="1">
      <alignment horizontal="center" vertical="center" wrapText="1"/>
    </xf>
    <xf numFmtId="0" fontId="2" fillId="23" borderId="93" xfId="0" applyFont="1" applyFill="1" applyBorder="1" applyAlignment="1">
      <alignment horizontal="center" vertical="center" wrapText="1"/>
    </xf>
    <xf numFmtId="0" fontId="0" fillId="0" borderId="87" xfId="0" applyBorder="1" applyAlignment="1">
      <alignment horizontal="center"/>
    </xf>
    <xf numFmtId="0" fontId="44" fillId="41" borderId="115" xfId="0" applyFont="1" applyFill="1" applyBorder="1" applyAlignment="1">
      <alignment horizontal="left" vertical="center" indent="1"/>
    </xf>
    <xf numFmtId="0" fontId="44" fillId="41" borderId="116" xfId="0" applyFont="1" applyFill="1" applyBorder="1" applyAlignment="1">
      <alignment horizontal="left" vertical="center" indent="1"/>
    </xf>
    <xf numFmtId="0" fontId="44" fillId="41" borderId="117" xfId="0" applyFont="1" applyFill="1" applyBorder="1" applyAlignment="1">
      <alignment horizontal="left" vertical="center" indent="1"/>
    </xf>
    <xf numFmtId="0" fontId="45" fillId="41" borderId="100" xfId="0" applyFont="1" applyFill="1" applyBorder="1" applyAlignment="1">
      <alignment horizontal="left" vertical="center" wrapText="1" indent="1"/>
    </xf>
    <xf numFmtId="0" fontId="45" fillId="41" borderId="0" xfId="0" applyFont="1" applyFill="1" applyBorder="1" applyAlignment="1">
      <alignment horizontal="left" vertical="center" wrapText="1" indent="1"/>
    </xf>
    <xf numFmtId="0" fontId="45" fillId="41" borderId="102" xfId="0" applyFont="1" applyFill="1" applyBorder="1" applyAlignment="1">
      <alignment horizontal="left" vertical="center" wrapText="1" indent="1"/>
    </xf>
    <xf numFmtId="0" fontId="57" fillId="68" borderId="127" xfId="0" applyFont="1" applyFill="1" applyBorder="1" applyAlignment="1">
      <alignment horizontal="left" vertical="center" wrapText="1"/>
    </xf>
    <xf numFmtId="0" fontId="57" fillId="68" borderId="128" xfId="0" applyFont="1" applyFill="1" applyBorder="1" applyAlignment="1">
      <alignment horizontal="left" vertical="center" wrapText="1"/>
    </xf>
    <xf numFmtId="0" fontId="41" fillId="8" borderId="92" xfId="0" applyFont="1" applyFill="1" applyBorder="1" applyAlignment="1">
      <alignment horizontal="left" vertical="center"/>
    </xf>
    <xf numFmtId="0" fontId="41" fillId="8" borderId="80" xfId="0" applyFont="1" applyFill="1" applyBorder="1" applyAlignment="1">
      <alignment horizontal="left" vertical="center"/>
    </xf>
    <xf numFmtId="0" fontId="41" fillId="8" borderId="93" xfId="0" applyFont="1" applyFill="1" applyBorder="1" applyAlignment="1">
      <alignment horizontal="left" vertical="center"/>
    </xf>
    <xf numFmtId="0" fontId="41" fillId="8" borderId="100" xfId="0" applyFont="1" applyFill="1" applyBorder="1" applyAlignment="1">
      <alignment horizontal="left" vertical="center"/>
    </xf>
    <xf numFmtId="0" fontId="41" fillId="8" borderId="0" xfId="0" applyFont="1" applyFill="1" applyBorder="1" applyAlignment="1">
      <alignment horizontal="left" vertical="center"/>
    </xf>
    <xf numFmtId="0" fontId="41" fillId="8" borderId="102" xfId="0" applyFont="1" applyFill="1" applyBorder="1" applyAlignment="1">
      <alignment horizontal="left" vertical="center"/>
    </xf>
    <xf numFmtId="0" fontId="41" fillId="8" borderId="104" xfId="0" applyFont="1" applyFill="1" applyBorder="1" applyAlignment="1">
      <alignment horizontal="left" vertical="center"/>
    </xf>
    <xf numFmtId="0" fontId="41" fillId="8" borderId="105" xfId="0" applyFont="1" applyFill="1" applyBorder="1" applyAlignment="1">
      <alignment horizontal="left" vertical="center"/>
    </xf>
    <xf numFmtId="0" fontId="41" fillId="8" borderId="106" xfId="0" applyFont="1" applyFill="1" applyBorder="1" applyAlignment="1">
      <alignment horizontal="left" vertical="center"/>
    </xf>
    <xf numFmtId="0" fontId="43" fillId="8" borderId="92" xfId="0" applyFont="1" applyFill="1" applyBorder="1" applyAlignment="1">
      <alignment horizontal="left" vertical="center"/>
    </xf>
    <xf numFmtId="0" fontId="43" fillId="8" borderId="80" xfId="0" applyFont="1" applyFill="1" applyBorder="1" applyAlignment="1">
      <alignment horizontal="left" vertical="center"/>
    </xf>
    <xf numFmtId="0" fontId="43" fillId="8" borderId="93" xfId="0" applyFont="1" applyFill="1" applyBorder="1" applyAlignment="1">
      <alignment horizontal="left" vertical="center"/>
    </xf>
    <xf numFmtId="0" fontId="43" fillId="8" borderId="100" xfId="0" applyFont="1" applyFill="1" applyBorder="1" applyAlignment="1">
      <alignment horizontal="left" vertical="center"/>
    </xf>
    <xf numFmtId="0" fontId="43" fillId="8" borderId="0" xfId="0" applyFont="1" applyFill="1" applyBorder="1" applyAlignment="1">
      <alignment horizontal="left" vertical="center"/>
    </xf>
    <xf numFmtId="0" fontId="43" fillId="8" borderId="102" xfId="0" applyFont="1" applyFill="1" applyBorder="1" applyAlignment="1">
      <alignment horizontal="left" vertical="center"/>
    </xf>
    <xf numFmtId="0" fontId="43" fillId="8" borderId="104" xfId="0" applyFont="1" applyFill="1" applyBorder="1" applyAlignment="1">
      <alignment horizontal="left" vertical="center"/>
    </xf>
    <xf numFmtId="0" fontId="43" fillId="8" borderId="105" xfId="0" applyFont="1" applyFill="1" applyBorder="1" applyAlignment="1">
      <alignment horizontal="left" vertical="center"/>
    </xf>
    <xf numFmtId="0" fontId="43" fillId="8" borderId="106" xfId="0" applyFont="1" applyFill="1" applyBorder="1" applyAlignment="1">
      <alignment horizontal="left" vertical="center"/>
    </xf>
    <xf numFmtId="0" fontId="43" fillId="8" borderId="92" xfId="0" applyFont="1" applyFill="1" applyBorder="1" applyAlignment="1">
      <alignment horizontal="left"/>
    </xf>
    <xf numFmtId="0" fontId="43" fillId="8" borderId="80" xfId="0" applyFont="1" applyFill="1" applyBorder="1" applyAlignment="1">
      <alignment horizontal="left"/>
    </xf>
    <xf numFmtId="0" fontId="43" fillId="8" borderId="93" xfId="0" applyFont="1" applyFill="1" applyBorder="1" applyAlignment="1">
      <alignment horizontal="left"/>
    </xf>
    <xf numFmtId="0" fontId="43" fillId="8" borderId="100" xfId="0" applyFont="1" applyFill="1" applyBorder="1" applyAlignment="1">
      <alignment horizontal="left"/>
    </xf>
    <xf numFmtId="0" fontId="43" fillId="8" borderId="0" xfId="0" applyFont="1" applyFill="1" applyBorder="1" applyAlignment="1">
      <alignment horizontal="left"/>
    </xf>
    <xf numFmtId="0" fontId="43" fillId="8" borderId="102" xfId="0" applyFont="1" applyFill="1" applyBorder="1" applyAlignment="1">
      <alignment horizontal="left"/>
    </xf>
    <xf numFmtId="0" fontId="43" fillId="8" borderId="104" xfId="0" applyFont="1" applyFill="1" applyBorder="1" applyAlignment="1">
      <alignment horizontal="left"/>
    </xf>
    <xf numFmtId="0" fontId="43" fillId="8" borderId="105" xfId="0" applyFont="1" applyFill="1" applyBorder="1" applyAlignment="1">
      <alignment horizontal="left"/>
    </xf>
    <xf numFmtId="0" fontId="43" fillId="8" borderId="106" xfId="0" applyFont="1" applyFill="1" applyBorder="1" applyAlignment="1">
      <alignment horizontal="left"/>
    </xf>
    <xf numFmtId="0" fontId="2" fillId="23" borderId="92" xfId="0" applyFont="1" applyFill="1" applyBorder="1" applyAlignment="1">
      <alignment horizontal="center" vertical="center"/>
    </xf>
    <xf numFmtId="0" fontId="2" fillId="23" borderId="93" xfId="0" applyFont="1" applyFill="1" applyBorder="1" applyAlignment="1">
      <alignment horizontal="center" vertical="center"/>
    </xf>
    <xf numFmtId="0" fontId="2" fillId="41" borderId="118" xfId="0" applyFont="1" applyFill="1" applyBorder="1" applyAlignment="1">
      <alignment horizontal="left" vertical="center" wrapText="1"/>
    </xf>
    <xf numFmtId="0" fontId="2" fillId="41" borderId="119" xfId="0" applyFont="1" applyFill="1" applyBorder="1" applyAlignment="1">
      <alignment horizontal="left" vertical="center" wrapText="1"/>
    </xf>
    <xf numFmtId="0" fontId="2" fillId="41" borderId="118" xfId="0" applyFont="1" applyFill="1" applyBorder="1" applyAlignment="1">
      <alignment horizontal="left"/>
    </xf>
    <xf numFmtId="0" fontId="2" fillId="41" borderId="119" xfId="0" applyFont="1" applyFill="1" applyBorder="1" applyAlignment="1">
      <alignment horizontal="left"/>
    </xf>
    <xf numFmtId="0" fontId="2" fillId="41" borderId="121" xfId="0" applyFont="1" applyFill="1" applyBorder="1" applyAlignment="1">
      <alignment horizontal="left" vertical="center" wrapText="1"/>
    </xf>
    <xf numFmtId="0" fontId="2" fillId="41" borderId="122" xfId="0" applyFont="1" applyFill="1" applyBorder="1" applyAlignment="1">
      <alignment horizontal="left" vertical="center" wrapText="1"/>
    </xf>
    <xf numFmtId="0" fontId="0" fillId="41" borderId="0" xfId="0" applyFill="1" applyBorder="1" applyAlignment="1">
      <alignment horizontal="center"/>
    </xf>
    <xf numFmtId="0" fontId="2" fillId="41" borderId="110" xfId="0" applyFont="1" applyFill="1" applyBorder="1" applyAlignment="1">
      <alignment horizontal="left"/>
    </xf>
    <xf numFmtId="0" fontId="2" fillId="41" borderId="110" xfId="0" applyFont="1" applyFill="1" applyBorder="1" applyAlignment="1">
      <alignment horizontal="left" wrapText="1"/>
    </xf>
    <xf numFmtId="0" fontId="2" fillId="41" borderId="119" xfId="0" applyFont="1" applyFill="1" applyBorder="1" applyAlignment="1">
      <alignment horizontal="left" wrapText="1"/>
    </xf>
    <xf numFmtId="0" fontId="0" fillId="0" borderId="101" xfId="0" applyBorder="1" applyAlignment="1">
      <alignment horizontal="center"/>
    </xf>
    <xf numFmtId="0" fontId="0" fillId="0" borderId="108" xfId="0" applyBorder="1" applyAlignment="1">
      <alignment horizontal="center"/>
    </xf>
    <xf numFmtId="0" fontId="2" fillId="41" borderId="113" xfId="0" applyFont="1" applyFill="1" applyBorder="1" applyAlignment="1">
      <alignment horizontal="left" wrapText="1"/>
    </xf>
    <xf numFmtId="0" fontId="2" fillId="41" borderId="123" xfId="0" applyFont="1" applyFill="1" applyBorder="1" applyAlignment="1">
      <alignment horizontal="left" wrapText="1"/>
    </xf>
    <xf numFmtId="0" fontId="2" fillId="20" borderId="127" xfId="0" applyFont="1" applyFill="1" applyBorder="1" applyAlignment="1"/>
    <xf numFmtId="0" fontId="2" fillId="20" borderId="128" xfId="0" applyFont="1" applyFill="1" applyBorder="1" applyAlignment="1"/>
    <xf numFmtId="0" fontId="0" fillId="20" borderId="0" xfId="0" applyFill="1" applyBorder="1" applyAlignment="1">
      <alignment horizontal="center"/>
    </xf>
    <xf numFmtId="0" fontId="2" fillId="20" borderId="124" xfId="0" applyFont="1" applyFill="1" applyBorder="1" applyAlignment="1">
      <alignment wrapText="1"/>
    </xf>
    <xf numFmtId="0" fontId="2" fillId="20" borderId="125" xfId="0" applyFont="1" applyFill="1" applyBorder="1" applyAlignment="1">
      <alignment wrapText="1"/>
    </xf>
    <xf numFmtId="0" fontId="2" fillId="20" borderId="130" xfId="0" applyFont="1" applyFill="1" applyBorder="1" applyAlignment="1"/>
    <xf numFmtId="0" fontId="2" fillId="20" borderId="131" xfId="0" applyFont="1" applyFill="1" applyBorder="1" applyAlignment="1"/>
    <xf numFmtId="0" fontId="2" fillId="20" borderId="127" xfId="0" applyFont="1" applyFill="1" applyBorder="1" applyAlignment="1">
      <alignment wrapText="1"/>
    </xf>
    <xf numFmtId="0" fontId="2" fillId="20" borderId="128" xfId="0" applyFont="1" applyFill="1" applyBorder="1" applyAlignment="1">
      <alignment wrapText="1"/>
    </xf>
    <xf numFmtId="0" fontId="0" fillId="0" borderId="87" xfId="0" applyBorder="1" applyAlignment="1">
      <alignment horizontal="center" vertical="center"/>
    </xf>
    <xf numFmtId="0" fontId="0" fillId="20" borderId="133" xfId="0" applyFill="1" applyBorder="1" applyAlignment="1">
      <alignment horizontal="center"/>
    </xf>
    <xf numFmtId="0" fontId="0" fillId="20" borderId="134" xfId="0" applyFill="1" applyBorder="1" applyAlignment="1">
      <alignment horizontal="center"/>
    </xf>
    <xf numFmtId="0" fontId="0" fillId="0" borderId="110" xfId="0" applyBorder="1" applyAlignment="1">
      <alignment horizontal="center" vertical="center"/>
    </xf>
    <xf numFmtId="0" fontId="0" fillId="0" borderId="120" xfId="0" applyBorder="1" applyAlignment="1">
      <alignment horizontal="center" vertical="center"/>
    </xf>
    <xf numFmtId="0" fontId="0" fillId="0" borderId="110" xfId="0" applyBorder="1" applyAlignment="1">
      <alignment horizontal="center"/>
    </xf>
    <xf numFmtId="0" fontId="0" fillId="0" borderId="120" xfId="0" applyBorder="1" applyAlignment="1">
      <alignment horizontal="center"/>
    </xf>
    <xf numFmtId="0" fontId="52" fillId="73" borderId="19" xfId="0" applyFont="1" applyFill="1" applyBorder="1" applyAlignment="1">
      <alignment horizontal="center"/>
    </xf>
    <xf numFmtId="0" fontId="52" fillId="73" borderId="61" xfId="0" applyFont="1" applyFill="1" applyBorder="1" applyAlignment="1">
      <alignment horizontal="center"/>
    </xf>
    <xf numFmtId="0" fontId="52" fillId="73" borderId="20" xfId="0" applyFont="1" applyFill="1" applyBorder="1" applyAlignment="1">
      <alignment horizontal="center"/>
    </xf>
    <xf numFmtId="0" fontId="18" fillId="42" borderId="25" xfId="0" applyFont="1" applyFill="1" applyBorder="1" applyAlignment="1">
      <alignment horizontal="center" vertical="center"/>
    </xf>
    <xf numFmtId="0" fontId="18" fillId="42" borderId="26" xfId="0" applyFont="1" applyFill="1" applyBorder="1" applyAlignment="1">
      <alignment horizontal="center" vertical="center"/>
    </xf>
    <xf numFmtId="0" fontId="18" fillId="42" borderId="58" xfId="0" applyFont="1" applyFill="1" applyBorder="1" applyAlignment="1">
      <alignment horizontal="center" vertical="center"/>
    </xf>
    <xf numFmtId="0" fontId="3" fillId="54" borderId="25" xfId="0" applyFont="1" applyFill="1" applyBorder="1" applyAlignment="1">
      <alignment horizontal="center" vertical="center"/>
    </xf>
    <xf numFmtId="0" fontId="3" fillId="54" borderId="26" xfId="0" applyFont="1" applyFill="1" applyBorder="1" applyAlignment="1">
      <alignment horizontal="center" vertical="center"/>
    </xf>
    <xf numFmtId="0" fontId="3" fillId="54" borderId="58" xfId="0" applyFont="1" applyFill="1" applyBorder="1" applyAlignment="1">
      <alignment horizontal="center" vertical="center"/>
    </xf>
    <xf numFmtId="0" fontId="26" fillId="54" borderId="20" xfId="0" applyFont="1" applyFill="1" applyBorder="1" applyAlignment="1">
      <alignment horizontal="center" vertical="center"/>
    </xf>
    <xf numFmtId="0" fontId="26" fillId="54" borderId="22" xfId="0" applyFont="1" applyFill="1" applyBorder="1" applyAlignment="1">
      <alignment horizontal="center" vertical="center"/>
    </xf>
    <xf numFmtId="0" fontId="26" fillId="54" borderId="56" xfId="0" applyFont="1" applyFill="1" applyBorder="1" applyAlignment="1">
      <alignment horizontal="center" vertical="center"/>
    </xf>
    <xf numFmtId="0" fontId="26" fillId="54" borderId="25" xfId="0" applyFont="1" applyFill="1" applyBorder="1" applyAlignment="1">
      <alignment horizontal="center" vertical="center"/>
    </xf>
    <xf numFmtId="0" fontId="26" fillId="54" borderId="26" xfId="0" applyFont="1" applyFill="1" applyBorder="1" applyAlignment="1">
      <alignment horizontal="center" vertical="center"/>
    </xf>
    <xf numFmtId="0" fontId="26" fillId="54" borderId="58" xfId="0" applyFont="1" applyFill="1" applyBorder="1" applyAlignment="1">
      <alignment horizontal="center" vertical="center"/>
    </xf>
    <xf numFmtId="0" fontId="18" fillId="54" borderId="25" xfId="0" applyFont="1" applyFill="1" applyBorder="1" applyAlignment="1">
      <alignment horizontal="center"/>
    </xf>
    <xf numFmtId="0" fontId="18" fillId="54" borderId="26" xfId="0" applyFont="1" applyFill="1" applyBorder="1" applyAlignment="1">
      <alignment horizontal="center"/>
    </xf>
    <xf numFmtId="0" fontId="18" fillId="54" borderId="58" xfId="0" applyFont="1" applyFill="1" applyBorder="1" applyAlignment="1">
      <alignment horizontal="center"/>
    </xf>
    <xf numFmtId="0" fontId="18" fillId="54" borderId="25" xfId="0" applyFont="1" applyFill="1" applyBorder="1" applyAlignment="1">
      <alignment horizontal="left" vertical="center" wrapText="1"/>
    </xf>
    <xf numFmtId="0" fontId="18" fillId="54" borderId="26" xfId="0" applyFont="1" applyFill="1" applyBorder="1" applyAlignment="1">
      <alignment horizontal="left" vertical="center" wrapText="1"/>
    </xf>
    <xf numFmtId="0" fontId="18" fillId="54" borderId="58" xfId="0" applyFont="1" applyFill="1" applyBorder="1" applyAlignment="1">
      <alignment horizontal="left" vertical="center" wrapText="1"/>
    </xf>
    <xf numFmtId="0" fontId="52" fillId="56" borderId="19" xfId="0" applyFont="1" applyFill="1" applyBorder="1" applyAlignment="1">
      <alignment horizontal="center"/>
    </xf>
    <xf numFmtId="0" fontId="52" fillId="56" borderId="61" xfId="0" applyFont="1" applyFill="1" applyBorder="1" applyAlignment="1">
      <alignment horizontal="center"/>
    </xf>
    <xf numFmtId="0" fontId="52" fillId="56" borderId="20" xfId="0" applyFont="1" applyFill="1" applyBorder="1" applyAlignment="1">
      <alignment horizontal="center"/>
    </xf>
    <xf numFmtId="0" fontId="3" fillId="7" borderId="25" xfId="0" applyFont="1" applyFill="1" applyBorder="1" applyAlignment="1">
      <alignment horizontal="center" vertical="center"/>
    </xf>
    <xf numFmtId="0" fontId="3" fillId="7" borderId="26" xfId="0" applyFont="1" applyFill="1" applyBorder="1" applyAlignment="1">
      <alignment horizontal="center" vertical="center"/>
    </xf>
    <xf numFmtId="0" fontId="3" fillId="7" borderId="58" xfId="0" applyFont="1" applyFill="1" applyBorder="1" applyAlignment="1">
      <alignment horizontal="center" vertical="center"/>
    </xf>
    <xf numFmtId="0" fontId="18" fillId="7" borderId="25" xfId="0" applyFont="1" applyFill="1" applyBorder="1" applyAlignment="1">
      <alignment horizontal="left" vertical="center" wrapText="1"/>
    </xf>
    <xf numFmtId="0" fontId="18" fillId="7" borderId="26" xfId="0" applyFont="1" applyFill="1" applyBorder="1" applyAlignment="1">
      <alignment horizontal="left" vertical="center" wrapText="1"/>
    </xf>
    <xf numFmtId="0" fontId="18" fillId="7" borderId="58" xfId="0" applyFont="1" applyFill="1" applyBorder="1" applyAlignment="1">
      <alignment horizontal="left" vertical="center" wrapText="1"/>
    </xf>
    <xf numFmtId="0" fontId="18" fillId="7" borderId="25" xfId="0" applyFont="1" applyFill="1" applyBorder="1" applyAlignment="1">
      <alignment horizontal="center" vertical="center"/>
    </xf>
    <xf numFmtId="0" fontId="18" fillId="7" borderId="58" xfId="0" applyFont="1" applyFill="1" applyBorder="1" applyAlignment="1">
      <alignment horizontal="center" vertical="center"/>
    </xf>
    <xf numFmtId="0" fontId="18" fillId="7" borderId="26" xfId="0" applyFont="1" applyFill="1" applyBorder="1" applyAlignment="1">
      <alignment horizontal="center" vertical="center"/>
    </xf>
    <xf numFmtId="0" fontId="18" fillId="9" borderId="25" xfId="0" applyFont="1" applyFill="1" applyBorder="1" applyAlignment="1">
      <alignment horizontal="left" vertical="center" wrapText="1"/>
    </xf>
    <xf numFmtId="0" fontId="18" fillId="9" borderId="58" xfId="0" applyFont="1" applyFill="1" applyBorder="1" applyAlignment="1">
      <alignment horizontal="left" vertical="center" wrapText="1"/>
    </xf>
    <xf numFmtId="0" fontId="3" fillId="23" borderId="25" xfId="0" applyFont="1" applyFill="1" applyBorder="1" applyAlignment="1">
      <alignment horizontal="center" vertical="center"/>
    </xf>
    <xf numFmtId="0" fontId="3" fillId="23" borderId="26" xfId="0" applyFont="1" applyFill="1" applyBorder="1" applyAlignment="1">
      <alignment horizontal="center" vertical="center"/>
    </xf>
    <xf numFmtId="0" fontId="3" fillId="23" borderId="58" xfId="0" applyFont="1" applyFill="1" applyBorder="1" applyAlignment="1">
      <alignment horizontal="center" vertical="center"/>
    </xf>
    <xf numFmtId="0" fontId="52" fillId="57" borderId="19" xfId="0" applyFont="1" applyFill="1" applyBorder="1" applyAlignment="1">
      <alignment horizontal="center"/>
    </xf>
    <xf numFmtId="0" fontId="52" fillId="57" borderId="61" xfId="0" applyFont="1" applyFill="1" applyBorder="1" applyAlignment="1">
      <alignment horizontal="center"/>
    </xf>
    <xf numFmtId="0" fontId="52" fillId="57" borderId="20" xfId="0" applyFont="1" applyFill="1" applyBorder="1" applyAlignment="1">
      <alignment horizontal="center"/>
    </xf>
    <xf numFmtId="0" fontId="18" fillId="23" borderId="25" xfId="0" applyFont="1" applyFill="1" applyBorder="1" applyAlignment="1">
      <alignment horizontal="center" vertical="center"/>
    </xf>
    <xf numFmtId="0" fontId="18" fillId="23" borderId="26" xfId="0" applyFont="1" applyFill="1" applyBorder="1" applyAlignment="1">
      <alignment horizontal="center" vertical="center"/>
    </xf>
    <xf numFmtId="0" fontId="18" fillId="23" borderId="58" xfId="0" applyFont="1" applyFill="1" applyBorder="1" applyAlignment="1">
      <alignment horizontal="center" vertical="center"/>
    </xf>
    <xf numFmtId="0" fontId="18" fillId="23" borderId="25" xfId="0" applyFont="1" applyFill="1" applyBorder="1" applyAlignment="1">
      <alignment horizontal="left" vertical="center" wrapText="1"/>
    </xf>
    <xf numFmtId="0" fontId="18" fillId="23" borderId="26" xfId="0" applyFont="1" applyFill="1" applyBorder="1" applyAlignment="1">
      <alignment horizontal="left" vertical="center" wrapText="1"/>
    </xf>
    <xf numFmtId="0" fontId="18" fillId="23" borderId="58" xfId="0" applyFont="1" applyFill="1" applyBorder="1" applyAlignment="1">
      <alignment horizontal="left" vertical="center" wrapText="1"/>
    </xf>
    <xf numFmtId="0" fontId="52" fillId="35" borderId="19" xfId="0" applyFont="1" applyFill="1" applyBorder="1" applyAlignment="1">
      <alignment horizontal="center"/>
    </xf>
    <xf numFmtId="0" fontId="52" fillId="35" borderId="61" xfId="0" applyFont="1" applyFill="1" applyBorder="1" applyAlignment="1">
      <alignment horizontal="center"/>
    </xf>
    <xf numFmtId="0" fontId="52" fillId="35" borderId="20" xfId="0" applyFont="1" applyFill="1" applyBorder="1" applyAlignment="1">
      <alignment horizontal="center"/>
    </xf>
    <xf numFmtId="0" fontId="3" fillId="58" borderId="25" xfId="0" applyFont="1" applyFill="1" applyBorder="1" applyAlignment="1">
      <alignment horizontal="center" vertical="center"/>
    </xf>
    <xf numFmtId="0" fontId="3" fillId="58" borderId="26" xfId="0" applyFont="1" applyFill="1" applyBorder="1" applyAlignment="1">
      <alignment horizontal="center" vertical="center"/>
    </xf>
    <xf numFmtId="0" fontId="3" fillId="58" borderId="58" xfId="0" applyFont="1" applyFill="1" applyBorder="1" applyAlignment="1">
      <alignment horizontal="center" vertical="center"/>
    </xf>
    <xf numFmtId="0" fontId="18" fillId="58" borderId="25" xfId="0" applyFont="1" applyFill="1" applyBorder="1" applyAlignment="1">
      <alignment horizontal="left" vertical="center" wrapText="1"/>
    </xf>
    <xf numFmtId="0" fontId="18" fillId="58" borderId="26" xfId="0" applyFont="1" applyFill="1" applyBorder="1" applyAlignment="1">
      <alignment horizontal="left" vertical="center" wrapText="1"/>
    </xf>
    <xf numFmtId="0" fontId="18" fillId="58" borderId="58" xfId="0" applyFont="1" applyFill="1" applyBorder="1" applyAlignment="1">
      <alignment horizontal="left" vertical="center" wrapText="1"/>
    </xf>
    <xf numFmtId="0" fontId="18" fillId="58" borderId="25" xfId="0" applyFont="1" applyFill="1" applyBorder="1" applyAlignment="1">
      <alignment horizontal="center" vertical="center"/>
    </xf>
    <xf numFmtId="0" fontId="18" fillId="58" borderId="58" xfId="0" applyFont="1" applyFill="1" applyBorder="1" applyAlignment="1">
      <alignment horizontal="center" vertical="center"/>
    </xf>
    <xf numFmtId="0" fontId="18" fillId="58" borderId="26" xfId="0" applyFont="1" applyFill="1" applyBorder="1" applyAlignment="1">
      <alignment horizontal="center" vertical="center"/>
    </xf>
    <xf numFmtId="0" fontId="52" fillId="51" borderId="19" xfId="0" applyFont="1" applyFill="1" applyBorder="1" applyAlignment="1">
      <alignment horizontal="center"/>
    </xf>
    <xf numFmtId="0" fontId="52" fillId="51" borderId="61" xfId="0" applyFont="1" applyFill="1" applyBorder="1" applyAlignment="1">
      <alignment horizontal="center"/>
    </xf>
    <xf numFmtId="0" fontId="52" fillId="51" borderId="20" xfId="0" applyFont="1" applyFill="1" applyBorder="1" applyAlignment="1">
      <alignment horizontal="center"/>
    </xf>
    <xf numFmtId="0" fontId="52" fillId="63" borderId="19" xfId="0" applyFont="1" applyFill="1" applyBorder="1" applyAlignment="1">
      <alignment horizontal="center"/>
    </xf>
    <xf numFmtId="0" fontId="52" fillId="63" borderId="61" xfId="0" applyFont="1" applyFill="1" applyBorder="1" applyAlignment="1">
      <alignment horizontal="center"/>
    </xf>
    <xf numFmtId="0" fontId="52" fillId="63" borderId="20" xfId="0" applyFont="1" applyFill="1" applyBorder="1" applyAlignment="1">
      <alignment horizontal="center"/>
    </xf>
    <xf numFmtId="0" fontId="52" fillId="53" borderId="19" xfId="0" applyFont="1" applyFill="1" applyBorder="1" applyAlignment="1">
      <alignment horizontal="center"/>
    </xf>
    <xf numFmtId="0" fontId="52" fillId="53" borderId="61" xfId="0" applyFont="1" applyFill="1" applyBorder="1" applyAlignment="1">
      <alignment horizontal="center"/>
    </xf>
    <xf numFmtId="0" fontId="52" fillId="53" borderId="20" xfId="0" applyFont="1" applyFill="1" applyBorder="1" applyAlignment="1">
      <alignment horizontal="center"/>
    </xf>
    <xf numFmtId="0" fontId="18" fillId="66" borderId="25" xfId="0" applyFont="1" applyFill="1" applyBorder="1" applyAlignment="1">
      <alignment horizontal="left" vertical="center"/>
    </xf>
    <xf numFmtId="0" fontId="18" fillId="66" borderId="58" xfId="0" applyFont="1" applyFill="1" applyBorder="1" applyAlignment="1">
      <alignment horizontal="left" vertical="center"/>
    </xf>
    <xf numFmtId="0" fontId="3" fillId="66" borderId="25" xfId="0" applyFont="1" applyFill="1" applyBorder="1" applyAlignment="1">
      <alignment horizontal="center" vertical="center"/>
    </xf>
    <xf numFmtId="0" fontId="3" fillId="66" borderId="58" xfId="0" applyFont="1" applyFill="1" applyBorder="1" applyAlignment="1">
      <alignment horizontal="center" vertical="center"/>
    </xf>
    <xf numFmtId="0" fontId="18" fillId="66" borderId="25" xfId="0" applyFont="1" applyFill="1" applyBorder="1" applyAlignment="1">
      <alignment horizontal="center" vertical="center"/>
    </xf>
    <xf numFmtId="0" fontId="18" fillId="66" borderId="58" xfId="0" applyFont="1" applyFill="1" applyBorder="1" applyAlignment="1">
      <alignment horizontal="center" vertical="center"/>
    </xf>
    <xf numFmtId="0" fontId="3" fillId="0" borderId="18" xfId="0" applyFont="1" applyBorder="1" applyAlignment="1">
      <alignment horizontal="center" vertical="top" wrapText="1"/>
    </xf>
    <xf numFmtId="0" fontId="3" fillId="0" borderId="18" xfId="0" applyFont="1" applyBorder="1" applyAlignment="1">
      <alignment vertical="top"/>
    </xf>
    <xf numFmtId="0" fontId="3" fillId="0" borderId="18" xfId="0" applyFont="1" applyBorder="1" applyAlignment="1">
      <alignment horizontal="center" vertical="top"/>
    </xf>
    <xf numFmtId="0" fontId="0" fillId="0" borderId="18" xfId="0" applyBorder="1" applyAlignment="1">
      <alignment horizontal="center" vertical="center" wrapText="1"/>
    </xf>
    <xf numFmtId="0" fontId="3" fillId="0" borderId="18" xfId="0" applyFont="1" applyBorder="1" applyAlignment="1">
      <alignment horizontal="left" vertical="center" wrapText="1"/>
    </xf>
    <xf numFmtId="0" fontId="0" fillId="0" borderId="25" xfId="0" applyBorder="1" applyAlignment="1">
      <alignment horizontal="left" wrapText="1"/>
    </xf>
    <xf numFmtId="0" fontId="0" fillId="0" borderId="26" xfId="0" applyBorder="1" applyAlignment="1">
      <alignment horizontal="left"/>
    </xf>
    <xf numFmtId="0" fontId="0" fillId="0" borderId="58" xfId="0" applyBorder="1" applyAlignment="1">
      <alignment horizontal="left"/>
    </xf>
    <xf numFmtId="0" fontId="3" fillId="2" borderId="2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58" xfId="0" applyFont="1" applyBorder="1" applyAlignment="1">
      <alignment horizontal="left" vertical="center" wrapText="1"/>
    </xf>
    <xf numFmtId="0" fontId="3" fillId="2" borderId="2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24" xfId="0" applyFont="1" applyFill="1" applyBorder="1" applyAlignment="1">
      <alignment horizontal="center" vertical="center"/>
    </xf>
    <xf numFmtId="0" fontId="3" fillId="0" borderId="18" xfId="0" applyFont="1" applyBorder="1" applyAlignment="1">
      <alignment vertical="top" wrapText="1"/>
    </xf>
    <xf numFmtId="0" fontId="3" fillId="0" borderId="25" xfId="0" applyFont="1" applyBorder="1" applyAlignment="1">
      <alignment horizontal="left" vertical="center"/>
    </xf>
    <xf numFmtId="0" fontId="3" fillId="0" borderId="26" xfId="0" applyFont="1" applyBorder="1" applyAlignment="1">
      <alignment horizontal="left" vertical="center"/>
    </xf>
    <xf numFmtId="0" fontId="3" fillId="0" borderId="58" xfId="0" applyFont="1" applyBorder="1" applyAlignment="1">
      <alignment horizontal="left" vertical="center"/>
    </xf>
    <xf numFmtId="0" fontId="3" fillId="0" borderId="25" xfId="0" applyFont="1" applyBorder="1" applyAlignment="1">
      <alignment vertical="top" wrapText="1"/>
    </xf>
    <xf numFmtId="0" fontId="3" fillId="0" borderId="58" xfId="0" applyFont="1" applyBorder="1" applyAlignment="1">
      <alignment vertical="top" wrapText="1"/>
    </xf>
    <xf numFmtId="0" fontId="3" fillId="0" borderId="25" xfId="0" applyFont="1" applyBorder="1" applyAlignment="1">
      <alignment horizontal="center" vertical="top"/>
    </xf>
    <xf numFmtId="0" fontId="3" fillId="0" borderId="58" xfId="0" applyFont="1" applyBorder="1" applyAlignment="1">
      <alignment horizontal="center" vertical="top"/>
    </xf>
    <xf numFmtId="0" fontId="3" fillId="0" borderId="25" xfId="0" applyFont="1" applyBorder="1" applyAlignment="1">
      <alignment horizontal="center" vertical="top" wrapText="1"/>
    </xf>
    <xf numFmtId="0" fontId="3" fillId="0" borderId="58" xfId="0" applyFont="1" applyBorder="1" applyAlignment="1">
      <alignment horizontal="center" vertical="top" wrapText="1"/>
    </xf>
    <xf numFmtId="0" fontId="3" fillId="9" borderId="25" xfId="0" applyFont="1" applyFill="1" applyBorder="1" applyAlignment="1">
      <alignment horizontal="left" vertical="center" wrapText="1"/>
    </xf>
    <xf numFmtId="0" fontId="3" fillId="9" borderId="26" xfId="0" applyFont="1" applyFill="1" applyBorder="1" applyAlignment="1">
      <alignment horizontal="left" vertical="center" wrapText="1"/>
    </xf>
    <xf numFmtId="0" fontId="3" fillId="9" borderId="58" xfId="0" applyFont="1" applyFill="1" applyBorder="1" applyAlignment="1">
      <alignment horizontal="left" vertical="center" wrapText="1"/>
    </xf>
    <xf numFmtId="0" fontId="0" fillId="9" borderId="25" xfId="0" applyFill="1" applyBorder="1" applyAlignment="1">
      <alignment horizontal="center" vertical="center" wrapText="1"/>
    </xf>
    <xf numFmtId="0" fontId="0" fillId="9" borderId="26" xfId="0" applyFill="1" applyBorder="1" applyAlignment="1">
      <alignment horizontal="center" vertical="center" wrapText="1"/>
    </xf>
    <xf numFmtId="0" fontId="0" fillId="9" borderId="58" xfId="0" applyFill="1" applyBorder="1" applyAlignment="1">
      <alignment horizontal="center" vertical="center" wrapText="1"/>
    </xf>
    <xf numFmtId="0" fontId="2" fillId="0" borderId="21" xfId="0" applyFont="1" applyBorder="1" applyAlignment="1">
      <alignment horizontal="left" vertical="center"/>
    </xf>
    <xf numFmtId="0" fontId="2" fillId="0" borderId="0" xfId="0" applyFont="1" applyAlignment="1">
      <alignment horizontal="left" vertical="center"/>
    </xf>
    <xf numFmtId="0" fontId="2" fillId="0" borderId="22" xfId="0" applyFont="1" applyBorder="1" applyAlignment="1">
      <alignment horizontal="left" vertical="center"/>
    </xf>
    <xf numFmtId="0" fontId="2" fillId="0" borderId="19" xfId="0" applyFont="1" applyBorder="1" applyAlignment="1">
      <alignment horizontal="left" vertical="center" wrapText="1"/>
    </xf>
    <xf numFmtId="0" fontId="2" fillId="0" borderId="61"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2" fillId="0" borderId="0" xfId="0" applyFont="1" applyAlignment="1">
      <alignment horizontal="left" vertical="center" wrapText="1"/>
    </xf>
    <xf numFmtId="0" fontId="2" fillId="0" borderId="22" xfId="0" applyFont="1" applyBorder="1" applyAlignment="1">
      <alignment horizontal="left" vertical="center" wrapText="1"/>
    </xf>
    <xf numFmtId="0" fontId="0" fillId="0" borderId="19" xfId="0" applyBorder="1" applyAlignment="1">
      <alignment horizontal="center" wrapText="1"/>
    </xf>
    <xf numFmtId="0" fontId="0" fillId="0" borderId="61" xfId="0" applyBorder="1" applyAlignment="1">
      <alignment horizontal="center" wrapText="1"/>
    </xf>
    <xf numFmtId="0" fontId="0" fillId="0" borderId="20" xfId="0" applyBorder="1" applyAlignment="1">
      <alignment horizontal="center" wrapText="1"/>
    </xf>
    <xf numFmtId="0" fontId="0" fillId="0" borderId="62" xfId="0" applyBorder="1" applyAlignment="1">
      <alignment horizontal="center" wrapText="1"/>
    </xf>
    <xf numFmtId="0" fontId="0" fillId="0" borderId="57" xfId="0" applyBorder="1" applyAlignment="1">
      <alignment horizontal="center" wrapText="1"/>
    </xf>
    <xf numFmtId="0" fontId="0" fillId="0" borderId="56" xfId="0" applyBorder="1" applyAlignment="1">
      <alignment horizontal="center" wrapText="1"/>
    </xf>
    <xf numFmtId="0" fontId="3" fillId="0" borderId="16" xfId="0" applyFont="1" applyBorder="1" applyAlignment="1">
      <alignment horizontal="left" vertical="center" wrapText="1"/>
    </xf>
    <xf numFmtId="0" fontId="3" fillId="0" borderId="54" xfId="0" applyFont="1" applyBorder="1" applyAlignment="1">
      <alignment vertical="top"/>
    </xf>
    <xf numFmtId="0" fontId="3" fillId="0" borderId="51" xfId="0" applyFont="1" applyBorder="1" applyAlignment="1">
      <alignment vertical="top"/>
    </xf>
    <xf numFmtId="0" fontId="3" fillId="0" borderId="70" xfId="0" applyFont="1" applyBorder="1" applyAlignment="1">
      <alignment horizontal="left" vertical="center" wrapText="1"/>
    </xf>
    <xf numFmtId="0" fontId="3" fillId="0" borderId="28" xfId="0" applyFont="1" applyBorder="1" applyAlignment="1">
      <alignment horizontal="center" vertical="top"/>
    </xf>
    <xf numFmtId="0" fontId="3" fillId="0" borderId="29" xfId="0" applyFont="1" applyBorder="1" applyAlignment="1">
      <alignment horizontal="center" vertical="top"/>
    </xf>
    <xf numFmtId="0" fontId="3" fillId="0" borderId="28" xfId="0" applyFont="1" applyBorder="1" applyAlignment="1">
      <alignment horizontal="center" vertical="top" wrapText="1"/>
    </xf>
    <xf numFmtId="0" fontId="3" fillId="0" borderId="29" xfId="0" applyFont="1" applyBorder="1" applyAlignment="1">
      <alignment horizontal="center" vertical="top" wrapText="1"/>
    </xf>
    <xf numFmtId="0" fontId="0" fillId="0" borderId="23" xfId="0" applyBorder="1" applyAlignment="1">
      <alignment horizontal="center" wrapText="1"/>
    </xf>
    <xf numFmtId="0" fontId="0" fillId="0" borderId="24" xfId="0" applyBorder="1" applyAlignment="1">
      <alignment horizontal="center" wrapText="1"/>
    </xf>
    <xf numFmtId="0" fontId="3" fillId="0" borderId="75" xfId="0" applyFont="1" applyBorder="1" applyAlignment="1">
      <alignment horizontal="center" vertical="top" wrapText="1"/>
    </xf>
    <xf numFmtId="0" fontId="3" fillId="0" borderId="73" xfId="0" applyFont="1" applyBorder="1" applyAlignment="1">
      <alignment horizontal="center" vertical="top" wrapText="1"/>
    </xf>
    <xf numFmtId="0" fontId="3" fillId="0" borderId="12" xfId="0" applyFont="1" applyBorder="1" applyAlignment="1">
      <alignment horizontal="left" vertical="center" wrapText="1"/>
    </xf>
    <xf numFmtId="0" fontId="3" fillId="0" borderId="44" xfId="0" applyFont="1" applyBorder="1" applyAlignment="1">
      <alignment horizontal="left" vertical="center" wrapText="1"/>
    </xf>
    <xf numFmtId="0" fontId="3" fillId="0" borderId="46" xfId="0" applyFont="1" applyBorder="1" applyAlignment="1">
      <alignment horizontal="left" vertical="center" wrapText="1"/>
    </xf>
    <xf numFmtId="0" fontId="3" fillId="0" borderId="33" xfId="0" applyFont="1" applyBorder="1" applyAlignment="1">
      <alignment horizontal="left" vertical="center" wrapText="1"/>
    </xf>
    <xf numFmtId="0" fontId="3" fillId="0" borderId="71" xfId="0" applyFont="1" applyBorder="1" applyAlignment="1">
      <alignment horizontal="left" vertical="center" wrapText="1"/>
    </xf>
    <xf numFmtId="0" fontId="3" fillId="0" borderId="71" xfId="0" applyFont="1" applyBorder="1" applyAlignment="1">
      <alignment vertical="center" wrapText="1"/>
    </xf>
    <xf numFmtId="0" fontId="3" fillId="0" borderId="42" xfId="0" applyFont="1" applyBorder="1" applyAlignment="1">
      <alignment vertical="center" wrapText="1"/>
    </xf>
    <xf numFmtId="0" fontId="3" fillId="8" borderId="16" xfId="0" applyFont="1" applyFill="1" applyBorder="1" applyAlignment="1">
      <alignment horizontal="left" vertical="center" wrapText="1"/>
    </xf>
    <xf numFmtId="0" fontId="3" fillId="8" borderId="12" xfId="0" applyFont="1" applyFill="1" applyBorder="1" applyAlignment="1">
      <alignment horizontal="left" vertical="center" wrapText="1"/>
    </xf>
    <xf numFmtId="0" fontId="3" fillId="0" borderId="42" xfId="0" applyFont="1" applyBorder="1" applyAlignment="1">
      <alignment horizontal="left" vertical="center" wrapText="1"/>
    </xf>
    <xf numFmtId="0" fontId="3" fillId="2" borderId="16"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8" borderId="42" xfId="0" applyFont="1" applyFill="1" applyBorder="1" applyAlignment="1">
      <alignment horizontal="left" vertical="center" wrapText="1"/>
    </xf>
    <xf numFmtId="0" fontId="3" fillId="8" borderId="43" xfId="0" applyFont="1" applyFill="1" applyBorder="1" applyAlignment="1">
      <alignment horizontal="left" vertical="center" wrapText="1"/>
    </xf>
    <xf numFmtId="0" fontId="3" fillId="0" borderId="67" xfId="0" applyFont="1" applyBorder="1" applyAlignment="1">
      <alignment vertical="center" wrapText="1"/>
    </xf>
    <xf numFmtId="0" fontId="3" fillId="0" borderId="9" xfId="0" applyFont="1" applyBorder="1" applyAlignment="1">
      <alignment vertical="center" wrapText="1"/>
    </xf>
    <xf numFmtId="0" fontId="3" fillId="0" borderId="63" xfId="0" applyFont="1" applyBorder="1" applyAlignment="1">
      <alignment vertical="center" wrapText="1"/>
    </xf>
    <xf numFmtId="0" fontId="3" fillId="2" borderId="0" xfId="0" applyFont="1" applyFill="1" applyAlignment="1">
      <alignment horizontal="left" vertical="center" wrapText="1"/>
    </xf>
    <xf numFmtId="0" fontId="3" fillId="2" borderId="57" xfId="0" applyFont="1" applyFill="1" applyBorder="1" applyAlignment="1">
      <alignment horizontal="left" vertical="center" wrapText="1"/>
    </xf>
    <xf numFmtId="0" fontId="3" fillId="2" borderId="63"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27" fillId="0" borderId="16" xfId="0" applyFont="1" applyBorder="1" applyAlignment="1">
      <alignment horizontal="left" vertical="center" wrapText="1"/>
    </xf>
    <xf numFmtId="0" fontId="27" fillId="0" borderId="67" xfId="0" applyFont="1" applyBorder="1" applyAlignment="1">
      <alignment horizontal="left" vertical="top" wrapText="1"/>
    </xf>
    <xf numFmtId="0" fontId="27" fillId="0" borderId="9" xfId="0" applyFont="1" applyBorder="1" applyAlignment="1">
      <alignment horizontal="left" vertical="top" wrapText="1"/>
    </xf>
    <xf numFmtId="0" fontId="27" fillId="0" borderId="63" xfId="0" applyFont="1" applyBorder="1" applyAlignment="1">
      <alignment horizontal="left" vertical="top" wrapText="1"/>
    </xf>
    <xf numFmtId="0" fontId="27" fillId="0" borderId="54" xfId="0" applyFont="1" applyBorder="1" applyAlignment="1">
      <alignment horizontal="center" vertical="top"/>
    </xf>
    <xf numFmtId="0" fontId="27" fillId="0" borderId="51" xfId="0" applyFont="1" applyBorder="1" applyAlignment="1">
      <alignment horizontal="center" vertical="top"/>
    </xf>
    <xf numFmtId="0" fontId="27" fillId="0" borderId="16" xfId="0" applyFont="1" applyBorder="1" applyAlignment="1">
      <alignment horizontal="left" vertical="center"/>
    </xf>
    <xf numFmtId="0" fontId="27" fillId="0" borderId="1" xfId="0" applyFont="1" applyBorder="1" applyAlignment="1">
      <alignment horizontal="left" vertical="center"/>
    </xf>
    <xf numFmtId="0" fontId="27" fillId="0" borderId="2" xfId="0" applyFont="1" applyBorder="1" applyAlignment="1">
      <alignment horizontal="left" vertical="center"/>
    </xf>
    <xf numFmtId="0" fontId="27" fillId="0" borderId="70" xfId="0" applyFont="1" applyBorder="1" applyAlignment="1">
      <alignment horizontal="left" vertical="center" wrapText="1"/>
    </xf>
    <xf numFmtId="0" fontId="27" fillId="0" borderId="28" xfId="0" applyFont="1" applyBorder="1" applyAlignment="1">
      <alignment horizontal="center" vertical="top"/>
    </xf>
    <xf numFmtId="0" fontId="27" fillId="0" borderId="29" xfId="0" applyFont="1" applyBorder="1" applyAlignment="1">
      <alignment horizontal="center" vertical="top"/>
    </xf>
    <xf numFmtId="0" fontId="27" fillId="0" borderId="28" xfId="0" applyFont="1" applyBorder="1" applyAlignment="1">
      <alignment horizontal="center" vertical="top" wrapText="1"/>
    </xf>
    <xf numFmtId="0" fontId="27" fillId="0" borderId="29" xfId="0" applyFont="1" applyBorder="1" applyAlignment="1">
      <alignment horizontal="center" vertical="top" wrapText="1"/>
    </xf>
    <xf numFmtId="0" fontId="30" fillId="0" borderId="23" xfId="0" applyFont="1" applyBorder="1" applyAlignment="1">
      <alignment horizontal="center" wrapText="1"/>
    </xf>
    <xf numFmtId="0" fontId="30" fillId="0" borderId="24" xfId="0" applyFont="1" applyBorder="1" applyAlignment="1">
      <alignment horizontal="center" wrapText="1"/>
    </xf>
    <xf numFmtId="0" fontId="27" fillId="0" borderId="12" xfId="0" applyFont="1" applyBorder="1" applyAlignment="1">
      <alignment horizontal="left" vertical="center"/>
    </xf>
    <xf numFmtId="0" fontId="27" fillId="0" borderId="70" xfId="0" applyFont="1" applyBorder="1" applyAlignment="1">
      <alignment horizontal="left" vertical="center"/>
    </xf>
    <xf numFmtId="0" fontId="27" fillId="0" borderId="75" xfId="0" applyFont="1" applyBorder="1" applyAlignment="1">
      <alignment horizontal="center" vertical="top" wrapText="1"/>
    </xf>
    <xf numFmtId="0" fontId="27" fillId="0" borderId="73" xfId="0" applyFont="1" applyBorder="1" applyAlignment="1">
      <alignment horizontal="center" vertical="top" wrapText="1"/>
    </xf>
    <xf numFmtId="0" fontId="27" fillId="0" borderId="12" xfId="0" applyFont="1" applyBorder="1" applyAlignment="1">
      <alignment horizontal="left" vertical="center" wrapText="1"/>
    </xf>
    <xf numFmtId="0" fontId="27" fillId="0" borderId="67" xfId="0" applyFont="1" applyBorder="1" applyAlignment="1">
      <alignment horizontal="left" vertical="center" wrapText="1"/>
    </xf>
    <xf numFmtId="0" fontId="27" fillId="0" borderId="9" xfId="0" applyFont="1" applyBorder="1" applyAlignment="1">
      <alignment horizontal="left" vertical="center" wrapText="1"/>
    </xf>
    <xf numFmtId="0" fontId="27" fillId="0" borderId="60" xfId="0" applyFont="1" applyBorder="1" applyAlignment="1">
      <alignment horizontal="left" vertical="center" wrapText="1"/>
    </xf>
    <xf numFmtId="0" fontId="27" fillId="0" borderId="30" xfId="0" applyFont="1" applyBorder="1" applyAlignment="1">
      <alignment horizontal="left" vertical="center" wrapText="1"/>
    </xf>
    <xf numFmtId="0" fontId="27" fillId="0" borderId="55" xfId="0" applyFont="1" applyBorder="1" applyAlignment="1">
      <alignment horizontal="left" vertical="center" wrapText="1"/>
    </xf>
    <xf numFmtId="0" fontId="27" fillId="0" borderId="63" xfId="0" applyFont="1" applyBorder="1" applyAlignment="1">
      <alignment horizontal="left" vertical="center" wrapText="1"/>
    </xf>
    <xf numFmtId="0" fontId="27" fillId="0" borderId="42" xfId="0" applyFont="1" applyBorder="1" applyAlignment="1">
      <alignment horizontal="left" vertical="center" wrapText="1"/>
    </xf>
    <xf numFmtId="0" fontId="27" fillId="0" borderId="43" xfId="0" applyFont="1" applyBorder="1" applyAlignment="1">
      <alignment horizontal="left" vertical="center" wrapText="1"/>
    </xf>
    <xf numFmtId="0" fontId="27" fillId="10" borderId="4" xfId="0" applyFont="1" applyFill="1" applyBorder="1" applyAlignment="1">
      <alignment horizontal="left" vertical="center" wrapText="1"/>
    </xf>
    <xf numFmtId="0" fontId="27" fillId="10" borderId="7" xfId="0" applyFont="1" applyFill="1" applyBorder="1" applyAlignment="1">
      <alignment horizontal="left" vertical="center" wrapText="1"/>
    </xf>
    <xf numFmtId="0" fontId="27" fillId="10" borderId="8" xfId="0" applyFont="1" applyFill="1" applyBorder="1" applyAlignment="1">
      <alignment horizontal="left" vertical="center" wrapText="1"/>
    </xf>
    <xf numFmtId="0" fontId="27" fillId="0" borderId="46" xfId="0" applyFont="1" applyBorder="1" applyAlignment="1">
      <alignment horizontal="left" vertical="center" wrapText="1"/>
    </xf>
    <xf numFmtId="0" fontId="27" fillId="0" borderId="33" xfId="0" applyFont="1" applyBorder="1" applyAlignment="1">
      <alignment horizontal="left" vertical="center" wrapText="1"/>
    </xf>
    <xf numFmtId="0" fontId="27" fillId="0" borderId="71" xfId="0" applyFont="1" applyBorder="1" applyAlignment="1">
      <alignment horizontal="left" vertical="center" wrapText="1"/>
    </xf>
    <xf numFmtId="0" fontId="2" fillId="0" borderId="0" xfId="0" applyFont="1" applyBorder="1" applyAlignment="1">
      <alignment horizontal="left" vertical="center"/>
    </xf>
    <xf numFmtId="0" fontId="2" fillId="0" borderId="0" xfId="0" applyFont="1" applyBorder="1" applyAlignment="1">
      <alignment horizontal="left" vertical="center" wrapText="1"/>
    </xf>
    <xf numFmtId="0" fontId="3" fillId="0" borderId="25" xfId="0" applyFont="1" applyFill="1" applyBorder="1" applyAlignment="1">
      <alignment horizontal="left" vertical="center" wrapText="1"/>
    </xf>
    <xf numFmtId="0" fontId="3" fillId="0" borderId="26" xfId="0" applyFont="1" applyFill="1" applyBorder="1" applyAlignment="1">
      <alignment horizontal="left" vertical="center" wrapText="1"/>
    </xf>
    <xf numFmtId="0" fontId="3" fillId="0" borderId="58" xfId="0" applyFont="1" applyFill="1" applyBorder="1" applyAlignment="1">
      <alignment horizontal="left" vertical="center" wrapText="1"/>
    </xf>
    <xf numFmtId="0" fontId="0" fillId="0" borderId="25"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58" xfId="0" applyFill="1" applyBorder="1" applyAlignment="1">
      <alignment horizontal="center" vertical="center" wrapText="1"/>
    </xf>
    <xf numFmtId="0" fontId="0" fillId="0" borderId="25" xfId="0" applyBorder="1" applyAlignment="1">
      <alignment horizontal="center" wrapText="1"/>
    </xf>
    <xf numFmtId="0" fontId="0" fillId="0" borderId="26" xfId="0" applyBorder="1" applyAlignment="1">
      <alignment horizontal="center" wrapText="1"/>
    </xf>
    <xf numFmtId="0" fontId="0" fillId="0" borderId="58" xfId="0" applyBorder="1" applyAlignment="1">
      <alignment horizontal="center" wrapText="1"/>
    </xf>
    <xf numFmtId="0" fontId="3" fillId="0" borderId="18" xfId="0" applyFont="1" applyFill="1" applyBorder="1" applyAlignment="1">
      <alignment horizontal="left" vertical="center" wrapText="1"/>
    </xf>
    <xf numFmtId="0" fontId="3" fillId="0" borderId="25" xfId="0" applyFont="1" applyFill="1" applyBorder="1" applyAlignment="1">
      <alignment horizontal="left" vertical="center"/>
    </xf>
    <xf numFmtId="0" fontId="3" fillId="0" borderId="26" xfId="0" applyFont="1" applyFill="1" applyBorder="1" applyAlignment="1">
      <alignment horizontal="left" vertical="center"/>
    </xf>
    <xf numFmtId="0" fontId="0" fillId="0" borderId="18" xfId="0" applyFont="1" applyBorder="1" applyAlignment="1">
      <alignment horizontal="left" vertical="center" wrapText="1"/>
    </xf>
    <xf numFmtId="0" fontId="0" fillId="0" borderId="21" xfId="0" applyBorder="1" applyAlignment="1">
      <alignment horizontal="center" wrapText="1"/>
    </xf>
    <xf numFmtId="0" fontId="0" fillId="0" borderId="22" xfId="0" applyBorder="1" applyAlignment="1">
      <alignment horizontal="center" wrapText="1"/>
    </xf>
    <xf numFmtId="0" fontId="46" fillId="8" borderId="4" xfId="0" applyFont="1" applyFill="1" applyBorder="1" applyAlignment="1">
      <alignment horizontal="center" vertical="center" wrapText="1"/>
    </xf>
    <xf numFmtId="0" fontId="46" fillId="8" borderId="7" xfId="0" applyFont="1" applyFill="1" applyBorder="1" applyAlignment="1">
      <alignment horizontal="center" vertical="center" wrapText="1"/>
    </xf>
    <xf numFmtId="0" fontId="46" fillId="8" borderId="8" xfId="0" applyFont="1" applyFill="1" applyBorder="1" applyAlignment="1">
      <alignment horizontal="center" vertical="center" wrapText="1"/>
    </xf>
    <xf numFmtId="0" fontId="46" fillId="8" borderId="3" xfId="0" applyFont="1" applyFill="1" applyBorder="1" applyAlignment="1">
      <alignment horizontal="center" vertical="center" wrapText="1"/>
    </xf>
    <xf numFmtId="0" fontId="46" fillId="8" borderId="34" xfId="0" applyFont="1" applyFill="1" applyBorder="1" applyAlignment="1">
      <alignment horizontal="center" vertical="center" wrapText="1"/>
    </xf>
    <xf numFmtId="0" fontId="46" fillId="8" borderId="14" xfId="0" applyFont="1" applyFill="1" applyBorder="1" applyAlignment="1">
      <alignment horizontal="center" vertical="center" wrapText="1"/>
    </xf>
    <xf numFmtId="0" fontId="46" fillId="8" borderId="11" xfId="0" applyFont="1" applyFill="1" applyBorder="1" applyAlignment="1">
      <alignment horizontal="center" vertical="center" wrapText="1"/>
    </xf>
    <xf numFmtId="0" fontId="46" fillId="8" borderId="5" xfId="0" applyFont="1" applyFill="1" applyBorder="1" applyAlignment="1">
      <alignment horizontal="center" vertical="center" wrapText="1"/>
    </xf>
    <xf numFmtId="0" fontId="46" fillId="8" borderId="13" xfId="0" applyFont="1" applyFill="1" applyBorder="1" applyAlignment="1">
      <alignment horizontal="center" vertical="center" wrapText="1"/>
    </xf>
    <xf numFmtId="0" fontId="46" fillId="8" borderId="4" xfId="0" applyFont="1" applyFill="1" applyBorder="1" applyAlignment="1">
      <alignment horizontal="center" vertical="center"/>
    </xf>
    <xf numFmtId="0" fontId="46" fillId="8" borderId="7" xfId="0" applyFont="1" applyFill="1" applyBorder="1" applyAlignment="1">
      <alignment horizontal="center" vertical="center"/>
    </xf>
    <xf numFmtId="0" fontId="46" fillId="8" borderId="8" xfId="0" applyFont="1" applyFill="1" applyBorder="1" applyAlignment="1">
      <alignment horizontal="center" vertical="center"/>
    </xf>
    <xf numFmtId="0" fontId="2" fillId="40" borderId="18" xfId="0" applyFont="1" applyFill="1" applyBorder="1" applyAlignment="1">
      <alignment horizontal="left"/>
    </xf>
    <xf numFmtId="0" fontId="2" fillId="40" borderId="23" xfId="0" applyFont="1" applyFill="1" applyBorder="1" applyAlignment="1">
      <alignment horizontal="left"/>
    </xf>
    <xf numFmtId="0" fontId="3" fillId="46" borderId="18" xfId="0" applyFont="1" applyFill="1" applyBorder="1" applyAlignment="1">
      <alignment horizontal="center"/>
    </xf>
    <xf numFmtId="0" fontId="46" fillId="40" borderId="18" xfId="0" applyFont="1" applyFill="1" applyBorder="1" applyAlignment="1">
      <alignment horizontal="left" vertical="center" wrapText="1"/>
    </xf>
    <xf numFmtId="0" fontId="46" fillId="40" borderId="23" xfId="0" applyFont="1" applyFill="1" applyBorder="1" applyAlignment="1">
      <alignment horizontal="left" vertical="center" wrapText="1"/>
    </xf>
    <xf numFmtId="0" fontId="2" fillId="3" borderId="18" xfId="0" applyFont="1" applyFill="1" applyBorder="1" applyAlignment="1">
      <alignment horizontal="left"/>
    </xf>
    <xf numFmtId="0" fontId="2" fillId="3" borderId="23" xfId="0" applyFont="1" applyFill="1" applyBorder="1" applyAlignment="1">
      <alignment horizontal="left"/>
    </xf>
    <xf numFmtId="0" fontId="3" fillId="0" borderId="12" xfId="0" applyFont="1" applyFill="1" applyBorder="1" applyAlignment="1">
      <alignment horizontal="left" vertical="center"/>
    </xf>
    <xf numFmtId="0" fontId="3" fillId="0" borderId="12" xfId="0" applyFont="1" applyBorder="1" applyAlignment="1">
      <alignment horizontal="center"/>
    </xf>
    <xf numFmtId="0" fontId="3" fillId="0" borderId="30" xfId="0" applyFont="1" applyBorder="1" applyAlignment="1">
      <alignment horizontal="center" vertical="center"/>
    </xf>
    <xf numFmtId="0" fontId="3" fillId="0" borderId="22" xfId="0" applyFont="1" applyFill="1" applyBorder="1" applyAlignment="1">
      <alignment horizontal="left" vertical="center"/>
    </xf>
    <xf numFmtId="0" fontId="3" fillId="0" borderId="50" xfId="0" applyFont="1" applyFill="1" applyBorder="1" applyAlignment="1">
      <alignment horizontal="left" vertical="center"/>
    </xf>
    <xf numFmtId="0" fontId="3" fillId="6" borderId="0" xfId="0" applyFont="1" applyFill="1" applyBorder="1" applyAlignment="1">
      <alignment horizontal="center"/>
    </xf>
    <xf numFmtId="0" fontId="3" fillId="0" borderId="52" xfId="0" applyFont="1" applyFill="1" applyBorder="1" applyAlignment="1">
      <alignment horizontal="left" vertical="center"/>
    </xf>
    <xf numFmtId="0" fontId="3" fillId="0" borderId="56" xfId="0" applyFont="1" applyFill="1" applyBorder="1" applyAlignment="1">
      <alignment horizontal="left" vertical="center"/>
    </xf>
    <xf numFmtId="0" fontId="3" fillId="0" borderId="20" xfId="0" applyFont="1" applyFill="1" applyBorder="1" applyAlignment="1">
      <alignment horizontal="left" vertical="center"/>
    </xf>
    <xf numFmtId="0" fontId="3" fillId="6" borderId="1" xfId="0" applyFont="1" applyFill="1" applyBorder="1" applyAlignment="1">
      <alignment horizontal="center" wrapText="1"/>
    </xf>
    <xf numFmtId="0" fontId="3" fillId="0" borderId="0" xfId="0" applyFont="1" applyFill="1" applyBorder="1" applyAlignment="1">
      <alignment horizontal="left" vertical="center"/>
    </xf>
    <xf numFmtId="0" fontId="3" fillId="0" borderId="57" xfId="0" applyFont="1" applyFill="1" applyBorder="1" applyAlignment="1">
      <alignment horizontal="left" vertical="center"/>
    </xf>
    <xf numFmtId="0" fontId="3" fillId="0" borderId="34" xfId="0" applyFont="1" applyBorder="1" applyAlignment="1">
      <alignment horizontal="center"/>
    </xf>
    <xf numFmtId="0" fontId="26" fillId="0" borderId="38" xfId="0" applyFont="1" applyFill="1" applyBorder="1" applyAlignment="1">
      <alignment horizontal="left" vertical="center"/>
    </xf>
    <xf numFmtId="0" fontId="3" fillId="0" borderId="3" xfId="0" applyFont="1" applyBorder="1" applyAlignment="1">
      <alignment horizontal="center"/>
    </xf>
    <xf numFmtId="0" fontId="3" fillId="0" borderId="54" xfId="0" applyFont="1" applyFill="1" applyBorder="1" applyAlignment="1">
      <alignment horizontal="left" vertical="center"/>
    </xf>
    <xf numFmtId="0" fontId="3" fillId="0" borderId="18" xfId="0" applyFont="1" applyFill="1" applyBorder="1" applyAlignment="1">
      <alignment horizontal="center"/>
    </xf>
    <xf numFmtId="0" fontId="3" fillId="0" borderId="25" xfId="0" applyFont="1" applyFill="1" applyBorder="1" applyAlignment="1">
      <alignment horizontal="center"/>
    </xf>
  </cellXfs>
  <cellStyles count="20">
    <cellStyle name="Comma 2" xfId="8" xr:uid="{00000000-0005-0000-0000-000000000000}"/>
    <cellStyle name="Гиперссылка" xfId="14" builtinId="8"/>
    <cellStyle name="Денежный" xfId="9" builtinId="4"/>
    <cellStyle name="Денежный 2" xfId="15" xr:uid="{00000000-0005-0000-0000-000003000000}"/>
    <cellStyle name="Денежный 3" xfId="16" xr:uid="{00000000-0005-0000-0000-000004000000}"/>
    <cellStyle name="Денежный 4" xfId="19" xr:uid="{00000000-0005-0000-0000-000005000000}"/>
    <cellStyle name="Обычный" xfId="0" builtinId="0"/>
    <cellStyle name="Обычный 2" xfId="5" xr:uid="{00000000-0005-0000-0000-000007000000}"/>
    <cellStyle name="Обычный 2 2" xfId="10" xr:uid="{00000000-0005-0000-0000-000008000000}"/>
    <cellStyle name="Обычный 2 3" xfId="12" xr:uid="{00000000-0005-0000-0000-000009000000}"/>
    <cellStyle name="Обычный 25" xfId="4" xr:uid="{00000000-0005-0000-0000-00000A000000}"/>
    <cellStyle name="Обычный 3" xfId="11" xr:uid="{00000000-0005-0000-0000-00000B000000}"/>
    <cellStyle name="Обычный 30" xfId="6" xr:uid="{00000000-0005-0000-0000-00000C000000}"/>
    <cellStyle name="Обычный_Трудозатраты" xfId="13" xr:uid="{00000000-0005-0000-0000-00000D000000}"/>
    <cellStyle name="Процентный" xfId="2" builtinId="5"/>
    <cellStyle name="Финансовый" xfId="1" builtinId="3"/>
    <cellStyle name="Финансовый 2" xfId="3" xr:uid="{00000000-0005-0000-0000-000010000000}"/>
    <cellStyle name="Финансовый 2 2" xfId="7" xr:uid="{00000000-0005-0000-0000-000011000000}"/>
    <cellStyle name="Финансовый 2 2 2" xfId="18" xr:uid="{00000000-0005-0000-0000-000012000000}"/>
    <cellStyle name="Финансовый 3" xfId="17" xr:uid="{00000000-0005-0000-0000-000013000000}"/>
  </cellStyles>
  <dxfs count="632">
    <dxf>
      <font>
        <strike val="0"/>
        <outline val="0"/>
        <shadow val="0"/>
        <u val="none"/>
        <vertAlign val="baseline"/>
        <sz val="11"/>
        <color theme="0" tint="-0.249977111117893"/>
        <name val="Calibri"/>
        <scheme val="minor"/>
      </font>
      <fill>
        <patternFill patternType="solid">
          <fgColor indexed="64"/>
          <bgColor theme="0"/>
        </patternFill>
      </fill>
    </dxf>
    <dxf>
      <font>
        <strike val="0"/>
        <outline val="0"/>
        <shadow val="0"/>
        <u val="none"/>
        <vertAlign val="baseline"/>
        <sz val="11"/>
        <color theme="0" tint="-0.249977111117893"/>
        <name val="Calibri"/>
        <scheme val="minor"/>
      </font>
      <fill>
        <patternFill patternType="solid">
          <fgColor indexed="64"/>
          <bgColor theme="0"/>
        </patternFill>
      </fill>
    </dxf>
    <dxf>
      <font>
        <strike val="0"/>
        <outline val="0"/>
        <shadow val="0"/>
        <u val="none"/>
        <vertAlign val="baseline"/>
        <sz val="11"/>
        <color theme="0" tint="-0.249977111117893"/>
        <name val="Calibri"/>
        <scheme val="minor"/>
      </font>
      <fill>
        <patternFill patternType="solid">
          <fgColor indexed="64"/>
          <bgColor theme="0"/>
        </patternFill>
      </fill>
    </dxf>
    <dxf>
      <font>
        <strike val="0"/>
        <outline val="0"/>
        <shadow val="0"/>
        <u val="none"/>
        <vertAlign val="baseline"/>
        <sz val="11"/>
        <color theme="0" tint="-0.249977111117893"/>
        <name val="Calibri"/>
        <scheme val="minor"/>
      </font>
      <fill>
        <patternFill patternType="solid">
          <fgColor indexed="64"/>
          <bgColor theme="0"/>
        </patternFill>
      </fill>
    </dxf>
    <dxf>
      <font>
        <strike val="0"/>
        <outline val="0"/>
        <shadow val="0"/>
        <u val="none"/>
        <vertAlign val="baseline"/>
        <sz val="11"/>
        <color theme="0" tint="-0.249977111117893"/>
        <name val="Calibri"/>
        <scheme val="minor"/>
      </font>
      <fill>
        <patternFill patternType="solid">
          <fgColor indexed="64"/>
          <bgColor theme="0"/>
        </patternFill>
      </fill>
    </dxf>
    <dxf>
      <font>
        <strike val="0"/>
        <outline val="0"/>
        <shadow val="0"/>
        <u val="none"/>
        <vertAlign val="baseline"/>
        <sz val="11"/>
        <color theme="0" tint="-0.249977111117893"/>
        <name val="Calibri"/>
        <scheme val="minor"/>
      </font>
      <fill>
        <patternFill patternType="solid">
          <fgColor indexed="64"/>
          <bgColor theme="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auto="1"/>
          <bgColor rgb="FFC2FED2"/>
        </patternFill>
      </fill>
    </dxf>
    <dxf>
      <fill>
        <patternFill patternType="solid">
          <fgColor auto="1"/>
          <bgColor rgb="FFC2FED2"/>
        </patternFill>
      </fill>
    </dxf>
    <dxf>
      <fill>
        <patternFill patternType="solid">
          <fgColor auto="1"/>
          <bgColor rgb="FFC2FED2"/>
        </patternFill>
      </fill>
    </dxf>
    <dxf>
      <fill>
        <patternFill>
          <bgColor rgb="FFC2FED2"/>
        </patternFill>
      </fill>
    </dxf>
    <dxf>
      <fill>
        <patternFill patternType="solid">
          <fgColor auto="1"/>
          <bgColor rgb="FFC2FED2"/>
        </patternFill>
      </fill>
    </dxf>
    <dxf>
      <fill>
        <patternFill patternType="solid">
          <fgColor auto="1"/>
          <bgColor rgb="FFC2FED2"/>
        </patternFill>
      </fill>
    </dxf>
    <dxf>
      <fill>
        <patternFill patternType="solid">
          <fgColor auto="1"/>
          <bgColor rgb="FFC2FED2"/>
        </patternFill>
      </fill>
    </dxf>
    <dxf>
      <fill>
        <patternFill>
          <bgColor rgb="FFC2FED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3F3F"/>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99FFCC"/>
      <color rgb="FFFF99FF"/>
      <color rgb="FFFF3F3F"/>
      <color rgb="FFFFFFFF"/>
      <color rgb="FFF87CE0"/>
      <color rgb="FFB1EFFB"/>
      <color rgb="FF61FBF7"/>
      <color rgb="FFFFF2CC"/>
      <color rgb="FFAE96F2"/>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externalLink" Target="externalLinks/externalLink8.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externalLink" Target="externalLinks/externalLink3.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xml"/><Relationship Id="rId108" Type="http://schemas.openxmlformats.org/officeDocument/2006/relationships/externalLink" Target="externalLinks/externalLink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externalLink" Target="externalLinks/externalLink7.xml"/><Relationship Id="rId114"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1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externalLink" Target="externalLinks/externalLink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theme" Target="theme/theme1.xml"/><Relationship Id="rId115"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xml"/><Relationship Id="rId105" Type="http://schemas.openxmlformats.org/officeDocument/2006/relationships/externalLink" Target="externalLinks/externalLink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40-EC42-11CE-9E0D-00AA006002F3}" ax:persistence="persistStreamInit" r:id="rId1"/>
</file>

<file path=xl/activeX/activeX24.xml><?xml version="1.0" encoding="utf-8"?>
<ax:ocx xmlns:ax="http://schemas.microsoft.com/office/2006/activeX" xmlns:r="http://schemas.openxmlformats.org/officeDocument/2006/relationships" ax:classid="{8BD21D40-EC42-11CE-9E0D-00AA006002F3}" ax:persistence="persistStreamInit" r:id="rId1"/>
</file>

<file path=xl/activeX/activeX25.xml><?xml version="1.0" encoding="utf-8"?>
<ax:ocx xmlns:ax="http://schemas.microsoft.com/office/2006/activeX" xmlns:r="http://schemas.openxmlformats.org/officeDocument/2006/relationships" ax:classid="{8BD21D40-EC42-11CE-9E0D-00AA006002F3}" ax:persistence="persistStreamInit" r:id="rId1"/>
</file>

<file path=xl/activeX/activeX26.xml><?xml version="1.0" encoding="utf-8"?>
<ax:ocx xmlns:ax="http://schemas.microsoft.com/office/2006/activeX" xmlns:r="http://schemas.openxmlformats.org/officeDocument/2006/relationships" ax:classid="{8BD21D40-EC42-11CE-9E0D-00AA006002F3}" ax:persistence="persistStreamInit" r:id="rId1"/>
</file>

<file path=xl/activeX/activeX27.xml><?xml version="1.0" encoding="utf-8"?>
<ax:ocx xmlns:ax="http://schemas.microsoft.com/office/2006/activeX" xmlns:r="http://schemas.openxmlformats.org/officeDocument/2006/relationships" ax:classid="{8BD21D40-EC42-11CE-9E0D-00AA006002F3}" ax:persistence="persistStreamInit" r:id="rId1"/>
</file>

<file path=xl/activeX/activeX28.xml><?xml version="1.0" encoding="utf-8"?>
<ax:ocx xmlns:ax="http://schemas.microsoft.com/office/2006/activeX" xmlns:r="http://schemas.openxmlformats.org/officeDocument/2006/relationships" ax:classid="{8BD21D40-EC42-11CE-9E0D-00AA006002F3}" ax:persistence="persistStreamInit" r:id="rId1"/>
</file>

<file path=xl/activeX/activeX29.xml><?xml version="1.0" encoding="utf-8"?>
<ax:ocx xmlns:ax="http://schemas.microsoft.com/office/2006/activeX" xmlns:r="http://schemas.openxmlformats.org/officeDocument/2006/relationships" ax:classid="{8BD21D40-EC42-11CE-9E0D-00AA006002F3}" ax:persistence="persistStreamInit" r:id="rId1"/>
</file>

<file path=xl/activeX/activeX30.xml><?xml version="1.0" encoding="utf-8"?>
<ax:ocx xmlns:ax="http://schemas.microsoft.com/office/2006/activeX" xmlns:r="http://schemas.openxmlformats.org/officeDocument/2006/relationships" ax:classid="{8BD21D4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CheckBox" checked="Checked" fmlaLink="$A$11" lockText="1" noThreeD="1"/>
</file>

<file path=xl/ctrlProps/ctrlProp3.xml><?xml version="1.0" encoding="utf-8"?>
<formControlPr xmlns="http://schemas.microsoft.com/office/spreadsheetml/2009/9/main" objectType="CheckBox" fmlaLink="$A$15" lockText="1" noThreeD="1"/>
</file>

<file path=xl/ctrlProps/ctrlProp4.xml><?xml version="1.0" encoding="utf-8"?>
<formControlPr xmlns="http://schemas.microsoft.com/office/spreadsheetml/2009/9/main" objectType="CheckBox" fmlaLink="$A$16" lockText="1" noThreeD="1"/>
</file>

<file path=xl/ctrlProps/ctrlProp5.xml><?xml version="1.0" encoding="utf-8"?>
<formControlPr xmlns="http://schemas.microsoft.com/office/spreadsheetml/2009/9/main" objectType="CheckBox" fmlaLink="$A$17" lockText="1" noThreeD="1"/>
</file>

<file path=xl/ctrlProps/ctrlProp6.xml><?xml version="1.0" encoding="utf-8"?>
<formControlPr xmlns="http://schemas.microsoft.com/office/spreadsheetml/2009/9/main" objectType="CheckBox" fmlaLink="$A$18" lockText="1" noThreeD="1"/>
</file>

<file path=xl/ctrlProps/ctrlProp7.xml><?xml version="1.0" encoding="utf-8"?>
<formControlPr xmlns="http://schemas.microsoft.com/office/spreadsheetml/2009/9/main" objectType="CheckBox" fmlaLink="$A$20" lockText="1" noThreeD="1"/>
</file>

<file path=xl/ctrlProps/ctrlProp8.xml><?xml version="1.0" encoding="utf-8"?>
<formControlPr xmlns="http://schemas.microsoft.com/office/spreadsheetml/2009/9/main" objectType="CheckBox" fmlaLink="$A$21" lockText="1" noThreeD="1"/>
</file>

<file path=xl/ctrlProps/ctrlProp9.xml><?xml version="1.0" encoding="utf-8"?>
<formControlPr xmlns="http://schemas.microsoft.com/office/spreadsheetml/2009/9/main" objectType="CheckBox" fmlaLink="$A$22" lockText="1" noThreeD="1"/>
</file>

<file path=xl/ctrlProps/ctrlProp10.xml><?xml version="1.0" encoding="utf-8"?>
<formControlPr xmlns="http://schemas.microsoft.com/office/spreadsheetml/2009/9/main" objectType="CheckBox" fmlaLink="$A$23" lockText="1" noThreeD="1"/>
</file>

<file path=xl/ctrlProps/ctrlProp11.xml><?xml version="1.0" encoding="utf-8"?>
<formControlPr xmlns="http://schemas.microsoft.com/office/spreadsheetml/2009/9/main" objectType="CheckBox" fmlaLink="$A$13" lockText="1" noThreeD="1"/>
</file>

<file path=xl/ctrlProps/ctrlProp12.xml><?xml version="1.0" encoding="utf-8"?>
<formControlPr xmlns="http://schemas.microsoft.com/office/spreadsheetml/2009/9/main" objectType="CheckBox" fmlaLink="$A$14" lockText="1" noThreeD="1"/>
</file>

<file path=xl/ctrlProps/ctrlProp13.xml><?xml version="1.0" encoding="utf-8"?>
<formControlPr xmlns="http://schemas.microsoft.com/office/spreadsheetml/2009/9/main" objectType="Drop" dropStyle="combo" dx="22" fmlaLink="$W$2" fmlaRange="'Служебный АСУТП'!$C$12:$C$19" noThreeD="1" sel="2" val="0"/>
</file>

<file path=xl/ctrlProps/ctrlProp14.xml><?xml version="1.0" encoding="utf-8"?>
<formControlPr xmlns="http://schemas.microsoft.com/office/spreadsheetml/2009/9/main" objectType="Drop" dropStyle="combo" dx="22" fmlaLink="$W$13" fmlaRange="'Служебный АСУТП'!$C$38:$C$39" noThreeD="1" sel="1" val="0"/>
</file>

<file path=xl/ctrlProps/ctrlProp15.xml><?xml version="1.0" encoding="utf-8"?>
<formControlPr xmlns="http://schemas.microsoft.com/office/spreadsheetml/2009/9/main" objectType="Drop" dropStyle="combo" dx="22" fmlaLink="$W$41" fmlaRange="'Служебный АСУТП'!$C$28:$C$29" noThreeD="1" sel="1" val="0"/>
</file>

<file path=xl/ctrlProps/ctrlProp16.xml><?xml version="1.0" encoding="utf-8"?>
<formControlPr xmlns="http://schemas.microsoft.com/office/spreadsheetml/2009/9/main" objectType="Drop" dropStyle="combo" dx="22" fmlaLink="$W$42" fmlaRange="'Служебный АСУТП'!$C$33:$C$34" noThreeD="1" sel="1" val="0"/>
</file>

<file path=xl/ctrlProps/ctrlProp17.xml><?xml version="1.0" encoding="utf-8"?>
<formControlPr xmlns="http://schemas.microsoft.com/office/spreadsheetml/2009/9/main" objectType="CheckBox" fmlaLink="$A$24" lockText="1" noThreeD="1"/>
</file>

<file path=xl/ctrlProps/ctrlProp18.xml><?xml version="1.0" encoding="utf-8"?>
<formControlPr xmlns="http://schemas.microsoft.com/office/spreadsheetml/2009/9/main" objectType="CheckBox" fmlaLink="$A$25" lockText="1" noThreeD="1"/>
</file>

<file path=xl/ctrlProps/ctrlProp19.xml><?xml version="1.0" encoding="utf-8"?>
<formControlPr xmlns="http://schemas.microsoft.com/office/spreadsheetml/2009/9/main" objectType="CheckBox" fmlaLink="$A$26" lockText="1" noThreeD="1"/>
</file>

<file path=xl/ctrlProps/ctrlProp20.xml><?xml version="1.0" encoding="utf-8"?>
<formControlPr xmlns="http://schemas.microsoft.com/office/spreadsheetml/2009/9/main" objectType="CheckBox" fmlaLink="$A$27" lockText="1" noThreeD="1"/>
</file>

<file path=xl/ctrlProps/ctrlProp21.xml><?xml version="1.0" encoding="utf-8"?>
<formControlPr xmlns="http://schemas.microsoft.com/office/spreadsheetml/2009/9/main" objectType="CheckBox" fmlaLink="$A$28" lockText="1" noThreeD="1"/>
</file>

<file path=xl/ctrlProps/ctrlProp22.xml><?xml version="1.0" encoding="utf-8"?>
<formControlPr xmlns="http://schemas.microsoft.com/office/spreadsheetml/2009/9/main" objectType="CheckBox" fmlaLink="$A$29" lockText="1" noThreeD="1"/>
</file>

<file path=xl/ctrlProps/ctrlProp23.xml><?xml version="1.0" encoding="utf-8"?>
<formControlPr xmlns="http://schemas.microsoft.com/office/spreadsheetml/2009/9/main" objectType="CheckBox" fmlaLink="$A$30" lockText="1" noThreeD="1"/>
</file>

<file path=xl/ctrlProps/ctrlProp24.xml><?xml version="1.0" encoding="utf-8"?>
<formControlPr xmlns="http://schemas.microsoft.com/office/spreadsheetml/2009/9/main" objectType="CheckBox" fmlaLink="$A$31" lockText="1" noThreeD="1"/>
</file>

<file path=xl/ctrlProps/ctrlProp25.xml><?xml version="1.0" encoding="utf-8"?>
<formControlPr xmlns="http://schemas.microsoft.com/office/spreadsheetml/2009/9/main" objectType="CheckBox" fmlaLink="$A$32" lockText="1" noThreeD="1"/>
</file>

<file path=xl/ctrlProps/ctrlProp26.xml><?xml version="1.0" encoding="utf-8"?>
<formControlPr xmlns="http://schemas.microsoft.com/office/spreadsheetml/2009/9/main" objectType="CheckBox" fmlaLink="$A$33" lockText="1" noThreeD="1"/>
</file>

<file path=xl/ctrlProps/ctrlProp27.xml><?xml version="1.0" encoding="utf-8"?>
<formControlPr xmlns="http://schemas.microsoft.com/office/spreadsheetml/2009/9/main" objectType="CheckBox" fmlaLink="$A$34" lockText="1" noThreeD="1"/>
</file>

<file path=xl/ctrlProps/ctrlProp28.xml><?xml version="1.0" encoding="utf-8"?>
<formControlPr xmlns="http://schemas.microsoft.com/office/spreadsheetml/2009/9/main" objectType="CheckBox" fmlaLink="$A$35" lockText="1" noThreeD="1"/>
</file>

<file path=xl/ctrlProps/ctrlProp29.xml><?xml version="1.0" encoding="utf-8"?>
<formControlPr xmlns="http://schemas.microsoft.com/office/spreadsheetml/2009/9/main" objectType="CheckBox" fmlaLink="$A$36" lockText="1" noThreeD="1"/>
</file>

<file path=xl/ctrlProps/ctrlProp30.xml><?xml version="1.0" encoding="utf-8"?>
<formControlPr xmlns="http://schemas.microsoft.com/office/spreadsheetml/2009/9/main" objectType="CheckBox" fmlaLink="$A$37" lockText="1" noThreeD="1"/>
</file>

<file path=xl/ctrlProps/ctrlProp31.xml><?xml version="1.0" encoding="utf-8"?>
<formControlPr xmlns="http://schemas.microsoft.com/office/spreadsheetml/2009/9/main" objectType="CheckBox" fmlaLink="$A$38" lockText="1" noThreeD="1"/>
</file>

<file path=xl/ctrlProps/ctrlProp32.xml><?xml version="1.0" encoding="utf-8"?>
<formControlPr xmlns="http://schemas.microsoft.com/office/spreadsheetml/2009/9/main" objectType="CheckBox" fmlaLink="$A$39" lockText="1" noThreeD="1"/>
</file>

<file path=xl/ctrlProps/ctrlProp33.xml><?xml version="1.0" encoding="utf-8"?>
<formControlPr xmlns="http://schemas.microsoft.com/office/spreadsheetml/2009/9/main" objectType="CheckBox" fmlaLink="$A$40" lockText="1" noThreeD="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CheckBox" checked="Checked" fmlaLink="$A$12" lockText="1" noThreeD="1"/>
</file>

<file path=xl/ctrlProps/ctrlProp36.xml><?xml version="1.0" encoding="utf-8"?>
<formControlPr xmlns="http://schemas.microsoft.com/office/spreadsheetml/2009/9/main" objectType="Drop" dropStyle="combo" dx="22" fmlaRange="'Служебный АСУТП'!$C$42:$C$46" noThreeD="1" sel="5" val="0"/>
</file>

<file path=xl/ctrlProps/ctrlProp37.xml><?xml version="1.0" encoding="utf-8"?>
<formControlPr xmlns="http://schemas.microsoft.com/office/spreadsheetml/2009/9/main" objectType="Drop" dropStyle="combo" dx="22" fmlaRange="'Служебный АСУТП'!$C$48:$C$51" noThreeD="1" sel="4" val="0"/>
</file>

<file path=xl/ctrlProps/ctrlProp38.xml><?xml version="1.0" encoding="utf-8"?>
<formControlPr xmlns="http://schemas.microsoft.com/office/spreadsheetml/2009/9/main" objectType="Drop" dropStyle="combo" dx="22" fmlaRange="'Служебный АСУТП'!$C$60:$C$63" noThreeD="1" sel="4" val="0"/>
</file>

<file path=xl/ctrlProps/ctrlProp39.xml><?xml version="1.0" encoding="utf-8"?>
<formControlPr xmlns="http://schemas.microsoft.com/office/spreadsheetml/2009/9/main" objectType="Drop" dropStyle="combo" dx="22" fmlaRange="'Служебный АСУТП'!$C$54:$C$58" noThreeD="1" sel="5" val="0"/>
</file>

<file path=xl/ctrlProps/ctrlProp40.xml><?xml version="1.0" encoding="utf-8"?>
<formControlPr xmlns="http://schemas.microsoft.com/office/spreadsheetml/2009/9/main" objectType="CheckBox" fmlaLink="$A$19" lockText="1" noThreeD="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CheckBox" checked="Checked" fmlaLink="$B$11" lockText="1" noThreeD="1"/>
</file>

<file path=xl/ctrlProps/ctrlProp44.xml><?xml version="1.0" encoding="utf-8"?>
<formControlPr xmlns="http://schemas.microsoft.com/office/spreadsheetml/2009/9/main" objectType="CheckBox" fmlaLink="$B$39" noThreeD="1"/>
</file>

<file path=xl/ctrlProps/ctrlProp45.xml><?xml version="1.0" encoding="utf-8"?>
<formControlPr xmlns="http://schemas.microsoft.com/office/spreadsheetml/2009/9/main" objectType="CheckBox" fmlaLink="B73" lockText="1" noThreeD="1"/>
</file>

<file path=xl/ctrlProps/ctrlProp46.xml><?xml version="1.0" encoding="utf-8"?>
<formControlPr xmlns="http://schemas.microsoft.com/office/spreadsheetml/2009/9/main" objectType="CheckBox" fmlaLink="B83" lockText="1" noThreeD="1"/>
</file>

<file path=xl/ctrlProps/ctrlProp47.xml><?xml version="1.0" encoding="utf-8"?>
<formControlPr xmlns="http://schemas.microsoft.com/office/spreadsheetml/2009/9/main" objectType="CheckBox" fmlaLink="B107" lockText="1" noThreeD="1"/>
</file>

<file path=xl/ctrlProps/ctrlProp48.xml><?xml version="1.0" encoding="utf-8"?>
<formControlPr xmlns="http://schemas.microsoft.com/office/spreadsheetml/2009/9/main" objectType="CheckBox" fmlaLink="B108" lockText="1" noThreeD="1"/>
</file>

<file path=xl/ctrlProps/ctrlProp49.xml><?xml version="1.0" encoding="utf-8"?>
<formControlPr xmlns="http://schemas.microsoft.com/office/spreadsheetml/2009/9/main" objectType="CheckBox" fmlaLink="B109" lockText="1" noThreeD="1"/>
</file>

<file path=xl/ctrlProps/ctrlProp50.xml><?xml version="1.0" encoding="utf-8"?>
<formControlPr xmlns="http://schemas.microsoft.com/office/spreadsheetml/2009/9/main" objectType="CheckBox" fmlaLink="B110" lockText="1" noThreeD="1"/>
</file>

<file path=xl/ctrlProps/ctrlProp51.xml><?xml version="1.0" encoding="utf-8"?>
<formControlPr xmlns="http://schemas.microsoft.com/office/spreadsheetml/2009/9/main" objectType="CheckBox" fmlaLink="B111" lockText="1" noThreeD="1"/>
</file>

<file path=xl/ctrlProps/ctrlProp52.xml><?xml version="1.0" encoding="utf-8"?>
<formControlPr xmlns="http://schemas.microsoft.com/office/spreadsheetml/2009/9/main" objectType="CheckBox" fmlaLink="B112" lockText="1" noThreeD="1"/>
</file>

<file path=xl/ctrlProps/ctrlProp53.xml><?xml version="1.0" encoding="utf-8"?>
<formControlPr xmlns="http://schemas.microsoft.com/office/spreadsheetml/2009/9/main" objectType="CheckBox" fmlaLink="B113" lockText="1" noThreeD="1"/>
</file>

<file path=xl/ctrlProps/ctrlProp54.xml><?xml version="1.0" encoding="utf-8"?>
<formControlPr xmlns="http://schemas.microsoft.com/office/spreadsheetml/2009/9/main" objectType="CheckBox" fmlaLink="B114" lockText="1" noThreeD="1"/>
</file>

<file path=xl/ctrlProps/ctrlProp55.xml><?xml version="1.0" encoding="utf-8"?>
<formControlPr xmlns="http://schemas.microsoft.com/office/spreadsheetml/2009/9/main" objectType="CheckBox" fmlaLink="B126" lockText="1" noThreeD="1"/>
</file>

<file path=xl/ctrlProps/ctrlProp56.xml><?xml version="1.0" encoding="utf-8"?>
<formControlPr xmlns="http://schemas.microsoft.com/office/spreadsheetml/2009/9/main" objectType="CheckBox" fmlaLink="B127" lockText="1" noThreeD="1"/>
</file>

<file path=xl/ctrlProps/ctrlProp57.xml><?xml version="1.0" encoding="utf-8"?>
<formControlPr xmlns="http://schemas.microsoft.com/office/spreadsheetml/2009/9/main" objectType="CheckBox" fmlaLink="B138" lockText="1" noThreeD="1"/>
</file>

<file path=xl/ctrlProps/ctrlProp58.xml><?xml version="1.0" encoding="utf-8"?>
<formControlPr xmlns="http://schemas.microsoft.com/office/spreadsheetml/2009/9/main" objectType="CheckBox" fmlaLink="B139" lockText="1" noThreeD="1"/>
</file>

<file path=xl/ctrlProps/ctrlProp59.xml><?xml version="1.0" encoding="utf-8"?>
<formControlPr xmlns="http://schemas.microsoft.com/office/spreadsheetml/2009/9/main" objectType="CheckBox" fmlaLink="B140" lockText="1" noThreeD="1"/>
</file>

<file path=xl/ctrlProps/ctrlProp60.xml><?xml version="1.0" encoding="utf-8"?>
<formControlPr xmlns="http://schemas.microsoft.com/office/spreadsheetml/2009/9/main" objectType="CheckBox" fmlaLink="B152" lockText="1" noThreeD="1"/>
</file>

<file path=xl/ctrlProps/ctrlProp61.xml><?xml version="1.0" encoding="utf-8"?>
<formControlPr xmlns="http://schemas.microsoft.com/office/spreadsheetml/2009/9/main" objectType="CheckBox" fmlaLink="B153" lockText="1" noThreeD="1"/>
</file>

<file path=xl/ctrlProps/ctrlProp62.xml><?xml version="1.0" encoding="utf-8"?>
<formControlPr xmlns="http://schemas.microsoft.com/office/spreadsheetml/2009/9/main" objectType="CheckBox" fmlaLink="B154" lockText="1" noThreeD="1"/>
</file>

<file path=xl/ctrlProps/ctrlProp63.xml><?xml version="1.0" encoding="utf-8"?>
<formControlPr xmlns="http://schemas.microsoft.com/office/spreadsheetml/2009/9/main" objectType="CheckBox" fmlaLink="B155" lockText="1" noThreeD="1"/>
</file>

<file path=xl/ctrlProps/ctrlProp64.xml><?xml version="1.0" encoding="utf-8"?>
<formControlPr xmlns="http://schemas.microsoft.com/office/spreadsheetml/2009/9/main" objectType="CheckBox" fmlaLink="B156" lockText="1" noThreeD="1"/>
</file>

<file path=xl/ctrlProps/ctrlProp65.xml><?xml version="1.0" encoding="utf-8"?>
<formControlPr xmlns="http://schemas.microsoft.com/office/spreadsheetml/2009/9/main" objectType="CheckBox" fmlaLink="B157" lockText="1" noThreeD="1"/>
</file>

<file path=xl/ctrlProps/ctrlProp66.xml><?xml version="1.0" encoding="utf-8"?>
<formControlPr xmlns="http://schemas.microsoft.com/office/spreadsheetml/2009/9/main" objectType="CheckBox" fmlaLink="B158" lockText="1" noThreeD="1"/>
</file>

<file path=xl/ctrlProps/ctrlProp67.xml><?xml version="1.0" encoding="utf-8"?>
<formControlPr xmlns="http://schemas.microsoft.com/office/spreadsheetml/2009/9/main" objectType="CheckBox" fmlaLink="B159" lockText="1" noThreeD="1"/>
</file>

<file path=xl/ctrlProps/ctrlProp68.xml><?xml version="1.0" encoding="utf-8"?>
<formControlPr xmlns="http://schemas.microsoft.com/office/spreadsheetml/2009/9/main" objectType="CheckBox" fmlaLink="B161" lockText="1" noThreeD="1"/>
</file>

<file path=xl/ctrlProps/ctrlProp69.xml><?xml version="1.0" encoding="utf-8"?>
<formControlPr xmlns="http://schemas.microsoft.com/office/spreadsheetml/2009/9/main" objectType="CheckBox" fmlaLink="B82" lockText="1" noThreeD="1"/>
</file>

<file path=xl/ctrlProps/ctrlProp70.xml><?xml version="1.0" encoding="utf-8"?>
<formControlPr xmlns="http://schemas.microsoft.com/office/spreadsheetml/2009/9/main" objectType="CheckBox" fmlaLink="B160" lockText="1" noThreeD="1"/>
</file>

<file path=xl/ctrlProps/ctrlProp71.xml><?xml version="1.0" encoding="utf-8"?>
<formControlPr xmlns="http://schemas.microsoft.com/office/spreadsheetml/2009/9/main" objectType="CheckBox" fmlaLink="B162" lockText="1" noThreeD="1"/>
</file>

<file path=xl/ctrlProps/ctrlProp72.xml><?xml version="1.0" encoding="utf-8"?>
<formControlPr xmlns="http://schemas.microsoft.com/office/spreadsheetml/2009/9/main" objectType="CheckBox" fmlaLink="B163" lockText="1" noThreeD="1"/>
</file>

<file path=xl/ctrlProps/ctrlProp73.xml><?xml version="1.0" encoding="utf-8"?>
<formControlPr xmlns="http://schemas.microsoft.com/office/spreadsheetml/2009/9/main" objectType="CheckBox" fmlaLink="B164" lockText="1" noThreeD="1"/>
</file>

<file path=xl/ctrlProps/ctrlProp74.xml><?xml version="1.0" encoding="utf-8"?>
<formControlPr xmlns="http://schemas.microsoft.com/office/spreadsheetml/2009/9/main" objectType="CheckBox" fmlaLink="B163" lockText="1" noThreeD="1"/>
</file>

<file path=xl/ctrlProps/ctrlProp75.xml><?xml version="1.0" encoding="utf-8"?>
<formControlPr xmlns="http://schemas.microsoft.com/office/spreadsheetml/2009/9/main" objectType="CheckBox" fmlaLink="B164"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8" Type="http://schemas.openxmlformats.org/officeDocument/2006/relationships/image" Target="../media/image24.emf"/><Relationship Id="rId13" Type="http://schemas.openxmlformats.org/officeDocument/2006/relationships/image" Target="../media/image19.emf"/><Relationship Id="rId18" Type="http://schemas.openxmlformats.org/officeDocument/2006/relationships/image" Target="../media/image14.emf"/><Relationship Id="rId26" Type="http://schemas.openxmlformats.org/officeDocument/2006/relationships/image" Target="../media/image6.emf"/><Relationship Id="rId3" Type="http://schemas.openxmlformats.org/officeDocument/2006/relationships/image" Target="../media/image29.emf"/><Relationship Id="rId21" Type="http://schemas.openxmlformats.org/officeDocument/2006/relationships/image" Target="../media/image11.emf"/><Relationship Id="rId7" Type="http://schemas.openxmlformats.org/officeDocument/2006/relationships/image" Target="../media/image25.emf"/><Relationship Id="rId12" Type="http://schemas.openxmlformats.org/officeDocument/2006/relationships/image" Target="../media/image20.emf"/><Relationship Id="rId17" Type="http://schemas.openxmlformats.org/officeDocument/2006/relationships/image" Target="../media/image15.emf"/><Relationship Id="rId25" Type="http://schemas.openxmlformats.org/officeDocument/2006/relationships/image" Target="../media/image7.emf"/><Relationship Id="rId2" Type="http://schemas.openxmlformats.org/officeDocument/2006/relationships/image" Target="../media/image30.emf"/><Relationship Id="rId16" Type="http://schemas.openxmlformats.org/officeDocument/2006/relationships/image" Target="../media/image16.emf"/><Relationship Id="rId20" Type="http://schemas.openxmlformats.org/officeDocument/2006/relationships/image" Target="../media/image12.emf"/><Relationship Id="rId1" Type="http://schemas.openxmlformats.org/officeDocument/2006/relationships/image" Target="../media/image31.emf"/><Relationship Id="rId6" Type="http://schemas.openxmlformats.org/officeDocument/2006/relationships/image" Target="../media/image26.emf"/><Relationship Id="rId11" Type="http://schemas.openxmlformats.org/officeDocument/2006/relationships/image" Target="../media/image21.emf"/><Relationship Id="rId24" Type="http://schemas.openxmlformats.org/officeDocument/2006/relationships/image" Target="../media/image8.emf"/><Relationship Id="rId5" Type="http://schemas.openxmlformats.org/officeDocument/2006/relationships/image" Target="../media/image27.emf"/><Relationship Id="rId15" Type="http://schemas.openxmlformats.org/officeDocument/2006/relationships/image" Target="../media/image17.emf"/><Relationship Id="rId23" Type="http://schemas.openxmlformats.org/officeDocument/2006/relationships/image" Target="../media/image9.emf"/><Relationship Id="rId10" Type="http://schemas.openxmlformats.org/officeDocument/2006/relationships/image" Target="../media/image22.emf"/><Relationship Id="rId19" Type="http://schemas.openxmlformats.org/officeDocument/2006/relationships/image" Target="../media/image13.emf"/><Relationship Id="rId4" Type="http://schemas.openxmlformats.org/officeDocument/2006/relationships/image" Target="../media/image28.emf"/><Relationship Id="rId9" Type="http://schemas.openxmlformats.org/officeDocument/2006/relationships/image" Target="../media/image23.emf"/><Relationship Id="rId14" Type="http://schemas.openxmlformats.org/officeDocument/2006/relationships/image" Target="../media/image18.emf"/><Relationship Id="rId22"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10</xdr:col>
      <xdr:colOff>898524</xdr:colOff>
      <xdr:row>0</xdr:row>
      <xdr:rowOff>0</xdr:rowOff>
    </xdr:from>
    <xdr:to>
      <xdr:col>15</xdr:col>
      <xdr:colOff>1853751</xdr:colOff>
      <xdr:row>9</xdr:row>
      <xdr:rowOff>166265</xdr:rowOff>
    </xdr:to>
    <xdr:pic>
      <xdr:nvPicPr>
        <xdr:cNvPr id="2" name="Рисунок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85671" y="0"/>
          <a:ext cx="4406639" cy="2116089"/>
        </a:xfrm>
        <a:prstGeom prst="rect">
          <a:avLst/>
        </a:prstGeom>
      </xdr:spPr>
    </xdr:pic>
    <xdr:clientData/>
  </xdr:twoCellAnchor>
  <xdr:twoCellAnchor editAs="oneCell">
    <xdr:from>
      <xdr:col>10</xdr:col>
      <xdr:colOff>864907</xdr:colOff>
      <xdr:row>0</xdr:row>
      <xdr:rowOff>134471</xdr:rowOff>
    </xdr:from>
    <xdr:to>
      <xdr:col>15</xdr:col>
      <xdr:colOff>1801084</xdr:colOff>
      <xdr:row>9</xdr:row>
      <xdr:rowOff>300736</xdr:rowOff>
    </xdr:to>
    <xdr:pic>
      <xdr:nvPicPr>
        <xdr:cNvPr id="4" name="Рисунок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9052054" y="134471"/>
          <a:ext cx="4387589" cy="2116089"/>
        </a:xfrm>
        <a:prstGeom prst="rect">
          <a:avLst/>
        </a:prstGeom>
      </xdr:spPr>
    </xdr:pic>
    <xdr:clientData/>
  </xdr:twoCellAnchor>
  <xdr:twoCellAnchor editAs="oneCell">
    <xdr:from>
      <xdr:col>10</xdr:col>
      <xdr:colOff>237376</xdr:colOff>
      <xdr:row>0</xdr:row>
      <xdr:rowOff>118448</xdr:rowOff>
    </xdr:from>
    <xdr:to>
      <xdr:col>15</xdr:col>
      <xdr:colOff>1211133</xdr:colOff>
      <xdr:row>9</xdr:row>
      <xdr:rowOff>257991</xdr:rowOff>
    </xdr:to>
    <xdr:pic>
      <xdr:nvPicPr>
        <xdr:cNvPr id="6" name="Рисунок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18424523" y="118448"/>
          <a:ext cx="4425169" cy="2089367"/>
        </a:xfrm>
        <a:prstGeom prst="rect">
          <a:avLst/>
        </a:prstGeom>
      </xdr:spPr>
    </xdr:pic>
    <xdr:clientData/>
  </xdr:twoCellAnchor>
  <mc:AlternateContent xmlns:mc="http://schemas.openxmlformats.org/markup-compatibility/2006">
    <mc:Choice xmlns:a14="http://schemas.microsoft.com/office/drawing/2010/main" Requires="a14">
      <xdr:twoCellAnchor>
        <xdr:from>
          <xdr:col>15</xdr:col>
          <xdr:colOff>76200</xdr:colOff>
          <xdr:row>12</xdr:row>
          <xdr:rowOff>85725</xdr:rowOff>
        </xdr:from>
        <xdr:to>
          <xdr:col>15</xdr:col>
          <xdr:colOff>2600325</xdr:colOff>
          <xdr:row>12</xdr:row>
          <xdr:rowOff>676275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ru-RU" sz="1100" b="0" i="0" u="none" strike="noStrike" baseline="0">
                  <a:solidFill>
                    <a:srgbClr val="000000"/>
                  </a:solidFill>
                  <a:latin typeface="Calibri"/>
                  <a:ea typeface="Calibri"/>
                  <a:cs typeface="Calibri"/>
                </a:rPr>
                <a:t>Расчет загрузки</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10</xdr:row>
          <xdr:rowOff>9525</xdr:rowOff>
        </xdr:from>
        <xdr:to>
          <xdr:col>0</xdr:col>
          <xdr:colOff>609600</xdr:colOff>
          <xdr:row>10</xdr:row>
          <xdr:rowOff>180975</xdr:rowOff>
        </xdr:to>
        <xdr:sp macro="" textlink="">
          <xdr:nvSpPr>
            <xdr:cNvPr id="11265" name="CheckBox1" hidden="1">
              <a:extLst>
                <a:ext uri="{63B3BB69-23CF-44E3-9099-C40C66FF867C}">
                  <a14:compatExt spid="_x0000_s11265"/>
                </a:ext>
                <a:ext uri="{FF2B5EF4-FFF2-40B4-BE49-F238E27FC236}">
                  <a16:creationId xmlns:a16="http://schemas.microsoft.com/office/drawing/2014/main" id="{00000000-0008-0000-0200-000001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АВЗ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190500</xdr:rowOff>
        </xdr:from>
        <xdr:to>
          <xdr:col>0</xdr:col>
          <xdr:colOff>638175</xdr:colOff>
          <xdr:row>15</xdr:row>
          <xdr:rowOff>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200-00000B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СКЗИ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171450</xdr:rowOff>
        </xdr:from>
        <xdr:to>
          <xdr:col>0</xdr:col>
          <xdr:colOff>638175</xdr:colOff>
          <xdr:row>15</xdr:row>
          <xdr:rowOff>180975</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200-00000D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АЗ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0</xdr:col>
          <xdr:colOff>638175</xdr:colOff>
          <xdr:row>17</xdr:row>
          <xdr:rowOff>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200-00000F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СРК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0</xdr:col>
          <xdr:colOff>638175</xdr:colOff>
          <xdr:row>18</xdr:row>
          <xdr:rowOff>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200-000010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0</xdr:col>
          <xdr:colOff>638175</xdr:colOff>
          <xdr:row>20</xdr:row>
          <xdr:rowOff>0</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200-000023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АПМДЗ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190500</xdr:rowOff>
        </xdr:from>
        <xdr:to>
          <xdr:col>0</xdr:col>
          <xdr:colOff>638175</xdr:colOff>
          <xdr:row>20</xdr:row>
          <xdr:rowOff>180975</xdr:rowOff>
        </xdr:to>
        <xdr:sp macro="" textlink="">
          <xdr:nvSpPr>
            <xdr:cNvPr id="11300" name="Check Box 36" descr="MFA" hidden="1">
              <a:extLst>
                <a:ext uri="{63B3BB69-23CF-44E3-9099-C40C66FF867C}">
                  <a14:compatExt spid="_x0000_s11300"/>
                </a:ext>
                <a:ext uri="{FF2B5EF4-FFF2-40B4-BE49-F238E27FC236}">
                  <a16:creationId xmlns:a16="http://schemas.microsoft.com/office/drawing/2014/main" id="{00000000-0008-0000-0200-000024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MFA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0</xdr:col>
          <xdr:colOff>638175</xdr:colOff>
          <xdr:row>22</xdr:row>
          <xdr:rowOff>0</xdr:rowOff>
        </xdr:to>
        <xdr:sp macro="" textlink="">
          <xdr:nvSpPr>
            <xdr:cNvPr id="11301" name="Check Box 37" descr="ДИОД" hidden="1">
              <a:extLst>
                <a:ext uri="{63B3BB69-23CF-44E3-9099-C40C66FF867C}">
                  <a14:compatExt spid="_x0000_s11301"/>
                </a:ext>
                <a:ext uri="{FF2B5EF4-FFF2-40B4-BE49-F238E27FC236}">
                  <a16:creationId xmlns:a16="http://schemas.microsoft.com/office/drawing/2014/main" id="{00000000-0008-0000-0200-000025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ДИОД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638175</xdr:colOff>
          <xdr:row>23</xdr:row>
          <xdr:rowOff>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200-00002B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СЗВ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180975</xdr:rowOff>
        </xdr:from>
        <xdr:to>
          <xdr:col>0</xdr:col>
          <xdr:colOff>628650</xdr:colOff>
          <xdr:row>12</xdr:row>
          <xdr:rowOff>180975</xdr:rowOff>
        </xdr:to>
        <xdr:sp macro="" textlink="">
          <xdr:nvSpPr>
            <xdr:cNvPr id="11315" name="CheckBox5" hidden="1">
              <a:extLst>
                <a:ext uri="{63B3BB69-23CF-44E3-9099-C40C66FF867C}">
                  <a14:compatExt spid="_x0000_s11315"/>
                </a:ext>
                <a:ext uri="{FF2B5EF4-FFF2-40B4-BE49-F238E27FC236}">
                  <a16:creationId xmlns:a16="http://schemas.microsoft.com/office/drawing/2014/main" id="{00000000-0008-0000-0200-000033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МСЭ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180975</xdr:rowOff>
        </xdr:from>
        <xdr:to>
          <xdr:col>0</xdr:col>
          <xdr:colOff>638175</xdr:colOff>
          <xdr:row>13</xdr:row>
          <xdr:rowOff>180975</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200-000034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xdr:row>
          <xdr:rowOff>19050</xdr:rowOff>
        </xdr:from>
        <xdr:to>
          <xdr:col>2</xdr:col>
          <xdr:colOff>1057275</xdr:colOff>
          <xdr:row>1</xdr:row>
          <xdr:rowOff>190500</xdr:rowOff>
        </xdr:to>
        <xdr:sp macro="" textlink="">
          <xdr:nvSpPr>
            <xdr:cNvPr id="11339" name="Drop Down 75" hidden="1">
              <a:extLst>
                <a:ext uri="{63B3BB69-23CF-44E3-9099-C40C66FF867C}">
                  <a14:compatExt spid="_x0000_s11339"/>
                </a:ext>
                <a:ext uri="{FF2B5EF4-FFF2-40B4-BE49-F238E27FC236}">
                  <a16:creationId xmlns:a16="http://schemas.microsoft.com/office/drawing/2014/main" id="{00000000-0008-0000-0200-00004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4</xdr:row>
          <xdr:rowOff>19050</xdr:rowOff>
        </xdr:from>
        <xdr:to>
          <xdr:col>2</xdr:col>
          <xdr:colOff>1057275</xdr:colOff>
          <xdr:row>4</xdr:row>
          <xdr:rowOff>190500</xdr:rowOff>
        </xdr:to>
        <xdr:sp macro="" textlink="">
          <xdr:nvSpPr>
            <xdr:cNvPr id="11340" name="Drop Down 76" hidden="1">
              <a:extLst>
                <a:ext uri="{63B3BB69-23CF-44E3-9099-C40C66FF867C}">
                  <a14:compatExt spid="_x0000_s11340"/>
                </a:ext>
                <a:ext uri="{FF2B5EF4-FFF2-40B4-BE49-F238E27FC236}">
                  <a16:creationId xmlns:a16="http://schemas.microsoft.com/office/drawing/2014/main" id="{00000000-0008-0000-0200-00004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3</xdr:row>
          <xdr:rowOff>19050</xdr:rowOff>
        </xdr:from>
        <xdr:to>
          <xdr:col>2</xdr:col>
          <xdr:colOff>1057275</xdr:colOff>
          <xdr:row>3</xdr:row>
          <xdr:rowOff>190500</xdr:rowOff>
        </xdr:to>
        <xdr:sp macro="" textlink="">
          <xdr:nvSpPr>
            <xdr:cNvPr id="11345" name="Drop Down 81" hidden="1">
              <a:extLst>
                <a:ext uri="{63B3BB69-23CF-44E3-9099-C40C66FF867C}">
                  <a14:compatExt spid="_x0000_s11345"/>
                </a:ext>
                <a:ext uri="{FF2B5EF4-FFF2-40B4-BE49-F238E27FC236}">
                  <a16:creationId xmlns:a16="http://schemas.microsoft.com/office/drawing/2014/main" id="{00000000-0008-0000-0200-00005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xdr:row>
          <xdr:rowOff>19050</xdr:rowOff>
        </xdr:from>
        <xdr:to>
          <xdr:col>2</xdr:col>
          <xdr:colOff>1057275</xdr:colOff>
          <xdr:row>3</xdr:row>
          <xdr:rowOff>0</xdr:rowOff>
        </xdr:to>
        <xdr:sp macro="" textlink="">
          <xdr:nvSpPr>
            <xdr:cNvPr id="11347" name="Drop Down 83" hidden="1">
              <a:extLst>
                <a:ext uri="{63B3BB69-23CF-44E3-9099-C40C66FF867C}">
                  <a14:compatExt spid="_x0000_s11347"/>
                </a:ext>
                <a:ext uri="{FF2B5EF4-FFF2-40B4-BE49-F238E27FC236}">
                  <a16:creationId xmlns:a16="http://schemas.microsoft.com/office/drawing/2014/main" id="{00000000-0008-0000-0200-00005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0</xdr:col>
          <xdr:colOff>638175</xdr:colOff>
          <xdr:row>24</xdr:row>
          <xdr:rowOff>0</xdr:rowOff>
        </xdr:to>
        <xdr:sp macro="" textlink="">
          <xdr:nvSpPr>
            <xdr:cNvPr id="11355" name="Check Box 91" hidden="1">
              <a:extLst>
                <a:ext uri="{63B3BB69-23CF-44E3-9099-C40C66FF867C}">
                  <a14:compatExt spid="_x0000_s11355"/>
                </a:ext>
                <a:ext uri="{FF2B5EF4-FFF2-40B4-BE49-F238E27FC236}">
                  <a16:creationId xmlns:a16="http://schemas.microsoft.com/office/drawing/2014/main" id="{00000000-0008-0000-0200-00005B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SOAR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638175</xdr:colOff>
          <xdr:row>25</xdr:row>
          <xdr:rowOff>0</xdr:rowOff>
        </xdr:to>
        <xdr:sp macro="" textlink="">
          <xdr:nvSpPr>
            <xdr:cNvPr id="11356" name="Check Box 92" descr="VDI" hidden="1">
              <a:extLst>
                <a:ext uri="{63B3BB69-23CF-44E3-9099-C40C66FF867C}">
                  <a14:compatExt spid="_x0000_s11356"/>
                </a:ext>
                <a:ext uri="{FF2B5EF4-FFF2-40B4-BE49-F238E27FC236}">
                  <a16:creationId xmlns:a16="http://schemas.microsoft.com/office/drawing/2014/main" id="{00000000-0008-0000-0200-00005C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VDI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0</xdr:col>
          <xdr:colOff>638175</xdr:colOff>
          <xdr:row>26</xdr:row>
          <xdr:rowOff>0</xdr:rowOff>
        </xdr:to>
        <xdr:sp macro="" textlink="">
          <xdr:nvSpPr>
            <xdr:cNvPr id="11357" name="Check Box 93" hidden="1">
              <a:extLst>
                <a:ext uri="{63B3BB69-23CF-44E3-9099-C40C66FF867C}">
                  <a14:compatExt spid="_x0000_s11357"/>
                </a:ext>
                <a:ext uri="{FF2B5EF4-FFF2-40B4-BE49-F238E27FC236}">
                  <a16:creationId xmlns:a16="http://schemas.microsoft.com/office/drawing/2014/main" id="{00000000-0008-0000-0200-00005D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СУБД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0</xdr:col>
          <xdr:colOff>638175</xdr:colOff>
          <xdr:row>27</xdr:row>
          <xdr:rowOff>0</xdr:rowOff>
        </xdr:to>
        <xdr:sp macro="" textlink="">
          <xdr:nvSpPr>
            <xdr:cNvPr id="11358" name="Check Box 94" hidden="1">
              <a:extLst>
                <a:ext uri="{63B3BB69-23CF-44E3-9099-C40C66FF867C}">
                  <a14:compatExt spid="_x0000_s11358"/>
                </a:ext>
                <a:ext uri="{FF2B5EF4-FFF2-40B4-BE49-F238E27FC236}">
                  <a16:creationId xmlns:a16="http://schemas.microsoft.com/office/drawing/2014/main" id="{00000000-0008-0000-0200-00005E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ГосСоп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638175</xdr:colOff>
          <xdr:row>28</xdr:row>
          <xdr:rowOff>0</xdr:rowOff>
        </xdr:to>
        <xdr:sp macro="" textlink="">
          <xdr:nvSpPr>
            <xdr:cNvPr id="11359" name="Check Box 95" hidden="1">
              <a:extLst>
                <a:ext uri="{63B3BB69-23CF-44E3-9099-C40C66FF867C}">
                  <a14:compatExt spid="_x0000_s11359"/>
                </a:ext>
                <a:ext uri="{FF2B5EF4-FFF2-40B4-BE49-F238E27FC236}">
                  <a16:creationId xmlns:a16="http://schemas.microsoft.com/office/drawing/2014/main" id="{00000000-0008-0000-0200-00005F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TLS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0</xdr:col>
          <xdr:colOff>638175</xdr:colOff>
          <xdr:row>29</xdr:row>
          <xdr:rowOff>0</xdr:rowOff>
        </xdr:to>
        <xdr:sp macro="" textlink="">
          <xdr:nvSpPr>
            <xdr:cNvPr id="11360" name="Check Box 96" hidden="1">
              <a:extLst>
                <a:ext uri="{63B3BB69-23CF-44E3-9099-C40C66FF867C}">
                  <a14:compatExt spid="_x0000_s11360"/>
                </a:ext>
                <a:ext uri="{FF2B5EF4-FFF2-40B4-BE49-F238E27FC236}">
                  <a16:creationId xmlns:a16="http://schemas.microsoft.com/office/drawing/2014/main" id="{00000000-0008-0000-0200-000060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DCAP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0</xdr:col>
          <xdr:colOff>638175</xdr:colOff>
          <xdr:row>30</xdr:row>
          <xdr:rowOff>0</xdr:rowOff>
        </xdr:to>
        <xdr:sp macro="" textlink="">
          <xdr:nvSpPr>
            <xdr:cNvPr id="11361" name="Check Box 97" hidden="1">
              <a:extLst>
                <a:ext uri="{63B3BB69-23CF-44E3-9099-C40C66FF867C}">
                  <a14:compatExt spid="_x0000_s11361"/>
                </a:ext>
                <a:ext uri="{FF2B5EF4-FFF2-40B4-BE49-F238E27FC236}">
                  <a16:creationId xmlns:a16="http://schemas.microsoft.com/office/drawing/2014/main" id="{00000000-0008-0000-0200-000061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CONFIG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0</xdr:col>
          <xdr:colOff>638175</xdr:colOff>
          <xdr:row>31</xdr:row>
          <xdr:rowOff>0</xdr:rowOff>
        </xdr:to>
        <xdr:sp macro="" textlink="">
          <xdr:nvSpPr>
            <xdr:cNvPr id="11362" name="Check Box 98" hidden="1">
              <a:extLst>
                <a:ext uri="{63B3BB69-23CF-44E3-9099-C40C66FF867C}">
                  <a14:compatExt spid="_x0000_s11362"/>
                </a:ext>
                <a:ext uri="{FF2B5EF4-FFF2-40B4-BE49-F238E27FC236}">
                  <a16:creationId xmlns:a16="http://schemas.microsoft.com/office/drawing/2014/main" id="{00000000-0008-0000-0200-000062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NTA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0</xdr:rowOff>
        </xdr:from>
        <xdr:to>
          <xdr:col>0</xdr:col>
          <xdr:colOff>638175</xdr:colOff>
          <xdr:row>32</xdr:row>
          <xdr:rowOff>0</xdr:rowOff>
        </xdr:to>
        <xdr:sp macro="" textlink="">
          <xdr:nvSpPr>
            <xdr:cNvPr id="11364" name="Check Box 100" hidden="1">
              <a:extLst>
                <a:ext uri="{63B3BB69-23CF-44E3-9099-C40C66FF867C}">
                  <a14:compatExt spid="_x0000_s11364"/>
                </a:ext>
                <a:ext uri="{FF2B5EF4-FFF2-40B4-BE49-F238E27FC236}">
                  <a16:creationId xmlns:a16="http://schemas.microsoft.com/office/drawing/2014/main" id="{00000000-0008-0000-0200-000064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SEG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0</xdr:col>
          <xdr:colOff>638175</xdr:colOff>
          <xdr:row>33</xdr:row>
          <xdr:rowOff>0</xdr:rowOff>
        </xdr:to>
        <xdr:sp macro="" textlink="">
          <xdr:nvSpPr>
            <xdr:cNvPr id="11365" name="Check Box 101" hidden="1">
              <a:extLst>
                <a:ext uri="{63B3BB69-23CF-44E3-9099-C40C66FF867C}">
                  <a14:compatExt spid="_x0000_s11365"/>
                </a:ext>
                <a:ext uri="{FF2B5EF4-FFF2-40B4-BE49-F238E27FC236}">
                  <a16:creationId xmlns:a16="http://schemas.microsoft.com/office/drawing/2014/main" id="{00000000-0008-0000-0200-000065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APT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0</xdr:col>
          <xdr:colOff>638175</xdr:colOff>
          <xdr:row>34</xdr:row>
          <xdr:rowOff>0</xdr:rowOff>
        </xdr:to>
        <xdr:sp macro="" textlink="">
          <xdr:nvSpPr>
            <xdr:cNvPr id="11366" name="Check Box 102" hidden="1">
              <a:extLst>
                <a:ext uri="{63B3BB69-23CF-44E3-9099-C40C66FF867C}">
                  <a14:compatExt spid="_x0000_s11366"/>
                </a:ext>
                <a:ext uri="{FF2B5EF4-FFF2-40B4-BE49-F238E27FC236}">
                  <a16:creationId xmlns:a16="http://schemas.microsoft.com/office/drawing/2014/main" id="{00000000-0008-0000-0200-000066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NAC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0</xdr:col>
          <xdr:colOff>638175</xdr:colOff>
          <xdr:row>35</xdr:row>
          <xdr:rowOff>0</xdr:rowOff>
        </xdr:to>
        <xdr:sp macro="" textlink="">
          <xdr:nvSpPr>
            <xdr:cNvPr id="11367" name="Check Box 103" hidden="1">
              <a:extLst>
                <a:ext uri="{63B3BB69-23CF-44E3-9099-C40C66FF867C}">
                  <a14:compatExt spid="_x0000_s11367"/>
                </a:ext>
                <a:ext uri="{FF2B5EF4-FFF2-40B4-BE49-F238E27FC236}">
                  <a16:creationId xmlns:a16="http://schemas.microsoft.com/office/drawing/2014/main" id="{00000000-0008-0000-0200-000067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Sandbox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0</xdr:rowOff>
        </xdr:from>
        <xdr:to>
          <xdr:col>0</xdr:col>
          <xdr:colOff>638175</xdr:colOff>
          <xdr:row>36</xdr:row>
          <xdr:rowOff>0</xdr:rowOff>
        </xdr:to>
        <xdr:sp macro="" textlink="">
          <xdr:nvSpPr>
            <xdr:cNvPr id="11368" name="Check Box 104" hidden="1">
              <a:extLst>
                <a:ext uri="{63B3BB69-23CF-44E3-9099-C40C66FF867C}">
                  <a14:compatExt spid="_x0000_s11368"/>
                </a:ext>
                <a:ext uri="{FF2B5EF4-FFF2-40B4-BE49-F238E27FC236}">
                  <a16:creationId xmlns:a16="http://schemas.microsoft.com/office/drawing/2014/main" id="{00000000-0008-0000-0200-000068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EDR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638175</xdr:colOff>
          <xdr:row>37</xdr:row>
          <xdr:rowOff>0</xdr:rowOff>
        </xdr:to>
        <xdr:sp macro="" textlink="">
          <xdr:nvSpPr>
            <xdr:cNvPr id="11372" name="Check Box 108" descr="WAF" hidden="1">
              <a:extLst>
                <a:ext uri="{63B3BB69-23CF-44E3-9099-C40C66FF867C}">
                  <a14:compatExt spid="_x0000_s11372"/>
                </a:ext>
                <a:ext uri="{FF2B5EF4-FFF2-40B4-BE49-F238E27FC236}">
                  <a16:creationId xmlns:a16="http://schemas.microsoft.com/office/drawing/2014/main" id="{00000000-0008-0000-0200-00006C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WAF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0</xdr:col>
          <xdr:colOff>638175</xdr:colOff>
          <xdr:row>38</xdr:row>
          <xdr:rowOff>0</xdr:rowOff>
        </xdr:to>
        <xdr:sp macro="" textlink="">
          <xdr:nvSpPr>
            <xdr:cNvPr id="11375" name="Check Box 111" descr="ВМ ЗСВ" hidden="1">
              <a:extLst>
                <a:ext uri="{63B3BB69-23CF-44E3-9099-C40C66FF867C}">
                  <a14:compatExt spid="_x0000_s11375"/>
                </a:ext>
                <a:ext uri="{FF2B5EF4-FFF2-40B4-BE49-F238E27FC236}">
                  <a16:creationId xmlns:a16="http://schemas.microsoft.com/office/drawing/2014/main" id="{00000000-0008-0000-0200-00006F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ЗСВ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180975</xdr:rowOff>
        </xdr:from>
        <xdr:to>
          <xdr:col>0</xdr:col>
          <xdr:colOff>638175</xdr:colOff>
          <xdr:row>39</xdr:row>
          <xdr:rowOff>0</xdr:rowOff>
        </xdr:to>
        <xdr:sp macro="" textlink="">
          <xdr:nvSpPr>
            <xdr:cNvPr id="11376" name="Check Box 112" descr="ВМ СПО" hidden="1">
              <a:extLst>
                <a:ext uri="{63B3BB69-23CF-44E3-9099-C40C66FF867C}">
                  <a14:compatExt spid="_x0000_s11376"/>
                </a:ext>
                <a:ext uri="{FF2B5EF4-FFF2-40B4-BE49-F238E27FC236}">
                  <a16:creationId xmlns:a16="http://schemas.microsoft.com/office/drawing/2014/main" id="{00000000-0008-0000-0200-000070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СПО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0</xdr:rowOff>
        </xdr:from>
        <xdr:to>
          <xdr:col>0</xdr:col>
          <xdr:colOff>638175</xdr:colOff>
          <xdr:row>40</xdr:row>
          <xdr:rowOff>9525</xdr:rowOff>
        </xdr:to>
        <xdr:sp macro="" textlink="">
          <xdr:nvSpPr>
            <xdr:cNvPr id="11377" name="Check Box 113" descr="ВМ АСО" hidden="1">
              <a:extLst>
                <a:ext uri="{63B3BB69-23CF-44E3-9099-C40C66FF867C}">
                  <a14:compatExt spid="_x0000_s11377"/>
                </a:ext>
                <a:ext uri="{FF2B5EF4-FFF2-40B4-BE49-F238E27FC236}">
                  <a16:creationId xmlns:a16="http://schemas.microsoft.com/office/drawing/2014/main" id="{00000000-0008-0000-0200-000071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АСО</a:t>
              </a:r>
            </a:p>
          </xdr:txBody>
        </xdr:sp>
        <xdr:clientData/>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66675</xdr:rowOff>
        </xdr:from>
        <xdr:to>
          <xdr:col>0</xdr:col>
          <xdr:colOff>609600</xdr:colOff>
          <xdr:row>5</xdr:row>
          <xdr:rowOff>171450</xdr:rowOff>
        </xdr:to>
        <xdr:sp macro="" textlink="">
          <xdr:nvSpPr>
            <xdr:cNvPr id="11385" name="Button 121" hidden="1">
              <a:extLst>
                <a:ext uri="{63B3BB69-23CF-44E3-9099-C40C66FF867C}">
                  <a14:compatExt spid="_x0000_s11385"/>
                </a:ext>
                <a:ext uri="{FF2B5EF4-FFF2-40B4-BE49-F238E27FC236}">
                  <a16:creationId xmlns:a16="http://schemas.microsoft.com/office/drawing/2014/main" id="{00000000-0008-0000-0200-000079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ru-RU" sz="1100" b="0" i="0" u="none" strike="noStrike" baseline="0">
                  <a:solidFill>
                    <a:srgbClr val="000000"/>
                  </a:solidFill>
                  <a:latin typeface="Calibri"/>
                  <a:ea typeface="Calibri"/>
                  <a:cs typeface="Calibri"/>
                </a:rPr>
                <a:t>Снятие галочек</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171450</xdr:rowOff>
        </xdr:from>
        <xdr:to>
          <xdr:col>0</xdr:col>
          <xdr:colOff>581025</xdr:colOff>
          <xdr:row>11</xdr:row>
          <xdr:rowOff>152400</xdr:rowOff>
        </xdr:to>
        <xdr:sp macro="" textlink="">
          <xdr:nvSpPr>
            <xdr:cNvPr id="11390" name="CheckBox2" hidden="1">
              <a:extLst>
                <a:ext uri="{63B3BB69-23CF-44E3-9099-C40C66FF867C}">
                  <a14:compatExt spid="_x0000_s11390"/>
                </a:ext>
                <a:ext uri="{FF2B5EF4-FFF2-40B4-BE49-F238E27FC236}">
                  <a16:creationId xmlns:a16="http://schemas.microsoft.com/office/drawing/2014/main" id="{00000000-0008-0000-0200-00007E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1162050</xdr:colOff>
          <xdr:row>1</xdr:row>
          <xdr:rowOff>28575</xdr:rowOff>
        </xdr:from>
        <xdr:to>
          <xdr:col>3</xdr:col>
          <xdr:colOff>2200275</xdr:colOff>
          <xdr:row>2</xdr:row>
          <xdr:rowOff>0</xdr:rowOff>
        </xdr:to>
        <xdr:sp macro="" textlink="">
          <xdr:nvSpPr>
            <xdr:cNvPr id="11427" name="Drop Down 163" hidden="1">
              <a:extLst>
                <a:ext uri="{63B3BB69-23CF-44E3-9099-C40C66FF867C}">
                  <a14:compatExt spid="_x0000_s11427"/>
                </a:ext>
                <a:ext uri="{FF2B5EF4-FFF2-40B4-BE49-F238E27FC236}">
                  <a16:creationId xmlns:a16="http://schemas.microsoft.com/office/drawing/2014/main" id="{00000000-0008-0000-0200-0000A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1162050</xdr:colOff>
          <xdr:row>2</xdr:row>
          <xdr:rowOff>19050</xdr:rowOff>
        </xdr:from>
        <xdr:to>
          <xdr:col>3</xdr:col>
          <xdr:colOff>2200275</xdr:colOff>
          <xdr:row>3</xdr:row>
          <xdr:rowOff>0</xdr:rowOff>
        </xdr:to>
        <xdr:sp macro="" textlink="">
          <xdr:nvSpPr>
            <xdr:cNvPr id="11437" name="Drop Down 173" hidden="1">
              <a:extLst>
                <a:ext uri="{63B3BB69-23CF-44E3-9099-C40C66FF867C}">
                  <a14:compatExt spid="_x0000_s11437"/>
                </a:ext>
                <a:ext uri="{FF2B5EF4-FFF2-40B4-BE49-F238E27FC236}">
                  <a16:creationId xmlns:a16="http://schemas.microsoft.com/office/drawing/2014/main" id="{00000000-0008-0000-0200-0000A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1162050</xdr:colOff>
          <xdr:row>4</xdr:row>
          <xdr:rowOff>47625</xdr:rowOff>
        </xdr:from>
        <xdr:to>
          <xdr:col>3</xdr:col>
          <xdr:colOff>2200275</xdr:colOff>
          <xdr:row>5</xdr:row>
          <xdr:rowOff>0</xdr:rowOff>
        </xdr:to>
        <xdr:sp macro="" textlink="">
          <xdr:nvSpPr>
            <xdr:cNvPr id="11438" name="Drop Down 174" hidden="1">
              <a:extLst>
                <a:ext uri="{63B3BB69-23CF-44E3-9099-C40C66FF867C}">
                  <a14:compatExt spid="_x0000_s11438"/>
                </a:ext>
                <a:ext uri="{FF2B5EF4-FFF2-40B4-BE49-F238E27FC236}">
                  <a16:creationId xmlns:a16="http://schemas.microsoft.com/office/drawing/2014/main" id="{00000000-0008-0000-0200-0000A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1162050</xdr:colOff>
          <xdr:row>3</xdr:row>
          <xdr:rowOff>28575</xdr:rowOff>
        </xdr:from>
        <xdr:to>
          <xdr:col>3</xdr:col>
          <xdr:colOff>2200275</xdr:colOff>
          <xdr:row>4</xdr:row>
          <xdr:rowOff>0</xdr:rowOff>
        </xdr:to>
        <xdr:sp macro="" textlink="">
          <xdr:nvSpPr>
            <xdr:cNvPr id="11439" name="Drop Down 175" hidden="1">
              <a:extLst>
                <a:ext uri="{63B3BB69-23CF-44E3-9099-C40C66FF867C}">
                  <a14:compatExt spid="_x0000_s11439"/>
                </a:ext>
                <a:ext uri="{FF2B5EF4-FFF2-40B4-BE49-F238E27FC236}">
                  <a16:creationId xmlns:a16="http://schemas.microsoft.com/office/drawing/2014/main" id="{00000000-0008-0000-0200-0000A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638175</xdr:colOff>
          <xdr:row>19</xdr:row>
          <xdr:rowOff>0</xdr:rowOff>
        </xdr:to>
        <xdr:sp macro="" textlink="">
          <xdr:nvSpPr>
            <xdr:cNvPr id="11440" name="Check Box 176" hidden="1">
              <a:extLst>
                <a:ext uri="{63B3BB69-23CF-44E3-9099-C40C66FF867C}">
                  <a14:compatExt spid="_x0000_s11440"/>
                </a:ext>
                <a:ext uri="{FF2B5EF4-FFF2-40B4-BE49-F238E27FC236}">
                  <a16:creationId xmlns:a16="http://schemas.microsoft.com/office/drawing/2014/main" id="{00000000-0008-0000-0200-0000B0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НСД</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781050</xdr:colOff>
          <xdr:row>103</xdr:row>
          <xdr:rowOff>28575</xdr:rowOff>
        </xdr:from>
        <xdr:to>
          <xdr:col>3</xdr:col>
          <xdr:colOff>1895475</xdr:colOff>
          <xdr:row>104</xdr:row>
          <xdr:rowOff>133350</xdr:rowOff>
        </xdr:to>
        <xdr:sp macro="" textlink="">
          <xdr:nvSpPr>
            <xdr:cNvPr id="11446" name="Button 182" hidden="1">
              <a:extLst>
                <a:ext uri="{63B3BB69-23CF-44E3-9099-C40C66FF867C}">
                  <a14:compatExt spid="_x0000_s11446"/>
                </a:ext>
                <a:ext uri="{FF2B5EF4-FFF2-40B4-BE49-F238E27FC236}">
                  <a16:creationId xmlns:a16="http://schemas.microsoft.com/office/drawing/2014/main" id="{00000000-0008-0000-0200-0000B6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ru-RU" sz="1100" b="0" i="0" u="none" strike="noStrike" baseline="0">
                  <a:solidFill>
                    <a:srgbClr val="000000"/>
                  </a:solidFill>
                  <a:latin typeface="Calibri"/>
                  <a:ea typeface="Calibri"/>
                  <a:cs typeface="Calibri"/>
                </a:rPr>
                <a:t>Создать список отчетных материалов</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85725</xdr:colOff>
          <xdr:row>103</xdr:row>
          <xdr:rowOff>28575</xdr:rowOff>
        </xdr:from>
        <xdr:to>
          <xdr:col>2</xdr:col>
          <xdr:colOff>1200150</xdr:colOff>
          <xdr:row>104</xdr:row>
          <xdr:rowOff>133350</xdr:rowOff>
        </xdr:to>
        <xdr:sp macro="" textlink="">
          <xdr:nvSpPr>
            <xdr:cNvPr id="11447" name="Button 183" hidden="1">
              <a:extLst>
                <a:ext uri="{63B3BB69-23CF-44E3-9099-C40C66FF867C}">
                  <a14:compatExt spid="_x0000_s11447"/>
                </a:ext>
                <a:ext uri="{FF2B5EF4-FFF2-40B4-BE49-F238E27FC236}">
                  <a16:creationId xmlns:a16="http://schemas.microsoft.com/office/drawing/2014/main" id="{00000000-0008-0000-0200-0000B7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ru-RU" sz="1100" b="0" i="0" u="none" strike="noStrike" baseline="0">
                  <a:solidFill>
                    <a:srgbClr val="000000"/>
                  </a:solidFill>
                  <a:latin typeface="Calibri"/>
                  <a:ea typeface="Calibri"/>
                  <a:cs typeface="Calibri"/>
                </a:rPr>
                <a:t>Создать список отчетных материалов</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91</xdr:row>
          <xdr:rowOff>9525</xdr:rowOff>
        </xdr:from>
        <xdr:to>
          <xdr:col>0</xdr:col>
          <xdr:colOff>371475</xdr:colOff>
          <xdr:row>91</xdr:row>
          <xdr:rowOff>152400</xdr:rowOff>
        </xdr:to>
        <xdr:sp macro="" textlink="">
          <xdr:nvSpPr>
            <xdr:cNvPr id="11449" name="OP_Komandirovki_1" hidden="1">
              <a:extLst>
                <a:ext uri="{63B3BB69-23CF-44E3-9099-C40C66FF867C}">
                  <a14:compatExt spid="_x0000_s11449"/>
                </a:ext>
                <a:ext uri="{FF2B5EF4-FFF2-40B4-BE49-F238E27FC236}">
                  <a16:creationId xmlns:a16="http://schemas.microsoft.com/office/drawing/2014/main" id="{00000000-0008-0000-0200-0000B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92</xdr:row>
          <xdr:rowOff>28575</xdr:rowOff>
        </xdr:from>
        <xdr:to>
          <xdr:col>0</xdr:col>
          <xdr:colOff>371475</xdr:colOff>
          <xdr:row>92</xdr:row>
          <xdr:rowOff>171450</xdr:rowOff>
        </xdr:to>
        <xdr:sp macro="" textlink="">
          <xdr:nvSpPr>
            <xdr:cNvPr id="11453" name="OP_Komandirovki_2" hidden="1">
              <a:extLst>
                <a:ext uri="{63B3BB69-23CF-44E3-9099-C40C66FF867C}">
                  <a14:compatExt spid="_x0000_s11453"/>
                </a:ext>
                <a:ext uri="{FF2B5EF4-FFF2-40B4-BE49-F238E27FC236}">
                  <a16:creationId xmlns:a16="http://schemas.microsoft.com/office/drawing/2014/main" id="{00000000-0008-0000-0200-0000B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93</xdr:row>
          <xdr:rowOff>28575</xdr:rowOff>
        </xdr:from>
        <xdr:to>
          <xdr:col>0</xdr:col>
          <xdr:colOff>371475</xdr:colOff>
          <xdr:row>93</xdr:row>
          <xdr:rowOff>171450</xdr:rowOff>
        </xdr:to>
        <xdr:sp macro="" textlink="">
          <xdr:nvSpPr>
            <xdr:cNvPr id="11454" name="OP_Komandirovki_3" hidden="1">
              <a:extLst>
                <a:ext uri="{63B3BB69-23CF-44E3-9099-C40C66FF867C}">
                  <a14:compatExt spid="_x0000_s11454"/>
                </a:ext>
                <a:ext uri="{FF2B5EF4-FFF2-40B4-BE49-F238E27FC236}">
                  <a16:creationId xmlns:a16="http://schemas.microsoft.com/office/drawing/2014/main" id="{00000000-0008-0000-0200-0000B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94</xdr:row>
          <xdr:rowOff>28575</xdr:rowOff>
        </xdr:from>
        <xdr:to>
          <xdr:col>0</xdr:col>
          <xdr:colOff>371475</xdr:colOff>
          <xdr:row>94</xdr:row>
          <xdr:rowOff>171450</xdr:rowOff>
        </xdr:to>
        <xdr:sp macro="" textlink="">
          <xdr:nvSpPr>
            <xdr:cNvPr id="11455" name="OP_Komandirovki_4" hidden="1">
              <a:extLst>
                <a:ext uri="{63B3BB69-23CF-44E3-9099-C40C66FF867C}">
                  <a14:compatExt spid="_x0000_s11455"/>
                </a:ext>
                <a:ext uri="{FF2B5EF4-FFF2-40B4-BE49-F238E27FC236}">
                  <a16:creationId xmlns:a16="http://schemas.microsoft.com/office/drawing/2014/main" id="{00000000-0008-0000-0200-0000B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9</xdr:row>
          <xdr:rowOff>161925</xdr:rowOff>
        </xdr:from>
        <xdr:to>
          <xdr:col>1</xdr:col>
          <xdr:colOff>1162050</xdr:colOff>
          <xdr:row>11</xdr:row>
          <xdr:rowOff>9525</xdr:rowOff>
        </xdr:to>
        <xdr:sp macro="" textlink="">
          <xdr:nvSpPr>
            <xdr:cNvPr id="46081" name="Check Box 1" descr="СМР" hidden="1">
              <a:extLst>
                <a:ext uri="{63B3BB69-23CF-44E3-9099-C40C66FF867C}">
                  <a14:compatExt spid="_x0000_s46081"/>
                </a:ext>
                <a:ext uri="{FF2B5EF4-FFF2-40B4-BE49-F238E27FC236}">
                  <a16:creationId xmlns:a16="http://schemas.microsoft.com/office/drawing/2014/main" id="{00000000-0008-0000-1700-000001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СМР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38</xdr:row>
          <xdr:rowOff>38100</xdr:rowOff>
        </xdr:from>
        <xdr:to>
          <xdr:col>1</xdr:col>
          <xdr:colOff>1162050</xdr:colOff>
          <xdr:row>38</xdr:row>
          <xdr:rowOff>180975</xdr:rowOff>
        </xdr:to>
        <xdr:sp macro="" textlink="">
          <xdr:nvSpPr>
            <xdr:cNvPr id="46082" name="Check Box 2" hidden="1">
              <a:extLst>
                <a:ext uri="{63B3BB69-23CF-44E3-9099-C40C66FF867C}">
                  <a14:compatExt spid="_x0000_s46082"/>
                </a:ext>
                <a:ext uri="{FF2B5EF4-FFF2-40B4-BE49-F238E27FC236}">
                  <a16:creationId xmlns:a16="http://schemas.microsoft.com/office/drawing/2014/main" id="{00000000-0008-0000-1700-000002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МСЭ</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72</xdr:row>
          <xdr:rowOff>38100</xdr:rowOff>
        </xdr:from>
        <xdr:to>
          <xdr:col>1</xdr:col>
          <xdr:colOff>1181100</xdr:colOff>
          <xdr:row>72</xdr:row>
          <xdr:rowOff>228600</xdr:rowOff>
        </xdr:to>
        <xdr:sp macro="" textlink="">
          <xdr:nvSpPr>
            <xdr:cNvPr id="46083" name="Check Box 3" hidden="1">
              <a:extLst>
                <a:ext uri="{63B3BB69-23CF-44E3-9099-C40C66FF867C}">
                  <a14:compatExt spid="_x0000_s46083"/>
                </a:ext>
                <a:ext uri="{FF2B5EF4-FFF2-40B4-BE49-F238E27FC236}">
                  <a16:creationId xmlns:a16="http://schemas.microsoft.com/office/drawing/2014/main" id="{00000000-0008-0000-1700-000003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АВЗ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82</xdr:row>
          <xdr:rowOff>38100</xdr:rowOff>
        </xdr:from>
        <xdr:to>
          <xdr:col>1</xdr:col>
          <xdr:colOff>1181100</xdr:colOff>
          <xdr:row>82</xdr:row>
          <xdr:rowOff>171450</xdr:rowOff>
        </xdr:to>
        <xdr:sp macro="" textlink="">
          <xdr:nvSpPr>
            <xdr:cNvPr id="46084" name="Check Box 4" hidden="1">
              <a:extLst>
                <a:ext uri="{63B3BB69-23CF-44E3-9099-C40C66FF867C}">
                  <a14:compatExt spid="_x0000_s46084"/>
                </a:ext>
                <a:ext uri="{FF2B5EF4-FFF2-40B4-BE49-F238E27FC236}">
                  <a16:creationId xmlns:a16="http://schemas.microsoft.com/office/drawing/2014/main" id="{00000000-0008-0000-1700-000004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СКЗИ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106</xdr:row>
          <xdr:rowOff>47625</xdr:rowOff>
        </xdr:from>
        <xdr:to>
          <xdr:col>1</xdr:col>
          <xdr:colOff>1181100</xdr:colOff>
          <xdr:row>106</xdr:row>
          <xdr:rowOff>152400</xdr:rowOff>
        </xdr:to>
        <xdr:sp macro="" textlink="">
          <xdr:nvSpPr>
            <xdr:cNvPr id="46085" name="Check Box 5" hidden="1">
              <a:extLst>
                <a:ext uri="{63B3BB69-23CF-44E3-9099-C40C66FF867C}">
                  <a14:compatExt spid="_x0000_s46085"/>
                </a:ext>
                <a:ext uri="{FF2B5EF4-FFF2-40B4-BE49-F238E27FC236}">
                  <a16:creationId xmlns:a16="http://schemas.microsoft.com/office/drawing/2014/main" id="{00000000-0008-0000-1700-000005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АЗ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107</xdr:row>
          <xdr:rowOff>38100</xdr:rowOff>
        </xdr:from>
        <xdr:to>
          <xdr:col>1</xdr:col>
          <xdr:colOff>1181100</xdr:colOff>
          <xdr:row>107</xdr:row>
          <xdr:rowOff>171450</xdr:rowOff>
        </xdr:to>
        <xdr:sp macro="" textlink="">
          <xdr:nvSpPr>
            <xdr:cNvPr id="46086" name="Check Box 6" hidden="1">
              <a:extLst>
                <a:ext uri="{63B3BB69-23CF-44E3-9099-C40C66FF867C}">
                  <a14:compatExt spid="_x0000_s46086"/>
                </a:ext>
                <a:ext uri="{FF2B5EF4-FFF2-40B4-BE49-F238E27FC236}">
                  <a16:creationId xmlns:a16="http://schemas.microsoft.com/office/drawing/2014/main" id="{00000000-0008-0000-1700-000006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СРК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108</xdr:row>
          <xdr:rowOff>38100</xdr:rowOff>
        </xdr:from>
        <xdr:to>
          <xdr:col>1</xdr:col>
          <xdr:colOff>1181100</xdr:colOff>
          <xdr:row>108</xdr:row>
          <xdr:rowOff>171450</xdr:rowOff>
        </xdr:to>
        <xdr:sp macro="" textlink="">
          <xdr:nvSpPr>
            <xdr:cNvPr id="46087" name="Check Box 7" hidden="1">
              <a:extLst>
                <a:ext uri="{63B3BB69-23CF-44E3-9099-C40C66FF867C}">
                  <a14:compatExt spid="_x0000_s46087"/>
                </a:ext>
                <a:ext uri="{FF2B5EF4-FFF2-40B4-BE49-F238E27FC236}">
                  <a16:creationId xmlns:a16="http://schemas.microsoft.com/office/drawing/2014/main" id="{00000000-0008-0000-1700-000007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НСД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109</xdr:row>
          <xdr:rowOff>38100</xdr:rowOff>
        </xdr:from>
        <xdr:to>
          <xdr:col>1</xdr:col>
          <xdr:colOff>1181100</xdr:colOff>
          <xdr:row>109</xdr:row>
          <xdr:rowOff>171450</xdr:rowOff>
        </xdr:to>
        <xdr:sp macro="" textlink="">
          <xdr:nvSpPr>
            <xdr:cNvPr id="46088" name="Check Box 8" hidden="1">
              <a:extLst>
                <a:ext uri="{63B3BB69-23CF-44E3-9099-C40C66FF867C}">
                  <a14:compatExt spid="_x0000_s46088"/>
                </a:ext>
                <a:ext uri="{FF2B5EF4-FFF2-40B4-BE49-F238E27FC236}">
                  <a16:creationId xmlns:a16="http://schemas.microsoft.com/office/drawing/2014/main" id="{00000000-0008-0000-1700-000008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СЗВ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110</xdr:row>
          <xdr:rowOff>38100</xdr:rowOff>
        </xdr:from>
        <xdr:to>
          <xdr:col>1</xdr:col>
          <xdr:colOff>1181100</xdr:colOff>
          <xdr:row>110</xdr:row>
          <xdr:rowOff>171450</xdr:rowOff>
        </xdr:to>
        <xdr:sp macro="" textlink="">
          <xdr:nvSpPr>
            <xdr:cNvPr id="46089" name="Check Box 9" descr="VM" hidden="1">
              <a:extLst>
                <a:ext uri="{63B3BB69-23CF-44E3-9099-C40C66FF867C}">
                  <a14:compatExt spid="_x0000_s46089"/>
                </a:ext>
                <a:ext uri="{FF2B5EF4-FFF2-40B4-BE49-F238E27FC236}">
                  <a16:creationId xmlns:a16="http://schemas.microsoft.com/office/drawing/2014/main" id="{00000000-0008-0000-1700-000009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VM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111</xdr:row>
          <xdr:rowOff>38100</xdr:rowOff>
        </xdr:from>
        <xdr:to>
          <xdr:col>1</xdr:col>
          <xdr:colOff>1181100</xdr:colOff>
          <xdr:row>111</xdr:row>
          <xdr:rowOff>171450</xdr:rowOff>
        </xdr:to>
        <xdr:sp macro="" textlink="">
          <xdr:nvSpPr>
            <xdr:cNvPr id="46090" name="Check Box 10" descr="ГосСОПКА" hidden="1">
              <a:extLst>
                <a:ext uri="{63B3BB69-23CF-44E3-9099-C40C66FF867C}">
                  <a14:compatExt spid="_x0000_s46090"/>
                </a:ext>
                <a:ext uri="{FF2B5EF4-FFF2-40B4-BE49-F238E27FC236}">
                  <a16:creationId xmlns:a16="http://schemas.microsoft.com/office/drawing/2014/main" id="{00000000-0008-0000-1700-00000A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ГосСОПКА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112</xdr:row>
          <xdr:rowOff>38100</xdr:rowOff>
        </xdr:from>
        <xdr:to>
          <xdr:col>1</xdr:col>
          <xdr:colOff>1181100</xdr:colOff>
          <xdr:row>112</xdr:row>
          <xdr:rowOff>171450</xdr:rowOff>
        </xdr:to>
        <xdr:sp macro="" textlink="">
          <xdr:nvSpPr>
            <xdr:cNvPr id="46091" name="Check Box 11" descr="VM" hidden="1">
              <a:extLst>
                <a:ext uri="{63B3BB69-23CF-44E3-9099-C40C66FF867C}">
                  <a14:compatExt spid="_x0000_s46091"/>
                </a:ext>
                <a:ext uri="{FF2B5EF4-FFF2-40B4-BE49-F238E27FC236}">
                  <a16:creationId xmlns:a16="http://schemas.microsoft.com/office/drawing/2014/main" id="{00000000-0008-0000-1700-00000B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113</xdr:row>
          <xdr:rowOff>38100</xdr:rowOff>
        </xdr:from>
        <xdr:to>
          <xdr:col>1</xdr:col>
          <xdr:colOff>1181100</xdr:colOff>
          <xdr:row>113</xdr:row>
          <xdr:rowOff>323850</xdr:rowOff>
        </xdr:to>
        <xdr:sp macro="" textlink="">
          <xdr:nvSpPr>
            <xdr:cNvPr id="46092" name="Check Box 12" descr="VM" hidden="1">
              <a:extLst>
                <a:ext uri="{63B3BB69-23CF-44E3-9099-C40C66FF867C}">
                  <a14:compatExt spid="_x0000_s46092"/>
                </a:ext>
                <a:ext uri="{FF2B5EF4-FFF2-40B4-BE49-F238E27FC236}">
                  <a16:creationId xmlns:a16="http://schemas.microsoft.com/office/drawing/2014/main" id="{00000000-0008-0000-1700-00000C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125</xdr:row>
          <xdr:rowOff>19050</xdr:rowOff>
        </xdr:from>
        <xdr:to>
          <xdr:col>1</xdr:col>
          <xdr:colOff>1181100</xdr:colOff>
          <xdr:row>125</xdr:row>
          <xdr:rowOff>142875</xdr:rowOff>
        </xdr:to>
        <xdr:sp macro="" textlink="">
          <xdr:nvSpPr>
            <xdr:cNvPr id="46093" name="Check Box 13" descr="WAF" hidden="1">
              <a:extLst>
                <a:ext uri="{63B3BB69-23CF-44E3-9099-C40C66FF867C}">
                  <a14:compatExt spid="_x0000_s46093"/>
                </a:ext>
                <a:ext uri="{FF2B5EF4-FFF2-40B4-BE49-F238E27FC236}">
                  <a16:creationId xmlns:a16="http://schemas.microsoft.com/office/drawing/2014/main" id="{00000000-0008-0000-1700-00000D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WAF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126</xdr:row>
          <xdr:rowOff>38100</xdr:rowOff>
        </xdr:from>
        <xdr:to>
          <xdr:col>1</xdr:col>
          <xdr:colOff>1181100</xdr:colOff>
          <xdr:row>126</xdr:row>
          <xdr:rowOff>361950</xdr:rowOff>
        </xdr:to>
        <xdr:sp macro="" textlink="">
          <xdr:nvSpPr>
            <xdr:cNvPr id="46094" name="Check Box 14" descr="NTA" hidden="1">
              <a:extLst>
                <a:ext uri="{63B3BB69-23CF-44E3-9099-C40C66FF867C}">
                  <a14:compatExt spid="_x0000_s46094"/>
                </a:ext>
                <a:ext uri="{FF2B5EF4-FFF2-40B4-BE49-F238E27FC236}">
                  <a16:creationId xmlns:a16="http://schemas.microsoft.com/office/drawing/2014/main" id="{00000000-0008-0000-1700-00000E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NTA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137</xdr:row>
          <xdr:rowOff>38100</xdr:rowOff>
        </xdr:from>
        <xdr:to>
          <xdr:col>1</xdr:col>
          <xdr:colOff>1181100</xdr:colOff>
          <xdr:row>137</xdr:row>
          <xdr:rowOff>142875</xdr:rowOff>
        </xdr:to>
        <xdr:sp macro="" textlink="">
          <xdr:nvSpPr>
            <xdr:cNvPr id="46095" name="Check Box 15" hidden="1">
              <a:extLst>
                <a:ext uri="{63B3BB69-23CF-44E3-9099-C40C66FF867C}">
                  <a14:compatExt spid="_x0000_s46095"/>
                </a:ext>
                <a:ext uri="{FF2B5EF4-FFF2-40B4-BE49-F238E27FC236}">
                  <a16:creationId xmlns:a16="http://schemas.microsoft.com/office/drawing/2014/main" id="{00000000-0008-0000-1700-00000F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DCAP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138</xdr:row>
          <xdr:rowOff>38100</xdr:rowOff>
        </xdr:from>
        <xdr:to>
          <xdr:col>1</xdr:col>
          <xdr:colOff>1181100</xdr:colOff>
          <xdr:row>138</xdr:row>
          <xdr:rowOff>171450</xdr:rowOff>
        </xdr:to>
        <xdr:sp macro="" textlink="">
          <xdr:nvSpPr>
            <xdr:cNvPr id="46096" name="Check Box 16" hidden="1">
              <a:extLst>
                <a:ext uri="{63B3BB69-23CF-44E3-9099-C40C66FF867C}">
                  <a14:compatExt spid="_x0000_s46096"/>
                </a:ext>
                <a:ext uri="{FF2B5EF4-FFF2-40B4-BE49-F238E27FC236}">
                  <a16:creationId xmlns:a16="http://schemas.microsoft.com/office/drawing/2014/main" id="{00000000-0008-0000-1700-000010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139</xdr:row>
          <xdr:rowOff>38100</xdr:rowOff>
        </xdr:from>
        <xdr:to>
          <xdr:col>1</xdr:col>
          <xdr:colOff>1181100</xdr:colOff>
          <xdr:row>139</xdr:row>
          <xdr:rowOff>171450</xdr:rowOff>
        </xdr:to>
        <xdr:sp macro="" textlink="">
          <xdr:nvSpPr>
            <xdr:cNvPr id="46097" name="Check Box 17" hidden="1">
              <a:extLst>
                <a:ext uri="{63B3BB69-23CF-44E3-9099-C40C66FF867C}">
                  <a14:compatExt spid="_x0000_s46097"/>
                </a:ext>
                <a:ext uri="{FF2B5EF4-FFF2-40B4-BE49-F238E27FC236}">
                  <a16:creationId xmlns:a16="http://schemas.microsoft.com/office/drawing/2014/main" id="{00000000-0008-0000-1700-000011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ДИОД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151</xdr:row>
          <xdr:rowOff>38100</xdr:rowOff>
        </xdr:from>
        <xdr:to>
          <xdr:col>1</xdr:col>
          <xdr:colOff>1181100</xdr:colOff>
          <xdr:row>151</xdr:row>
          <xdr:rowOff>171450</xdr:rowOff>
        </xdr:to>
        <xdr:sp macro="" textlink="">
          <xdr:nvSpPr>
            <xdr:cNvPr id="46098" name="Check Box 18" hidden="1">
              <a:extLst>
                <a:ext uri="{63B3BB69-23CF-44E3-9099-C40C66FF867C}">
                  <a14:compatExt spid="_x0000_s46098"/>
                </a:ext>
                <a:ext uri="{FF2B5EF4-FFF2-40B4-BE49-F238E27FC236}">
                  <a16:creationId xmlns:a16="http://schemas.microsoft.com/office/drawing/2014/main" id="{00000000-0008-0000-1700-000012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Sandbox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152</xdr:row>
          <xdr:rowOff>38100</xdr:rowOff>
        </xdr:from>
        <xdr:to>
          <xdr:col>1</xdr:col>
          <xdr:colOff>1181100</xdr:colOff>
          <xdr:row>152</xdr:row>
          <xdr:rowOff>171450</xdr:rowOff>
        </xdr:to>
        <xdr:sp macro="" textlink="">
          <xdr:nvSpPr>
            <xdr:cNvPr id="46099" name="Check Box 19" hidden="1">
              <a:extLst>
                <a:ext uri="{63B3BB69-23CF-44E3-9099-C40C66FF867C}">
                  <a14:compatExt spid="_x0000_s46099"/>
                </a:ext>
                <a:ext uri="{FF2B5EF4-FFF2-40B4-BE49-F238E27FC236}">
                  <a16:creationId xmlns:a16="http://schemas.microsoft.com/office/drawing/2014/main" id="{00000000-0008-0000-1700-000013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VDI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153</xdr:row>
          <xdr:rowOff>38100</xdr:rowOff>
        </xdr:from>
        <xdr:to>
          <xdr:col>1</xdr:col>
          <xdr:colOff>1181100</xdr:colOff>
          <xdr:row>153</xdr:row>
          <xdr:rowOff>171450</xdr:rowOff>
        </xdr:to>
        <xdr:sp macro="" textlink="">
          <xdr:nvSpPr>
            <xdr:cNvPr id="46100" name="Check Box 20" hidden="1">
              <a:extLst>
                <a:ext uri="{63B3BB69-23CF-44E3-9099-C40C66FF867C}">
                  <a14:compatExt spid="_x0000_s46100"/>
                </a:ext>
                <a:ext uri="{FF2B5EF4-FFF2-40B4-BE49-F238E27FC236}">
                  <a16:creationId xmlns:a16="http://schemas.microsoft.com/office/drawing/2014/main" id="{00000000-0008-0000-1700-000014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MFA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154</xdr:row>
          <xdr:rowOff>38100</xdr:rowOff>
        </xdr:from>
        <xdr:to>
          <xdr:col>1</xdr:col>
          <xdr:colOff>1181100</xdr:colOff>
          <xdr:row>154</xdr:row>
          <xdr:rowOff>171450</xdr:rowOff>
        </xdr:to>
        <xdr:sp macro="" textlink="">
          <xdr:nvSpPr>
            <xdr:cNvPr id="46101" name="Check Box 21" hidden="1">
              <a:extLst>
                <a:ext uri="{63B3BB69-23CF-44E3-9099-C40C66FF867C}">
                  <a14:compatExt spid="_x0000_s46101"/>
                </a:ext>
                <a:ext uri="{FF2B5EF4-FFF2-40B4-BE49-F238E27FC236}">
                  <a16:creationId xmlns:a16="http://schemas.microsoft.com/office/drawing/2014/main" id="{00000000-0008-0000-1700-000015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APT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155</xdr:row>
          <xdr:rowOff>38100</xdr:rowOff>
        </xdr:from>
        <xdr:to>
          <xdr:col>1</xdr:col>
          <xdr:colOff>1181100</xdr:colOff>
          <xdr:row>155</xdr:row>
          <xdr:rowOff>171450</xdr:rowOff>
        </xdr:to>
        <xdr:sp macro="" textlink="">
          <xdr:nvSpPr>
            <xdr:cNvPr id="46102" name="Check Box 22" hidden="1">
              <a:extLst>
                <a:ext uri="{63B3BB69-23CF-44E3-9099-C40C66FF867C}">
                  <a14:compatExt spid="_x0000_s46102"/>
                </a:ext>
                <a:ext uri="{FF2B5EF4-FFF2-40B4-BE49-F238E27FC236}">
                  <a16:creationId xmlns:a16="http://schemas.microsoft.com/office/drawing/2014/main" id="{00000000-0008-0000-1700-000016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SOAR/IRP+SGRC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156</xdr:row>
          <xdr:rowOff>38100</xdr:rowOff>
        </xdr:from>
        <xdr:to>
          <xdr:col>1</xdr:col>
          <xdr:colOff>1181100</xdr:colOff>
          <xdr:row>156</xdr:row>
          <xdr:rowOff>171450</xdr:rowOff>
        </xdr:to>
        <xdr:sp macro="" textlink="">
          <xdr:nvSpPr>
            <xdr:cNvPr id="46103" name="Check Box 23" hidden="1">
              <a:extLst>
                <a:ext uri="{63B3BB69-23CF-44E3-9099-C40C66FF867C}">
                  <a14:compatExt spid="_x0000_s46103"/>
                </a:ext>
                <a:ext uri="{FF2B5EF4-FFF2-40B4-BE49-F238E27FC236}">
                  <a16:creationId xmlns:a16="http://schemas.microsoft.com/office/drawing/2014/main" id="{00000000-0008-0000-1700-000017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TLS шлюз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157</xdr:row>
          <xdr:rowOff>38100</xdr:rowOff>
        </xdr:from>
        <xdr:to>
          <xdr:col>1</xdr:col>
          <xdr:colOff>1181100</xdr:colOff>
          <xdr:row>157</xdr:row>
          <xdr:rowOff>171450</xdr:rowOff>
        </xdr:to>
        <xdr:sp macro="" textlink="">
          <xdr:nvSpPr>
            <xdr:cNvPr id="46104" name="Check Box 24" hidden="1">
              <a:extLst>
                <a:ext uri="{63B3BB69-23CF-44E3-9099-C40C66FF867C}">
                  <a14:compatExt spid="_x0000_s46104"/>
                </a:ext>
                <a:ext uri="{FF2B5EF4-FFF2-40B4-BE49-F238E27FC236}">
                  <a16:creationId xmlns:a16="http://schemas.microsoft.com/office/drawing/2014/main" id="{00000000-0008-0000-1700-000018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NAC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158</xdr:row>
          <xdr:rowOff>38100</xdr:rowOff>
        </xdr:from>
        <xdr:to>
          <xdr:col>1</xdr:col>
          <xdr:colOff>1181100</xdr:colOff>
          <xdr:row>158</xdr:row>
          <xdr:rowOff>171450</xdr:rowOff>
        </xdr:to>
        <xdr:sp macro="" textlink="">
          <xdr:nvSpPr>
            <xdr:cNvPr id="46105" name="Check Box 25" hidden="1">
              <a:extLst>
                <a:ext uri="{63B3BB69-23CF-44E3-9099-C40C66FF867C}">
                  <a14:compatExt spid="_x0000_s46105"/>
                </a:ext>
                <a:ext uri="{FF2B5EF4-FFF2-40B4-BE49-F238E27FC236}">
                  <a16:creationId xmlns:a16="http://schemas.microsoft.com/office/drawing/2014/main" id="{00000000-0008-0000-1700-000019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XDR/EDR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160</xdr:row>
          <xdr:rowOff>38100</xdr:rowOff>
        </xdr:from>
        <xdr:to>
          <xdr:col>1</xdr:col>
          <xdr:colOff>1438275</xdr:colOff>
          <xdr:row>160</xdr:row>
          <xdr:rowOff>171450</xdr:rowOff>
        </xdr:to>
        <xdr:sp macro="" textlink="">
          <xdr:nvSpPr>
            <xdr:cNvPr id="46106" name="Check Box 26" hidden="1">
              <a:extLst>
                <a:ext uri="{63B3BB69-23CF-44E3-9099-C40C66FF867C}">
                  <a14:compatExt spid="_x0000_s46106"/>
                </a:ext>
                <a:ext uri="{FF2B5EF4-FFF2-40B4-BE49-F238E27FC236}">
                  <a16:creationId xmlns:a16="http://schemas.microsoft.com/office/drawing/2014/main" id="{00000000-0008-0000-1700-00001A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Контроль конфигураций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81</xdr:row>
          <xdr:rowOff>66675</xdr:rowOff>
        </xdr:from>
        <xdr:to>
          <xdr:col>1</xdr:col>
          <xdr:colOff>1181100</xdr:colOff>
          <xdr:row>81</xdr:row>
          <xdr:rowOff>200025</xdr:rowOff>
        </xdr:to>
        <xdr:sp macro="" textlink="">
          <xdr:nvSpPr>
            <xdr:cNvPr id="46107" name="Check Box 27" hidden="1">
              <a:extLst>
                <a:ext uri="{63B3BB69-23CF-44E3-9099-C40C66FF867C}">
                  <a14:compatExt spid="_x0000_s46107"/>
                </a:ext>
                <a:ext uri="{FF2B5EF4-FFF2-40B4-BE49-F238E27FC236}">
                  <a16:creationId xmlns:a16="http://schemas.microsoft.com/office/drawing/2014/main" id="{00000000-0008-0000-1700-00001B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SEG (Mail Security)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159</xdr:row>
          <xdr:rowOff>38100</xdr:rowOff>
        </xdr:from>
        <xdr:to>
          <xdr:col>1</xdr:col>
          <xdr:colOff>1438275</xdr:colOff>
          <xdr:row>159</xdr:row>
          <xdr:rowOff>171450</xdr:rowOff>
        </xdr:to>
        <xdr:sp macro="" textlink="">
          <xdr:nvSpPr>
            <xdr:cNvPr id="46108" name="Check Box 28" hidden="1">
              <a:extLst>
                <a:ext uri="{63B3BB69-23CF-44E3-9099-C40C66FF867C}">
                  <a14:compatExt spid="_x0000_s46108"/>
                </a:ext>
                <a:ext uri="{FF2B5EF4-FFF2-40B4-BE49-F238E27FC236}">
                  <a16:creationId xmlns:a16="http://schemas.microsoft.com/office/drawing/2014/main" id="{00000000-0008-0000-1700-00001C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СХД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161</xdr:row>
          <xdr:rowOff>38100</xdr:rowOff>
        </xdr:from>
        <xdr:to>
          <xdr:col>1</xdr:col>
          <xdr:colOff>1438275</xdr:colOff>
          <xdr:row>161</xdr:row>
          <xdr:rowOff>171450</xdr:rowOff>
        </xdr:to>
        <xdr:sp macro="" textlink="">
          <xdr:nvSpPr>
            <xdr:cNvPr id="46109" name="Check Box 29" hidden="1">
              <a:extLst>
                <a:ext uri="{63B3BB69-23CF-44E3-9099-C40C66FF867C}">
                  <a14:compatExt spid="_x0000_s46109"/>
                </a:ext>
                <a:ext uri="{FF2B5EF4-FFF2-40B4-BE49-F238E27FC236}">
                  <a16:creationId xmlns:a16="http://schemas.microsoft.com/office/drawing/2014/main" id="{00000000-0008-0000-1700-00001D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ЗСВ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162</xdr:row>
          <xdr:rowOff>38100</xdr:rowOff>
        </xdr:from>
        <xdr:to>
          <xdr:col>1</xdr:col>
          <xdr:colOff>1438275</xdr:colOff>
          <xdr:row>162</xdr:row>
          <xdr:rowOff>171450</xdr:rowOff>
        </xdr:to>
        <xdr:sp macro="" textlink="">
          <xdr:nvSpPr>
            <xdr:cNvPr id="46110" name="Check Box 30" hidden="1">
              <a:extLst>
                <a:ext uri="{63B3BB69-23CF-44E3-9099-C40C66FF867C}">
                  <a14:compatExt spid="_x0000_s46110"/>
                </a:ext>
                <a:ext uri="{FF2B5EF4-FFF2-40B4-BE49-F238E27FC236}">
                  <a16:creationId xmlns:a16="http://schemas.microsoft.com/office/drawing/2014/main" id="{00000000-0008-0000-1700-00001E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СПО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163</xdr:row>
          <xdr:rowOff>38100</xdr:rowOff>
        </xdr:from>
        <xdr:to>
          <xdr:col>1</xdr:col>
          <xdr:colOff>1438275</xdr:colOff>
          <xdr:row>163</xdr:row>
          <xdr:rowOff>171450</xdr:rowOff>
        </xdr:to>
        <xdr:sp macro="" textlink="">
          <xdr:nvSpPr>
            <xdr:cNvPr id="46111" name="Check Box 31" hidden="1">
              <a:extLst>
                <a:ext uri="{63B3BB69-23CF-44E3-9099-C40C66FF867C}">
                  <a14:compatExt spid="_x0000_s46111"/>
                </a:ext>
                <a:ext uri="{FF2B5EF4-FFF2-40B4-BE49-F238E27FC236}">
                  <a16:creationId xmlns:a16="http://schemas.microsoft.com/office/drawing/2014/main" id="{00000000-0008-0000-1700-00001F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АСО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162</xdr:row>
          <xdr:rowOff>38100</xdr:rowOff>
        </xdr:from>
        <xdr:to>
          <xdr:col>1</xdr:col>
          <xdr:colOff>1438275</xdr:colOff>
          <xdr:row>162</xdr:row>
          <xdr:rowOff>171450</xdr:rowOff>
        </xdr:to>
        <xdr:sp macro="" textlink="">
          <xdr:nvSpPr>
            <xdr:cNvPr id="46112" name="Check Box 32" hidden="1">
              <a:extLst>
                <a:ext uri="{63B3BB69-23CF-44E3-9099-C40C66FF867C}">
                  <a14:compatExt spid="_x0000_s46112"/>
                </a:ext>
                <a:ext uri="{FF2B5EF4-FFF2-40B4-BE49-F238E27FC236}">
                  <a16:creationId xmlns:a16="http://schemas.microsoft.com/office/drawing/2014/main" id="{00000000-0008-0000-1700-000020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СПО</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163</xdr:row>
          <xdr:rowOff>38100</xdr:rowOff>
        </xdr:from>
        <xdr:to>
          <xdr:col>1</xdr:col>
          <xdr:colOff>1438275</xdr:colOff>
          <xdr:row>163</xdr:row>
          <xdr:rowOff>171450</xdr:rowOff>
        </xdr:to>
        <xdr:sp macro="" textlink="">
          <xdr:nvSpPr>
            <xdr:cNvPr id="46113" name="Check Box 33" hidden="1">
              <a:extLst>
                <a:ext uri="{63B3BB69-23CF-44E3-9099-C40C66FF867C}">
                  <a14:compatExt spid="_x0000_s46113"/>
                </a:ext>
                <a:ext uri="{FF2B5EF4-FFF2-40B4-BE49-F238E27FC236}">
                  <a16:creationId xmlns:a16="http://schemas.microsoft.com/office/drawing/2014/main" id="{00000000-0008-0000-1700-000021B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ВМ АСО</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276225</xdr:colOff>
          <xdr:row>25</xdr:row>
          <xdr:rowOff>0</xdr:rowOff>
        </xdr:from>
        <xdr:to>
          <xdr:col>0</xdr:col>
          <xdr:colOff>447675</xdr:colOff>
          <xdr:row>26</xdr:row>
          <xdr:rowOff>38100</xdr:rowOff>
        </xdr:to>
        <xdr:sp macro="" textlink="">
          <xdr:nvSpPr>
            <xdr:cNvPr id="109569" name="Audit_KII" hidden="1">
              <a:extLst>
                <a:ext uri="{63B3BB69-23CF-44E3-9099-C40C66FF867C}">
                  <a14:compatExt spid="_x0000_s109569"/>
                </a:ext>
                <a:ext uri="{FF2B5EF4-FFF2-40B4-BE49-F238E27FC236}">
                  <a16:creationId xmlns:a16="http://schemas.microsoft.com/office/drawing/2014/main" id="{00000000-0008-0000-1800-000001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228600</xdr:colOff>
          <xdr:row>37</xdr:row>
          <xdr:rowOff>123825</xdr:rowOff>
        </xdr:from>
        <xdr:to>
          <xdr:col>0</xdr:col>
          <xdr:colOff>409575</xdr:colOff>
          <xdr:row>38</xdr:row>
          <xdr:rowOff>142875</xdr:rowOff>
        </xdr:to>
        <xdr:sp macro="" textlink="">
          <xdr:nvSpPr>
            <xdr:cNvPr id="109570" name="MUiN_KII" hidden="1">
              <a:extLst>
                <a:ext uri="{63B3BB69-23CF-44E3-9099-C40C66FF867C}">
                  <a14:compatExt spid="_x0000_s109570"/>
                </a:ext>
                <a:ext uri="{FF2B5EF4-FFF2-40B4-BE49-F238E27FC236}">
                  <a16:creationId xmlns:a16="http://schemas.microsoft.com/office/drawing/2014/main" id="{00000000-0008-0000-1800-000002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257175</xdr:colOff>
          <xdr:row>41</xdr:row>
          <xdr:rowOff>257175</xdr:rowOff>
        </xdr:from>
        <xdr:to>
          <xdr:col>0</xdr:col>
          <xdr:colOff>400050</xdr:colOff>
          <xdr:row>42</xdr:row>
          <xdr:rowOff>133350</xdr:rowOff>
        </xdr:to>
        <xdr:sp macro="" textlink="">
          <xdr:nvSpPr>
            <xdr:cNvPr id="109571" name="ORD_KII" hidden="1">
              <a:extLst>
                <a:ext uri="{63B3BB69-23CF-44E3-9099-C40C66FF867C}">
                  <a14:compatExt spid="_x0000_s109571"/>
                </a:ext>
                <a:ext uri="{FF2B5EF4-FFF2-40B4-BE49-F238E27FC236}">
                  <a16:creationId xmlns:a16="http://schemas.microsoft.com/office/drawing/2014/main" id="{00000000-0008-0000-1800-000003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285750</xdr:colOff>
          <xdr:row>89</xdr:row>
          <xdr:rowOff>19050</xdr:rowOff>
        </xdr:from>
        <xdr:to>
          <xdr:col>0</xdr:col>
          <xdr:colOff>428625</xdr:colOff>
          <xdr:row>90</xdr:row>
          <xdr:rowOff>19050</xdr:rowOff>
        </xdr:to>
        <xdr:sp macro="" textlink="">
          <xdr:nvSpPr>
            <xdr:cNvPr id="109572" name="Audit_PDN" hidden="1">
              <a:extLst>
                <a:ext uri="{63B3BB69-23CF-44E3-9099-C40C66FF867C}">
                  <a14:compatExt spid="_x0000_s109572"/>
                </a:ext>
                <a:ext uri="{FF2B5EF4-FFF2-40B4-BE49-F238E27FC236}">
                  <a16:creationId xmlns:a16="http://schemas.microsoft.com/office/drawing/2014/main" id="{00000000-0008-0000-1800-000004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247650</xdr:colOff>
          <xdr:row>103</xdr:row>
          <xdr:rowOff>95250</xdr:rowOff>
        </xdr:from>
        <xdr:to>
          <xdr:col>0</xdr:col>
          <xdr:colOff>419100</xdr:colOff>
          <xdr:row>104</xdr:row>
          <xdr:rowOff>57150</xdr:rowOff>
        </xdr:to>
        <xdr:sp macro="" textlink="">
          <xdr:nvSpPr>
            <xdr:cNvPr id="109573" name="MUiN_PDN" hidden="1">
              <a:extLst>
                <a:ext uri="{63B3BB69-23CF-44E3-9099-C40C66FF867C}">
                  <a14:compatExt spid="_x0000_s109573"/>
                </a:ext>
                <a:ext uri="{FF2B5EF4-FFF2-40B4-BE49-F238E27FC236}">
                  <a16:creationId xmlns:a16="http://schemas.microsoft.com/office/drawing/2014/main" id="{00000000-0008-0000-1800-000005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276225</xdr:colOff>
          <xdr:row>106</xdr:row>
          <xdr:rowOff>9525</xdr:rowOff>
        </xdr:from>
        <xdr:to>
          <xdr:col>0</xdr:col>
          <xdr:colOff>409575</xdr:colOff>
          <xdr:row>107</xdr:row>
          <xdr:rowOff>9525</xdr:rowOff>
        </xdr:to>
        <xdr:sp macro="" textlink="">
          <xdr:nvSpPr>
            <xdr:cNvPr id="109574" name="Klass_PDN" hidden="1">
              <a:extLst>
                <a:ext uri="{63B3BB69-23CF-44E3-9099-C40C66FF867C}">
                  <a14:compatExt spid="_x0000_s109574"/>
                </a:ext>
                <a:ext uri="{FF2B5EF4-FFF2-40B4-BE49-F238E27FC236}">
                  <a16:creationId xmlns:a16="http://schemas.microsoft.com/office/drawing/2014/main" id="{00000000-0008-0000-1800-00000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285750</xdr:colOff>
          <xdr:row>110</xdr:row>
          <xdr:rowOff>28575</xdr:rowOff>
        </xdr:from>
        <xdr:to>
          <xdr:col>0</xdr:col>
          <xdr:colOff>428625</xdr:colOff>
          <xdr:row>111</xdr:row>
          <xdr:rowOff>9525</xdr:rowOff>
        </xdr:to>
        <xdr:sp macro="" textlink="">
          <xdr:nvSpPr>
            <xdr:cNvPr id="109575" name="ORD_PDN" hidden="1">
              <a:extLst>
                <a:ext uri="{63B3BB69-23CF-44E3-9099-C40C66FF867C}">
                  <a14:compatExt spid="_x0000_s109575"/>
                </a:ext>
                <a:ext uri="{FF2B5EF4-FFF2-40B4-BE49-F238E27FC236}">
                  <a16:creationId xmlns:a16="http://schemas.microsoft.com/office/drawing/2014/main" id="{00000000-0008-0000-1800-00000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276225</xdr:colOff>
          <xdr:row>167</xdr:row>
          <xdr:rowOff>114300</xdr:rowOff>
        </xdr:from>
        <xdr:to>
          <xdr:col>0</xdr:col>
          <xdr:colOff>409575</xdr:colOff>
          <xdr:row>168</xdr:row>
          <xdr:rowOff>57150</xdr:rowOff>
        </xdr:to>
        <xdr:sp macro="" textlink="">
          <xdr:nvSpPr>
            <xdr:cNvPr id="109576" name="Audit_GIS" hidden="1">
              <a:extLst>
                <a:ext uri="{63B3BB69-23CF-44E3-9099-C40C66FF867C}">
                  <a14:compatExt spid="_x0000_s109576"/>
                </a:ext>
                <a:ext uri="{FF2B5EF4-FFF2-40B4-BE49-F238E27FC236}">
                  <a16:creationId xmlns:a16="http://schemas.microsoft.com/office/drawing/2014/main" id="{00000000-0008-0000-1800-00000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285750</xdr:colOff>
          <xdr:row>181</xdr:row>
          <xdr:rowOff>66675</xdr:rowOff>
        </xdr:from>
        <xdr:to>
          <xdr:col>0</xdr:col>
          <xdr:colOff>419100</xdr:colOff>
          <xdr:row>182</xdr:row>
          <xdr:rowOff>47625</xdr:rowOff>
        </xdr:to>
        <xdr:sp macro="" textlink="">
          <xdr:nvSpPr>
            <xdr:cNvPr id="109577" name="MUiN_GIS" hidden="1">
              <a:extLst>
                <a:ext uri="{63B3BB69-23CF-44E3-9099-C40C66FF867C}">
                  <a14:compatExt spid="_x0000_s109577"/>
                </a:ext>
                <a:ext uri="{FF2B5EF4-FFF2-40B4-BE49-F238E27FC236}">
                  <a16:creationId xmlns:a16="http://schemas.microsoft.com/office/drawing/2014/main" id="{00000000-0008-0000-1800-000009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276225</xdr:colOff>
          <xdr:row>183</xdr:row>
          <xdr:rowOff>190500</xdr:rowOff>
        </xdr:from>
        <xdr:to>
          <xdr:col>0</xdr:col>
          <xdr:colOff>419100</xdr:colOff>
          <xdr:row>184</xdr:row>
          <xdr:rowOff>161925</xdr:rowOff>
        </xdr:to>
        <xdr:sp macro="" textlink="">
          <xdr:nvSpPr>
            <xdr:cNvPr id="109578" name="Klass_GIS" hidden="1">
              <a:extLst>
                <a:ext uri="{63B3BB69-23CF-44E3-9099-C40C66FF867C}">
                  <a14:compatExt spid="_x0000_s109578"/>
                </a:ext>
                <a:ext uri="{FF2B5EF4-FFF2-40B4-BE49-F238E27FC236}">
                  <a16:creationId xmlns:a16="http://schemas.microsoft.com/office/drawing/2014/main" id="{00000000-0008-0000-1800-00000A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276225</xdr:colOff>
          <xdr:row>188</xdr:row>
          <xdr:rowOff>19050</xdr:rowOff>
        </xdr:from>
        <xdr:to>
          <xdr:col>0</xdr:col>
          <xdr:colOff>409575</xdr:colOff>
          <xdr:row>189</xdr:row>
          <xdr:rowOff>47625</xdr:rowOff>
        </xdr:to>
        <xdr:sp macro="" textlink="">
          <xdr:nvSpPr>
            <xdr:cNvPr id="109579" name="ORD_GIS" hidden="1">
              <a:extLst>
                <a:ext uri="{63B3BB69-23CF-44E3-9099-C40C66FF867C}">
                  <a14:compatExt spid="_x0000_s109579"/>
                </a:ext>
                <a:ext uri="{FF2B5EF4-FFF2-40B4-BE49-F238E27FC236}">
                  <a16:creationId xmlns:a16="http://schemas.microsoft.com/office/drawing/2014/main" id="{00000000-0008-0000-1800-00000B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285750</xdr:colOff>
          <xdr:row>222</xdr:row>
          <xdr:rowOff>123825</xdr:rowOff>
        </xdr:from>
        <xdr:to>
          <xdr:col>0</xdr:col>
          <xdr:colOff>428625</xdr:colOff>
          <xdr:row>223</xdr:row>
          <xdr:rowOff>104775</xdr:rowOff>
        </xdr:to>
        <xdr:sp macro="" textlink="">
          <xdr:nvSpPr>
            <xdr:cNvPr id="109580" name="Attestat" hidden="1">
              <a:extLst>
                <a:ext uri="{63B3BB69-23CF-44E3-9099-C40C66FF867C}">
                  <a14:compatExt spid="_x0000_s109580"/>
                </a:ext>
                <a:ext uri="{FF2B5EF4-FFF2-40B4-BE49-F238E27FC236}">
                  <a16:creationId xmlns:a16="http://schemas.microsoft.com/office/drawing/2014/main" id="{00000000-0008-0000-1800-00000C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285750</xdr:colOff>
          <xdr:row>238</xdr:row>
          <xdr:rowOff>123825</xdr:rowOff>
        </xdr:from>
        <xdr:to>
          <xdr:col>0</xdr:col>
          <xdr:colOff>428625</xdr:colOff>
          <xdr:row>238</xdr:row>
          <xdr:rowOff>276225</xdr:rowOff>
        </xdr:to>
        <xdr:sp macro="" textlink="">
          <xdr:nvSpPr>
            <xdr:cNvPr id="109581" name="Audit_KT" hidden="1">
              <a:extLst>
                <a:ext uri="{63B3BB69-23CF-44E3-9099-C40C66FF867C}">
                  <a14:compatExt spid="_x0000_s109581"/>
                </a:ext>
                <a:ext uri="{FF2B5EF4-FFF2-40B4-BE49-F238E27FC236}">
                  <a16:creationId xmlns:a16="http://schemas.microsoft.com/office/drawing/2014/main" id="{00000000-0008-0000-1800-00000D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266700</xdr:colOff>
          <xdr:row>252</xdr:row>
          <xdr:rowOff>123825</xdr:rowOff>
        </xdr:from>
        <xdr:to>
          <xdr:col>0</xdr:col>
          <xdr:colOff>438150</xdr:colOff>
          <xdr:row>253</xdr:row>
          <xdr:rowOff>123825</xdr:rowOff>
        </xdr:to>
        <xdr:sp macro="" textlink="">
          <xdr:nvSpPr>
            <xdr:cNvPr id="109582" name="MUiN_KT" hidden="1">
              <a:extLst>
                <a:ext uri="{63B3BB69-23CF-44E3-9099-C40C66FF867C}">
                  <a14:compatExt spid="_x0000_s109582"/>
                </a:ext>
                <a:ext uri="{FF2B5EF4-FFF2-40B4-BE49-F238E27FC236}">
                  <a16:creationId xmlns:a16="http://schemas.microsoft.com/office/drawing/2014/main" id="{00000000-0008-0000-1800-00000E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285750</xdr:colOff>
          <xdr:row>256</xdr:row>
          <xdr:rowOff>19050</xdr:rowOff>
        </xdr:from>
        <xdr:to>
          <xdr:col>0</xdr:col>
          <xdr:colOff>419100</xdr:colOff>
          <xdr:row>257</xdr:row>
          <xdr:rowOff>47625</xdr:rowOff>
        </xdr:to>
        <xdr:sp macro="" textlink="">
          <xdr:nvSpPr>
            <xdr:cNvPr id="109583" name="ORD_KT" hidden="1">
              <a:extLst>
                <a:ext uri="{63B3BB69-23CF-44E3-9099-C40C66FF867C}">
                  <a14:compatExt spid="_x0000_s109583"/>
                </a:ext>
                <a:ext uri="{FF2B5EF4-FFF2-40B4-BE49-F238E27FC236}">
                  <a16:creationId xmlns:a16="http://schemas.microsoft.com/office/drawing/2014/main" id="{00000000-0008-0000-1800-00000F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304800</xdr:colOff>
          <xdr:row>275</xdr:row>
          <xdr:rowOff>57150</xdr:rowOff>
        </xdr:from>
        <xdr:to>
          <xdr:col>0</xdr:col>
          <xdr:colOff>438150</xdr:colOff>
          <xdr:row>275</xdr:row>
          <xdr:rowOff>257175</xdr:rowOff>
        </xdr:to>
        <xdr:sp macro="" textlink="">
          <xdr:nvSpPr>
            <xdr:cNvPr id="109584" name="Klass_AS" hidden="1">
              <a:extLst>
                <a:ext uri="{63B3BB69-23CF-44E3-9099-C40C66FF867C}">
                  <a14:compatExt spid="_x0000_s109584"/>
                </a:ext>
                <a:ext uri="{FF2B5EF4-FFF2-40B4-BE49-F238E27FC236}">
                  <a16:creationId xmlns:a16="http://schemas.microsoft.com/office/drawing/2014/main" id="{00000000-0008-0000-1800-000010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295275</xdr:colOff>
          <xdr:row>279</xdr:row>
          <xdr:rowOff>66675</xdr:rowOff>
        </xdr:from>
        <xdr:to>
          <xdr:col>0</xdr:col>
          <xdr:colOff>428625</xdr:colOff>
          <xdr:row>279</xdr:row>
          <xdr:rowOff>219075</xdr:rowOff>
        </xdr:to>
        <xdr:sp macro="" textlink="">
          <xdr:nvSpPr>
            <xdr:cNvPr id="109585" name="Vuln" hidden="1">
              <a:extLst>
                <a:ext uri="{63B3BB69-23CF-44E3-9099-C40C66FF867C}">
                  <a14:compatExt spid="_x0000_s109585"/>
                </a:ext>
                <a:ext uri="{FF2B5EF4-FFF2-40B4-BE49-F238E27FC236}">
                  <a16:creationId xmlns:a16="http://schemas.microsoft.com/office/drawing/2014/main" id="{00000000-0008-0000-1800-000011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276225</xdr:colOff>
          <xdr:row>287</xdr:row>
          <xdr:rowOff>85725</xdr:rowOff>
        </xdr:from>
        <xdr:to>
          <xdr:col>0</xdr:col>
          <xdr:colOff>400050</xdr:colOff>
          <xdr:row>288</xdr:row>
          <xdr:rowOff>76200</xdr:rowOff>
        </xdr:to>
        <xdr:sp macro="" textlink="">
          <xdr:nvSpPr>
            <xdr:cNvPr id="109586" name="MUiN_TSOD" hidden="1">
              <a:extLst>
                <a:ext uri="{63B3BB69-23CF-44E3-9099-C40C66FF867C}">
                  <a14:compatExt spid="_x0000_s109586"/>
                </a:ext>
                <a:ext uri="{FF2B5EF4-FFF2-40B4-BE49-F238E27FC236}">
                  <a16:creationId xmlns:a16="http://schemas.microsoft.com/office/drawing/2014/main" id="{00000000-0008-0000-1800-000012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485775</xdr:colOff>
          <xdr:row>0</xdr:row>
          <xdr:rowOff>123825</xdr:rowOff>
        </xdr:from>
        <xdr:to>
          <xdr:col>1</xdr:col>
          <xdr:colOff>619125</xdr:colOff>
          <xdr:row>1</xdr:row>
          <xdr:rowOff>9525</xdr:rowOff>
        </xdr:to>
        <xdr:sp macro="" textlink="">
          <xdr:nvSpPr>
            <xdr:cNvPr id="109587" name="Show_KII" hidden="1">
              <a:extLst>
                <a:ext uri="{63B3BB69-23CF-44E3-9099-C40C66FF867C}">
                  <a14:compatExt spid="_x0000_s109587"/>
                </a:ext>
                <a:ext uri="{FF2B5EF4-FFF2-40B4-BE49-F238E27FC236}">
                  <a16:creationId xmlns:a16="http://schemas.microsoft.com/office/drawing/2014/main" id="{00000000-0008-0000-1800-000013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476250</xdr:colOff>
          <xdr:row>1</xdr:row>
          <xdr:rowOff>142875</xdr:rowOff>
        </xdr:from>
        <xdr:to>
          <xdr:col>1</xdr:col>
          <xdr:colOff>619125</xdr:colOff>
          <xdr:row>1</xdr:row>
          <xdr:rowOff>333375</xdr:rowOff>
        </xdr:to>
        <xdr:sp macro="" textlink="">
          <xdr:nvSpPr>
            <xdr:cNvPr id="109588" name="Show_PDN" hidden="1">
              <a:extLst>
                <a:ext uri="{63B3BB69-23CF-44E3-9099-C40C66FF867C}">
                  <a14:compatExt spid="_x0000_s109588"/>
                </a:ext>
                <a:ext uri="{FF2B5EF4-FFF2-40B4-BE49-F238E27FC236}">
                  <a16:creationId xmlns:a16="http://schemas.microsoft.com/office/drawing/2014/main" id="{00000000-0008-0000-1800-000014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476250</xdr:colOff>
          <xdr:row>2</xdr:row>
          <xdr:rowOff>219075</xdr:rowOff>
        </xdr:from>
        <xdr:to>
          <xdr:col>1</xdr:col>
          <xdr:colOff>628650</xdr:colOff>
          <xdr:row>2</xdr:row>
          <xdr:rowOff>400050</xdr:rowOff>
        </xdr:to>
        <xdr:sp macro="" textlink="">
          <xdr:nvSpPr>
            <xdr:cNvPr id="109589" name="Show_GIS" hidden="1">
              <a:extLst>
                <a:ext uri="{63B3BB69-23CF-44E3-9099-C40C66FF867C}">
                  <a14:compatExt spid="_x0000_s109589"/>
                </a:ext>
                <a:ext uri="{FF2B5EF4-FFF2-40B4-BE49-F238E27FC236}">
                  <a16:creationId xmlns:a16="http://schemas.microsoft.com/office/drawing/2014/main" id="{00000000-0008-0000-1800-000015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476250</xdr:colOff>
          <xdr:row>3</xdr:row>
          <xdr:rowOff>0</xdr:rowOff>
        </xdr:from>
        <xdr:to>
          <xdr:col>1</xdr:col>
          <xdr:colOff>619125</xdr:colOff>
          <xdr:row>3</xdr:row>
          <xdr:rowOff>190500</xdr:rowOff>
        </xdr:to>
        <xdr:sp macro="" textlink="">
          <xdr:nvSpPr>
            <xdr:cNvPr id="109590" name="Show_KT" hidden="1">
              <a:extLst>
                <a:ext uri="{63B3BB69-23CF-44E3-9099-C40C66FF867C}">
                  <a14:compatExt spid="_x0000_s109590"/>
                </a:ext>
                <a:ext uri="{FF2B5EF4-FFF2-40B4-BE49-F238E27FC236}">
                  <a16:creationId xmlns:a16="http://schemas.microsoft.com/office/drawing/2014/main" id="{00000000-0008-0000-1800-00001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485775</xdr:colOff>
          <xdr:row>4</xdr:row>
          <xdr:rowOff>9525</xdr:rowOff>
        </xdr:from>
        <xdr:to>
          <xdr:col>1</xdr:col>
          <xdr:colOff>619125</xdr:colOff>
          <xdr:row>4</xdr:row>
          <xdr:rowOff>200025</xdr:rowOff>
        </xdr:to>
        <xdr:sp macro="" textlink="">
          <xdr:nvSpPr>
            <xdr:cNvPr id="109591" name="Show_AS" hidden="1">
              <a:extLst>
                <a:ext uri="{63B3BB69-23CF-44E3-9099-C40C66FF867C}">
                  <a14:compatExt spid="_x0000_s109591"/>
                </a:ext>
                <a:ext uri="{FF2B5EF4-FFF2-40B4-BE49-F238E27FC236}">
                  <a16:creationId xmlns:a16="http://schemas.microsoft.com/office/drawing/2014/main" id="{00000000-0008-0000-1800-00001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476250</xdr:colOff>
          <xdr:row>5</xdr:row>
          <xdr:rowOff>0</xdr:rowOff>
        </xdr:from>
        <xdr:to>
          <xdr:col>1</xdr:col>
          <xdr:colOff>619125</xdr:colOff>
          <xdr:row>5</xdr:row>
          <xdr:rowOff>190500</xdr:rowOff>
        </xdr:to>
        <xdr:sp macro="" textlink="">
          <xdr:nvSpPr>
            <xdr:cNvPr id="109592" name="Show_Vuln" hidden="1">
              <a:extLst>
                <a:ext uri="{63B3BB69-23CF-44E3-9099-C40C66FF867C}">
                  <a14:compatExt spid="_x0000_s109592"/>
                </a:ext>
                <a:ext uri="{FF2B5EF4-FFF2-40B4-BE49-F238E27FC236}">
                  <a16:creationId xmlns:a16="http://schemas.microsoft.com/office/drawing/2014/main" id="{00000000-0008-0000-1800-00001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476250</xdr:colOff>
          <xdr:row>6</xdr:row>
          <xdr:rowOff>0</xdr:rowOff>
        </xdr:from>
        <xdr:to>
          <xdr:col>1</xdr:col>
          <xdr:colOff>619125</xdr:colOff>
          <xdr:row>6</xdr:row>
          <xdr:rowOff>190500</xdr:rowOff>
        </xdr:to>
        <xdr:sp macro="" textlink="">
          <xdr:nvSpPr>
            <xdr:cNvPr id="109593" name="Show_TSOD" hidden="1">
              <a:extLst>
                <a:ext uri="{63B3BB69-23CF-44E3-9099-C40C66FF867C}">
                  <a14:compatExt spid="_x0000_s109593"/>
                </a:ext>
                <a:ext uri="{FF2B5EF4-FFF2-40B4-BE49-F238E27FC236}">
                  <a16:creationId xmlns:a16="http://schemas.microsoft.com/office/drawing/2014/main" id="{00000000-0008-0000-1800-000019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257175</xdr:colOff>
          <xdr:row>9</xdr:row>
          <xdr:rowOff>161925</xdr:rowOff>
        </xdr:from>
        <xdr:to>
          <xdr:col>0</xdr:col>
          <xdr:colOff>438150</xdr:colOff>
          <xdr:row>11</xdr:row>
          <xdr:rowOff>19050</xdr:rowOff>
        </xdr:to>
        <xdr:sp macro="" textlink="">
          <xdr:nvSpPr>
            <xdr:cNvPr id="109594" name="Kategorirovanie" hidden="1">
              <a:extLst>
                <a:ext uri="{63B3BB69-23CF-44E3-9099-C40C66FF867C}">
                  <a14:compatExt spid="_x0000_s109594"/>
                </a:ext>
                <a:ext uri="{FF2B5EF4-FFF2-40B4-BE49-F238E27FC236}">
                  <a16:creationId xmlns:a16="http://schemas.microsoft.com/office/drawing/2014/main" id="{00000000-0008-0000-1800-00001A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ishop\&#1054;&#1047;&#1040;&#1057;&#1059;&#1058;&#1055;\Users\e.harichkin\Documents\&#1055;&#1088;&#1077;&#1089;&#1077;&#1081;&#1083;\&#1058;&#1088;&#104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ishop\&#1054;&#1047;&#1040;&#1057;&#1059;&#1058;&#1055;\Users\a.gorbachev\Desktop\&#1058;&#1088;&#1047;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ishop\&#1054;&#1047;&#1040;&#1057;&#1059;&#1058;&#1055;\Users\e.postoev\Desktop\&#1058;&#1088;&#1047;_&#1082;&#1072;&#1083;&#1100;&#1082;&#1091;&#1083;&#1103;&#1090;&#1086;&#1088;%20&#1054;&#1055;_v2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ishop\&#1054;&#1047;&#1040;&#1057;&#1059;&#1058;&#1055;\Users\e.postoev\Downloads\&#1058;&#1088;&#1047;_&#1082;&#1072;&#1083;&#1100;&#1082;&#1091;&#1083;&#1103;&#1090;&#1086;&#1088;%20&#1054;&#1055;_v20_cor.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1044;&#1080;&#1088;&#1077;&#1082;&#1094;&#1080;&#1103;%20&#1087;&#1086;%20&#1080;&#1085;&#1090;&#1077;&#1075;&#1088;&#1072;&#1094;&#1080;&#1080;\&#1062;&#1050;&#1055;\&#1054;&#1090;&#1076;&#1077;&#1083;%20&#1040;&#1057;&#1059;%20&#1058;&#1055;\&#1055;&#1088;&#1086;&#1076;&#1091;&#1082;&#1090;&#1086;&#1074;&#1099;&#1081;%20&#1087;&#1086;&#1088;&#1090;&#1092;&#1077;&#1083;&#1100;\!&#1048;&#1085;&#1089;&#1090;&#1088;&#1091;&#1084;&#1077;&#1085;&#1090;&#1099;\&#1050;&#1072;&#1083;&#1100;&#1082;&#1091;&#1083;&#1103;&#1090;&#1086;&#1088;&#1099;\&#1058;&#1088;&#1047;_&#1054;&#1055;_&#1040;&#1057;&#1059;&#1058;&#1055;\&#1060;&#1072;&#1081;&#1083;&#1099;%20&#1087;&#1086;%20&#1087;&#1086;&#1076;&#1089;&#1080;&#1089;&#1090;&#1077;&#1084;&#1072;&#1084;\&#1053;&#1057;&#1044;_&#1061;&#1084;&#1099;&#1088;&#1086;&#1074;_&#1058;&#1088;&#1079;.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ishop.office.elvis.ru\&#1054;&#1047;&#1040;&#1057;&#1059;&#1058;&#1055;\&#1050;&#1072;&#1083;&#1100;&#1082;&#1091;&#1083;&#1103;&#1090;&#1086;&#1088;\&#1058;&#1088;&#1047;\&#1058;&#1088;&#1047;_&#1082;&#1072;&#1083;&#1100;&#1082;&#1091;&#1083;&#1103;&#1090;&#1086;&#1088;%20&#1054;&#1055;_v9(&#1074;&#1090;&#1086;&#1088;&#1086;&#1081;%20&#1087;&#1091;&#1085;&#1082;&#109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ishop\&#1054;&#1047;&#1040;&#1057;&#1059;&#1058;&#1055;\Users\e.postoev\Desktop\&#1058;&#1088;&#1047;_&#1082;&#1072;&#1083;&#1100;&#1082;&#1091;&#1083;&#1103;&#1090;&#1086;&#1088;%20&#1054;&#1055;_v8(&#1074;&#1090;&#1086;&#1088;&#1086;&#1081;%20&#1087;&#1091;&#1085;&#1082;&#1090;).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5.%20&#1054;&#1090;&#1076;&#1077;&#1083;\&#1054;&#1090;&#1076;&#1077;&#1083;%20&#1055;&#1088;&#1086;&#1077;&#1082;&#1090;&#1080;&#1088;&#1086;&#1074;&#1072;&#1085;&#1080;&#1103;\&#1050;&#1072;&#1083;&#1100;&#1082;&#1091;&#1083;&#1103;&#1090;&#1086;&#1088;\&#1058;&#1088;&#1047;_&#1059;&#1088;&#1086;&#1074;&#1077;&#1085;&#1100;%20&#1079;&#1088;&#1077;&#1083;&#1086;&#1089;&#1090;&#1080;.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ishop\&#1054;&#1047;&#1040;&#1057;&#1059;&#1058;&#1055;\5.%20&#1054;&#1090;&#1076;&#1077;&#1083;\&#1054;&#1090;&#1076;&#1077;&#1083;%20&#1042;&#1085;&#1077;&#1076;&#1088;&#1077;&#1085;&#1080;&#1103;\&#1050;&#1072;&#1083;&#1100;&#1082;&#1091;&#1083;&#1103;&#1090;&#1086;&#1088;%20&#1054;&#1042;%20v2.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1050;&#1072;&#1083;&#1100;&#1082;&#1091;&#1083;&#1103;&#1090;&#1086;&#1088;%20&#1058;&#1088;&#1047;%20&#1054;&#1050;&#1080;&#1040;_v1.1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Л"/>
      <sheetName val="Файл оценки"/>
      <sheetName val="Трудозатраты ПК"/>
      <sheetName val="ОП"/>
      <sheetName val="Спецификация_прообраз"/>
      <sheetName val="СЗИ"/>
      <sheetName val="ОВ"/>
      <sheetName val="ОС"/>
      <sheetName val="АСУТП"/>
      <sheetName val="Спецификация"/>
      <sheetName val="Информация"/>
      <sheetName val="Исходные данные ОВ"/>
      <sheetName val=" Результат ОВ"/>
      <sheetName val="Fortigate"/>
      <sheetName val="Checkpoint"/>
      <sheetName val="SNS"/>
      <sheetName val="KSC"/>
      <sheetName val="Данные для таблицы"/>
      <sheetName val="MP8"/>
      <sheetName val="vGate(ориентир)"/>
      <sheetName val="S-Terra"/>
      <sheetName val="Континент"/>
      <sheetName val="ViPNet"/>
      <sheetName val="Оценка спецификации"/>
      <sheetName val="Стандартные Спецификации"/>
      <sheetName val="Служебный ОП"/>
      <sheetName val="Служебный"/>
      <sheetName val="ТрЗ"/>
    </sheetNames>
    <sheetDataSet>
      <sheetData sheetId="0"/>
      <sheetData sheetId="1"/>
      <sheetData sheetId="2"/>
      <sheetData sheetId="3"/>
      <sheetData sheetId="4"/>
      <sheetData sheetId="5">
        <row r="1">
          <cell r="B1" t="str">
            <v>ТЗ</v>
          </cell>
          <cell r="C1" t="str">
            <v>ЭП</v>
          </cell>
          <cell r="D1" t="str">
            <v>ТП</v>
          </cell>
          <cell r="E1" t="str">
            <v>ТРП</v>
          </cell>
          <cell r="F1" t="str">
            <v>РД</v>
          </cell>
          <cell r="G1" t="str">
            <v>ЭД</v>
          </cell>
          <cell r="H1" t="str">
            <v>SТП</v>
          </cell>
          <cell r="I1" t="str">
            <v>S</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N2" t="str">
            <v>Очное</v>
          </cell>
        </row>
        <row r="3">
          <cell r="A3" t="str">
            <v>МСЭ</v>
          </cell>
          <cell r="J3" t="str">
            <v>Arbor</v>
          </cell>
          <cell r="N3" t="str">
            <v>Заочное</v>
          </cell>
        </row>
        <row r="4">
          <cell r="A4" t="str">
            <v>СОВ</v>
          </cell>
          <cell r="J4" t="str">
            <v>ArcSight</v>
          </cell>
          <cell r="N4" t="str">
            <v>Не требуется</v>
          </cell>
        </row>
        <row r="5">
          <cell r="A5" t="str">
            <v>Криптографическая защита передачи данных</v>
          </cell>
          <cell r="J5" t="str">
            <v>Balabit</v>
          </cell>
        </row>
        <row r="6">
          <cell r="A6" t="str">
            <v>Защита от DDoS</v>
          </cell>
          <cell r="J6" t="str">
            <v>BlueCoat SG</v>
          </cell>
        </row>
        <row r="7">
          <cell r="A7" t="str">
            <v>Защита от APT</v>
          </cell>
          <cell r="J7" t="str">
            <v>CheckPoint DDoS</v>
          </cell>
        </row>
        <row r="8">
          <cell r="A8" t="str">
            <v>Контроль доступа в Интернет</v>
          </cell>
          <cell r="J8" t="str">
            <v>CheckPoint NGFW</v>
          </cell>
        </row>
        <row r="9">
          <cell r="A9" t="str">
            <v>Защита от НСД</v>
          </cell>
          <cell r="J9" t="str">
            <v>CheckPoint SandBlast</v>
          </cell>
        </row>
        <row r="10">
          <cell r="A10" t="str">
            <v>Антивирусная защита</v>
          </cell>
          <cell r="J10" t="str">
            <v>Cisco ESA</v>
          </cell>
        </row>
        <row r="11">
          <cell r="A11" t="str">
            <v>SIEM</v>
          </cell>
          <cell r="J11" t="str">
            <v>CyberArc</v>
          </cell>
        </row>
        <row r="12">
          <cell r="A12" t="str">
            <v>Защита виртуализации</v>
          </cell>
          <cell r="J12" t="str">
            <v>DallasLock</v>
          </cell>
        </row>
        <row r="13">
          <cell r="A13" t="str">
            <v>Контроль действий привилегированных поль-лей</v>
          </cell>
          <cell r="J13" t="str">
            <v>Dozor ККМП</v>
          </cell>
        </row>
        <row r="14">
          <cell r="A14" t="str">
            <v>IDM</v>
          </cell>
          <cell r="J14" t="str">
            <v>Dr.Web EndPoint</v>
          </cell>
        </row>
        <row r="15">
          <cell r="A15" t="str">
            <v>DLP</v>
          </cell>
          <cell r="J15" t="str">
            <v>FortiGate Industrial</v>
          </cell>
        </row>
        <row r="16">
          <cell r="A16" t="str">
            <v>Анализ уязвимостей</v>
          </cell>
          <cell r="J16" t="str">
            <v>FortiGate UTM</v>
          </cell>
        </row>
        <row r="17">
          <cell r="A17" t="str">
            <v>Анализ кода</v>
          </cell>
          <cell r="J17" t="str">
            <v>FortiMail</v>
          </cell>
        </row>
        <row r="18">
          <cell r="A18" t="str">
            <v>Анализ приложений</v>
          </cell>
          <cell r="J18" t="str">
            <v>FortiSandBox</v>
          </cell>
        </row>
        <row r="19">
          <cell r="A19" t="str">
            <v>Резервное копирование</v>
          </cell>
          <cell r="J19" t="str">
            <v>Group IB TDS</v>
          </cell>
        </row>
        <row r="20">
          <cell r="A20" t="str">
            <v>Защита WEB</v>
          </cell>
          <cell r="J20" t="str">
            <v>Imperva DBAF</v>
          </cell>
        </row>
        <row r="21">
          <cell r="A21" t="str">
            <v>Защита DB</v>
          </cell>
          <cell r="J21" t="str">
            <v>Imperva WAF</v>
          </cell>
        </row>
        <row r="22">
          <cell r="A22" t="str">
            <v>Удостоверяющий центр</v>
          </cell>
          <cell r="J22" t="str">
            <v>InfoWatch</v>
          </cell>
        </row>
        <row r="23">
          <cell r="J23" t="str">
            <v>Kaspersky Anti-Spam</v>
          </cell>
        </row>
        <row r="24">
          <cell r="J24" t="str">
            <v>Kaspersky EndPoint</v>
          </cell>
        </row>
        <row r="25">
          <cell r="J25" t="str">
            <v>Kaspersky for Virtualization</v>
          </cell>
        </row>
        <row r="26">
          <cell r="J26" t="str">
            <v>KICS for networks</v>
          </cell>
        </row>
        <row r="27">
          <cell r="J27" t="str">
            <v>KICS for nodes</v>
          </cell>
        </row>
        <row r="28">
          <cell r="J28" t="str">
            <v>MOXA</v>
          </cell>
        </row>
        <row r="29">
          <cell r="J29" t="str">
            <v>MP 8</v>
          </cell>
        </row>
        <row r="30">
          <cell r="J30" t="str">
            <v>MP SIEM</v>
          </cell>
        </row>
        <row r="31">
          <cell r="J31" t="str">
            <v>PT ISIM</v>
          </cell>
        </row>
        <row r="32">
          <cell r="J32" t="str">
            <v>PTAF</v>
          </cell>
        </row>
        <row r="33">
          <cell r="J33" t="str">
            <v>Quialis</v>
          </cell>
        </row>
        <row r="34">
          <cell r="J34" t="str">
            <v>SafeNet HSM</v>
          </cell>
        </row>
        <row r="35">
          <cell r="J35" t="str">
            <v>SecretNet Studio/LSP</v>
          </cell>
        </row>
        <row r="36">
          <cell r="J36" t="str">
            <v>S-terra</v>
          </cell>
        </row>
        <row r="37">
          <cell r="J37" t="str">
            <v>TrendMicro DS</v>
          </cell>
        </row>
        <row r="38">
          <cell r="J38" t="str">
            <v>UserGate</v>
          </cell>
        </row>
        <row r="39">
          <cell r="J39" t="str">
            <v>vGate</v>
          </cell>
        </row>
        <row r="40">
          <cell r="J40" t="str">
            <v>ViPNet IDS</v>
          </cell>
        </row>
        <row r="41">
          <cell r="J41" t="str">
            <v>ViPNet IG</v>
          </cell>
        </row>
        <row r="42">
          <cell r="J42" t="str">
            <v>ViPNet КШ</v>
          </cell>
        </row>
        <row r="43">
          <cell r="J43" t="str">
            <v>VipNet УЦ</v>
          </cell>
        </row>
        <row r="44">
          <cell r="J44" t="str">
            <v>VmWare NSX</v>
          </cell>
        </row>
        <row r="45">
          <cell r="J45" t="str">
            <v>Wallix</v>
          </cell>
        </row>
        <row r="46">
          <cell r="J46" t="str">
            <v>X-Spider</v>
          </cell>
        </row>
        <row r="47">
          <cell r="J47" t="str">
            <v>Дозор DLP</v>
          </cell>
        </row>
        <row r="48">
          <cell r="J48" t="str">
            <v>Континент АПКШ</v>
          </cell>
        </row>
        <row r="49">
          <cell r="J49" t="str">
            <v>Континент ДА</v>
          </cell>
        </row>
        <row r="50">
          <cell r="J50" t="str">
            <v>КриптоПро HSM</v>
          </cell>
        </row>
        <row r="51">
          <cell r="J51" t="str">
            <v>КриптоПРО УЦ</v>
          </cell>
        </row>
      </sheetData>
      <sheetData sheetId="26">
        <row r="3">
          <cell r="H3" t="str">
            <v>Обследование</v>
          </cell>
        </row>
        <row r="4">
          <cell r="H4" t="str">
            <v>Разработка модели угроз и нарушителя</v>
          </cell>
        </row>
        <row r="5">
          <cell r="H5" t="str">
            <v>Классификация/Категорирование</v>
          </cell>
        </row>
        <row r="6">
          <cell r="H6" t="str">
            <v>Разработка технического задания</v>
          </cell>
        </row>
        <row r="7">
          <cell r="H7" t="str">
            <v>Разработка Технического проекта</v>
          </cell>
        </row>
        <row r="8">
          <cell r="H8" t="str">
            <v>Разработка организационно-распорядительной документации</v>
          </cell>
        </row>
        <row r="9">
          <cell r="H9" t="str">
            <v>Макетирование системы защиты</v>
          </cell>
        </row>
        <row r="10">
          <cell r="H10" t="str">
            <v>Внедрение средств защиты информации</v>
          </cell>
        </row>
        <row r="11">
          <cell r="H11" t="str">
            <v>Анализ уязвимостей</v>
          </cell>
        </row>
        <row r="12">
          <cell r="H12" t="str">
            <v>Оценка соответствия</v>
          </cell>
        </row>
        <row r="13">
          <cell r="H13" t="str">
            <v>Сервисное обслуживание</v>
          </cell>
        </row>
        <row r="14">
          <cell r="H14" t="str">
            <v>Управление проектом</v>
          </cell>
        </row>
        <row r="15">
          <cell r="H15" t="str">
            <v>Анализ защищенности</v>
          </cell>
        </row>
      </sheetData>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Л"/>
      <sheetName val="Файл оценки"/>
      <sheetName val="Трудозатраты ПК"/>
      <sheetName val="ОП"/>
      <sheetName val="Спецификация_прообраз"/>
      <sheetName val="СЗИ"/>
      <sheetName val="ОВ"/>
      <sheetName val="ОС"/>
      <sheetName val="АСУТП"/>
      <sheetName val="Спецификация"/>
      <sheetName val="Информация"/>
      <sheetName val="Исходные данные ОВ"/>
      <sheetName val=" Результат ОВ"/>
      <sheetName val="Fortigate"/>
      <sheetName val="Checkpoint"/>
      <sheetName val="SNS"/>
      <sheetName val="KSC"/>
      <sheetName val="Данные для таблицы"/>
      <sheetName val="MP8"/>
      <sheetName val="vGate(ориентир)"/>
      <sheetName val="S-Terra"/>
      <sheetName val="Континент"/>
      <sheetName val="ViPNet"/>
      <sheetName val="Оценка спецификации"/>
      <sheetName val="Стандартные Спецификации"/>
      <sheetName val="Служебный ОП"/>
      <sheetName val="Служебный"/>
      <sheetName val="ТрЗ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2">
          <cell r="N2" t="str">
            <v>Очное</v>
          </cell>
        </row>
        <row r="3">
          <cell r="A3" t="str">
            <v>МСЭ</v>
          </cell>
        </row>
        <row r="4">
          <cell r="A4" t="str">
            <v>СОВ</v>
          </cell>
        </row>
        <row r="5">
          <cell r="A5" t="str">
            <v>Криптографическая защита передачи данных</v>
          </cell>
        </row>
        <row r="6">
          <cell r="A6" t="str">
            <v>Защита от DDoS</v>
          </cell>
        </row>
        <row r="7">
          <cell r="A7" t="str">
            <v>Защита от APT</v>
          </cell>
        </row>
        <row r="8">
          <cell r="A8" t="str">
            <v>Контроль доступа в Интернет</v>
          </cell>
        </row>
        <row r="9">
          <cell r="A9" t="str">
            <v>Защита от НСД</v>
          </cell>
        </row>
        <row r="10">
          <cell r="A10" t="str">
            <v>Антивирусная защита</v>
          </cell>
        </row>
        <row r="11">
          <cell r="A11" t="str">
            <v>SIEM</v>
          </cell>
        </row>
        <row r="12">
          <cell r="A12" t="str">
            <v>Защита виртуализации</v>
          </cell>
        </row>
        <row r="13">
          <cell r="A13" t="str">
            <v>Контроль действий привилегированных поль-лей</v>
          </cell>
        </row>
        <row r="14">
          <cell r="A14" t="str">
            <v>IDM</v>
          </cell>
        </row>
        <row r="15">
          <cell r="A15" t="str">
            <v>DLP</v>
          </cell>
        </row>
        <row r="16">
          <cell r="A16" t="str">
            <v>Анализ уязвимостей</v>
          </cell>
        </row>
        <row r="17">
          <cell r="A17" t="str">
            <v>Анализ кода</v>
          </cell>
        </row>
        <row r="18">
          <cell r="A18" t="str">
            <v>Анализ приложений</v>
          </cell>
        </row>
        <row r="19">
          <cell r="A19" t="str">
            <v>Резервное копирование</v>
          </cell>
        </row>
        <row r="20">
          <cell r="A20" t="str">
            <v>Защита WEB</v>
          </cell>
        </row>
        <row r="21">
          <cell r="A21" t="str">
            <v>Защита DB</v>
          </cell>
        </row>
        <row r="22">
          <cell r="A22" t="str">
            <v>Удостоверяющий центр</v>
          </cell>
        </row>
      </sheetData>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ормация"/>
      <sheetName val="Файл оценки"/>
      <sheetName val="ТрЗ"/>
      <sheetName val="Уровень зрелости"/>
      <sheetName val="ГИС"/>
      <sheetName val="ИСПДн"/>
      <sheetName val="КИИ"/>
      <sheetName val="Тип разраб-ой док-ции"/>
      <sheetName val="Классы защит"/>
      <sheetName val="Служебный АСУТП"/>
      <sheetName val="Итоговый расчет АСУТП"/>
      <sheetName val="Документы АСУТП"/>
      <sheetName val="АВЗ АСУТП"/>
      <sheetName val="Спецификация"/>
      <sheetName val="Трудозатраты ПК"/>
      <sheetName val="Глоссарий документации"/>
      <sheetName val="Работы_Спецы"/>
      <sheetName val="PAM АСУТП"/>
      <sheetName val="МСЭ АСУТП"/>
      <sheetName val="РК АСУТП"/>
      <sheetName val="IDS АСУТП"/>
      <sheetName val="АПМДЗ АСУТП"/>
      <sheetName val="НСД АСУТП"/>
      <sheetName val="АЗ АСУТП"/>
      <sheetName val="SIEM АСУТП"/>
      <sheetName val="MFA АСУТП"/>
      <sheetName val="ДИОД АСУТП"/>
      <sheetName val="СЗВ АСУТП"/>
      <sheetName val="ВМ ЗСВ"/>
      <sheetName val="СКЗИ АСУТП"/>
      <sheetName val="VDI АСУТП"/>
      <sheetName val="СУБД АСУТП"/>
      <sheetName val="ВМ СПО"/>
      <sheetName val="ВМ АСО"/>
      <sheetName val="ГОССОПКА АСУТП"/>
      <sheetName val="TLS АСУТП"/>
      <sheetName val="DCAP АСУТП"/>
      <sheetName val="КОНФИГ АСУТП"/>
      <sheetName val="NTA АСУТП"/>
      <sheetName val="SEG АСУТП"/>
      <sheetName val="WAF АСУТП"/>
      <sheetName val="APT АСУТП"/>
      <sheetName val="NAC АСУТП"/>
      <sheetName val="SANDBOX АСУТП"/>
      <sheetName val="EDR АСУТП"/>
      <sheetName val="SOAR АСУТП"/>
      <sheetName val="АСУТП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E2" t="str">
            <v>Kaspersky Security для виртуальных и облачных сред</v>
          </cell>
          <cell r="F2" t="str">
            <v>MaxPatrol SIEM</v>
          </cell>
          <cell r="G2" t="str">
            <v>Межсетевой экран UserGate</v>
          </cell>
          <cell r="H2" t="str">
            <v xml:space="preserve">Solar SafeInspect </v>
          </cell>
          <cell r="I2" t="str">
            <v>Vipnet Coordinator HW</v>
          </cell>
          <cell r="J2" t="str">
            <v>RedCheck</v>
          </cell>
          <cell r="K2" t="str">
            <v>RuBackup</v>
          </cell>
          <cell r="L2" t="str">
            <v>Континент СОВ/СОА</v>
          </cell>
          <cell r="M2" t="str">
            <v>SecretNet</v>
          </cell>
          <cell r="N2" t="str">
            <v>Соболь</v>
          </cell>
          <cell r="O2" t="str">
            <v>JaCarta MS</v>
          </cell>
          <cell r="P2" t="str">
            <v>АМТ InfoDiode</v>
          </cell>
          <cell r="Q2" t="str">
            <v>vGate</v>
          </cell>
          <cell r="R2" t="str">
            <v>R-VISION SOAR</v>
          </cell>
          <cell r="S2" t="str">
            <v>Базис.WorkPlace</v>
          </cell>
          <cell r="T2" t="str">
            <v xml:space="preserve">PGSQL Pro </v>
          </cell>
          <cell r="U2" t="str">
            <v>PT Platform 187</v>
          </cell>
          <cell r="V2" t="str">
            <v>ViPNet TLS Gateway</v>
          </cell>
          <cell r="W2" t="str">
            <v>DCAP/DAG «СПЕКТР»</v>
          </cell>
          <cell r="X2" t="str">
            <v>Efros Config Inspector</v>
          </cell>
          <cell r="Y2" t="str">
            <v>Kaspersky Industrial CyberSecurity for Networks</v>
          </cell>
          <cell r="Z2" t="str">
            <v>Kaspersky Secure Mail Gateway</v>
          </cell>
          <cell r="AA2" t="str">
            <v>InfoWatch Targeted Attack Detector</v>
          </cell>
          <cell r="AB2" t="str">
            <v>Efros ACS</v>
          </cell>
          <cell r="AC2" t="str">
            <v>Kaspersky Sandbox</v>
          </cell>
          <cell r="AD2" t="str">
            <v>MaxPatrol XDR/EDR</v>
          </cell>
          <cell r="AE2" t="str">
            <v>PT Application Firewall</v>
          </cell>
          <cell r="AF2" t="str">
            <v>Vmware</v>
          </cell>
          <cell r="AG2" t="str">
            <v>Windows Security Options</v>
          </cell>
          <cell r="AH2" t="str">
            <v>LAN</v>
          </cell>
        </row>
        <row r="3">
          <cell r="E3" t="str">
            <v>KICS for Nodes Windows</v>
          </cell>
          <cell r="F3" t="str">
            <v>Kaspersky Unified Monitoring and Analysis Platform (KUMA)</v>
          </cell>
          <cell r="G3" t="str">
            <v>Solar NGFW</v>
          </cell>
          <cell r="H3" t="str">
            <v>Indeed Access Manager</v>
          </cell>
          <cell r="I3" t="str">
            <v>Vipnet Coordinator IG</v>
          </cell>
          <cell r="J3" t="str">
            <v>MaxPatrol VM</v>
          </cell>
          <cell r="K3" t="str">
            <v>Кибер Бэкап</v>
          </cell>
          <cell r="L3" t="str">
            <v xml:space="preserve">ViPNet IDS </v>
          </cell>
          <cell r="M3" t="str">
            <v>Dalas Lock</v>
          </cell>
          <cell r="N3" t="str">
            <v>Аккорд</v>
          </cell>
          <cell r="O3" t="str">
            <v>Рутокен</v>
          </cell>
          <cell r="P3" t="str">
            <v>Инконтрол - Д</v>
          </cell>
          <cell r="Q3" t="str">
            <v>Базис.Virtual Security</v>
          </cell>
          <cell r="R3" t="str">
            <v>R-Vision SGRC</v>
          </cell>
          <cell r="S3" t="str">
            <v>Termidesk VDI</v>
          </cell>
          <cell r="T3" t="str">
            <v xml:space="preserve">СУБД ЛИНТЕР БАСТИОН </v>
          </cell>
          <cell r="U3" t="str">
            <v>Platform GosSOPKA (KUMA)</v>
          </cell>
          <cell r="V3" t="str">
            <v>Континент TLS</v>
          </cell>
          <cell r="W3" t="str">
            <v>Solar DAG</v>
          </cell>
          <cell r="Y3" t="str">
            <v>PT ISIM</v>
          </cell>
          <cell r="AA3" t="str">
            <v>KATA</v>
          </cell>
          <cell r="AC3" t="str">
            <v>PT Sandbox</v>
          </cell>
          <cell r="AD3" t="str">
            <v>Kaspersky EDR</v>
          </cell>
          <cell r="AE3" t="str">
            <v>Континент WAF</v>
          </cell>
          <cell r="AF3" t="str">
            <v>Брест</v>
          </cell>
          <cell r="AG3" t="str">
            <v>Linux Security Options</v>
          </cell>
          <cell r="AH3" t="str">
            <v>WLAN</v>
          </cell>
        </row>
        <row r="4">
          <cell r="E4" t="str">
            <v>KICS for Nodes Linux</v>
          </cell>
          <cell r="G4" t="str">
            <v>Континент 4</v>
          </cell>
          <cell r="H4" t="str">
            <v>СКДПУ НТ</v>
          </cell>
          <cell r="I4" t="str">
            <v>C-TERRA ШЛЮЗ</v>
          </cell>
          <cell r="J4" t="str">
            <v>MaxPatrol 8</v>
          </cell>
          <cell r="L4" t="str">
            <v>С-Терра СОВ</v>
          </cell>
          <cell r="M4" t="str">
            <v>Блокхост сеть</v>
          </cell>
          <cell r="O4" t="str">
            <v>Indeed</v>
          </cell>
          <cell r="P4" t="str">
            <v>DS Integrity</v>
          </cell>
          <cell r="Q4" t="str">
            <v>СЗИ ВИ Dallas Lock</v>
          </cell>
          <cell r="R4" t="str">
            <v>Security Vision Incident Response Platform (IRP/SOAR)</v>
          </cell>
          <cell r="S4" t="str">
            <v>Space VDI</v>
          </cell>
          <cell r="W4" t="str">
            <v>Makves DCAP</v>
          </cell>
          <cell r="Y4" t="str">
            <v>PT NAD</v>
          </cell>
          <cell r="AA4" t="str">
            <v>PT Anti-APT</v>
          </cell>
          <cell r="AE4" t="str">
            <v>SolidWall WAF</v>
          </cell>
          <cell r="AF4" t="str">
            <v xml:space="preserve">zVirt </v>
          </cell>
          <cell r="AG4" t="str">
            <v>Astra Linux</v>
          </cell>
        </row>
        <row r="5">
          <cell r="E5" t="str">
            <v>KES Windows</v>
          </cell>
          <cell r="G5" t="str">
            <v>ViPNet xFirewall</v>
          </cell>
          <cell r="I5" t="str">
            <v>АПКШ Континент</v>
          </cell>
          <cell r="J5" t="str">
            <v>PT xSpider</v>
          </cell>
          <cell r="O5" t="str">
            <v>Мультифактор</v>
          </cell>
          <cell r="P5" t="str">
            <v>Profitap</v>
          </cell>
          <cell r="R5" t="str">
            <v>Security Vision SGRC</v>
          </cell>
          <cell r="S5" t="str">
            <v>Горизонт-ВС VDI</v>
          </cell>
          <cell r="Y5" t="str">
            <v>Гарда Монитор</v>
          </cell>
          <cell r="AF5" t="str">
            <v>РЕД Виртуализация</v>
          </cell>
          <cell r="AG5" t="str">
            <v>РЕД ОС</v>
          </cell>
        </row>
        <row r="6">
          <cell r="E6" t="str">
            <v>KES Linux</v>
          </cell>
          <cell r="I6" t="str">
            <v>ЗАСТАВА</v>
          </cell>
          <cell r="J6" t="str">
            <v>Сканер-ВС</v>
          </cell>
          <cell r="S6" t="str">
            <v>РУСТЭК.VDI</v>
          </cell>
          <cell r="AF6" t="str">
            <v>SpaceVM</v>
          </cell>
        </row>
        <row r="7">
          <cell r="E7" t="str">
            <v>PT MultiScanner</v>
          </cell>
          <cell r="AF7" t="str">
            <v>Горизонт-ВС</v>
          </cell>
        </row>
        <row r="8">
          <cell r="E8" t="str">
            <v>Dr Web Security Suite</v>
          </cell>
        </row>
        <row r="9">
          <cell r="E9" t="str">
            <v>Dr Web Industrial</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ормация"/>
      <sheetName val="Файл оценки"/>
      <sheetName val="ТрЗ"/>
      <sheetName val="Тип разраб-ой док-ции"/>
      <sheetName val="Итоговый расчет АСУТП"/>
      <sheetName val="Документы АСУТП"/>
      <sheetName val="Служебный АСУТП"/>
      <sheetName val="Уровень зрелости"/>
      <sheetName val="ГИС"/>
      <sheetName val="ИСПДн"/>
      <sheetName val="КИИ"/>
      <sheetName val="АВЗ АСУТП"/>
      <sheetName val="Спецификация"/>
      <sheetName val="Трудозатраты ПК"/>
      <sheetName val="Глоссарий документации"/>
      <sheetName val="Работы_Спецы"/>
      <sheetName val="PAM АСУТП"/>
      <sheetName val="МСЭ АСУТП"/>
      <sheetName val="РК АСУТП"/>
      <sheetName val="IDS АСУТП"/>
      <sheetName val="НСД АСУТП"/>
      <sheetName val="АЗ АСУТП"/>
      <sheetName val="SIEM АСУТП"/>
      <sheetName val="MFA АСУТП"/>
      <sheetName val="ДИОД АСУТП"/>
      <sheetName val="СЗВ АСУТП"/>
      <sheetName val="ВМ ЗСВ"/>
      <sheetName val="СКЗИ АСУТП"/>
      <sheetName val="VDI АСУТП"/>
      <sheetName val="СУБД АСУТП"/>
      <sheetName val="ВМ СПО"/>
      <sheetName val="ВМ АСО"/>
      <sheetName val="ГОССОПКА АСУТП"/>
      <sheetName val="TLS АСУТП"/>
      <sheetName val="DCAP АСУТП"/>
      <sheetName val="КОНФИГ АСУТП"/>
      <sheetName val="NTA АСУТП"/>
      <sheetName val="SEG АСУТП"/>
      <sheetName val="WAF АСУТП"/>
      <sheetName val="APT АСУТП"/>
      <sheetName val="NAC АСУТП"/>
      <sheetName val="SANDBOX АСУТП"/>
      <sheetName val="EDR АСУТП"/>
      <sheetName val="SOAR АСУТП"/>
      <sheetName val="АСУТП 1"/>
    </sheetNames>
    <sheetDataSet>
      <sheetData sheetId="0" refreshError="1"/>
      <sheetData sheetId="1" refreshError="1"/>
      <sheetData sheetId="2" refreshError="1"/>
      <sheetData sheetId="3" refreshError="1"/>
      <sheetData sheetId="4" refreshError="1"/>
      <sheetData sheetId="5" refreshError="1"/>
      <sheetData sheetId="6">
        <row r="1">
          <cell r="AH1" t="str">
            <v>НК</v>
          </cell>
        </row>
        <row r="2">
          <cell r="E2" t="str">
            <v>Kaspersky Security для виртуальных и облачных сред</v>
          </cell>
          <cell r="F2" t="str">
            <v>MaxPatrol SIEM</v>
          </cell>
          <cell r="G2" t="str">
            <v>Межсетевой экран UserGate</v>
          </cell>
          <cell r="H2" t="str">
            <v xml:space="preserve">Solar SafeInspect </v>
          </cell>
          <cell r="I2" t="str">
            <v>Vipnet Coordinator HW</v>
          </cell>
          <cell r="J2" t="str">
            <v>RedCheck</v>
          </cell>
          <cell r="K2" t="str">
            <v>RuBackup</v>
          </cell>
          <cell r="L2" t="str">
            <v>Континент СОВ/СОА</v>
          </cell>
          <cell r="M2" t="str">
            <v>SecretNet</v>
          </cell>
          <cell r="N2" t="str">
            <v>JaCarta MS</v>
          </cell>
          <cell r="O2" t="str">
            <v>АМТ InfoDiode</v>
          </cell>
          <cell r="P2" t="str">
            <v>vGate</v>
          </cell>
          <cell r="Q2" t="str">
            <v>R-VISION SOAR</v>
          </cell>
          <cell r="R2" t="str">
            <v>Базис.WorkPlace</v>
          </cell>
          <cell r="S2" t="str">
            <v xml:space="preserve">PGSQL Pro </v>
          </cell>
          <cell r="T2" t="str">
            <v>PT Platform 187</v>
          </cell>
          <cell r="U2" t="str">
            <v>ViPNet TLS Gateway</v>
          </cell>
          <cell r="V2" t="str">
            <v>DCAP/DAG «СПЕКТР»</v>
          </cell>
          <cell r="W2" t="str">
            <v>Efros Config Inspector</v>
          </cell>
          <cell r="X2" t="str">
            <v>Kaspersky Industrial CyberSecurity for Networks</v>
          </cell>
          <cell r="Y2" t="str">
            <v>Kaspersky Secure Mail Gateway</v>
          </cell>
          <cell r="Z2" t="str">
            <v>InfoWatch Targeted Attack Detector</v>
          </cell>
          <cell r="AA2" t="str">
            <v>Efros ACS</v>
          </cell>
          <cell r="AB2" t="str">
            <v>Kaspersky Sandbox</v>
          </cell>
          <cell r="AC2" t="str">
            <v>MaxPatrol XDR/EDR</v>
          </cell>
          <cell r="AD2" t="str">
            <v>PT Application Firewall</v>
          </cell>
          <cell r="AE2" t="str">
            <v>Vmware</v>
          </cell>
          <cell r="AF2" t="str">
            <v>Windows Security Options</v>
          </cell>
          <cell r="AG2" t="str">
            <v>LAN</v>
          </cell>
          <cell r="AH2" t="str">
            <v>ОК</v>
          </cell>
        </row>
        <row r="3">
          <cell r="E3" t="str">
            <v>KICS for Nodes Windows</v>
          </cell>
          <cell r="F3" t="str">
            <v>Kaspersky Unified Monitoring and Analysis Platform (KUMA)</v>
          </cell>
          <cell r="G3" t="str">
            <v>Solar NGFW</v>
          </cell>
          <cell r="H3" t="str">
            <v>Indeed Access Manager</v>
          </cell>
          <cell r="I3" t="str">
            <v>Vipnet Coordinator IG</v>
          </cell>
          <cell r="J3" t="str">
            <v>MaxPatrol VM</v>
          </cell>
          <cell r="K3" t="str">
            <v>Кибер Бэкап</v>
          </cell>
          <cell r="L3" t="str">
            <v xml:space="preserve">ViPNet IDS </v>
          </cell>
          <cell r="M3" t="str">
            <v>Соболь</v>
          </cell>
          <cell r="N3" t="str">
            <v>Рутокен</v>
          </cell>
          <cell r="O3" t="str">
            <v>Инконтрол - Д</v>
          </cell>
          <cell r="P3" t="str">
            <v>Базис.Virtual Security</v>
          </cell>
          <cell r="Q3" t="str">
            <v>R-Vision SGRC</v>
          </cell>
          <cell r="R3" t="str">
            <v>Termidesk VDI</v>
          </cell>
          <cell r="S3" t="str">
            <v xml:space="preserve">СУБД ЛИНТЕР БАСТИОН </v>
          </cell>
          <cell r="T3" t="str">
            <v>Platform GosSOPKA (KUMA)</v>
          </cell>
          <cell r="U3" t="str">
            <v>Континент TLS</v>
          </cell>
          <cell r="V3" t="str">
            <v>Solar DAG</v>
          </cell>
          <cell r="X3" t="str">
            <v>PT ISIM</v>
          </cell>
          <cell r="Z3" t="str">
            <v>KATA</v>
          </cell>
          <cell r="AB3" t="str">
            <v>PT Sandbox</v>
          </cell>
          <cell r="AC3" t="str">
            <v>Kaspersky EDR</v>
          </cell>
          <cell r="AD3" t="str">
            <v>Континент WAF</v>
          </cell>
          <cell r="AE3" t="str">
            <v>Брест</v>
          </cell>
          <cell r="AF3" t="str">
            <v>Linux Security Options</v>
          </cell>
          <cell r="AG3" t="str">
            <v>WLAN</v>
          </cell>
          <cell r="AH3" t="str">
            <v>ОП</v>
          </cell>
        </row>
        <row r="4">
          <cell r="E4" t="str">
            <v>KICS for Nodes Linux</v>
          </cell>
          <cell r="G4" t="str">
            <v>Континент 4</v>
          </cell>
          <cell r="H4" t="str">
            <v>СКДПУ НТ</v>
          </cell>
          <cell r="I4" t="str">
            <v>C-TERRA ШЛЮЗ</v>
          </cell>
          <cell r="J4" t="str">
            <v>MaxPatrol 8</v>
          </cell>
          <cell r="L4" t="str">
            <v>С-Терра СОВ</v>
          </cell>
          <cell r="M4" t="str">
            <v>Аккорд</v>
          </cell>
          <cell r="N4" t="str">
            <v>Indeed</v>
          </cell>
          <cell r="O4" t="str">
            <v>DS Integrity</v>
          </cell>
          <cell r="P4" t="str">
            <v>СЗИ ВИ Dallas Lock</v>
          </cell>
          <cell r="Q4" t="str">
            <v>Security Vision Incident Response Platform (IRP/SOAR)</v>
          </cell>
          <cell r="R4" t="str">
            <v>Space VDI</v>
          </cell>
          <cell r="V4" t="str">
            <v>Makves DCAP</v>
          </cell>
          <cell r="X4" t="str">
            <v>PT NAD</v>
          </cell>
          <cell r="Z4" t="str">
            <v>PT Anti-APT</v>
          </cell>
          <cell r="AD4" t="str">
            <v>SolidWall WAF</v>
          </cell>
          <cell r="AE4" t="str">
            <v xml:space="preserve">zVirt </v>
          </cell>
          <cell r="AF4" t="str">
            <v>Astra Linux</v>
          </cell>
          <cell r="AH4" t="str">
            <v>ОВ</v>
          </cell>
        </row>
        <row r="5">
          <cell r="E5" t="str">
            <v>KES Windows</v>
          </cell>
          <cell r="G5" t="str">
            <v>ViPNet xFirewall</v>
          </cell>
          <cell r="I5" t="str">
            <v>АПКШ Континент</v>
          </cell>
          <cell r="J5" t="str">
            <v>PT xSpider</v>
          </cell>
          <cell r="M5" t="str">
            <v>Dalas Lock</v>
          </cell>
          <cell r="N5" t="str">
            <v>Мультифактор</v>
          </cell>
          <cell r="O5" t="str">
            <v>Profitap</v>
          </cell>
          <cell r="Q5" t="str">
            <v>Security Vision SGRC</v>
          </cell>
          <cell r="R5" t="str">
            <v>Горизонт-ВС VDI</v>
          </cell>
          <cell r="X5" t="str">
            <v>Гарда Монитор</v>
          </cell>
          <cell r="AE5" t="str">
            <v>РЕД Виртуализация</v>
          </cell>
          <cell r="AF5" t="str">
            <v>РЕД ОС</v>
          </cell>
        </row>
        <row r="6">
          <cell r="E6" t="str">
            <v>KES Linux</v>
          </cell>
          <cell r="I6" t="str">
            <v>ЗАСТАВА</v>
          </cell>
          <cell r="J6" t="str">
            <v>Сканер-ВС</v>
          </cell>
          <cell r="M6" t="str">
            <v>Блокхост сеть</v>
          </cell>
          <cell r="R6" t="str">
            <v>РУСТЭК.VDI</v>
          </cell>
          <cell r="AE6" t="str">
            <v>SpaceVM</v>
          </cell>
        </row>
        <row r="7">
          <cell r="E7" t="str">
            <v>PT MultiScanner</v>
          </cell>
          <cell r="AE7" t="str">
            <v>Горизонт-ВС</v>
          </cell>
        </row>
        <row r="8">
          <cell r="E8" t="str">
            <v>Dr Web Security Suite</v>
          </cell>
        </row>
        <row r="9">
          <cell r="E9" t="str">
            <v>Dr Web Industrial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рЗ"/>
      <sheetName val="Файл оценки"/>
      <sheetName val="Трудозатраты ПК"/>
      <sheetName val="Итоговый расчет АСУТП"/>
      <sheetName val="Итоговый расчет ОП"/>
      <sheetName val="СЗВ АСУТП"/>
      <sheetName val="Документы ОП"/>
      <sheetName val="СЗВ ОП"/>
      <sheetName val="АВЗ ОП"/>
      <sheetName val="SIEM ОП"/>
      <sheetName val="МСЭ ОП"/>
      <sheetName val="PAM ОП"/>
      <sheetName val="СКЗИ ОП"/>
      <sheetName val="АЗ ОП"/>
      <sheetName val="РК ОП"/>
      <sheetName val="IDS ОП"/>
      <sheetName val="НСД АСУТП"/>
      <sheetName val="ЗСВ ОП"/>
      <sheetName val="WAF АСУТП"/>
      <sheetName val="WAF ОП"/>
      <sheetName val="DAM АСУТП"/>
      <sheetName val="DAM ОП"/>
      <sheetName val="Документы АСУТП"/>
      <sheetName val="SIEM АСУТП"/>
      <sheetName val="МСЭ АСУТП"/>
      <sheetName val="PAM АСУТП"/>
      <sheetName val="СКЗИ АСУТП"/>
      <sheetName val="АЗ АСУТП"/>
      <sheetName val="РК АСУТП"/>
      <sheetName val="IDS АСУТП"/>
      <sheetName val="Служебный АСУТП"/>
      <sheetName val="Служебный О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1">
          <cell r="R1" t="str">
            <v>АСУТП</v>
          </cell>
        </row>
        <row r="2">
          <cell r="B2" t="str">
            <v>Простой</v>
          </cell>
          <cell r="C2" t="str">
            <v>ТЗ</v>
          </cell>
          <cell r="E2" t="str">
            <v>Kasperesky Industrial Cybersecurity for Nodes</v>
          </cell>
          <cell r="F2" t="str">
            <v>MaxPatrol SIEM</v>
          </cell>
          <cell r="G2" t="str">
            <v>UserGate</v>
          </cell>
          <cell r="H2" t="str">
            <v>Бастион СКДПУ</v>
          </cell>
          <cell r="I2" t="str">
            <v>ViPNet Coordinator</v>
          </cell>
          <cell r="J2" t="str">
            <v>RedCheck</v>
          </cell>
          <cell r="K2" t="str">
            <v>Acronis</v>
          </cell>
          <cell r="L2" t="str">
            <v>Kaspersky Industrial CyberSecurity for Networks</v>
          </cell>
          <cell r="M2" t="str">
            <v>НСД</v>
          </cell>
          <cell r="N2" t="str">
            <v>PTAF</v>
          </cell>
          <cell r="O2" t="str">
            <v>Russian DAM</v>
          </cell>
          <cell r="P2" t="str">
            <v>vGate</v>
          </cell>
          <cell r="R2" t="str">
            <v>ОП</v>
          </cell>
        </row>
        <row r="3">
          <cell r="B3" t="str">
            <v>Обычный</v>
          </cell>
          <cell r="C3" t="str">
            <v>ЭП</v>
          </cell>
          <cell r="F3" t="str">
            <v>УЦСБ DATAPK (SIEM)</v>
          </cell>
          <cell r="J3" t="str">
            <v>УЦСБ DATAPK (АЗ)</v>
          </cell>
          <cell r="L3" t="str">
            <v>PT Industrial Security Incident Manager</v>
          </cell>
          <cell r="R3" t="str">
            <v>-</v>
          </cell>
        </row>
        <row r="4">
          <cell r="B4" t="str">
            <v>Сложный</v>
          </cell>
          <cell r="C4" t="str">
            <v>ТП</v>
          </cell>
          <cell r="L4" t="str">
            <v>УЦСБ DATAPK (IDS)</v>
          </cell>
        </row>
        <row r="5">
          <cell r="C5" t="str">
            <v>ТРП</v>
          </cell>
        </row>
        <row r="6">
          <cell r="C6" t="str">
            <v>РД</v>
          </cell>
        </row>
        <row r="7">
          <cell r="C7" t="str">
            <v>ЭД</v>
          </cell>
        </row>
        <row r="8">
          <cell r="C8" t="str">
            <v>SТП</v>
          </cell>
        </row>
        <row r="9">
          <cell r="C9" t="str">
            <v>S</v>
          </cell>
        </row>
      </sheetData>
      <sheetData sheetId="31">
        <row r="2">
          <cell r="E2" t="str">
            <v>АВЗ</v>
          </cell>
          <cell r="F2" t="str">
            <v>MaxPatrol SIEM</v>
          </cell>
          <cell r="G2" t="str">
            <v>Russian UTM</v>
          </cell>
          <cell r="H2" t="str">
            <v>Russian PAM</v>
          </cell>
          <cell r="I2" t="str">
            <v>Russian КШ</v>
          </cell>
          <cell r="J2" t="str">
            <v>VulnM</v>
          </cell>
          <cell r="K2" t="str">
            <v>СРК</v>
          </cell>
          <cell r="L2" t="str">
            <v xml:space="preserve">IDS </v>
          </cell>
          <cell r="M2" t="str">
            <v>НСД</v>
          </cell>
          <cell r="N2" t="str">
            <v>PTAF</v>
          </cell>
          <cell r="O2" t="str">
            <v>Russian DAM</v>
          </cell>
          <cell r="P2" t="str">
            <v>vGate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ормация"/>
      <sheetName val="Файл оценки"/>
      <sheetName val="ТрЗ"/>
      <sheetName val="Спецификация"/>
      <sheetName val="Трудозатраты ПК"/>
      <sheetName val="Глоссарий документации"/>
      <sheetName val="Работы_Спецы"/>
      <sheetName val="Итоговый расчет АСУТП"/>
      <sheetName val="PAM АСУТП"/>
      <sheetName val="МСЭ АСУТП"/>
      <sheetName val="РК АСУТП"/>
      <sheetName val="IDS АСУТП"/>
      <sheetName val="НСД АСУТП"/>
      <sheetName val="АЗ АСУТП"/>
      <sheetName val="АВЗ АСУТП"/>
      <sheetName val="SIEM АСУТП"/>
      <sheetName val="СКЗИ АСУТП"/>
      <sheetName val="WAF АСУТП"/>
      <sheetName val="ДИОД АСУТП"/>
      <sheetName val="СЗВ АСУТП"/>
      <sheetName val="Документы АСУТП"/>
      <sheetName val="Служебный АСУТП"/>
    </sheetNames>
    <sheetDataSet>
      <sheetData sheetId="0" refreshError="1"/>
      <sheetData sheetId="1" refreshError="1"/>
      <sheetData sheetId="2">
        <row r="11">
          <cell r="C11" t="str">
            <v>Dr Web Industrial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ow r="3">
          <cell r="AX3" t="str">
            <v>Vmware</v>
          </cell>
        </row>
      </sheetData>
      <sheetData sheetId="21">
        <row r="1">
          <cell r="R1" t="str">
            <v>АСУТП</v>
          </cell>
        </row>
        <row r="2">
          <cell r="E2" t="str">
            <v>Kaspersky Security для виртуальных и облачных сред</v>
          </cell>
          <cell r="F2" t="str">
            <v>MaxPatrol SIEM</v>
          </cell>
          <cell r="G2" t="str">
            <v>Межсетевой экран UserGate</v>
          </cell>
          <cell r="H2" t="str">
            <v xml:space="preserve">Solar SafeInspect </v>
          </cell>
          <cell r="I2" t="str">
            <v>Vipnet Coordinator HW</v>
          </cell>
          <cell r="J2" t="str">
            <v>RedCheck</v>
          </cell>
          <cell r="K2" t="str">
            <v>RuBackup</v>
          </cell>
          <cell r="L2" t="str">
            <v>Континент СОВ/СОА</v>
          </cell>
          <cell r="M2" t="str">
            <v>SecretNet</v>
          </cell>
          <cell r="N2" t="str">
            <v>JaCarta MS</v>
          </cell>
          <cell r="O2" t="str">
            <v>АМТ InfoDiode</v>
          </cell>
          <cell r="P2" t="str">
            <v>Vmware</v>
          </cell>
          <cell r="R2" t="str">
            <v>-</v>
          </cell>
        </row>
        <row r="3">
          <cell r="E3" t="str">
            <v>KICS for Nodes Windows</v>
          </cell>
          <cell r="F3" t="str">
            <v>Kaspersky Unified Monitoring and Analysis Platform (KUMA)</v>
          </cell>
          <cell r="G3" t="str">
            <v>Solar NGFW</v>
          </cell>
          <cell r="H3" t="str">
            <v>Indeed Access Manager</v>
          </cell>
          <cell r="I3" t="str">
            <v>Vipnet Coordinator IG</v>
          </cell>
          <cell r="J3" t="str">
            <v>MaxPatrol VM</v>
          </cell>
          <cell r="K3" t="str">
            <v>Кибер Бэкап</v>
          </cell>
          <cell r="L3" t="str">
            <v xml:space="preserve">ViPNet IDS </v>
          </cell>
          <cell r="M3" t="str">
            <v>Соболь</v>
          </cell>
          <cell r="N3" t="str">
            <v>Рутокен</v>
          </cell>
          <cell r="O3" t="str">
            <v>Инконтрол - Д</v>
          </cell>
          <cell r="P3" t="str">
            <v>Брест</v>
          </cell>
        </row>
        <row r="4">
          <cell r="E4" t="str">
            <v>KICS for Nodes Linux</v>
          </cell>
          <cell r="G4" t="str">
            <v>Континент 4</v>
          </cell>
          <cell r="H4" t="str">
            <v>СКДПУ НТ</v>
          </cell>
          <cell r="I4" t="str">
            <v>C-TERRA ШЛЮЗ</v>
          </cell>
          <cell r="J4" t="str">
            <v>MaxPatrol 8</v>
          </cell>
          <cell r="L4" t="str">
            <v>С-Терра СОВ</v>
          </cell>
          <cell r="M4" t="str">
            <v>Аккорд</v>
          </cell>
          <cell r="N4" t="str">
            <v>Indeed Access Manager</v>
          </cell>
          <cell r="O4" t="str">
            <v>DS Integrity</v>
          </cell>
          <cell r="P4" t="str">
            <v xml:space="preserve">zVirt </v>
          </cell>
        </row>
        <row r="5">
          <cell r="E5" t="str">
            <v>KES Windows</v>
          </cell>
          <cell r="G5" t="str">
            <v>ViPNet xFirewall</v>
          </cell>
          <cell r="I5" t="str">
            <v>АПКШ Континент</v>
          </cell>
          <cell r="J5" t="str">
            <v>PT xSpider</v>
          </cell>
          <cell r="M5" t="str">
            <v>Dalas Lock</v>
          </cell>
          <cell r="N5" t="str">
            <v>Мультифактор</v>
          </cell>
          <cell r="O5" t="str">
            <v>Profitap</v>
          </cell>
          <cell r="P5" t="str">
            <v>РЕД Виртуализация</v>
          </cell>
        </row>
        <row r="6">
          <cell r="E6" t="str">
            <v>KES Linux</v>
          </cell>
          <cell r="I6" t="str">
            <v>ЗАСТАВА</v>
          </cell>
          <cell r="J6" t="str">
            <v>Сканер-ВС</v>
          </cell>
          <cell r="M6" t="str">
            <v>Блокхост сеть</v>
          </cell>
          <cell r="P6" t="str">
            <v>SpaceVM</v>
          </cell>
        </row>
        <row r="7">
          <cell r="E7" t="str">
            <v>PT MultiScanner</v>
          </cell>
          <cell r="P7" t="str">
            <v>Горизонт-ВС</v>
          </cell>
        </row>
        <row r="8">
          <cell r="E8" t="str">
            <v>Dr Web Security Suite</v>
          </cell>
          <cell r="P8" t="str">
            <v>vGate</v>
          </cell>
        </row>
        <row r="9">
          <cell r="E9" t="str">
            <v>Dr Web Industrial</v>
          </cell>
          <cell r="P9" t="str">
            <v>Базис.Virtual Security</v>
          </cell>
        </row>
        <row r="10">
          <cell r="P10" t="str">
            <v>СЗИ ВИ Dallas Lock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ормация"/>
      <sheetName val="Файл оценки"/>
      <sheetName val="ТрЗ"/>
      <sheetName val="Итоговый расчет АСУТП"/>
      <sheetName val="Документы АСУТП"/>
      <sheetName val="Тип разраб-ой док-ции"/>
      <sheetName val="Глоссарий документации"/>
      <sheetName val="Уровень зрелости"/>
      <sheetName val="Спецификация"/>
      <sheetName val="Трудозатраты ПК"/>
      <sheetName val="Работы_Спецы"/>
      <sheetName val="PAM АСУТП"/>
      <sheetName val="МСЭ АСУТП"/>
      <sheetName val="РК АСУТП"/>
      <sheetName val="IDS АСУТП"/>
      <sheetName val="НСД АСУТП"/>
      <sheetName val="АЗ АСУТП"/>
      <sheetName val="АВЗ АСУТП"/>
      <sheetName val="Служебный АСУТП"/>
      <sheetName val="ДИОД АСУТП"/>
      <sheetName val="SIEM АСУТП"/>
      <sheetName val="СЗВ АСУТП"/>
      <sheetName val="СКЗИ АСУТП"/>
      <sheetName val="WAF АСУТ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R1" t="str">
            <v>АСУТП</v>
          </cell>
        </row>
        <row r="2">
          <cell r="E2" t="str">
            <v>Kasperesky Industrial Cybersecurity for Nodes</v>
          </cell>
          <cell r="F2" t="str">
            <v>MaxPatrol SIEM</v>
          </cell>
          <cell r="G2" t="str">
            <v>UserGate</v>
          </cell>
          <cell r="H2" t="str">
            <v>Бастион СКДПУ</v>
          </cell>
          <cell r="I2" t="str">
            <v>ViPNet Coordinator</v>
          </cell>
          <cell r="J2" t="str">
            <v>RedCheck</v>
          </cell>
          <cell r="K2" t="str">
            <v>Acronis</v>
          </cell>
          <cell r="L2" t="str">
            <v>Kaspersky Industrial CyberSecurity for Networks</v>
          </cell>
          <cell r="M2" t="str">
            <v>НСД</v>
          </cell>
          <cell r="N2" t="str">
            <v>PTAF</v>
          </cell>
          <cell r="O2" t="str">
            <v>СТРОМ-1000</v>
          </cell>
          <cell r="P2" t="str">
            <v>vGate</v>
          </cell>
          <cell r="R2" t="str">
            <v>-</v>
          </cell>
        </row>
        <row r="3">
          <cell r="E3" t="str">
            <v>Kasperesky Industrial Cybersecurity for Nodes for Linux</v>
          </cell>
          <cell r="F3" t="str">
            <v>УЦСБ DATAPK (SIEM)</v>
          </cell>
          <cell r="G3" t="str">
            <v>FortiGate</v>
          </cell>
          <cell r="I3" t="str">
            <v>C-TERRA</v>
          </cell>
          <cell r="J3" t="str">
            <v>УЦСБ DATAPK (АЗ)</v>
          </cell>
          <cell r="K3" t="str">
            <v>Veritas</v>
          </cell>
          <cell r="L3" t="str">
            <v>PT Industrial Security Incident Manager</v>
          </cell>
          <cell r="M3" t="str">
            <v>SNS</v>
          </cell>
          <cell r="O3" t="str">
            <v>АМТInfoDiode</v>
          </cell>
        </row>
        <row r="4">
          <cell r="E4" t="str">
            <v xml:space="preserve">McAfee </v>
          </cell>
          <cell r="F4" t="str">
            <v>KUMA</v>
          </cell>
          <cell r="G4" t="str">
            <v>Код Без NGFW</v>
          </cell>
          <cell r="I4" t="str">
            <v>АПКШ Континент</v>
          </cell>
          <cell r="J4" t="str">
            <v>xSpider</v>
          </cell>
          <cell r="K4" t="str">
            <v>Commvault Backup &amp; Recovery</v>
          </cell>
          <cell r="L4" t="str">
            <v>УЦСБ DATAPK (IDS)</v>
          </cell>
          <cell r="M4" t="str">
            <v>ПАК Соболь</v>
          </cell>
          <cell r="O4" t="str">
            <v>Инконтрол - Д</v>
          </cell>
        </row>
        <row r="5">
          <cell r="E5" t="str">
            <v xml:space="preserve">Symantec </v>
          </cell>
          <cell r="F5" t="str">
            <v>Neurodat</v>
          </cell>
          <cell r="G5" t="str">
            <v>ViPNet xFirewall</v>
          </cell>
          <cell r="J5" t="str">
            <v>MP8</v>
          </cell>
          <cell r="K5" t="str">
            <v>RuBackup</v>
          </cell>
          <cell r="M5" t="str">
            <v>МДЗ Аккорд</v>
          </cell>
          <cell r="O5" t="str">
            <v>DS Integrity</v>
          </cell>
        </row>
        <row r="6">
          <cell r="F6" t="str">
            <v>Arcsight</v>
          </cell>
          <cell r="K6" t="str">
            <v>Кибер бекап</v>
          </cell>
          <cell r="M6" t="str">
            <v>Dallas L</v>
          </cell>
          <cell r="O6" t="str">
            <v>Profitap</v>
          </cell>
        </row>
        <row r="7">
          <cell r="M7" t="str">
            <v>Блокхост сеть</v>
          </cell>
          <cell r="O7" t="str">
            <v>Рубикон</v>
          </cell>
        </row>
      </sheetData>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ормация"/>
      <sheetName val="Файл оценки"/>
      <sheetName val="ТрЗ"/>
      <sheetName val="Тип разраб-ой док-ции"/>
      <sheetName val="Глоссарий документации"/>
      <sheetName val="Уровень зрелости"/>
      <sheetName val="ГИС"/>
      <sheetName val="ИСПДн"/>
      <sheetName val="КИИ"/>
      <sheetName val="Итоговый расчет АСУТП"/>
      <sheetName val="Спецификация"/>
      <sheetName val="Трудозатраты ПК"/>
      <sheetName val="Работы_Спецы"/>
      <sheetName val="PAM АСУТП"/>
      <sheetName val="МСЭ АСУТП"/>
      <sheetName val="РК АСУТП"/>
      <sheetName val="IDS АСУТП"/>
      <sheetName val="НСД АСУТП"/>
      <sheetName val="АЗ АСУТП"/>
      <sheetName val="АВЗ АСУТП"/>
      <sheetName val="Документы АСУТП"/>
      <sheetName val="Служебный АСУТП"/>
      <sheetName val="ДИОД АСУТП"/>
      <sheetName val="SIEM АСУТП"/>
      <sheetName val="СЗВ АСУТП"/>
      <sheetName val="СКЗИ АСУТП"/>
      <sheetName val="WAF АСУТ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t="str">
            <v>АСУТП</v>
          </cell>
        </row>
        <row r="2">
          <cell r="E2" t="str">
            <v>Kasperesky Industrial Cybersecurity for Nodes</v>
          </cell>
          <cell r="F2" t="str">
            <v>MaxPatrol SIEM</v>
          </cell>
          <cell r="G2" t="str">
            <v>UserGate</v>
          </cell>
          <cell r="H2" t="str">
            <v>Бастион СКДПУ</v>
          </cell>
          <cell r="I2" t="str">
            <v>ViPNet Coordinator</v>
          </cell>
          <cell r="J2" t="str">
            <v>RedCheck</v>
          </cell>
          <cell r="K2" t="str">
            <v>Acronis</v>
          </cell>
          <cell r="L2" t="str">
            <v>Kaspersky Industrial CyberSecurity for Networks</v>
          </cell>
          <cell r="M2" t="str">
            <v>НСД</v>
          </cell>
          <cell r="N2" t="str">
            <v>PTAF</v>
          </cell>
          <cell r="O2" t="str">
            <v>СТРОМ-1000</v>
          </cell>
          <cell r="P2" t="str">
            <v>vGate</v>
          </cell>
          <cell r="R2" t="str">
            <v>-</v>
          </cell>
        </row>
        <row r="3">
          <cell r="E3" t="str">
            <v>Kasperesky Industrial Cybersecurity for Nodes for Linux</v>
          </cell>
          <cell r="F3" t="str">
            <v>УЦСБ DATAPK (SIEM)</v>
          </cell>
          <cell r="G3" t="str">
            <v>FortiGate</v>
          </cell>
          <cell r="I3" t="str">
            <v>C-TERRA</v>
          </cell>
          <cell r="J3" t="str">
            <v>УЦСБ DATAPK (АЗ)</v>
          </cell>
          <cell r="K3" t="str">
            <v>Veritas</v>
          </cell>
          <cell r="L3" t="str">
            <v>PT Industrial Security Incident Manager</v>
          </cell>
          <cell r="M3" t="str">
            <v>SNS</v>
          </cell>
          <cell r="O3" t="str">
            <v>АМТInfoDiode</v>
          </cell>
        </row>
        <row r="4">
          <cell r="E4" t="str">
            <v xml:space="preserve">McAfee </v>
          </cell>
          <cell r="F4" t="str">
            <v>KUMA</v>
          </cell>
          <cell r="G4" t="str">
            <v>Код Без NGFW</v>
          </cell>
          <cell r="I4" t="str">
            <v>АПКШ Континент</v>
          </cell>
          <cell r="J4" t="str">
            <v>xSpider</v>
          </cell>
          <cell r="K4" t="str">
            <v>Commvault Backup &amp; Recovery</v>
          </cell>
          <cell r="L4" t="str">
            <v>УЦСБ DATAPK (IDS)</v>
          </cell>
          <cell r="M4" t="str">
            <v>ПАК Соболь</v>
          </cell>
          <cell r="O4" t="str">
            <v>Инконтрол - Д</v>
          </cell>
        </row>
        <row r="5">
          <cell r="E5" t="str">
            <v xml:space="preserve">Symantec </v>
          </cell>
          <cell r="F5" t="str">
            <v>Neurodat</v>
          </cell>
          <cell r="G5" t="str">
            <v>ViPNet xFirewall</v>
          </cell>
          <cell r="J5" t="str">
            <v>MP8</v>
          </cell>
          <cell r="K5" t="str">
            <v>RuBackup</v>
          </cell>
          <cell r="M5" t="str">
            <v>МДЗ Аккорд</v>
          </cell>
          <cell r="O5" t="str">
            <v>DS Integrity</v>
          </cell>
        </row>
        <row r="6">
          <cell r="F6" t="str">
            <v>Arcsight</v>
          </cell>
          <cell r="K6" t="str">
            <v>Кибер бекап</v>
          </cell>
          <cell r="M6" t="str">
            <v>Dallas L</v>
          </cell>
          <cell r="O6" t="str">
            <v>Profitap</v>
          </cell>
        </row>
        <row r="7">
          <cell r="M7" t="str">
            <v>Блокхост сеть</v>
          </cell>
          <cell r="O7" t="str">
            <v>Рубикон</v>
          </cell>
        </row>
      </sheetData>
      <sheetData sheetId="22" refreshError="1"/>
      <sheetData sheetId="23" refreshError="1"/>
      <sheetData sheetId="24" refreshError="1"/>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сходные данные"/>
      <sheetName val="Служебный ОВ"/>
      <sheetName val="SEG ОВ"/>
      <sheetName val="ВМ АСО ОВ"/>
      <sheetName val="ВМ СПО ОВ"/>
      <sheetName val="ДИОД ОВ"/>
      <sheetName val="IDS ОВ "/>
      <sheetName val="XDR_EDR ОВ"/>
      <sheetName val="SOAR ОВ"/>
      <sheetName val="TLS ОВ"/>
      <sheetName val="NAC ОВ"/>
      <sheetName val="VDI ОВ"/>
      <sheetName val="APT ОВ"/>
      <sheetName val="MFA ОВ"/>
      <sheetName val="РАМ ОВ"/>
      <sheetName val="Sandbox ОВ"/>
      <sheetName val="ГосСОПКА ОВ"/>
      <sheetName val="SIEM OВ"/>
      <sheetName val="WAF ОВ"/>
      <sheetName val="Контроль конфигураций ОВ"/>
      <sheetName val="DCAP ОВ"/>
      <sheetName val="АВЗ ОВ"/>
      <sheetName val="СКЗИ ОВ"/>
      <sheetName val="АЗ ОВ"/>
      <sheetName val="НСД ОВ"/>
      <sheetName val="СЗВ ОВ"/>
      <sheetName val="ВМ ЗСВ ОВ"/>
      <sheetName val="СХД ОВ"/>
      <sheetName val="BM ОВ"/>
      <sheetName val="СРК ОВ"/>
      <sheetName val="NTA ОВ "/>
      <sheetName val="МСЭ ОВ"/>
    </sheetNames>
    <sheetDataSet>
      <sheetData sheetId="0"/>
      <sheetData sheetId="1">
        <row r="2">
          <cell r="A2" t="str">
            <v>Ведущий инженер</v>
          </cell>
          <cell r="B2" t="str">
            <v>Да</v>
          </cell>
          <cell r="D2" t="str">
            <v>Суворов Д.</v>
          </cell>
        </row>
        <row r="3">
          <cell r="A3" t="str">
            <v>Старший инженер</v>
          </cell>
          <cell r="B3" t="str">
            <v>Нет</v>
          </cell>
          <cell r="D3" t="str">
            <v>Воробьев А.</v>
          </cell>
        </row>
        <row r="4">
          <cell r="A4" t="str">
            <v>Инженер</v>
          </cell>
          <cell r="D4" t="str">
            <v>Нефедов В.</v>
          </cell>
        </row>
        <row r="5">
          <cell r="A5" t="str">
            <v>ГИП</v>
          </cell>
          <cell r="D5" t="str">
            <v>Позигун С.</v>
          </cell>
        </row>
        <row r="6">
          <cell r="A6" t="str">
            <v>РП</v>
          </cell>
          <cell r="D6" t="str">
            <v>Делова А.</v>
          </cell>
        </row>
        <row r="10">
          <cell r="A10" t="str">
            <v>Континент 4</v>
          </cell>
          <cell r="B10" t="str">
            <v>Kaspersky Security VC</v>
          </cell>
          <cell r="C10" t="str">
            <v>Vipnet Coordinator</v>
          </cell>
          <cell r="D10" t="str">
            <v>Red Check (desktop)</v>
          </cell>
          <cell r="E10" t="str">
            <v>Кибер Бэкап</v>
          </cell>
          <cell r="F10" t="str">
            <v>SecretNet</v>
          </cell>
          <cell r="G10" t="str">
            <v>PT MultiScanner</v>
          </cell>
          <cell r="H10" t="str">
            <v>Континент СОВ</v>
          </cell>
          <cell r="I10" t="str">
            <v>АМТ 
InfoDiode</v>
          </cell>
          <cell r="J10" t="str">
            <v>R-Vision SOAR</v>
          </cell>
          <cell r="K10" t="str">
            <v>vGate</v>
          </cell>
          <cell r="L10" t="str">
            <v>Базис</v>
          </cell>
          <cell r="M10" t="str">
            <v xml:space="preserve">Solar SafeInspect </v>
          </cell>
          <cell r="N10" t="str">
            <v>PT Platform 187</v>
          </cell>
          <cell r="O10" t="str">
            <v>ViPNet TLS</v>
          </cell>
          <cell r="P10" t="str">
            <v>«СПЕКТР»</v>
          </cell>
          <cell r="Q10" t="str">
            <v>JaCarta MS</v>
          </cell>
          <cell r="R10" t="str">
            <v>KICS for Networks</v>
          </cell>
          <cell r="S10" t="str">
            <v>Config Inspector</v>
          </cell>
          <cell r="T10" t="str">
            <v>PTAF</v>
          </cell>
          <cell r="U10" t="str">
            <v>KSMG</v>
          </cell>
          <cell r="V10" t="str">
            <v>InfoWatch</v>
          </cell>
          <cell r="W10" t="str">
            <v>Efros ACS</v>
          </cell>
          <cell r="X10" t="str">
            <v>Kaspersky Sandbox</v>
          </cell>
          <cell r="Y10" t="str">
            <v>MP EDR</v>
          </cell>
          <cell r="Z10" t="str">
            <v>Аквариус</v>
          </cell>
          <cell r="AA10" t="str">
            <v>VMware</v>
          </cell>
        </row>
        <row r="11">
          <cell r="A11" t="str">
            <v>ViPNet xFirewall</v>
          </cell>
          <cell r="B11" t="str">
            <v>KICS for Nodes Windows</v>
          </cell>
          <cell r="C11" t="str">
            <v>C-TERRA ШЛЮЗ</v>
          </cell>
          <cell r="D11" t="str">
            <v>Red Check (web)</v>
          </cell>
          <cell r="E11" t="str">
            <v>RuBackup</v>
          </cell>
          <cell r="F11" t="str">
            <v>Соболь</v>
          </cell>
          <cell r="G11" t="str">
            <v>KUMA</v>
          </cell>
          <cell r="H11" t="str">
            <v xml:space="preserve">ViPNet IDS </v>
          </cell>
          <cell r="I11" t="str">
            <v>Инконтрол - Д</v>
          </cell>
          <cell r="J11" t="str">
            <v>R-Vision SGRC</v>
          </cell>
          <cell r="K11" t="str">
            <v>Базис</v>
          </cell>
          <cell r="L11" t="str">
            <v>Termidesk VDI</v>
          </cell>
          <cell r="M11" t="str">
            <v>Indeed AM</v>
          </cell>
          <cell r="N11" t="str">
            <v>GosSOPKA (KUMA)</v>
          </cell>
          <cell r="O11" t="str">
            <v>Континент TLS</v>
          </cell>
          <cell r="P11" t="str">
            <v>Solar DAG</v>
          </cell>
          <cell r="Q11" t="str">
            <v>Рутокен</v>
          </cell>
          <cell r="R11" t="str">
            <v>PT ISIM</v>
          </cell>
          <cell r="T11" t="str">
            <v>Континент WAF</v>
          </cell>
          <cell r="V11" t="str">
            <v>KATA</v>
          </cell>
          <cell r="X11" t="str">
            <v>PT Sandbox</v>
          </cell>
          <cell r="Y11" t="str">
            <v>Kaspersky EDR</v>
          </cell>
          <cell r="Z11" t="str">
            <v>DEPO</v>
          </cell>
          <cell r="AA11" t="str">
            <v>Hyper-V</v>
          </cell>
        </row>
        <row r="12">
          <cell r="A12" t="str">
            <v>МЭ UserGate</v>
          </cell>
          <cell r="B12" t="str">
            <v>KICS for Nodes Linux</v>
          </cell>
          <cell r="C12" t="str">
            <v>Континент</v>
          </cell>
          <cell r="D12" t="str">
            <v>MaxPatrol VM</v>
          </cell>
          <cell r="F12" t="str">
            <v>Аккорд</v>
          </cell>
          <cell r="H12" t="str">
            <v>С-Терра СОВ</v>
          </cell>
          <cell r="I12" t="str">
            <v>DS Integrity</v>
          </cell>
          <cell r="J12" t="str">
            <v>Sec.Vision SOAR</v>
          </cell>
          <cell r="K12" t="str">
            <v>Dallas Lock</v>
          </cell>
          <cell r="L12" t="str">
            <v>Space VDI</v>
          </cell>
          <cell r="M12" t="str">
            <v>СКДПУ НТ</v>
          </cell>
          <cell r="P12" t="str">
            <v>Makves DCAP</v>
          </cell>
          <cell r="Q12" t="str">
            <v>Indeed AM</v>
          </cell>
          <cell r="R12" t="str">
            <v>PT NAD</v>
          </cell>
          <cell r="T12" t="str">
            <v>SolidWall WAF</v>
          </cell>
          <cell r="V12" t="str">
            <v>PT Anti-APT</v>
          </cell>
          <cell r="Z12" t="str">
            <v>YADRO</v>
          </cell>
          <cell r="AA12" t="str">
            <v>Xen (Citrix)</v>
          </cell>
        </row>
        <row r="13">
          <cell r="A13" t="str">
            <v>Solar NGFW</v>
          </cell>
          <cell r="B13" t="str">
            <v>KES for Linux</v>
          </cell>
          <cell r="C13" t="str">
            <v>Застава</v>
          </cell>
          <cell r="D13" t="str">
            <v>MaxPatrol 8</v>
          </cell>
          <cell r="F13" t="str">
            <v>Dalas Lock</v>
          </cell>
          <cell r="I13" t="str">
            <v>Profitap</v>
          </cell>
          <cell r="J13" t="str">
            <v>Sec.Vision SGRC</v>
          </cell>
          <cell r="L13" t="str">
            <v>Горизонт-ВС VDI</v>
          </cell>
          <cell r="Q13" t="str">
            <v>Мультифактор</v>
          </cell>
          <cell r="R13" t="str">
            <v>Гарда Монитор</v>
          </cell>
          <cell r="Z13" t="str">
            <v>AeroDisk</v>
          </cell>
          <cell r="AA13" t="str">
            <v>KVM</v>
          </cell>
        </row>
        <row r="14">
          <cell r="B14" t="str">
            <v>KES for Windows</v>
          </cell>
          <cell r="D14" t="str">
            <v>PT xSpider</v>
          </cell>
          <cell r="F14" t="str">
            <v>Блокхост сеть</v>
          </cell>
          <cell r="L14" t="str">
            <v>РУСТЭК.VDI</v>
          </cell>
          <cell r="Z14" t="str">
            <v>Гравитон</v>
          </cell>
        </row>
        <row r="15">
          <cell r="B15" t="str">
            <v>Dr Web Security Suite</v>
          </cell>
          <cell r="D15" t="str">
            <v>Сканер-ВС</v>
          </cell>
          <cell r="Z15" t="str">
            <v>F+</v>
          </cell>
        </row>
        <row r="16">
          <cell r="B16" t="str">
            <v>Dr Web Industrial</v>
          </cell>
        </row>
        <row r="17">
          <cell r="B17" t="str">
            <v>PT MultiScanner</v>
          </cell>
        </row>
      </sheetData>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ОКиА"/>
      <sheetName val="Служебный"/>
      <sheetName val="ОРД КИИ"/>
      <sheetName val="ОРД ПДн"/>
      <sheetName val="ОРД ГИС"/>
      <sheetName val="ОРД КТ"/>
      <sheetName val="Обследование и аудит КИИ"/>
      <sheetName val="Обследование и аудит ИСПДн"/>
      <sheetName val="Обследование и аудит ГИС"/>
      <sheetName val="Обследование и аудит КТ"/>
      <sheetName val="Категорирование"/>
      <sheetName val="Классификация"/>
      <sheetName val="МУиН КИИ (АСУТП)"/>
      <sheetName val="МУиН ИСПДн"/>
      <sheetName val="МУиН ГИС"/>
      <sheetName val="МУиН ЦОД"/>
      <sheetName val="МУиН КТ"/>
      <sheetName val="Анализ уязвимостей"/>
      <sheetName val="Аттестация"/>
      <sheetName val="Калькулятор ТрЗ ОКиА_v1"/>
      <sheetName val="Свод ОКиА (2)"/>
    </sheetNames>
    <sheetDataSet>
      <sheetData sheetId="0">
        <row r="110">
          <cell r="E110">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Работы" displayName="Работы" ref="A1:A14" totalsRowShown="0" dataDxfId="7">
  <autoFilter ref="A1:A14" xr:uid="{00000000-0009-0000-0100-000004000000}"/>
  <tableColumns count="1">
    <tableColumn id="1" xr3:uid="{00000000-0010-0000-0000-000001000000}" name="Работы"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Спецы" displayName="Спецы" ref="B1:B17" totalsRowShown="0">
  <autoFilter ref="B1:B17" xr:uid="{00000000-0009-0000-0100-000005000000}"/>
  <tableColumns count="1">
    <tableColumn id="1" xr3:uid="{00000000-0010-0000-0100-000001000000}" name="Спецы"/>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Регионы" displayName="Регионы" ref="C1:C6" totalsRowShown="0">
  <autoFilter ref="C1:C6" xr:uid="{00000000-0009-0000-0100-000002000000}"/>
  <tableColumns count="1">
    <tableColumn id="1" xr3:uid="{00000000-0010-0000-0200-000001000000}" name="Регионы"/>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Таблица17" displayName="Таблица17" ref="Q1:Q4" totalsRowShown="0" headerRowDxfId="5" dataDxfId="4">
  <autoFilter ref="Q1:Q4" xr:uid="{00000000-0009-0000-0100-000006000000}"/>
  <tableColumns count="1">
    <tableColumn id="1" xr3:uid="{00000000-0010-0000-0300-000001000000}" name="Сложность"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Таблица28" displayName="Таблица28" ref="R1:R3" totalsRowShown="0" headerRowDxfId="2" dataDxfId="1">
  <autoFilter ref="R1:R3" xr:uid="{00000000-0009-0000-0100-000007000000}"/>
  <tableColumns count="1">
    <tableColumn id="1" xr3:uid="{00000000-0010-0000-0400-000001000000}" name="Варианты"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Таблица1" displayName="Таблица1" ref="B2:B5" totalsRowShown="0">
  <autoFilter ref="B2:B5" xr:uid="{00000000-0009-0000-0100-000001000000}"/>
  <tableColumns count="1">
    <tableColumn id="1" xr3:uid="{00000000-0010-0000-0500-000001000000}" name="Сложность"/>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Таблица2" displayName="Таблица2" ref="D2:D4" totalsRowShown="0">
  <autoFilter ref="D2:D4" xr:uid="{00000000-0009-0000-0100-000003000000}"/>
  <tableColumns count="1">
    <tableColumn id="1" xr3:uid="{00000000-0010-0000-0600-000001000000}" name="Варианты"/>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3" Type="http://schemas.openxmlformats.org/officeDocument/2006/relationships/image" Target="../media/image4.emf"/><Relationship Id="rId18" Type="http://schemas.openxmlformats.org/officeDocument/2006/relationships/ctrlProp" Target="../ctrlProps/ctrlProp4.xml"/><Relationship Id="rId26" Type="http://schemas.openxmlformats.org/officeDocument/2006/relationships/ctrlProp" Target="../ctrlProps/ctrlProp12.xml"/><Relationship Id="rId39" Type="http://schemas.openxmlformats.org/officeDocument/2006/relationships/ctrlProp" Target="../ctrlProps/ctrlProp25.xml"/><Relationship Id="rId21" Type="http://schemas.openxmlformats.org/officeDocument/2006/relationships/ctrlProp" Target="../ctrlProps/ctrlProp7.xml"/><Relationship Id="rId34" Type="http://schemas.openxmlformats.org/officeDocument/2006/relationships/ctrlProp" Target="../ctrlProps/ctrlProp20.xml"/><Relationship Id="rId42" Type="http://schemas.openxmlformats.org/officeDocument/2006/relationships/ctrlProp" Target="../ctrlProps/ctrlProp28.xml"/><Relationship Id="rId47" Type="http://schemas.openxmlformats.org/officeDocument/2006/relationships/ctrlProp" Target="../ctrlProps/ctrlProp33.xml"/><Relationship Id="rId50" Type="http://schemas.openxmlformats.org/officeDocument/2006/relationships/ctrlProp" Target="../ctrlProps/ctrlProp36.xml"/><Relationship Id="rId55" Type="http://schemas.openxmlformats.org/officeDocument/2006/relationships/ctrlProp" Target="../ctrlProps/ctrlProp41.xml"/><Relationship Id="rId7" Type="http://schemas.openxmlformats.org/officeDocument/2006/relationships/vmlDrawing" Target="../drawings/vmlDrawing2.vml"/><Relationship Id="rId2" Type="http://schemas.openxmlformats.org/officeDocument/2006/relationships/printerSettings" Target="../printerSettings/printerSettings4.bin"/><Relationship Id="rId16" Type="http://schemas.openxmlformats.org/officeDocument/2006/relationships/ctrlProp" Target="../ctrlProps/ctrlProp2.xml"/><Relationship Id="rId29" Type="http://schemas.openxmlformats.org/officeDocument/2006/relationships/ctrlProp" Target="../ctrlProps/ctrlProp15.xml"/><Relationship Id="rId11" Type="http://schemas.openxmlformats.org/officeDocument/2006/relationships/image" Target="../media/image3.emf"/><Relationship Id="rId24" Type="http://schemas.openxmlformats.org/officeDocument/2006/relationships/ctrlProp" Target="../ctrlProps/ctrlProp10.xml"/><Relationship Id="rId32" Type="http://schemas.openxmlformats.org/officeDocument/2006/relationships/ctrlProp" Target="../ctrlProps/ctrlProp18.xml"/><Relationship Id="rId37" Type="http://schemas.openxmlformats.org/officeDocument/2006/relationships/ctrlProp" Target="../ctrlProps/ctrlProp23.xml"/><Relationship Id="rId40" Type="http://schemas.openxmlformats.org/officeDocument/2006/relationships/ctrlProp" Target="../ctrlProps/ctrlProp26.xml"/><Relationship Id="rId45" Type="http://schemas.openxmlformats.org/officeDocument/2006/relationships/ctrlProp" Target="../ctrlProps/ctrlProp31.xml"/><Relationship Id="rId53" Type="http://schemas.openxmlformats.org/officeDocument/2006/relationships/ctrlProp" Target="../ctrlProps/ctrlProp39.xml"/><Relationship Id="rId5" Type="http://schemas.openxmlformats.org/officeDocument/2006/relationships/printerSettings" Target="../printerSettings/printerSettings7.bin"/><Relationship Id="rId10" Type="http://schemas.openxmlformats.org/officeDocument/2006/relationships/control" Target="../activeX/activeX2.xml"/><Relationship Id="rId19" Type="http://schemas.openxmlformats.org/officeDocument/2006/relationships/ctrlProp" Target="../ctrlProps/ctrlProp5.xml"/><Relationship Id="rId31" Type="http://schemas.openxmlformats.org/officeDocument/2006/relationships/ctrlProp" Target="../ctrlProps/ctrlProp17.xml"/><Relationship Id="rId44" Type="http://schemas.openxmlformats.org/officeDocument/2006/relationships/ctrlProp" Target="../ctrlProps/ctrlProp30.xml"/><Relationship Id="rId52" Type="http://schemas.openxmlformats.org/officeDocument/2006/relationships/ctrlProp" Target="../ctrlProps/ctrlProp38.xml"/><Relationship Id="rId4" Type="http://schemas.openxmlformats.org/officeDocument/2006/relationships/printerSettings" Target="../printerSettings/printerSettings6.bin"/><Relationship Id="rId9" Type="http://schemas.openxmlformats.org/officeDocument/2006/relationships/image" Target="../media/image2.emf"/><Relationship Id="rId14" Type="http://schemas.openxmlformats.org/officeDocument/2006/relationships/control" Target="../activeX/activeX4.xml"/><Relationship Id="rId22" Type="http://schemas.openxmlformats.org/officeDocument/2006/relationships/ctrlProp" Target="../ctrlProps/ctrlProp8.xml"/><Relationship Id="rId27" Type="http://schemas.openxmlformats.org/officeDocument/2006/relationships/ctrlProp" Target="../ctrlProps/ctrlProp13.xml"/><Relationship Id="rId30" Type="http://schemas.openxmlformats.org/officeDocument/2006/relationships/ctrlProp" Target="../ctrlProps/ctrlProp16.xml"/><Relationship Id="rId35" Type="http://schemas.openxmlformats.org/officeDocument/2006/relationships/ctrlProp" Target="../ctrlProps/ctrlProp21.xml"/><Relationship Id="rId43" Type="http://schemas.openxmlformats.org/officeDocument/2006/relationships/ctrlProp" Target="../ctrlProps/ctrlProp29.xml"/><Relationship Id="rId48" Type="http://schemas.openxmlformats.org/officeDocument/2006/relationships/ctrlProp" Target="../ctrlProps/ctrlProp34.xml"/><Relationship Id="rId56" Type="http://schemas.openxmlformats.org/officeDocument/2006/relationships/ctrlProp" Target="../ctrlProps/ctrlProp42.xml"/><Relationship Id="rId8" Type="http://schemas.openxmlformats.org/officeDocument/2006/relationships/control" Target="../activeX/activeX1.xml"/><Relationship Id="rId51" Type="http://schemas.openxmlformats.org/officeDocument/2006/relationships/ctrlProp" Target="../ctrlProps/ctrlProp37.xml"/><Relationship Id="rId3" Type="http://schemas.openxmlformats.org/officeDocument/2006/relationships/printerSettings" Target="../printerSettings/printerSettings5.bin"/><Relationship Id="rId12" Type="http://schemas.openxmlformats.org/officeDocument/2006/relationships/control" Target="../activeX/activeX3.xml"/><Relationship Id="rId17" Type="http://schemas.openxmlformats.org/officeDocument/2006/relationships/ctrlProp" Target="../ctrlProps/ctrlProp3.xml"/><Relationship Id="rId25" Type="http://schemas.openxmlformats.org/officeDocument/2006/relationships/ctrlProp" Target="../ctrlProps/ctrlProp11.xml"/><Relationship Id="rId33" Type="http://schemas.openxmlformats.org/officeDocument/2006/relationships/ctrlProp" Target="../ctrlProps/ctrlProp19.xml"/><Relationship Id="rId38" Type="http://schemas.openxmlformats.org/officeDocument/2006/relationships/ctrlProp" Target="../ctrlProps/ctrlProp24.xml"/><Relationship Id="rId46" Type="http://schemas.openxmlformats.org/officeDocument/2006/relationships/ctrlProp" Target="../ctrlProps/ctrlProp32.xml"/><Relationship Id="rId20" Type="http://schemas.openxmlformats.org/officeDocument/2006/relationships/ctrlProp" Target="../ctrlProps/ctrlProp6.xml"/><Relationship Id="rId41" Type="http://schemas.openxmlformats.org/officeDocument/2006/relationships/ctrlProp" Target="../ctrlProps/ctrlProp27.xml"/><Relationship Id="rId54" Type="http://schemas.openxmlformats.org/officeDocument/2006/relationships/ctrlProp" Target="../ctrlProps/ctrlProp40.xml"/><Relationship Id="rId1" Type="http://schemas.openxmlformats.org/officeDocument/2006/relationships/printerSettings" Target="../printerSettings/printerSettings3.bin"/><Relationship Id="rId6" Type="http://schemas.openxmlformats.org/officeDocument/2006/relationships/drawing" Target="../drawings/drawing2.xml"/><Relationship Id="rId15" Type="http://schemas.openxmlformats.org/officeDocument/2006/relationships/image" Target="../media/image5.emf"/><Relationship Id="rId23" Type="http://schemas.openxmlformats.org/officeDocument/2006/relationships/ctrlProp" Target="../ctrlProps/ctrlProp9.xml"/><Relationship Id="rId28" Type="http://schemas.openxmlformats.org/officeDocument/2006/relationships/ctrlProp" Target="../ctrlProps/ctrlProp14.xml"/><Relationship Id="rId36" Type="http://schemas.openxmlformats.org/officeDocument/2006/relationships/ctrlProp" Target="../ctrlProps/ctrlProp22.xml"/><Relationship Id="rId49" Type="http://schemas.openxmlformats.org/officeDocument/2006/relationships/ctrlProp" Target="../ctrlProps/ctrlProp35.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printerSettings" Target="../printerSettings/printerSettings21.bin"/><Relationship Id="rId4"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4.xml.rels><?xml version="1.0" encoding="UTF-8" standalone="yes"?>
<Relationships xmlns="http://schemas.openxmlformats.org/package/2006/relationships"><Relationship Id="rId13" Type="http://schemas.openxmlformats.org/officeDocument/2006/relationships/ctrlProp" Target="../ctrlProps/ctrlProp52.xml"/><Relationship Id="rId18" Type="http://schemas.openxmlformats.org/officeDocument/2006/relationships/ctrlProp" Target="../ctrlProps/ctrlProp57.xml"/><Relationship Id="rId26" Type="http://schemas.openxmlformats.org/officeDocument/2006/relationships/ctrlProp" Target="../ctrlProps/ctrlProp65.xml"/><Relationship Id="rId21" Type="http://schemas.openxmlformats.org/officeDocument/2006/relationships/ctrlProp" Target="../ctrlProps/ctrlProp60.xml"/><Relationship Id="rId34" Type="http://schemas.openxmlformats.org/officeDocument/2006/relationships/ctrlProp" Target="../ctrlProps/ctrlProp73.xml"/><Relationship Id="rId7" Type="http://schemas.openxmlformats.org/officeDocument/2006/relationships/ctrlProp" Target="../ctrlProps/ctrlProp46.xml"/><Relationship Id="rId12" Type="http://schemas.openxmlformats.org/officeDocument/2006/relationships/ctrlProp" Target="../ctrlProps/ctrlProp51.xml"/><Relationship Id="rId17" Type="http://schemas.openxmlformats.org/officeDocument/2006/relationships/ctrlProp" Target="../ctrlProps/ctrlProp56.xml"/><Relationship Id="rId25" Type="http://schemas.openxmlformats.org/officeDocument/2006/relationships/ctrlProp" Target="../ctrlProps/ctrlProp64.xml"/><Relationship Id="rId33" Type="http://schemas.openxmlformats.org/officeDocument/2006/relationships/ctrlProp" Target="../ctrlProps/ctrlProp72.xml"/><Relationship Id="rId2" Type="http://schemas.openxmlformats.org/officeDocument/2006/relationships/drawing" Target="../drawings/drawing3.xml"/><Relationship Id="rId16" Type="http://schemas.openxmlformats.org/officeDocument/2006/relationships/ctrlProp" Target="../ctrlProps/ctrlProp55.xml"/><Relationship Id="rId20" Type="http://schemas.openxmlformats.org/officeDocument/2006/relationships/ctrlProp" Target="../ctrlProps/ctrlProp59.xml"/><Relationship Id="rId29" Type="http://schemas.openxmlformats.org/officeDocument/2006/relationships/ctrlProp" Target="../ctrlProps/ctrlProp68.xml"/><Relationship Id="rId1" Type="http://schemas.openxmlformats.org/officeDocument/2006/relationships/printerSettings" Target="../printerSettings/printerSettings31.bin"/><Relationship Id="rId6" Type="http://schemas.openxmlformats.org/officeDocument/2006/relationships/ctrlProp" Target="../ctrlProps/ctrlProp45.xml"/><Relationship Id="rId11" Type="http://schemas.openxmlformats.org/officeDocument/2006/relationships/ctrlProp" Target="../ctrlProps/ctrlProp50.xml"/><Relationship Id="rId24" Type="http://schemas.openxmlformats.org/officeDocument/2006/relationships/ctrlProp" Target="../ctrlProps/ctrlProp63.xml"/><Relationship Id="rId32" Type="http://schemas.openxmlformats.org/officeDocument/2006/relationships/ctrlProp" Target="../ctrlProps/ctrlProp71.xml"/><Relationship Id="rId37" Type="http://schemas.openxmlformats.org/officeDocument/2006/relationships/comments" Target="../comments2.xml"/><Relationship Id="rId5" Type="http://schemas.openxmlformats.org/officeDocument/2006/relationships/ctrlProp" Target="../ctrlProps/ctrlProp44.xml"/><Relationship Id="rId15" Type="http://schemas.openxmlformats.org/officeDocument/2006/relationships/ctrlProp" Target="../ctrlProps/ctrlProp54.xml"/><Relationship Id="rId23" Type="http://schemas.openxmlformats.org/officeDocument/2006/relationships/ctrlProp" Target="../ctrlProps/ctrlProp62.xml"/><Relationship Id="rId28" Type="http://schemas.openxmlformats.org/officeDocument/2006/relationships/ctrlProp" Target="../ctrlProps/ctrlProp67.xml"/><Relationship Id="rId36" Type="http://schemas.openxmlformats.org/officeDocument/2006/relationships/ctrlProp" Target="../ctrlProps/ctrlProp75.xml"/><Relationship Id="rId10" Type="http://schemas.openxmlformats.org/officeDocument/2006/relationships/ctrlProp" Target="../ctrlProps/ctrlProp49.xml"/><Relationship Id="rId19" Type="http://schemas.openxmlformats.org/officeDocument/2006/relationships/ctrlProp" Target="../ctrlProps/ctrlProp58.xml"/><Relationship Id="rId31" Type="http://schemas.openxmlformats.org/officeDocument/2006/relationships/ctrlProp" Target="../ctrlProps/ctrlProp70.xml"/><Relationship Id="rId4" Type="http://schemas.openxmlformats.org/officeDocument/2006/relationships/ctrlProp" Target="../ctrlProps/ctrlProp43.xml"/><Relationship Id="rId9" Type="http://schemas.openxmlformats.org/officeDocument/2006/relationships/ctrlProp" Target="../ctrlProps/ctrlProp48.xml"/><Relationship Id="rId14" Type="http://schemas.openxmlformats.org/officeDocument/2006/relationships/ctrlProp" Target="../ctrlProps/ctrlProp53.xml"/><Relationship Id="rId22" Type="http://schemas.openxmlformats.org/officeDocument/2006/relationships/ctrlProp" Target="../ctrlProps/ctrlProp61.xml"/><Relationship Id="rId27" Type="http://schemas.openxmlformats.org/officeDocument/2006/relationships/ctrlProp" Target="../ctrlProps/ctrlProp66.xml"/><Relationship Id="rId30" Type="http://schemas.openxmlformats.org/officeDocument/2006/relationships/ctrlProp" Target="../ctrlProps/ctrlProp69.xml"/><Relationship Id="rId35" Type="http://schemas.openxmlformats.org/officeDocument/2006/relationships/ctrlProp" Target="../ctrlProps/ctrlProp74.xml"/><Relationship Id="rId8" Type="http://schemas.openxmlformats.org/officeDocument/2006/relationships/ctrlProp" Target="../ctrlProps/ctrlProp47.xml"/><Relationship Id="rId3" Type="http://schemas.openxmlformats.org/officeDocument/2006/relationships/vmlDrawing" Target="../drawings/vmlDrawing4.vml"/></Relationships>
</file>

<file path=xl/worksheets/_rels/sheet25.xml.rels><?xml version="1.0" encoding="UTF-8" standalone="yes"?>
<Relationships xmlns="http://schemas.openxmlformats.org/package/2006/relationships"><Relationship Id="rId13" Type="http://schemas.openxmlformats.org/officeDocument/2006/relationships/image" Target="../media/image10.emf"/><Relationship Id="rId18" Type="http://schemas.openxmlformats.org/officeDocument/2006/relationships/control" Target="../activeX/activeX12.xml"/><Relationship Id="rId26" Type="http://schemas.openxmlformats.org/officeDocument/2006/relationships/control" Target="../activeX/activeX16.xml"/><Relationship Id="rId39" Type="http://schemas.openxmlformats.org/officeDocument/2006/relationships/image" Target="../media/image23.emf"/><Relationship Id="rId21" Type="http://schemas.openxmlformats.org/officeDocument/2006/relationships/image" Target="../media/image14.emf"/><Relationship Id="rId34" Type="http://schemas.openxmlformats.org/officeDocument/2006/relationships/control" Target="../activeX/activeX20.xml"/><Relationship Id="rId42" Type="http://schemas.openxmlformats.org/officeDocument/2006/relationships/control" Target="../activeX/activeX24.xml"/><Relationship Id="rId47" Type="http://schemas.openxmlformats.org/officeDocument/2006/relationships/image" Target="../media/image27.emf"/><Relationship Id="rId50" Type="http://schemas.openxmlformats.org/officeDocument/2006/relationships/control" Target="../activeX/activeX28.xml"/><Relationship Id="rId55" Type="http://schemas.openxmlformats.org/officeDocument/2006/relationships/image" Target="../media/image31.emf"/><Relationship Id="rId7" Type="http://schemas.openxmlformats.org/officeDocument/2006/relationships/image" Target="../media/image7.emf"/><Relationship Id="rId2" Type="http://schemas.openxmlformats.org/officeDocument/2006/relationships/drawing" Target="../drawings/drawing4.xml"/><Relationship Id="rId16" Type="http://schemas.openxmlformats.org/officeDocument/2006/relationships/control" Target="../activeX/activeX11.xml"/><Relationship Id="rId29" Type="http://schemas.openxmlformats.org/officeDocument/2006/relationships/image" Target="../media/image18.emf"/><Relationship Id="rId11" Type="http://schemas.openxmlformats.org/officeDocument/2006/relationships/image" Target="../media/image9.emf"/><Relationship Id="rId24" Type="http://schemas.openxmlformats.org/officeDocument/2006/relationships/control" Target="../activeX/activeX15.xml"/><Relationship Id="rId32" Type="http://schemas.openxmlformats.org/officeDocument/2006/relationships/control" Target="../activeX/activeX19.xml"/><Relationship Id="rId37" Type="http://schemas.openxmlformats.org/officeDocument/2006/relationships/image" Target="../media/image22.emf"/><Relationship Id="rId40" Type="http://schemas.openxmlformats.org/officeDocument/2006/relationships/control" Target="../activeX/activeX23.xml"/><Relationship Id="rId45" Type="http://schemas.openxmlformats.org/officeDocument/2006/relationships/image" Target="../media/image26.emf"/><Relationship Id="rId53" Type="http://schemas.openxmlformats.org/officeDocument/2006/relationships/image" Target="../media/image30.emf"/><Relationship Id="rId5" Type="http://schemas.openxmlformats.org/officeDocument/2006/relationships/image" Target="../media/image6.emf"/><Relationship Id="rId19" Type="http://schemas.openxmlformats.org/officeDocument/2006/relationships/image" Target="../media/image13.emf"/><Relationship Id="rId4" Type="http://schemas.openxmlformats.org/officeDocument/2006/relationships/control" Target="../activeX/activeX5.xml"/><Relationship Id="rId9" Type="http://schemas.openxmlformats.org/officeDocument/2006/relationships/image" Target="../media/image8.emf"/><Relationship Id="rId14" Type="http://schemas.openxmlformats.org/officeDocument/2006/relationships/control" Target="../activeX/activeX10.xml"/><Relationship Id="rId22" Type="http://schemas.openxmlformats.org/officeDocument/2006/relationships/control" Target="../activeX/activeX14.xml"/><Relationship Id="rId27" Type="http://schemas.openxmlformats.org/officeDocument/2006/relationships/image" Target="../media/image17.emf"/><Relationship Id="rId30" Type="http://schemas.openxmlformats.org/officeDocument/2006/relationships/control" Target="../activeX/activeX18.xml"/><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control" Target="../activeX/activeX27.xml"/><Relationship Id="rId56" Type="http://schemas.openxmlformats.org/officeDocument/2006/relationships/table" Target="../tables/table4.xml"/><Relationship Id="rId8" Type="http://schemas.openxmlformats.org/officeDocument/2006/relationships/control" Target="../activeX/activeX7.xml"/><Relationship Id="rId51" Type="http://schemas.openxmlformats.org/officeDocument/2006/relationships/image" Target="../media/image29.emf"/><Relationship Id="rId3" Type="http://schemas.openxmlformats.org/officeDocument/2006/relationships/vmlDrawing" Target="../drawings/vmlDrawing5.vml"/><Relationship Id="rId12" Type="http://schemas.openxmlformats.org/officeDocument/2006/relationships/control" Target="../activeX/activeX9.xml"/><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control" Target="../activeX/activeX22.xml"/><Relationship Id="rId46" Type="http://schemas.openxmlformats.org/officeDocument/2006/relationships/control" Target="../activeX/activeX26.xml"/><Relationship Id="rId20" Type="http://schemas.openxmlformats.org/officeDocument/2006/relationships/control" Target="../activeX/activeX13.xml"/><Relationship Id="rId41" Type="http://schemas.openxmlformats.org/officeDocument/2006/relationships/image" Target="../media/image24.emf"/><Relationship Id="rId54" Type="http://schemas.openxmlformats.org/officeDocument/2006/relationships/control" Target="../activeX/activeX30.xml"/><Relationship Id="rId1" Type="http://schemas.openxmlformats.org/officeDocument/2006/relationships/printerSettings" Target="../printerSettings/printerSettings32.bin"/><Relationship Id="rId6" Type="http://schemas.openxmlformats.org/officeDocument/2006/relationships/control" Target="../activeX/activeX6.xml"/><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control" Target="../activeX/activeX17.xml"/><Relationship Id="rId36" Type="http://schemas.openxmlformats.org/officeDocument/2006/relationships/control" Target="../activeX/activeX21.xml"/><Relationship Id="rId49" Type="http://schemas.openxmlformats.org/officeDocument/2006/relationships/image" Target="../media/image28.emf"/><Relationship Id="rId57" Type="http://schemas.openxmlformats.org/officeDocument/2006/relationships/table" Target="../tables/table5.xml"/><Relationship Id="rId10" Type="http://schemas.openxmlformats.org/officeDocument/2006/relationships/control" Target="../activeX/activeX8.xml"/><Relationship Id="rId31" Type="http://schemas.openxmlformats.org/officeDocument/2006/relationships/image" Target="../media/image19.emf"/><Relationship Id="rId44" Type="http://schemas.openxmlformats.org/officeDocument/2006/relationships/control" Target="../activeX/activeX25.xml"/><Relationship Id="rId52" Type="http://schemas.openxmlformats.org/officeDocument/2006/relationships/control" Target="../activeX/activeX29.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6.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7.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8.vml"/></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36">
    <tabColor rgb="FFFFC000"/>
  </sheetPr>
  <dimension ref="A1:C23"/>
  <sheetViews>
    <sheetView zoomScale="115" zoomScaleNormal="115" workbookViewId="0">
      <selection activeCell="F2" sqref="F2"/>
    </sheetView>
  </sheetViews>
  <sheetFormatPr defaultColWidth="9.28515625" defaultRowHeight="15" x14ac:dyDescent="0.25"/>
  <cols>
    <col min="1" max="1" width="6.7109375" style="253" customWidth="1"/>
    <col min="2" max="2" width="51.28515625" style="254" customWidth="1"/>
    <col min="3" max="3" width="38.42578125" style="255" customWidth="1"/>
    <col min="4" max="16384" width="9.28515625" style="240"/>
  </cols>
  <sheetData>
    <row r="1" spans="1:3" ht="15.4" customHeight="1" x14ac:dyDescent="0.25">
      <c r="A1" s="1791" t="s">
        <v>218</v>
      </c>
      <c r="B1" s="1791"/>
      <c r="C1" s="1791"/>
    </row>
    <row r="2" spans="1:3" ht="13.9" customHeight="1" x14ac:dyDescent="0.25">
      <c r="A2" s="241" t="s">
        <v>219</v>
      </c>
      <c r="B2" s="241" t="s">
        <v>220</v>
      </c>
      <c r="C2" s="242" t="s">
        <v>36</v>
      </c>
    </row>
    <row r="3" spans="1:3" ht="21" customHeight="1" x14ac:dyDescent="0.25">
      <c r="A3" s="243">
        <v>1</v>
      </c>
      <c r="B3" s="244" t="s">
        <v>221</v>
      </c>
      <c r="C3" s="245"/>
    </row>
    <row r="4" spans="1:3" ht="21" customHeight="1" x14ac:dyDescent="0.25">
      <c r="A4" s="243">
        <v>2</v>
      </c>
      <c r="B4" s="246" t="s">
        <v>222</v>
      </c>
      <c r="C4" s="245"/>
    </row>
    <row r="5" spans="1:3" x14ac:dyDescent="0.25">
      <c r="A5" s="243">
        <v>3</v>
      </c>
      <c r="B5" s="247" t="s">
        <v>223</v>
      </c>
      <c r="C5" s="248"/>
    </row>
    <row r="6" spans="1:3" ht="123" customHeight="1" x14ac:dyDescent="0.25">
      <c r="A6" s="243">
        <v>4</v>
      </c>
      <c r="B6" s="249" t="s">
        <v>224</v>
      </c>
      <c r="C6" s="248"/>
    </row>
    <row r="7" spans="1:3" ht="25.5" x14ac:dyDescent="0.25">
      <c r="A7" s="243">
        <v>5</v>
      </c>
      <c r="B7" s="246" t="s">
        <v>225</v>
      </c>
      <c r="C7" s="248"/>
    </row>
    <row r="8" spans="1:3" x14ac:dyDescent="0.25">
      <c r="A8" s="243">
        <v>6</v>
      </c>
      <c r="B8" s="246" t="s">
        <v>226</v>
      </c>
      <c r="C8" s="248"/>
    </row>
    <row r="9" spans="1:3" x14ac:dyDescent="0.25">
      <c r="A9" s="243">
        <v>7</v>
      </c>
      <c r="B9" s="246" t="s">
        <v>227</v>
      </c>
      <c r="C9" s="248"/>
    </row>
    <row r="10" spans="1:3" ht="25.15" customHeight="1" x14ac:dyDescent="0.25">
      <c r="A10" s="243">
        <v>8</v>
      </c>
      <c r="B10" s="250" t="s">
        <v>228</v>
      </c>
      <c r="C10" s="248"/>
    </row>
    <row r="11" spans="1:3" x14ac:dyDescent="0.25">
      <c r="A11" s="243">
        <v>9</v>
      </c>
      <c r="B11" s="250" t="s">
        <v>229</v>
      </c>
      <c r="C11" s="248"/>
    </row>
    <row r="12" spans="1:3" x14ac:dyDescent="0.25">
      <c r="A12" s="243">
        <v>10</v>
      </c>
      <c r="B12" s="250" t="s">
        <v>230</v>
      </c>
      <c r="C12" s="248"/>
    </row>
    <row r="13" spans="1:3" x14ac:dyDescent="0.25">
      <c r="A13" s="243">
        <v>11</v>
      </c>
      <c r="B13" s="250" t="s">
        <v>231</v>
      </c>
      <c r="C13" s="248"/>
    </row>
    <row r="14" spans="1:3" x14ac:dyDescent="0.25">
      <c r="A14" s="243">
        <v>12</v>
      </c>
      <c r="B14" s="250" t="s">
        <v>232</v>
      </c>
      <c r="C14" s="248"/>
    </row>
    <row r="15" spans="1:3" ht="25.5" x14ac:dyDescent="0.25">
      <c r="A15" s="243">
        <v>13</v>
      </c>
      <c r="B15" s="251" t="s">
        <v>233</v>
      </c>
      <c r="C15" s="248" t="s">
        <v>234</v>
      </c>
    </row>
    <row r="16" spans="1:3" ht="20.100000000000001" customHeight="1" x14ac:dyDescent="0.25">
      <c r="A16" s="243">
        <v>14</v>
      </c>
      <c r="B16" s="252" t="s">
        <v>235</v>
      </c>
      <c r="C16" s="248"/>
    </row>
    <row r="17" spans="1:3" x14ac:dyDescent="0.25">
      <c r="A17" s="243">
        <v>15</v>
      </c>
      <c r="B17" s="250" t="s">
        <v>236</v>
      </c>
      <c r="C17" s="248"/>
    </row>
    <row r="18" spans="1:3" x14ac:dyDescent="0.25">
      <c r="A18" s="243">
        <v>16</v>
      </c>
      <c r="B18" s="250" t="s">
        <v>237</v>
      </c>
      <c r="C18" s="248"/>
    </row>
    <row r="19" spans="1:3" x14ac:dyDescent="0.25">
      <c r="A19" s="243">
        <v>17</v>
      </c>
      <c r="B19" s="250" t="s">
        <v>238</v>
      </c>
      <c r="C19" s="248"/>
    </row>
    <row r="20" spans="1:3" x14ac:dyDescent="0.25">
      <c r="A20" s="243">
        <v>18</v>
      </c>
      <c r="B20" s="250" t="s">
        <v>239</v>
      </c>
      <c r="C20" s="248"/>
    </row>
    <row r="21" spans="1:3" ht="25.5" x14ac:dyDescent="0.25">
      <c r="A21" s="243">
        <v>19</v>
      </c>
      <c r="B21" s="250" t="s">
        <v>240</v>
      </c>
      <c r="C21" s="248"/>
    </row>
    <row r="22" spans="1:3" ht="25.5" x14ac:dyDescent="0.25">
      <c r="A22" s="243">
        <v>20</v>
      </c>
      <c r="B22" s="250" t="s">
        <v>241</v>
      </c>
      <c r="C22" s="248"/>
    </row>
    <row r="23" spans="1:3" x14ac:dyDescent="0.25">
      <c r="A23" s="243">
        <v>21</v>
      </c>
      <c r="B23" s="250" t="s">
        <v>242</v>
      </c>
      <c r="C23" s="248"/>
    </row>
  </sheetData>
  <mergeCells count="1">
    <mergeCell ref="A1:C1"/>
  </mergeCells>
  <dataValidations count="1">
    <dataValidation type="list" allowBlank="1" showInputMessage="1" showErrorMessage="1" sqref="C6" xr:uid="{00000000-0002-0000-0000-000000000000}">
      <formula1>Цепочка_поставки</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4">
    <tabColor theme="9" tint="0.39997558519241921"/>
  </sheetPr>
  <dimension ref="A1:Z315"/>
  <sheetViews>
    <sheetView zoomScale="85" zoomScaleNormal="85" workbookViewId="0">
      <selection activeCell="D15" sqref="D15"/>
    </sheetView>
  </sheetViews>
  <sheetFormatPr defaultColWidth="9.28515625" defaultRowHeight="15" x14ac:dyDescent="0.25"/>
  <cols>
    <col min="1" max="1" width="31.7109375" style="1623" customWidth="1"/>
    <col min="2" max="2" width="41.28515625" style="136" bestFit="1" customWidth="1"/>
    <col min="3" max="3" width="38.28515625" style="136" customWidth="1"/>
    <col min="4" max="4" width="34.5703125" style="1623" customWidth="1"/>
    <col min="5" max="5" width="23.42578125" style="1531" customWidth="1"/>
    <col min="6" max="6" width="20.5703125" style="1623" customWidth="1"/>
    <col min="7" max="7" width="16.7109375" style="1623" customWidth="1"/>
    <col min="8" max="8" width="24.85546875" style="1623" customWidth="1"/>
    <col min="9" max="10" width="20.7109375" style="1623" customWidth="1"/>
    <col min="11" max="11" width="19.7109375" style="1623" customWidth="1"/>
    <col min="12" max="12" width="32.140625" style="1623" customWidth="1"/>
    <col min="13" max="13" width="11" style="1623" hidden="1" customWidth="1"/>
    <col min="14" max="14" width="14.85546875" style="1623" hidden="1" customWidth="1"/>
    <col min="15" max="15" width="28.140625" style="1623" hidden="1" customWidth="1"/>
    <col min="16" max="16" width="39.42578125" style="1623" customWidth="1"/>
    <col min="17" max="16384" width="9.28515625" style="1623"/>
  </cols>
  <sheetData>
    <row r="1" spans="1:26" ht="15.75" thickBot="1" x14ac:dyDescent="0.3">
      <c r="F1" s="1792" t="s">
        <v>1701</v>
      </c>
      <c r="G1" s="1793"/>
      <c r="H1" s="1793"/>
      <c r="I1" s="1794"/>
      <c r="K1" s="130"/>
      <c r="L1" s="130"/>
      <c r="P1" s="130"/>
      <c r="Q1" s="130"/>
      <c r="R1" s="130"/>
      <c r="S1" s="130"/>
      <c r="T1" s="130"/>
      <c r="U1" s="130"/>
      <c r="V1" s="130"/>
      <c r="W1" s="130"/>
      <c r="X1" s="130"/>
      <c r="Y1" s="130"/>
      <c r="Z1" s="130"/>
    </row>
    <row r="2" spans="1:26" s="130" customFormat="1" ht="30.75" thickBot="1" x14ac:dyDescent="0.3">
      <c r="A2" s="131" t="s">
        <v>114</v>
      </c>
      <c r="B2" s="1836"/>
      <c r="C2" s="1837"/>
      <c r="D2" s="292" t="s">
        <v>115</v>
      </c>
      <c r="E2" s="1678" t="s">
        <v>116</v>
      </c>
      <c r="F2" s="1680" t="s">
        <v>508</v>
      </c>
      <c r="G2" s="292" t="s">
        <v>509</v>
      </c>
      <c r="H2" s="292" t="s">
        <v>510</v>
      </c>
      <c r="I2" s="292" t="s">
        <v>53</v>
      </c>
      <c r="J2" s="1676"/>
      <c r="L2" s="1830" t="s">
        <v>1595</v>
      </c>
      <c r="M2" s="1623"/>
      <c r="N2" s="1623"/>
      <c r="O2" s="1623"/>
    </row>
    <row r="3" spans="1:26" x14ac:dyDescent="0.25">
      <c r="A3" s="133" t="s">
        <v>117</v>
      </c>
      <c r="B3" s="1838"/>
      <c r="C3" s="1839"/>
      <c r="D3" s="1683">
        <f>SUM(D4:D8)</f>
        <v>103.10937500000001</v>
      </c>
      <c r="E3" s="1684" t="str">
        <f>IF(D3,IF(D4=MAX(D4:D8),B4,IF(D5=MAX(D4:D8),B5,IF(D6=MAX(D4:D8),B6,IF(D7=MAX(D4:D8),B7,IF(D8=MAX(D4:D8),B8))))),"")</f>
        <v>ОКиА</v>
      </c>
      <c r="F3" s="1795"/>
      <c r="G3" s="1795"/>
      <c r="H3" s="1795"/>
      <c r="I3" s="1796"/>
      <c r="J3" s="291"/>
      <c r="L3" s="1830"/>
    </row>
    <row r="4" spans="1:26" x14ac:dyDescent="0.25">
      <c r="A4" s="1840" t="s">
        <v>118</v>
      </c>
      <c r="B4" s="134" t="s">
        <v>340</v>
      </c>
      <c r="C4" s="1679"/>
      <c r="D4" s="1685">
        <f>SUMIF($D$14:$D$251,"=Инженер ОК",$E$14:$E$251) + SUMIF($D$14:$D$251,"Старший инженер ОК",$E$14:$E$251)+ SUMIF($D$14:$D$251,"Ведущий инженер ОК",$E$14:$E$251)+ SUMIF($D$14:$D$251,"ГИП ОК",$E$14:$E$251)</f>
        <v>82.737500000000011</v>
      </c>
      <c r="E4" s="1686"/>
      <c r="F4" s="1681">
        <f>SUMIF($D$14:$D$251,"Инженер ОК",$E$14:$E$251)</f>
        <v>38.072500000000005</v>
      </c>
      <c r="G4" s="1636">
        <f>SUMIF($D$14:$D$251,"Старший инженер ОК",$E$14:$E$251)</f>
        <v>30.779812500000002</v>
      </c>
      <c r="H4" s="1636">
        <f>SUMIF($D$14:$D$251,"Ведущий инженер ОК",$E$14:$E$251)</f>
        <v>13.885187500000001</v>
      </c>
      <c r="I4" s="403">
        <f>SUMIF($D$14:$D$251,"ГИП ОК",$E$14:$E$251)</f>
        <v>0</v>
      </c>
      <c r="J4" s="1675"/>
      <c r="L4" s="1830"/>
    </row>
    <row r="5" spans="1:26" x14ac:dyDescent="0.25">
      <c r="A5" s="1841"/>
      <c r="B5" s="134" t="s">
        <v>87</v>
      </c>
      <c r="C5" s="1679"/>
      <c r="D5" s="1687">
        <f>SUMIF($D$14:$D$251,"Инженер ОП",$E$14:$E$251) + SUMIF($D$14:$D$251,"Старший инженер ОП",$E$14:$E$251) + SUMIF($D$14:$D$251,"Ведущий инженер ОП",$E$14:$E$251)+ SUMIF($D$14:$D$251,"ГИП ОП",$E$14:$E$251)</f>
        <v>6.7906250000000012</v>
      </c>
      <c r="E5" s="1686"/>
      <c r="F5" s="1030">
        <f>SUMIF($D$14:$D$251,"Инженер ОП",$E$14:$E$251)</f>
        <v>0</v>
      </c>
      <c r="G5" s="129">
        <f>SUMIF($D$14:$D$251,"Старший инженер ОП",$E$14:$E$251)</f>
        <v>0</v>
      </c>
      <c r="H5" s="129">
        <f>SUMIF($D$14:$D$251,"Ведущий инженер ОП",$E$14:$E$251)</f>
        <v>0</v>
      </c>
      <c r="I5" s="1677">
        <f>SUMIF($D$14:$D$251,"ГИП ОП",$E$14:$E$251)</f>
        <v>6.7906250000000012</v>
      </c>
      <c r="J5" s="1675"/>
      <c r="L5" s="1830"/>
    </row>
    <row r="6" spans="1:26" ht="15.75" thickBot="1" x14ac:dyDescent="0.3">
      <c r="A6" s="1841"/>
      <c r="B6" s="134" t="s">
        <v>119</v>
      </c>
      <c r="C6" s="1679"/>
      <c r="D6" s="1687">
        <f>SUMIF($D$14:$D$251,"=Инженер ОВ",$E$14:$E$251) + SUMIF($D$14:$D$251,"Старший инженер ОВ",$E$14:$E$251) + SUMIF($D$14:$D$251,"Ведущий инженер ОВ",$E$14:$E$251) + SUMIF($D$14:$D$251,"ГИП ОВ",$E$14:$E$251)</f>
        <v>0</v>
      </c>
      <c r="E6" s="1686"/>
      <c r="F6" s="1682">
        <f>SUMIF($D$14:$D$251,"Инженер ОВ",$E$14:$E$251)</f>
        <v>0</v>
      </c>
      <c r="G6" s="866">
        <f>SUMIF($D$14:$D$251,"Старший инженер ОВ",$E$14:$E$251)</f>
        <v>0</v>
      </c>
      <c r="H6" s="866">
        <f>SUMIF($D$14:$D$251,"Ведущий инженер ОВ",$E$14:$E$251)</f>
        <v>0</v>
      </c>
      <c r="I6" s="886">
        <f>SUMIF($D$14:$D$251,"ГИП ОВ",$E$14:$E$251)</f>
        <v>0</v>
      </c>
      <c r="J6" s="1675"/>
      <c r="L6" s="1830"/>
    </row>
    <row r="7" spans="1:26" x14ac:dyDescent="0.25">
      <c r="A7" s="1841"/>
      <c r="B7" s="134" t="s">
        <v>60</v>
      </c>
      <c r="C7" s="1679"/>
      <c r="D7" s="1687">
        <f>SUMIF($D$14:$D$251,"=Нормоконтроль ОП",$E$14:$E$251)</f>
        <v>0</v>
      </c>
      <c r="E7" s="1686"/>
      <c r="F7" s="291"/>
      <c r="G7" s="291"/>
      <c r="H7" s="291"/>
      <c r="I7" s="291"/>
      <c r="J7" s="1675"/>
      <c r="L7" s="1830"/>
    </row>
    <row r="8" spans="1:26" ht="15.75" thickBot="1" x14ac:dyDescent="0.3">
      <c r="A8" s="1842"/>
      <c r="B8" s="134" t="s">
        <v>120</v>
      </c>
      <c r="C8" s="1679"/>
      <c r="D8" s="1688">
        <f>SUMIF($D$14:$D$251,"Администратор проектов",$E$14:$E$251)+SUMIF($D$14:$D$251,"Ведущий РП",$E$14:$E$251)+SUMIF($D$14:$D$251,"РП",$E$14:$E$251)</f>
        <v>13.581250000000002</v>
      </c>
      <c r="E8" s="1689"/>
      <c r="F8" s="291"/>
      <c r="G8" s="291"/>
      <c r="H8" s="291"/>
      <c r="I8" s="291"/>
      <c r="J8" s="1675"/>
      <c r="L8" s="1830"/>
    </row>
    <row r="9" spans="1:26" x14ac:dyDescent="0.25">
      <c r="A9" s="136"/>
      <c r="C9" s="137" t="s">
        <v>121</v>
      </c>
      <c r="F9" s="1674"/>
      <c r="G9" s="1674"/>
      <c r="H9" s="1674"/>
      <c r="L9" s="1830"/>
    </row>
    <row r="10" spans="1:26" ht="26.25" x14ac:dyDescent="0.4">
      <c r="A10" s="91"/>
      <c r="B10" s="138"/>
      <c r="C10" s="139"/>
      <c r="D10" s="140" t="b">
        <f>IF(SUM(D4:D6)&gt;500,(IF(SUM(D4:D6)&gt;500,"Согласовать c Директором ЦКП","")),(IF(AND(SUM(D4:D6)&gt;100,SUM(D4:D6)&lt;500),CONCATENATE("Согласовать с руководителем ",IF(D3,IF(D4=MAX(D4:D8),B4,IF(D5=MAX(D4:D8),B5,IF(D6=MAX(D4:D8),B6,IF(D7=MAX(D4:D8),B7,IF(D8=MAX(D4:D8),B8))))),"")))))</f>
        <v>0</v>
      </c>
      <c r="E10" s="1532"/>
      <c r="F10" s="91"/>
      <c r="G10" s="91"/>
      <c r="H10" s="91"/>
      <c r="I10" s="91"/>
      <c r="J10" s="91"/>
      <c r="K10" s="91"/>
      <c r="L10" s="1830"/>
    </row>
    <row r="11" spans="1:26" ht="27" thickBot="1" x14ac:dyDescent="0.45">
      <c r="A11" s="91"/>
      <c r="B11" s="139"/>
      <c r="C11" s="139"/>
      <c r="D11" s="140" t="str">
        <f>IF(A253&lt;&gt;"","У расчета есть ограничения","")</f>
        <v/>
      </c>
      <c r="E11" s="1532"/>
      <c r="F11" s="91"/>
      <c r="G11" s="91"/>
      <c r="H11" s="91"/>
      <c r="I11" s="91"/>
      <c r="J11" s="91"/>
      <c r="K11" s="91"/>
      <c r="L11" s="1830"/>
    </row>
    <row r="12" spans="1:26" ht="15.75" thickBot="1" x14ac:dyDescent="0.3">
      <c r="F12" s="1833" t="s">
        <v>122</v>
      </c>
      <c r="G12" s="1834"/>
      <c r="H12" s="1834"/>
      <c r="I12" s="1834"/>
      <c r="J12" s="1835"/>
      <c r="K12" s="261"/>
    </row>
    <row r="13" spans="1:26" ht="90.75" thickBot="1" x14ac:dyDescent="0.3">
      <c r="A13" s="61" t="s">
        <v>59</v>
      </c>
      <c r="B13" s="95" t="s">
        <v>1516</v>
      </c>
      <c r="C13" s="95" t="s">
        <v>1529</v>
      </c>
      <c r="D13" s="60" t="s">
        <v>123</v>
      </c>
      <c r="E13" s="1638" t="s">
        <v>124</v>
      </c>
      <c r="F13" s="1640" t="s">
        <v>125</v>
      </c>
      <c r="G13" s="142" t="s">
        <v>1667</v>
      </c>
      <c r="H13" s="141" t="s">
        <v>126</v>
      </c>
      <c r="I13" s="141" t="s">
        <v>275</v>
      </c>
      <c r="J13" s="1641" t="s">
        <v>1666</v>
      </c>
      <c r="K13" s="1639" t="s">
        <v>127</v>
      </c>
      <c r="L13" s="1567" t="s">
        <v>875</v>
      </c>
      <c r="R13" s="1273" t="s">
        <v>87</v>
      </c>
      <c r="S13" s="1273" t="s">
        <v>567</v>
      </c>
      <c r="T13" s="1273" t="s">
        <v>119</v>
      </c>
    </row>
    <row r="14" spans="1:26" ht="15" customHeight="1" x14ac:dyDescent="0.25">
      <c r="A14" s="1831" t="s">
        <v>1596</v>
      </c>
      <c r="B14" s="1797" t="s">
        <v>1597</v>
      </c>
      <c r="C14" s="1797" t="s">
        <v>1530</v>
      </c>
      <c r="D14" s="1543" t="s">
        <v>595</v>
      </c>
      <c r="E14" s="1634">
        <f>IF(D14="Инженер ОК",ТрЗ_ОКиА!$K$28,IF(D14="Старший инженер ОК",ТрЗ_ОКиА!$L$28,IF(D14="Ведущий инженер ОК",ТрЗ_ОКиА!$M$28,"")))</f>
        <v>0.6</v>
      </c>
      <c r="F14" s="143"/>
      <c r="G14" s="143"/>
      <c r="H14" s="143"/>
      <c r="I14" s="143"/>
      <c r="J14" s="1637"/>
      <c r="K14" s="1832" t="s">
        <v>1558</v>
      </c>
      <c r="L14" s="93"/>
      <c r="M14" s="1815" t="s">
        <v>345</v>
      </c>
      <c r="N14" s="1814"/>
      <c r="O14" s="1814"/>
      <c r="Q14" s="1272">
        <v>1</v>
      </c>
      <c r="R14" s="129">
        <v>0</v>
      </c>
      <c r="S14" s="129">
        <v>1.4500000476837158</v>
      </c>
      <c r="T14" s="129">
        <v>0</v>
      </c>
    </row>
    <row r="15" spans="1:26" ht="15.75" x14ac:dyDescent="0.25">
      <c r="A15" s="1798"/>
      <c r="B15" s="1798"/>
      <c r="C15" s="1798"/>
      <c r="D15" s="1543" t="s">
        <v>596</v>
      </c>
      <c r="E15" s="1634">
        <f>IF(D15="Инженер ОК",ТрЗ_ОКиА!$K$28,IF(D15="Старший инженер ОК",ТрЗ_ОКиА!$L$28,IF(D15="Ведущий инженер ОК",ТрЗ_ОКиА!$M$28,"")))</f>
        <v>0.3</v>
      </c>
      <c r="F15" s="143"/>
      <c r="G15" s="143"/>
      <c r="H15" s="143"/>
      <c r="I15" s="144"/>
      <c r="J15" s="1637"/>
      <c r="K15" s="1801"/>
      <c r="M15" s="7" t="s">
        <v>87</v>
      </c>
      <c r="N15" s="7">
        <v>0</v>
      </c>
      <c r="O15" s="1809">
        <v>15</v>
      </c>
      <c r="Q15" s="1272">
        <v>2</v>
      </c>
      <c r="R15" s="129">
        <v>0</v>
      </c>
      <c r="S15" s="129">
        <v>0.25</v>
      </c>
      <c r="T15" s="129">
        <v>0</v>
      </c>
    </row>
    <row r="16" spans="1:26" ht="15" customHeight="1" x14ac:dyDescent="0.25">
      <c r="A16" s="1798"/>
      <c r="B16" s="1798"/>
      <c r="C16" s="1798"/>
      <c r="D16" s="1543" t="s">
        <v>597</v>
      </c>
      <c r="E16" s="1634">
        <f>IF(D16="Инженер ОК",ТрЗ_ОКиА!$K$28,IF(D16="Старший инженер ОК",ТрЗ_ОКиА!$L$28,IF(D16="Ведущий инженер ОК",ТрЗ_ОКиА!$M$28,"")))</f>
        <v>0.1</v>
      </c>
      <c r="F16" s="144"/>
      <c r="G16" s="144"/>
      <c r="H16" s="144"/>
      <c r="I16" s="144"/>
      <c r="J16" s="1637"/>
      <c r="K16" s="1801"/>
      <c r="M16" s="7" t="s">
        <v>567</v>
      </c>
      <c r="N16" s="7">
        <v>22</v>
      </c>
      <c r="O16" s="1809"/>
      <c r="Q16" s="1272"/>
    </row>
    <row r="17" spans="1:17" ht="15" customHeight="1" x14ac:dyDescent="0.25">
      <c r="A17" s="1798"/>
      <c r="B17" s="1798"/>
      <c r="C17" s="1798"/>
      <c r="D17" s="1543" t="s">
        <v>592</v>
      </c>
      <c r="E17" s="1634"/>
      <c r="F17" s="144"/>
      <c r="G17" s="144"/>
      <c r="H17" s="144"/>
      <c r="I17" s="144"/>
      <c r="J17" s="144"/>
      <c r="K17" s="1801"/>
      <c r="M17" s="7" t="s">
        <v>119</v>
      </c>
      <c r="N17" s="7">
        <v>0</v>
      </c>
      <c r="O17" s="1809"/>
      <c r="Q17" s="1272"/>
    </row>
    <row r="18" spans="1:17" ht="15" customHeight="1" x14ac:dyDescent="0.25">
      <c r="A18" s="1798"/>
      <c r="B18" s="1798"/>
      <c r="C18" s="1798"/>
      <c r="D18" s="1543" t="s">
        <v>592</v>
      </c>
      <c r="E18" s="1634"/>
      <c r="F18" s="144"/>
      <c r="G18" s="144"/>
      <c r="H18" s="144"/>
      <c r="I18" s="144"/>
      <c r="J18" s="144"/>
      <c r="K18" s="1801"/>
      <c r="M18" s="7"/>
      <c r="N18" s="7"/>
      <c r="O18" s="1622"/>
      <c r="Q18" s="1272"/>
    </row>
    <row r="19" spans="1:17" ht="15.75" x14ac:dyDescent="0.25">
      <c r="A19" s="1798"/>
      <c r="B19" s="1798"/>
      <c r="C19" s="1798"/>
      <c r="D19" s="1543" t="s">
        <v>593</v>
      </c>
      <c r="E19" s="1634"/>
      <c r="F19" s="144"/>
      <c r="G19" s="144"/>
      <c r="H19" s="144"/>
      <c r="I19" s="144"/>
      <c r="J19" s="144"/>
      <c r="K19" s="1801"/>
      <c r="M19" s="1813" t="s">
        <v>346</v>
      </c>
      <c r="N19" s="1813"/>
      <c r="O19" s="1813"/>
      <c r="Q19" s="1272"/>
    </row>
    <row r="20" spans="1:17" ht="15.75" x14ac:dyDescent="0.25">
      <c r="A20" s="1798"/>
      <c r="B20" s="1798"/>
      <c r="C20" s="1798"/>
      <c r="D20" s="1543" t="s">
        <v>593</v>
      </c>
      <c r="E20" s="1634"/>
      <c r="F20" s="144"/>
      <c r="G20" s="144"/>
      <c r="H20" s="144"/>
      <c r="I20" s="144"/>
      <c r="J20" s="144"/>
      <c r="K20" s="1801"/>
      <c r="M20" s="7" t="s">
        <v>87</v>
      </c>
      <c r="N20" s="7">
        <v>0</v>
      </c>
      <c r="O20" s="1809">
        <v>11</v>
      </c>
      <c r="Q20" s="1272"/>
    </row>
    <row r="21" spans="1:17" ht="15.75" x14ac:dyDescent="0.25">
      <c r="A21" s="1798"/>
      <c r="B21" s="1798"/>
      <c r="C21" s="1798"/>
      <c r="D21" s="1543" t="s">
        <v>594</v>
      </c>
      <c r="E21" s="1634"/>
      <c r="F21" s="144"/>
      <c r="G21" s="144"/>
      <c r="H21" s="144"/>
      <c r="I21" s="144"/>
      <c r="J21" s="144"/>
      <c r="K21" s="1801"/>
      <c r="M21" s="7"/>
      <c r="N21" s="7"/>
      <c r="O21" s="1809"/>
      <c r="Q21" s="1272"/>
    </row>
    <row r="22" spans="1:17" ht="15.75" x14ac:dyDescent="0.25">
      <c r="A22" s="1798"/>
      <c r="B22" s="1798"/>
      <c r="C22" s="1798"/>
      <c r="D22" s="1543" t="s">
        <v>594</v>
      </c>
      <c r="E22" s="1634"/>
      <c r="F22" s="144"/>
      <c r="G22" s="144"/>
      <c r="H22" s="144"/>
      <c r="I22" s="144"/>
      <c r="J22" s="144"/>
      <c r="K22" s="1801"/>
      <c r="M22" s="7" t="s">
        <v>567</v>
      </c>
      <c r="N22" s="7" t="s">
        <v>1225</v>
      </c>
      <c r="O22" s="1809"/>
      <c r="Q22" s="1272"/>
    </row>
    <row r="23" spans="1:17" ht="16.5" thickBot="1" x14ac:dyDescent="0.3">
      <c r="A23" s="1798"/>
      <c r="B23" s="1827" t="s">
        <v>1598</v>
      </c>
      <c r="C23" s="1827" t="s">
        <v>1599</v>
      </c>
      <c r="D23" s="1543" t="s">
        <v>595</v>
      </c>
      <c r="E23" s="1634">
        <f>ROUNDUP(IF(D23="Инженер ОК",ТрЗ_ОКиА!$K$31,IF(D23="Старший инженер ОК",ТрЗ_ОКиА!$L$31,IF(D23="Ведущий инженер ОК",ТрЗ_ОКиА!$M$31,""))),0)</f>
        <v>4</v>
      </c>
      <c r="F23" s="144">
        <v>1</v>
      </c>
      <c r="G23" s="144">
        <v>4.0999999999999996</v>
      </c>
      <c r="H23" s="144">
        <v>1</v>
      </c>
      <c r="I23" s="144"/>
      <c r="J23" s="1637">
        <f>F23*G23*H23</f>
        <v>4.0999999999999996</v>
      </c>
      <c r="K23" s="1801"/>
      <c r="M23" s="7" t="s">
        <v>119</v>
      </c>
      <c r="N23" s="7">
        <v>0</v>
      </c>
      <c r="O23" s="1809"/>
      <c r="Q23" s="1272"/>
    </row>
    <row r="24" spans="1:17" ht="16.5" thickBot="1" x14ac:dyDescent="0.3">
      <c r="A24" s="1798"/>
      <c r="B24" s="1828"/>
      <c r="C24" s="1828"/>
      <c r="D24" s="1543" t="s">
        <v>596</v>
      </c>
      <c r="E24" s="1634">
        <f>ROUNDUP(IF(D24="Инженер ОК",ТрЗ_ОКиА!$K$31,IF(D24="Старший инженер ОК",ТрЗ_ОКиА!$L$31,IF(D24="Ведущий инженер ОК",ТрЗ_ОКиА!$M$31,""))),0)</f>
        <v>4</v>
      </c>
      <c r="F24" s="144">
        <v>1</v>
      </c>
      <c r="G24" s="144">
        <v>3.2</v>
      </c>
      <c r="H24" s="144">
        <v>1</v>
      </c>
      <c r="I24" s="144"/>
      <c r="J24" s="1637">
        <f>F24*G24*H24</f>
        <v>3.2</v>
      </c>
      <c r="K24" s="1801"/>
      <c r="M24" s="7"/>
      <c r="N24" s="7"/>
      <c r="O24" s="1809"/>
      <c r="Q24" s="1272"/>
    </row>
    <row r="25" spans="1:17" ht="16.5" thickBot="1" x14ac:dyDescent="0.3">
      <c r="A25" s="1798"/>
      <c r="B25" s="1828"/>
      <c r="C25" s="1828"/>
      <c r="D25" s="1545" t="s">
        <v>597</v>
      </c>
      <c r="E25" s="1634">
        <f>ROUNDUP(IF(D25="Инженер ОК",ТрЗ_ОКиА!$K$31,IF(D25="Старший инженер ОК",ТрЗ_ОКиА!$L$31,IF(D25="Ведущий инженер ОК",ТрЗ_ОКиА!$M$31,""))),0)</f>
        <v>2</v>
      </c>
      <c r="F25" s="144">
        <v>1</v>
      </c>
      <c r="G25" s="144">
        <v>2</v>
      </c>
      <c r="H25" s="144">
        <v>1</v>
      </c>
      <c r="I25" s="144"/>
      <c r="J25" s="1637">
        <f t="shared" ref="J25" si="0">F25*G25*H25</f>
        <v>2</v>
      </c>
      <c r="K25" s="1801"/>
      <c r="M25" s="7" t="s">
        <v>87</v>
      </c>
      <c r="N25" s="7">
        <v>0</v>
      </c>
      <c r="O25" s="1809"/>
      <c r="Q25" s="1272"/>
    </row>
    <row r="26" spans="1:17" ht="16.5" thickBot="1" x14ac:dyDescent="0.3">
      <c r="A26" s="1798"/>
      <c r="B26" s="1828"/>
      <c r="C26" s="1828"/>
      <c r="D26" s="1543" t="s">
        <v>592</v>
      </c>
      <c r="E26" s="1634"/>
      <c r="F26" s="144"/>
      <c r="G26" s="144"/>
      <c r="H26" s="144"/>
      <c r="I26" s="144"/>
      <c r="J26" s="144"/>
      <c r="K26" s="1801"/>
      <c r="M26" s="7" t="s">
        <v>567</v>
      </c>
      <c r="N26" s="7">
        <v>0</v>
      </c>
      <c r="O26" s="1809"/>
      <c r="Q26" s="1272"/>
    </row>
    <row r="27" spans="1:17" ht="16.5" thickBot="1" x14ac:dyDescent="0.3">
      <c r="A27" s="1798"/>
      <c r="B27" s="1828"/>
      <c r="C27" s="1828"/>
      <c r="D27" s="1543" t="s">
        <v>593</v>
      </c>
      <c r="E27" s="1634"/>
      <c r="F27" s="144"/>
      <c r="G27" s="144"/>
      <c r="H27" s="144"/>
      <c r="I27" s="144"/>
      <c r="J27" s="144"/>
      <c r="K27" s="1801"/>
      <c r="M27" s="7"/>
      <c r="N27" s="7"/>
      <c r="O27" s="1809"/>
      <c r="Q27" s="1272"/>
    </row>
    <row r="28" spans="1:17" ht="16.5" thickBot="1" x14ac:dyDescent="0.3">
      <c r="A28" s="1798"/>
      <c r="B28" s="1828"/>
      <c r="C28" s="1828"/>
      <c r="D28" s="1543" t="s">
        <v>594</v>
      </c>
      <c r="E28" s="1634"/>
      <c r="F28" s="144"/>
      <c r="G28" s="144"/>
      <c r="H28" s="144"/>
      <c r="I28" s="144"/>
      <c r="J28" s="144"/>
      <c r="K28" s="1801"/>
      <c r="M28" s="7" t="s">
        <v>119</v>
      </c>
      <c r="N28" s="7">
        <v>0</v>
      </c>
      <c r="O28" s="1809"/>
      <c r="Q28" s="1272"/>
    </row>
    <row r="29" spans="1:17" ht="15.75" x14ac:dyDescent="0.25">
      <c r="A29" s="1798"/>
      <c r="B29" s="1829"/>
      <c r="C29" s="1829"/>
      <c r="D29" s="1544" t="s">
        <v>1224</v>
      </c>
      <c r="E29" s="1634"/>
      <c r="F29" s="144"/>
      <c r="G29" s="144"/>
      <c r="H29" s="144"/>
      <c r="I29" s="144"/>
      <c r="J29" s="144"/>
      <c r="K29" s="1801"/>
      <c r="L29" s="1542" t="s">
        <v>1525</v>
      </c>
      <c r="M29" s="7"/>
      <c r="N29" s="7"/>
      <c r="O29" s="1809"/>
      <c r="Q29" s="1272"/>
    </row>
    <row r="30" spans="1:17" ht="16.5" thickBot="1" x14ac:dyDescent="0.3">
      <c r="A30" s="1798"/>
      <c r="B30" s="1827" t="s">
        <v>1600</v>
      </c>
      <c r="C30" s="1827" t="s">
        <v>1531</v>
      </c>
      <c r="D30" s="1543" t="s">
        <v>595</v>
      </c>
      <c r="E30" s="1634">
        <f>IF(D30="Инженер ОК",ТрЗ_ОКиА!$K$35,IF(D30="Старший инженер ОК",ТрЗ_ОКиА!$L$35,IF(D30="Ведущий инженер ОК",ТрЗ_ОКиА!$M$35,"")))</f>
        <v>4</v>
      </c>
      <c r="F30" s="144"/>
      <c r="G30" s="144"/>
      <c r="H30" s="144"/>
      <c r="I30" s="144"/>
      <c r="J30" s="144"/>
      <c r="K30" s="1801"/>
      <c r="M30" s="7" t="s">
        <v>119</v>
      </c>
      <c r="N30" s="7">
        <v>0</v>
      </c>
      <c r="O30" s="1809"/>
      <c r="Q30" s="1272"/>
    </row>
    <row r="31" spans="1:17" ht="16.5" thickBot="1" x14ac:dyDescent="0.3">
      <c r="A31" s="1798"/>
      <c r="B31" s="1828"/>
      <c r="C31" s="1828"/>
      <c r="D31" s="1543" t="s">
        <v>596</v>
      </c>
      <c r="E31" s="1634">
        <f>IF(D31="Инженер ОК",ТрЗ_ОКиА!$K$35,IF(D31="Старший инженер ОК",ТрЗ_ОКиА!$L$35,IF(D31="Ведущий инженер ОК",ТрЗ_ОКиА!$M$35,"")))</f>
        <v>3.2</v>
      </c>
      <c r="F31" s="144"/>
      <c r="G31" s="144"/>
      <c r="H31" s="144"/>
      <c r="I31" s="144"/>
      <c r="J31" s="144"/>
      <c r="K31" s="1801"/>
      <c r="M31" s="1813" t="s">
        <v>344</v>
      </c>
      <c r="N31" s="1814"/>
      <c r="O31" s="1814"/>
      <c r="Q31" s="1272"/>
    </row>
    <row r="32" spans="1:17" ht="16.5" thickBot="1" x14ac:dyDescent="0.3">
      <c r="A32" s="1798"/>
      <c r="B32" s="1828"/>
      <c r="C32" s="1828"/>
      <c r="D32" s="1545" t="s">
        <v>597</v>
      </c>
      <c r="E32" s="1634">
        <f>IF(D32="Инженер ОК",ТрЗ_ОКиА!$K$35,IF(D32="Старший инженер ОК",ТрЗ_ОКиА!$L$35,IF(D32="Ведущий инженер ОК",ТрЗ_ОКиА!$M$35,"")))</f>
        <v>0.8</v>
      </c>
      <c r="F32" s="144"/>
      <c r="G32" s="144"/>
      <c r="H32" s="144"/>
      <c r="I32" s="144"/>
      <c r="J32" s="144"/>
      <c r="K32" s="1801"/>
      <c r="M32" s="7" t="s">
        <v>87</v>
      </c>
      <c r="N32" s="7">
        <v>0</v>
      </c>
      <c r="O32" s="1809"/>
      <c r="Q32" s="1272"/>
    </row>
    <row r="33" spans="1:21" ht="16.5" thickBot="1" x14ac:dyDescent="0.3">
      <c r="A33" s="1798"/>
      <c r="B33" s="1828"/>
      <c r="C33" s="1828"/>
      <c r="D33" s="1543" t="s">
        <v>592</v>
      </c>
      <c r="E33" s="1634"/>
      <c r="F33" s="144"/>
      <c r="G33" s="144"/>
      <c r="H33" s="144"/>
      <c r="I33" s="144"/>
      <c r="J33" s="144"/>
      <c r="K33" s="1801"/>
      <c r="M33" s="7" t="s">
        <v>567</v>
      </c>
      <c r="N33" s="7">
        <v>0</v>
      </c>
      <c r="O33" s="1809"/>
      <c r="Q33" s="1272"/>
    </row>
    <row r="34" spans="1:21" ht="16.5" thickBot="1" x14ac:dyDescent="0.3">
      <c r="A34" s="1798"/>
      <c r="B34" s="1828"/>
      <c r="C34" s="1828"/>
      <c r="D34" s="1543" t="s">
        <v>593</v>
      </c>
      <c r="E34" s="1634"/>
      <c r="F34" s="144"/>
      <c r="G34" s="144"/>
      <c r="H34" s="144"/>
      <c r="I34" s="144"/>
      <c r="J34" s="144"/>
      <c r="K34" s="1801"/>
      <c r="M34" s="7"/>
      <c r="N34" s="7"/>
      <c r="O34" s="1809"/>
      <c r="Q34" s="1272"/>
    </row>
    <row r="35" spans="1:21" ht="16.5" thickBot="1" x14ac:dyDescent="0.3">
      <c r="A35" s="1798"/>
      <c r="B35" s="1828"/>
      <c r="C35" s="1828"/>
      <c r="D35" s="1543" t="s">
        <v>594</v>
      </c>
      <c r="E35" s="1634"/>
      <c r="F35" s="144"/>
      <c r="G35" s="144"/>
      <c r="H35" s="144"/>
      <c r="I35" s="144"/>
      <c r="J35" s="144"/>
      <c r="K35" s="1801"/>
      <c r="M35" s="7" t="s">
        <v>119</v>
      </c>
      <c r="N35" s="7">
        <v>0</v>
      </c>
      <c r="O35" s="1809"/>
      <c r="Q35" s="1272"/>
      <c r="R35" s="1272"/>
      <c r="S35" s="1272"/>
      <c r="T35" s="1272"/>
      <c r="U35" s="1272"/>
    </row>
    <row r="36" spans="1:21" ht="15.75" x14ac:dyDescent="0.25">
      <c r="A36" s="1798"/>
      <c r="B36" s="1829"/>
      <c r="C36" s="1829"/>
      <c r="D36" s="1544" t="s">
        <v>1224</v>
      </c>
      <c r="E36" s="1634"/>
      <c r="F36" s="144"/>
      <c r="G36" s="144"/>
      <c r="H36" s="144"/>
      <c r="I36" s="144"/>
      <c r="J36" s="144"/>
      <c r="K36" s="1801"/>
      <c r="L36" s="1542" t="s">
        <v>1525</v>
      </c>
      <c r="M36" s="7"/>
      <c r="N36" s="7"/>
      <c r="O36" s="1622"/>
      <c r="Q36" s="1272"/>
      <c r="R36" s="1272"/>
      <c r="S36" s="1272"/>
      <c r="T36" s="1272"/>
      <c r="U36" s="1272"/>
    </row>
    <row r="37" spans="1:21" ht="15.75" x14ac:dyDescent="0.25">
      <c r="A37" s="1798"/>
      <c r="B37" s="1549" t="s">
        <v>1521</v>
      </c>
      <c r="C37" s="1549"/>
      <c r="D37" s="1547" t="s">
        <v>623</v>
      </c>
      <c r="E37" s="1635">
        <f>SUM(E14:E36)*0.1</f>
        <v>1.9000000000000001</v>
      </c>
      <c r="F37" s="144"/>
      <c r="G37" s="144"/>
      <c r="H37" s="144"/>
      <c r="I37" s="144"/>
      <c r="J37" s="144"/>
      <c r="K37" s="1801"/>
      <c r="M37" s="1813" t="s">
        <v>273</v>
      </c>
      <c r="N37" s="1814"/>
      <c r="O37" s="1814"/>
      <c r="Q37" s="1272"/>
      <c r="R37" s="1272"/>
      <c r="S37" s="1272"/>
      <c r="T37" s="1272"/>
      <c r="U37" s="1272"/>
    </row>
    <row r="38" spans="1:21" ht="16.5" thickBot="1" x14ac:dyDescent="0.3">
      <c r="A38" s="1799"/>
      <c r="B38" s="1550" t="s">
        <v>1522</v>
      </c>
      <c r="C38" s="1550"/>
      <c r="D38" s="1547" t="s">
        <v>156</v>
      </c>
      <c r="E38" s="1635">
        <f>SUM(E14:E36)*0.2</f>
        <v>3.8000000000000003</v>
      </c>
      <c r="F38" s="144"/>
      <c r="G38" s="144"/>
      <c r="H38" s="144"/>
      <c r="I38" s="144"/>
      <c r="J38" s="144"/>
      <c r="K38" s="1802"/>
      <c r="M38" s="7" t="s">
        <v>87</v>
      </c>
      <c r="N38" s="7">
        <v>0</v>
      </c>
      <c r="O38" s="1809"/>
      <c r="Q38" s="1272"/>
      <c r="R38" s="1272"/>
      <c r="S38" s="1272"/>
      <c r="T38" s="1272"/>
      <c r="U38" s="1272"/>
    </row>
    <row r="39" spans="1:21" ht="15.6" customHeight="1" x14ac:dyDescent="0.25">
      <c r="A39" s="1831" t="s">
        <v>1601</v>
      </c>
      <c r="B39" s="1797" t="s">
        <v>1597</v>
      </c>
      <c r="C39" s="1797" t="s">
        <v>1530</v>
      </c>
      <c r="D39" s="1543" t="s">
        <v>595</v>
      </c>
      <c r="E39" s="1634">
        <f>IF(D39="Инженер ОК",ТрЗ_ОКиА!$K$92,IF(D39="Старший инженер ОК",ТрЗ_ОКиА!$L$92,IF(D39="Ведущий инженер ОК",ТрЗ_ОКиА!$M$92,"")))</f>
        <v>0.6</v>
      </c>
      <c r="F39" s="143"/>
      <c r="G39" s="143"/>
      <c r="H39" s="143"/>
      <c r="I39" s="144"/>
      <c r="J39" s="143"/>
      <c r="K39" s="1832" t="s">
        <v>1558</v>
      </c>
      <c r="L39" s="93"/>
      <c r="M39" s="7"/>
      <c r="N39" s="7"/>
      <c r="O39" s="1809"/>
      <c r="Q39" s="1272"/>
      <c r="R39" s="1272"/>
      <c r="S39" s="1272"/>
      <c r="T39" s="1272"/>
      <c r="U39" s="1272"/>
    </row>
    <row r="40" spans="1:21" ht="15.75" x14ac:dyDescent="0.25">
      <c r="A40" s="1798"/>
      <c r="B40" s="1798"/>
      <c r="C40" s="1798"/>
      <c r="D40" s="1543" t="s">
        <v>596</v>
      </c>
      <c r="E40" s="1634">
        <f>IF(D40="Инженер ОК",ТрЗ_ОКиА!$K$92,IF(D40="Старший инженер ОК",ТрЗ_ОКиА!$L$92,IF(D40="Ведущий инженер ОК",ТрЗ_ОКиА!$M$92,"")))</f>
        <v>0.3</v>
      </c>
      <c r="F40" s="143"/>
      <c r="G40" s="143"/>
      <c r="H40" s="143"/>
      <c r="I40" s="144"/>
      <c r="J40" s="143"/>
      <c r="K40" s="1801"/>
      <c r="M40" s="7" t="s">
        <v>87</v>
      </c>
      <c r="N40" s="7">
        <v>0</v>
      </c>
      <c r="O40" s="1809"/>
      <c r="Q40" s="1272"/>
      <c r="R40" s="1272"/>
      <c r="S40" s="1272"/>
      <c r="T40" s="1272"/>
      <c r="U40" s="1272"/>
    </row>
    <row r="41" spans="1:21" ht="15" customHeight="1" x14ac:dyDescent="0.25">
      <c r="A41" s="1798"/>
      <c r="B41" s="1798"/>
      <c r="C41" s="1798"/>
      <c r="D41" s="1543" t="s">
        <v>597</v>
      </c>
      <c r="E41" s="1634">
        <f>IF(D41="Инженер ОК",ТрЗ_ОКиА!$K$92,IF(D41="Старший инженер ОК",ТрЗ_ОКиА!$L$92,IF(D41="Ведущий инженер ОК",ТрЗ_ОКиА!$M$92,"")))</f>
        <v>0.1</v>
      </c>
      <c r="F41" s="144"/>
      <c r="G41" s="144"/>
      <c r="H41" s="144"/>
      <c r="I41" s="144"/>
      <c r="J41" s="144"/>
      <c r="K41" s="1801"/>
      <c r="M41" s="7" t="s">
        <v>567</v>
      </c>
      <c r="N41" s="7">
        <v>22</v>
      </c>
      <c r="O41" s="1809"/>
      <c r="Q41" s="1272"/>
      <c r="R41" s="1272"/>
      <c r="S41" s="1272"/>
      <c r="T41" s="1272"/>
      <c r="U41" s="1272"/>
    </row>
    <row r="42" spans="1:21" ht="15" customHeight="1" x14ac:dyDescent="0.25">
      <c r="A42" s="1798"/>
      <c r="B42" s="1798"/>
      <c r="C42" s="1798"/>
      <c r="D42" s="1543" t="s">
        <v>592</v>
      </c>
      <c r="E42" s="1634"/>
      <c r="F42" s="144"/>
      <c r="G42" s="144"/>
      <c r="H42" s="144"/>
      <c r="I42" s="144"/>
      <c r="J42" s="144"/>
      <c r="K42" s="1801"/>
      <c r="M42" s="7" t="s">
        <v>119</v>
      </c>
      <c r="N42" s="7">
        <v>0</v>
      </c>
      <c r="O42" s="1809"/>
      <c r="Q42" s="1272"/>
      <c r="R42" s="1272"/>
      <c r="S42" s="1272"/>
      <c r="T42" s="1272"/>
      <c r="U42" s="1272"/>
    </row>
    <row r="43" spans="1:21" ht="15" customHeight="1" x14ac:dyDescent="0.25">
      <c r="A43" s="1798"/>
      <c r="B43" s="1798"/>
      <c r="C43" s="1798"/>
      <c r="D43" s="1543" t="s">
        <v>592</v>
      </c>
      <c r="E43" s="1634"/>
      <c r="F43" s="144"/>
      <c r="G43" s="144"/>
      <c r="H43" s="144"/>
      <c r="I43" s="144"/>
      <c r="J43" s="144"/>
      <c r="K43" s="1801"/>
      <c r="M43" s="7"/>
      <c r="N43" s="7"/>
      <c r="O43" s="1809"/>
      <c r="Q43" s="1272"/>
      <c r="R43" s="1272"/>
      <c r="S43" s="1272"/>
      <c r="T43" s="1272"/>
      <c r="U43" s="1272"/>
    </row>
    <row r="44" spans="1:21" ht="15.75" x14ac:dyDescent="0.25">
      <c r="A44" s="1798"/>
      <c r="B44" s="1798"/>
      <c r="C44" s="1798"/>
      <c r="D44" s="1543" t="s">
        <v>593</v>
      </c>
      <c r="E44" s="1634"/>
      <c r="F44" s="144"/>
      <c r="G44" s="144"/>
      <c r="H44" s="144"/>
      <c r="I44" s="144"/>
      <c r="J44" s="144"/>
      <c r="K44" s="1801"/>
      <c r="M44" s="7"/>
      <c r="N44" s="7"/>
      <c r="O44" s="1809"/>
      <c r="Q44" s="1272"/>
    </row>
    <row r="45" spans="1:21" ht="15.75" x14ac:dyDescent="0.25">
      <c r="A45" s="1798"/>
      <c r="B45" s="1798"/>
      <c r="C45" s="1798"/>
      <c r="D45" s="1543" t="s">
        <v>593</v>
      </c>
      <c r="E45" s="1634"/>
      <c r="F45" s="144"/>
      <c r="G45" s="144"/>
      <c r="H45" s="144"/>
      <c r="I45" s="144"/>
      <c r="J45" s="144"/>
      <c r="K45" s="1801"/>
      <c r="M45" s="7" t="s">
        <v>87</v>
      </c>
      <c r="N45" s="7">
        <v>0</v>
      </c>
      <c r="O45" s="1809"/>
      <c r="Q45" s="1272"/>
    </row>
    <row r="46" spans="1:21" ht="15.75" x14ac:dyDescent="0.25">
      <c r="A46" s="1798"/>
      <c r="B46" s="1798"/>
      <c r="C46" s="1798"/>
      <c r="D46" s="1543" t="s">
        <v>594</v>
      </c>
      <c r="E46" s="1634"/>
      <c r="F46" s="144"/>
      <c r="G46" s="144"/>
      <c r="H46" s="144"/>
      <c r="I46" s="144"/>
      <c r="J46" s="144"/>
      <c r="K46" s="1801"/>
      <c r="M46" s="7"/>
      <c r="N46" s="7"/>
      <c r="O46" s="1809"/>
      <c r="Q46" s="1272"/>
    </row>
    <row r="47" spans="1:21" ht="15.75" x14ac:dyDescent="0.25">
      <c r="A47" s="1798"/>
      <c r="B47" s="1798"/>
      <c r="C47" s="1798"/>
      <c r="D47" s="1543" t="s">
        <v>594</v>
      </c>
      <c r="E47" s="1634"/>
      <c r="F47" s="144"/>
      <c r="G47" s="144"/>
      <c r="H47" s="144"/>
      <c r="I47" s="144"/>
      <c r="J47" s="144"/>
      <c r="K47" s="1801"/>
      <c r="M47" s="7" t="s">
        <v>567</v>
      </c>
      <c r="N47" s="7" t="s">
        <v>1225</v>
      </c>
      <c r="O47" s="1809"/>
      <c r="Q47" s="1272"/>
    </row>
    <row r="48" spans="1:21" ht="16.5" customHeight="1" thickBot="1" x14ac:dyDescent="0.3">
      <c r="A48" s="1798"/>
      <c r="B48" s="1827" t="s">
        <v>1598</v>
      </c>
      <c r="C48" s="1827" t="s">
        <v>1599</v>
      </c>
      <c r="D48" s="1543" t="s">
        <v>595</v>
      </c>
      <c r="E48" s="1634">
        <f>ROUNDUP(IF(D48="Инженер ОК",ТрЗ_ОКиА!$K$95,IF(D48="Старший инженер ОК",ТрЗ_ОКиА!$L$95,IF(D48="Ведущий инженер ОК",ТрЗ_ОКиА!$M$95,""))),0)</f>
        <v>3</v>
      </c>
      <c r="F48" s="144">
        <v>1</v>
      </c>
      <c r="G48" s="144">
        <v>3</v>
      </c>
      <c r="H48" s="144">
        <v>1</v>
      </c>
      <c r="I48" s="144"/>
      <c r="J48" s="144">
        <f>F48*G48*H48</f>
        <v>3</v>
      </c>
      <c r="K48" s="1801"/>
      <c r="M48" s="7" t="s">
        <v>119</v>
      </c>
      <c r="N48" s="7">
        <v>0</v>
      </c>
      <c r="O48" s="1809"/>
      <c r="Q48" s="1272"/>
    </row>
    <row r="49" spans="1:21" ht="16.5" thickBot="1" x14ac:dyDescent="0.3">
      <c r="A49" s="1798"/>
      <c r="B49" s="1828"/>
      <c r="C49" s="1828"/>
      <c r="D49" s="1543" t="s">
        <v>596</v>
      </c>
      <c r="E49" s="1634">
        <f>ROUNDUP(IF(D49="Инженер ОК",ТрЗ_ОКиА!$K$95,IF(D49="Старший инженер ОК",ТрЗ_ОКиА!$L$95,IF(D49="Ведущий инженер ОК",ТрЗ_ОКиА!$M$95,""))),0)</f>
        <v>3</v>
      </c>
      <c r="F49" s="144">
        <v>1</v>
      </c>
      <c r="G49" s="144">
        <v>3</v>
      </c>
      <c r="H49" s="144">
        <v>1</v>
      </c>
      <c r="I49" s="144"/>
      <c r="J49" s="144">
        <f t="shared" ref="J49:J50" si="1">F49*G49*H49</f>
        <v>3</v>
      </c>
      <c r="K49" s="1801"/>
      <c r="M49" s="7"/>
      <c r="N49" s="7"/>
      <c r="O49" s="1809"/>
      <c r="Q49" s="1272"/>
    </row>
    <row r="50" spans="1:21" ht="16.5" thickBot="1" x14ac:dyDescent="0.3">
      <c r="A50" s="1798"/>
      <c r="B50" s="1828"/>
      <c r="C50" s="1828"/>
      <c r="D50" s="1545" t="s">
        <v>597</v>
      </c>
      <c r="E50" s="1634">
        <f>ROUNDUP(IF(D50="Инженер ОК",ТрЗ_ОКиА!$K$95,IF(D50="Старший инженер ОК",ТрЗ_ОКиА!$L$95,IF(D50="Ведущий инженер ОК",ТрЗ_ОКиА!$M$95,""))),0)</f>
        <v>2</v>
      </c>
      <c r="F50" s="144">
        <v>1</v>
      </c>
      <c r="G50" s="144">
        <v>2</v>
      </c>
      <c r="H50" s="144">
        <v>1</v>
      </c>
      <c r="I50" s="144"/>
      <c r="J50" s="144">
        <f t="shared" si="1"/>
        <v>2</v>
      </c>
      <c r="K50" s="1801"/>
      <c r="M50" s="7" t="s">
        <v>87</v>
      </c>
      <c r="N50" s="7">
        <v>0</v>
      </c>
      <c r="O50" s="1809"/>
      <c r="Q50" s="1272"/>
    </row>
    <row r="51" spans="1:21" ht="16.5" thickBot="1" x14ac:dyDescent="0.3">
      <c r="A51" s="1798"/>
      <c r="B51" s="1828"/>
      <c r="C51" s="1828"/>
      <c r="D51" s="1543" t="s">
        <v>592</v>
      </c>
      <c r="E51" s="1634"/>
      <c r="F51" s="144"/>
      <c r="G51" s="144"/>
      <c r="H51" s="144"/>
      <c r="I51" s="144"/>
      <c r="J51" s="144"/>
      <c r="K51" s="1801"/>
      <c r="M51" s="7" t="s">
        <v>567</v>
      </c>
      <c r="N51" s="7">
        <v>0</v>
      </c>
      <c r="O51" s="1809"/>
      <c r="Q51" s="1272"/>
    </row>
    <row r="52" spans="1:21" ht="16.5" thickBot="1" x14ac:dyDescent="0.3">
      <c r="A52" s="1798"/>
      <c r="B52" s="1828"/>
      <c r="C52" s="1828"/>
      <c r="D52" s="1543" t="s">
        <v>593</v>
      </c>
      <c r="E52" s="1634"/>
      <c r="F52" s="144"/>
      <c r="G52" s="144"/>
      <c r="H52" s="144"/>
      <c r="I52" s="144"/>
      <c r="J52" s="144"/>
      <c r="K52" s="1801"/>
      <c r="M52" s="7"/>
      <c r="N52" s="7"/>
      <c r="O52" s="1809"/>
      <c r="Q52" s="1272"/>
    </row>
    <row r="53" spans="1:21" ht="16.5" thickBot="1" x14ac:dyDescent="0.3">
      <c r="A53" s="1798"/>
      <c r="B53" s="1828"/>
      <c r="C53" s="1828"/>
      <c r="D53" s="1543" t="s">
        <v>594</v>
      </c>
      <c r="E53" s="1634"/>
      <c r="F53" s="144"/>
      <c r="G53" s="144"/>
      <c r="H53" s="144"/>
      <c r="I53" s="144"/>
      <c r="J53" s="144"/>
      <c r="K53" s="1801"/>
      <c r="M53" s="7" t="s">
        <v>119</v>
      </c>
      <c r="N53" s="7">
        <v>0</v>
      </c>
      <c r="O53" s="1809"/>
      <c r="Q53" s="1272"/>
    </row>
    <row r="54" spans="1:21" ht="15.75" x14ac:dyDescent="0.25">
      <c r="A54" s="1798"/>
      <c r="B54" s="1829"/>
      <c r="C54" s="1829"/>
      <c r="D54" s="1544" t="s">
        <v>1224</v>
      </c>
      <c r="E54" s="1634"/>
      <c r="F54" s="144"/>
      <c r="G54" s="144"/>
      <c r="H54" s="144"/>
      <c r="I54" s="144"/>
      <c r="J54" s="144"/>
      <c r="K54" s="1801"/>
      <c r="L54" s="1542" t="s">
        <v>1525</v>
      </c>
      <c r="M54" s="7"/>
      <c r="N54" s="7"/>
      <c r="O54" s="1809"/>
      <c r="Q54" s="1272"/>
    </row>
    <row r="55" spans="1:21" ht="16.5" customHeight="1" thickBot="1" x14ac:dyDescent="0.3">
      <c r="A55" s="1798"/>
      <c r="B55" s="1827" t="s">
        <v>1600</v>
      </c>
      <c r="C55" s="1827" t="s">
        <v>1531</v>
      </c>
      <c r="D55" s="1543" t="s">
        <v>595</v>
      </c>
      <c r="E55" s="1634">
        <f>IF(D55="Инженер ОК",ТрЗ_ОКиА!$K$101,IF(D55="Старший инженер ОК",ТрЗ_ОКиА!$L$101,IF(D55="Ведущий инженер ОК",ТрЗ_ОКиА!$M$101,"")))</f>
        <v>3.15</v>
      </c>
      <c r="F55" s="144"/>
      <c r="G55" s="144"/>
      <c r="H55" s="144"/>
      <c r="I55" s="144"/>
      <c r="J55" s="144"/>
      <c r="K55" s="1801"/>
      <c r="M55" s="7" t="s">
        <v>119</v>
      </c>
      <c r="N55" s="7">
        <v>0</v>
      </c>
      <c r="O55" s="1809"/>
      <c r="Q55" s="1272"/>
    </row>
    <row r="56" spans="1:21" ht="16.5" thickBot="1" x14ac:dyDescent="0.3">
      <c r="A56" s="1798"/>
      <c r="B56" s="1828"/>
      <c r="C56" s="1828"/>
      <c r="D56" s="1543" t="s">
        <v>596</v>
      </c>
      <c r="E56" s="1634">
        <f>IF(D56="Инженер ОК",ТрЗ_ОКиА!$K$101,IF(D56="Старший инженер ОК",ТрЗ_ОКиА!$L$101,IF(D56="Ведущий инженер ОК",ТрЗ_ОКиА!$M$101,"")))</f>
        <v>2.52</v>
      </c>
      <c r="F56" s="144"/>
      <c r="G56" s="144"/>
      <c r="H56" s="144"/>
      <c r="I56" s="144"/>
      <c r="J56" s="144"/>
      <c r="K56" s="1801"/>
      <c r="M56" s="7"/>
      <c r="N56" s="7"/>
      <c r="O56" s="1809"/>
      <c r="Q56" s="1272"/>
    </row>
    <row r="57" spans="1:21" ht="16.5" thickBot="1" x14ac:dyDescent="0.3">
      <c r="A57" s="1798"/>
      <c r="B57" s="1828"/>
      <c r="C57" s="1828"/>
      <c r="D57" s="1545" t="s">
        <v>597</v>
      </c>
      <c r="E57" s="1634">
        <f>IF(D57="Инженер ОК",ТрЗ_ОКиА!$K$101,IF(D57="Старший инженер ОК",ТрЗ_ОКиА!$L$101,IF(D57="Ведущий инженер ОК",ТрЗ_ОКиА!$M$101,"")))</f>
        <v>0.63</v>
      </c>
      <c r="F57" s="144"/>
      <c r="G57" s="144"/>
      <c r="H57" s="144"/>
      <c r="I57" s="144"/>
      <c r="J57" s="144"/>
      <c r="K57" s="1801"/>
      <c r="M57" s="7" t="s">
        <v>87</v>
      </c>
      <c r="N57" s="7">
        <v>0</v>
      </c>
      <c r="O57" s="1809"/>
      <c r="Q57" s="1272"/>
    </row>
    <row r="58" spans="1:21" ht="16.5" thickBot="1" x14ac:dyDescent="0.3">
      <c r="A58" s="1798"/>
      <c r="B58" s="1828"/>
      <c r="C58" s="1828"/>
      <c r="D58" s="1543" t="s">
        <v>592</v>
      </c>
      <c r="E58" s="1634"/>
      <c r="F58" s="144"/>
      <c r="G58" s="144"/>
      <c r="H58" s="144"/>
      <c r="I58" s="144"/>
      <c r="J58" s="144"/>
      <c r="K58" s="1801"/>
      <c r="M58" s="7" t="s">
        <v>567</v>
      </c>
      <c r="N58" s="7">
        <v>0</v>
      </c>
      <c r="O58" s="1809"/>
      <c r="Q58" s="1272"/>
    </row>
    <row r="59" spans="1:21" ht="16.5" thickBot="1" x14ac:dyDescent="0.3">
      <c r="A59" s="1798"/>
      <c r="B59" s="1828"/>
      <c r="C59" s="1828"/>
      <c r="D59" s="1543" t="s">
        <v>593</v>
      </c>
      <c r="E59" s="1634"/>
      <c r="F59" s="144"/>
      <c r="G59" s="144"/>
      <c r="H59" s="144"/>
      <c r="I59" s="144"/>
      <c r="J59" s="144"/>
      <c r="K59" s="1801"/>
      <c r="M59" s="7"/>
      <c r="N59" s="7"/>
      <c r="O59" s="1809"/>
      <c r="Q59" s="1272"/>
    </row>
    <row r="60" spans="1:21" ht="16.5" thickBot="1" x14ac:dyDescent="0.3">
      <c r="A60" s="1798"/>
      <c r="B60" s="1828"/>
      <c r="C60" s="1828"/>
      <c r="D60" s="1543" t="s">
        <v>594</v>
      </c>
      <c r="E60" s="1634"/>
      <c r="F60" s="144"/>
      <c r="G60" s="144"/>
      <c r="H60" s="144"/>
      <c r="I60" s="144"/>
      <c r="J60" s="144"/>
      <c r="K60" s="1801"/>
      <c r="M60" s="7" t="s">
        <v>119</v>
      </c>
      <c r="N60" s="7">
        <v>0</v>
      </c>
      <c r="O60" s="1809"/>
      <c r="Q60" s="1272"/>
    </row>
    <row r="61" spans="1:21" ht="15.75" x14ac:dyDescent="0.25">
      <c r="A61" s="1798"/>
      <c r="B61" s="1829"/>
      <c r="C61" s="1829"/>
      <c r="D61" s="1544" t="s">
        <v>1224</v>
      </c>
      <c r="E61" s="1634"/>
      <c r="F61" s="144"/>
      <c r="G61" s="144"/>
      <c r="H61" s="144"/>
      <c r="I61" s="144"/>
      <c r="J61" s="144"/>
      <c r="K61" s="1801"/>
      <c r="L61" s="1542" t="s">
        <v>1525</v>
      </c>
      <c r="M61" s="7"/>
      <c r="N61" s="7"/>
      <c r="O61" s="1809"/>
      <c r="Q61" s="1272"/>
    </row>
    <row r="62" spans="1:21" ht="15.75" x14ac:dyDescent="0.25">
      <c r="A62" s="1798"/>
      <c r="B62" s="1549" t="s">
        <v>1521</v>
      </c>
      <c r="C62" s="1549"/>
      <c r="D62" s="1547" t="s">
        <v>623</v>
      </c>
      <c r="E62" s="1635">
        <f>SUM(E39:E61)*0.1</f>
        <v>1.5300000000000002</v>
      </c>
      <c r="F62" s="144"/>
      <c r="G62" s="144"/>
      <c r="H62" s="144"/>
      <c r="I62" s="144"/>
      <c r="J62" s="144"/>
      <c r="K62" s="1801"/>
      <c r="M62" s="7"/>
      <c r="N62" s="7"/>
      <c r="O62" s="1809"/>
      <c r="Q62" s="1272"/>
    </row>
    <row r="63" spans="1:21" ht="16.5" thickBot="1" x14ac:dyDescent="0.3">
      <c r="A63" s="1799"/>
      <c r="B63" s="1550" t="s">
        <v>1522</v>
      </c>
      <c r="C63" s="1550"/>
      <c r="D63" s="1547" t="s">
        <v>156</v>
      </c>
      <c r="E63" s="1635">
        <f>SUM(E39:E61)*0.2</f>
        <v>3.0600000000000005</v>
      </c>
      <c r="F63" s="144"/>
      <c r="G63" s="144"/>
      <c r="H63" s="144"/>
      <c r="I63" s="144"/>
      <c r="J63" s="144"/>
      <c r="K63" s="1802"/>
      <c r="M63" s="7" t="s">
        <v>87</v>
      </c>
      <c r="N63" s="7">
        <v>0</v>
      </c>
      <c r="O63" s="1809"/>
      <c r="Q63" s="1272"/>
    </row>
    <row r="64" spans="1:21" ht="15.6" customHeight="1" x14ac:dyDescent="0.25">
      <c r="A64" s="1831" t="s">
        <v>1602</v>
      </c>
      <c r="B64" s="1797" t="s">
        <v>1597</v>
      </c>
      <c r="C64" s="1797" t="s">
        <v>1530</v>
      </c>
      <c r="D64" s="1543" t="s">
        <v>595</v>
      </c>
      <c r="E64" s="1634">
        <f>IF(D64="Инженер ОК",ТрЗ_ОКиА!$K$170,IF(D64="Старший инженер ОК",ТрЗ_ОКиА!$L$170,IF(D64="Ведущий инженер ОК",ТрЗ_ОКиА!$M$170,"")))</f>
        <v>1</v>
      </c>
      <c r="F64" s="143"/>
      <c r="G64" s="143"/>
      <c r="H64" s="143"/>
      <c r="I64" s="144"/>
      <c r="J64" s="143"/>
      <c r="K64" s="1832" t="s">
        <v>1558</v>
      </c>
      <c r="L64" s="93"/>
      <c r="M64" s="7"/>
      <c r="N64" s="7"/>
      <c r="O64" s="1809"/>
      <c r="Q64" s="1272"/>
      <c r="R64" s="1272"/>
      <c r="S64" s="1272"/>
      <c r="T64" s="1272"/>
      <c r="U64" s="1272"/>
    </row>
    <row r="65" spans="1:21" ht="15.75" x14ac:dyDescent="0.25">
      <c r="A65" s="1798"/>
      <c r="B65" s="1798"/>
      <c r="C65" s="1798"/>
      <c r="D65" s="1543" t="s">
        <v>596</v>
      </c>
      <c r="E65" s="1634">
        <f>IF(D65="Инженер ОК",ТрЗ_ОКиА!$K$170,IF(D65="Старший инженер ОК",ТрЗ_ОКиА!$L$170,IF(D65="Ведущий инженер ОК",ТрЗ_ОКиА!$M$170,"")))</f>
        <v>0.44999999999999996</v>
      </c>
      <c r="F65" s="143"/>
      <c r="G65" s="143"/>
      <c r="H65" s="143"/>
      <c r="I65" s="144"/>
      <c r="J65" s="143"/>
      <c r="K65" s="1801"/>
      <c r="M65" s="7" t="s">
        <v>87</v>
      </c>
      <c r="N65" s="7">
        <v>0</v>
      </c>
      <c r="O65" s="1809"/>
      <c r="Q65" s="1272"/>
      <c r="R65" s="1272"/>
      <c r="S65" s="1272"/>
      <c r="T65" s="1272"/>
      <c r="U65" s="1272"/>
    </row>
    <row r="66" spans="1:21" ht="15" customHeight="1" x14ac:dyDescent="0.25">
      <c r="A66" s="1798"/>
      <c r="B66" s="1798"/>
      <c r="C66" s="1798"/>
      <c r="D66" s="1543" t="s">
        <v>597</v>
      </c>
      <c r="E66" s="1634">
        <f>IF(D66="Инженер ОК",ТрЗ_ОКиА!$K$170,IF(D66="Старший инженер ОК",ТрЗ_ОКиА!$L$170,IF(D66="Ведущий инженер ОК",ТрЗ_ОКиА!$M$170,"")))</f>
        <v>0.15000000000000002</v>
      </c>
      <c r="F66" s="144"/>
      <c r="G66" s="144"/>
      <c r="H66" s="144"/>
      <c r="I66" s="144"/>
      <c r="J66" s="144"/>
      <c r="K66" s="1801"/>
      <c r="M66" s="7" t="s">
        <v>567</v>
      </c>
      <c r="N66" s="7">
        <v>22</v>
      </c>
      <c r="O66" s="1809"/>
      <c r="Q66" s="1272"/>
      <c r="R66" s="1272"/>
      <c r="S66" s="1272"/>
      <c r="T66" s="1272"/>
      <c r="U66" s="1272"/>
    </row>
    <row r="67" spans="1:21" ht="15" customHeight="1" x14ac:dyDescent="0.25">
      <c r="A67" s="1798"/>
      <c r="B67" s="1798"/>
      <c r="C67" s="1798"/>
      <c r="D67" s="1543" t="s">
        <v>592</v>
      </c>
      <c r="E67" s="1634"/>
      <c r="F67" s="144"/>
      <c r="G67" s="144"/>
      <c r="H67" s="144"/>
      <c r="I67" s="144"/>
      <c r="J67" s="144"/>
      <c r="K67" s="1801"/>
      <c r="M67" s="7" t="s">
        <v>119</v>
      </c>
      <c r="N67" s="7">
        <v>0</v>
      </c>
      <c r="O67" s="1809"/>
      <c r="Q67" s="1272"/>
      <c r="R67" s="1272"/>
      <c r="S67" s="1272"/>
      <c r="T67" s="1272"/>
      <c r="U67" s="1272"/>
    </row>
    <row r="68" spans="1:21" ht="15" customHeight="1" x14ac:dyDescent="0.25">
      <c r="A68" s="1798"/>
      <c r="B68" s="1798"/>
      <c r="C68" s="1798"/>
      <c r="D68" s="1543" t="s">
        <v>592</v>
      </c>
      <c r="E68" s="1634"/>
      <c r="F68" s="144"/>
      <c r="G68" s="144"/>
      <c r="H68" s="144"/>
      <c r="I68" s="144"/>
      <c r="J68" s="144"/>
      <c r="K68" s="1801"/>
      <c r="M68" s="7"/>
      <c r="N68" s="7"/>
      <c r="O68" s="1809"/>
      <c r="Q68" s="1272"/>
      <c r="R68" s="1272"/>
      <c r="S68" s="1272"/>
      <c r="T68" s="1272"/>
      <c r="U68" s="1272"/>
    </row>
    <row r="69" spans="1:21" ht="15.75" x14ac:dyDescent="0.25">
      <c r="A69" s="1798"/>
      <c r="B69" s="1798"/>
      <c r="C69" s="1798"/>
      <c r="D69" s="1543" t="s">
        <v>593</v>
      </c>
      <c r="E69" s="1634"/>
      <c r="F69" s="144"/>
      <c r="G69" s="144"/>
      <c r="H69" s="144"/>
      <c r="I69" s="144"/>
      <c r="J69" s="144"/>
      <c r="K69" s="1801"/>
      <c r="M69" s="7"/>
      <c r="N69" s="7"/>
      <c r="O69" s="1809"/>
      <c r="Q69" s="1272"/>
    </row>
    <row r="70" spans="1:21" ht="15.75" x14ac:dyDescent="0.25">
      <c r="A70" s="1798"/>
      <c r="B70" s="1798"/>
      <c r="C70" s="1798"/>
      <c r="D70" s="1543" t="s">
        <v>593</v>
      </c>
      <c r="E70" s="1634"/>
      <c r="F70" s="144"/>
      <c r="G70" s="144"/>
      <c r="H70" s="144"/>
      <c r="I70" s="144"/>
      <c r="J70" s="144"/>
      <c r="K70" s="1801"/>
      <c r="M70" s="7" t="s">
        <v>87</v>
      </c>
      <c r="N70" s="7">
        <v>0</v>
      </c>
      <c r="O70" s="1809"/>
      <c r="Q70" s="1272"/>
    </row>
    <row r="71" spans="1:21" ht="15.75" x14ac:dyDescent="0.25">
      <c r="A71" s="1798"/>
      <c r="B71" s="1798"/>
      <c r="C71" s="1798"/>
      <c r="D71" s="1543" t="s">
        <v>594</v>
      </c>
      <c r="E71" s="1634"/>
      <c r="F71" s="144"/>
      <c r="G71" s="144"/>
      <c r="H71" s="144"/>
      <c r="I71" s="144"/>
      <c r="J71" s="144"/>
      <c r="K71" s="1801"/>
      <c r="M71" s="7"/>
      <c r="N71" s="7"/>
      <c r="O71" s="1809"/>
      <c r="Q71" s="1272"/>
    </row>
    <row r="72" spans="1:21" ht="15.75" x14ac:dyDescent="0.25">
      <c r="A72" s="1798"/>
      <c r="B72" s="1798"/>
      <c r="C72" s="1798"/>
      <c r="D72" s="1543" t="s">
        <v>594</v>
      </c>
      <c r="E72" s="1634"/>
      <c r="F72" s="144"/>
      <c r="G72" s="144"/>
      <c r="H72" s="144"/>
      <c r="I72" s="144"/>
      <c r="J72" s="144"/>
      <c r="K72" s="1801"/>
      <c r="M72" s="7" t="s">
        <v>567</v>
      </c>
      <c r="N72" s="7" t="s">
        <v>1225</v>
      </c>
      <c r="O72" s="1809"/>
      <c r="Q72" s="1272"/>
    </row>
    <row r="73" spans="1:21" ht="16.5" customHeight="1" thickBot="1" x14ac:dyDescent="0.3">
      <c r="A73" s="1798"/>
      <c r="B73" s="1827" t="s">
        <v>1598</v>
      </c>
      <c r="C73" s="1827" t="s">
        <v>1599</v>
      </c>
      <c r="D73" s="1543" t="s">
        <v>595</v>
      </c>
      <c r="E73" s="1634">
        <f>ROUNDUP(IF(D73="Инженер ОК",ТрЗ_ОКиА!$K$173,IF(D73="Старший инженер ОК",ТрЗ_ОКиА!$L$173,IF(D73="Ведущий инженер ОК",ТрЗ_ОКиА!$M$173,""))),0)</f>
        <v>3</v>
      </c>
      <c r="F73" s="144">
        <v>1</v>
      </c>
      <c r="G73" s="144">
        <v>3</v>
      </c>
      <c r="H73" s="144">
        <v>1</v>
      </c>
      <c r="I73" s="144"/>
      <c r="J73" s="144">
        <f>F73*G73*H73</f>
        <v>3</v>
      </c>
      <c r="K73" s="1801"/>
      <c r="M73" s="7" t="s">
        <v>119</v>
      </c>
      <c r="N73" s="7">
        <v>0</v>
      </c>
      <c r="O73" s="1809"/>
      <c r="Q73" s="1272"/>
    </row>
    <row r="74" spans="1:21" ht="16.5" thickBot="1" x14ac:dyDescent="0.3">
      <c r="A74" s="1798"/>
      <c r="B74" s="1828"/>
      <c r="C74" s="1828"/>
      <c r="D74" s="1543" t="s">
        <v>596</v>
      </c>
      <c r="E74" s="1634">
        <f>ROUNDUP(IF(D74="Инженер ОК",ТрЗ_ОКиА!$K$173,IF(D74="Старший инженер ОК",ТрЗ_ОКиА!$L$173,IF(D74="Ведущий инженер ОК",ТрЗ_ОКиА!$M$173,""))),0)</f>
        <v>3</v>
      </c>
      <c r="F74" s="144">
        <v>1</v>
      </c>
      <c r="G74" s="144">
        <v>3</v>
      </c>
      <c r="H74" s="144">
        <v>1</v>
      </c>
      <c r="I74" s="144"/>
      <c r="J74" s="144">
        <f t="shared" ref="J74:J75" si="2">F74*G74*H74</f>
        <v>3</v>
      </c>
      <c r="K74" s="1801"/>
      <c r="M74" s="7"/>
      <c r="N74" s="7"/>
      <c r="O74" s="1809"/>
      <c r="Q74" s="1272"/>
    </row>
    <row r="75" spans="1:21" ht="16.5" thickBot="1" x14ac:dyDescent="0.3">
      <c r="A75" s="1798"/>
      <c r="B75" s="1828"/>
      <c r="C75" s="1828"/>
      <c r="D75" s="1545" t="s">
        <v>597</v>
      </c>
      <c r="E75" s="1634">
        <f>ROUNDUP(IF(D75="Инженер ОК",ТрЗ_ОКиА!$K$173,IF(D75="Старший инженер ОК",ТрЗ_ОКиА!$L$173,IF(D75="Ведущий инженер ОК",ТрЗ_ОКиА!$M$173,""))),0)</f>
        <v>2</v>
      </c>
      <c r="F75" s="144">
        <v>1</v>
      </c>
      <c r="G75" s="144">
        <v>2</v>
      </c>
      <c r="H75" s="144">
        <v>1</v>
      </c>
      <c r="I75" s="144"/>
      <c r="J75" s="144">
        <f t="shared" si="2"/>
        <v>2</v>
      </c>
      <c r="K75" s="1801"/>
      <c r="M75" s="7" t="s">
        <v>87</v>
      </c>
      <c r="N75" s="7">
        <v>0</v>
      </c>
      <c r="O75" s="1809"/>
      <c r="Q75" s="1272"/>
    </row>
    <row r="76" spans="1:21" ht="16.5" thickBot="1" x14ac:dyDescent="0.3">
      <c r="A76" s="1798"/>
      <c r="B76" s="1828"/>
      <c r="C76" s="1828"/>
      <c r="D76" s="1543" t="s">
        <v>592</v>
      </c>
      <c r="E76" s="1636"/>
      <c r="F76" s="144"/>
      <c r="G76" s="144"/>
      <c r="H76" s="144"/>
      <c r="I76" s="144"/>
      <c r="J76" s="144"/>
      <c r="K76" s="1801"/>
      <c r="M76" s="7" t="s">
        <v>567</v>
      </c>
      <c r="N76" s="7">
        <v>0</v>
      </c>
      <c r="O76" s="1809"/>
      <c r="Q76" s="1272"/>
    </row>
    <row r="77" spans="1:21" ht="16.5" thickBot="1" x14ac:dyDescent="0.3">
      <c r="A77" s="1798"/>
      <c r="B77" s="1828"/>
      <c r="C77" s="1828"/>
      <c r="D77" s="1543" t="s">
        <v>593</v>
      </c>
      <c r="E77" s="1636"/>
      <c r="F77" s="144"/>
      <c r="G77" s="144"/>
      <c r="H77" s="144"/>
      <c r="I77" s="144"/>
      <c r="J77" s="144"/>
      <c r="K77" s="1801"/>
      <c r="M77" s="7"/>
      <c r="N77" s="7"/>
      <c r="O77" s="1809"/>
      <c r="Q77" s="1272"/>
    </row>
    <row r="78" spans="1:21" ht="16.5" thickBot="1" x14ac:dyDescent="0.3">
      <c r="A78" s="1798"/>
      <c r="B78" s="1828"/>
      <c r="C78" s="1828"/>
      <c r="D78" s="1543" t="s">
        <v>594</v>
      </c>
      <c r="E78" s="1636"/>
      <c r="F78" s="144"/>
      <c r="G78" s="144"/>
      <c r="H78" s="144"/>
      <c r="I78" s="144"/>
      <c r="J78" s="144"/>
      <c r="K78" s="1801"/>
      <c r="M78" s="7" t="s">
        <v>119</v>
      </c>
      <c r="N78" s="7">
        <v>0</v>
      </c>
      <c r="O78" s="1809"/>
      <c r="Q78" s="1272"/>
    </row>
    <row r="79" spans="1:21" ht="15.75" x14ac:dyDescent="0.25">
      <c r="A79" s="1798"/>
      <c r="B79" s="1829"/>
      <c r="C79" s="1829"/>
      <c r="D79" s="1544" t="s">
        <v>1224</v>
      </c>
      <c r="E79" s="1634"/>
      <c r="F79" s="144"/>
      <c r="G79" s="144"/>
      <c r="H79" s="144"/>
      <c r="I79" s="144"/>
      <c r="J79" s="144"/>
      <c r="K79" s="1801"/>
      <c r="L79" s="1542" t="s">
        <v>1525</v>
      </c>
      <c r="M79" s="7"/>
      <c r="N79" s="7"/>
      <c r="O79" s="1809"/>
      <c r="Q79" s="1272"/>
    </row>
    <row r="80" spans="1:21" ht="16.5" customHeight="1" thickBot="1" x14ac:dyDescent="0.3">
      <c r="A80" s="1798"/>
      <c r="B80" s="1827" t="s">
        <v>1600</v>
      </c>
      <c r="C80" s="1827" t="s">
        <v>1531</v>
      </c>
      <c r="D80" s="1543" t="s">
        <v>595</v>
      </c>
      <c r="E80" s="1634">
        <f>IF(D80="Инженер ОК",ТрЗ_ОКиА!$K$179,IF(D80="Старший инженер ОК",ТрЗ_ОКиА!$L$179,IF(D80="Ведущий инженер ОК",ТрЗ_ОКиА!$M$179,"")))</f>
        <v>4.0187500000000007</v>
      </c>
      <c r="F80" s="144"/>
      <c r="G80" s="144"/>
      <c r="H80" s="144"/>
      <c r="I80" s="144"/>
      <c r="J80" s="144"/>
      <c r="K80" s="1801"/>
      <c r="M80" s="7" t="s">
        <v>119</v>
      </c>
      <c r="N80" s="7">
        <v>0</v>
      </c>
      <c r="O80" s="1809"/>
      <c r="Q80" s="1272"/>
    </row>
    <row r="81" spans="1:21" ht="16.5" thickBot="1" x14ac:dyDescent="0.3">
      <c r="A81" s="1798"/>
      <c r="B81" s="1828"/>
      <c r="C81" s="1828"/>
      <c r="D81" s="1543" t="s">
        <v>596</v>
      </c>
      <c r="E81" s="1634">
        <f>IF(D81="Инженер ОК",ТрЗ_ОКиА!$K$179,IF(D81="Старший инженер ОК",ТрЗ_ОКиА!$L$179,IF(D81="Ведущий инженер ОК",ТрЗ_ОКиА!$M$179,"")))</f>
        <v>3.2150000000000007</v>
      </c>
      <c r="F81" s="144"/>
      <c r="G81" s="144"/>
      <c r="H81" s="144"/>
      <c r="I81" s="144"/>
      <c r="J81" s="144"/>
      <c r="K81" s="1801"/>
      <c r="M81" s="7"/>
      <c r="N81" s="7"/>
      <c r="O81" s="1809"/>
      <c r="Q81" s="1272"/>
    </row>
    <row r="82" spans="1:21" ht="16.5" thickBot="1" x14ac:dyDescent="0.3">
      <c r="A82" s="1798"/>
      <c r="B82" s="1828"/>
      <c r="C82" s="1828"/>
      <c r="D82" s="1545" t="s">
        <v>597</v>
      </c>
      <c r="E82" s="1634">
        <f>IF(D82="Инженер ОК",ТрЗ_ОКиА!$K$179,IF(D82="Старший инженер ОК",ТрЗ_ОКиА!$L$179,IF(D82="Ведущий инженер ОК",ТрЗ_ОКиА!$M$179,"")))</f>
        <v>0.80375000000000019</v>
      </c>
      <c r="F82" s="144"/>
      <c r="G82" s="144"/>
      <c r="H82" s="144"/>
      <c r="I82" s="144"/>
      <c r="J82" s="144"/>
      <c r="K82" s="1801"/>
      <c r="M82" s="7" t="s">
        <v>87</v>
      </c>
      <c r="N82" s="7">
        <v>0</v>
      </c>
      <c r="O82" s="1809"/>
      <c r="Q82" s="1272"/>
    </row>
    <row r="83" spans="1:21" ht="16.5" thickBot="1" x14ac:dyDescent="0.3">
      <c r="A83" s="1798"/>
      <c r="B83" s="1828"/>
      <c r="C83" s="1828"/>
      <c r="D83" s="1543" t="s">
        <v>592</v>
      </c>
      <c r="E83" s="1634"/>
      <c r="F83" s="144"/>
      <c r="G83" s="144"/>
      <c r="H83" s="144"/>
      <c r="I83" s="144"/>
      <c r="J83" s="144"/>
      <c r="K83" s="1801"/>
      <c r="M83" s="7" t="s">
        <v>567</v>
      </c>
      <c r="N83" s="7">
        <v>0</v>
      </c>
      <c r="O83" s="1809"/>
      <c r="Q83" s="1272"/>
    </row>
    <row r="84" spans="1:21" ht="16.5" thickBot="1" x14ac:dyDescent="0.3">
      <c r="A84" s="1798"/>
      <c r="B84" s="1828"/>
      <c r="C84" s="1828"/>
      <c r="D84" s="1543" t="s">
        <v>593</v>
      </c>
      <c r="E84" s="1634"/>
      <c r="F84" s="144"/>
      <c r="G84" s="144"/>
      <c r="H84" s="144"/>
      <c r="I84" s="144"/>
      <c r="J84" s="144"/>
      <c r="K84" s="1801"/>
      <c r="M84" s="7"/>
      <c r="N84" s="7"/>
      <c r="O84" s="1809"/>
      <c r="Q84" s="1272"/>
    </row>
    <row r="85" spans="1:21" ht="16.5" thickBot="1" x14ac:dyDescent="0.3">
      <c r="A85" s="1798"/>
      <c r="B85" s="1828"/>
      <c r="C85" s="1828"/>
      <c r="D85" s="1543" t="s">
        <v>594</v>
      </c>
      <c r="E85" s="1634"/>
      <c r="F85" s="144"/>
      <c r="G85" s="144"/>
      <c r="H85" s="144"/>
      <c r="I85" s="144"/>
      <c r="J85" s="144"/>
      <c r="K85" s="1801"/>
      <c r="M85" s="7" t="s">
        <v>119</v>
      </c>
      <c r="N85" s="7">
        <v>0</v>
      </c>
      <c r="O85" s="1809"/>
      <c r="Q85" s="1272"/>
    </row>
    <row r="86" spans="1:21" ht="15.75" x14ac:dyDescent="0.25">
      <c r="A86" s="1798"/>
      <c r="B86" s="1829"/>
      <c r="C86" s="1829"/>
      <c r="D86" s="1544" t="s">
        <v>1224</v>
      </c>
      <c r="E86" s="1634"/>
      <c r="F86" s="144"/>
      <c r="G86" s="144"/>
      <c r="H86" s="144"/>
      <c r="I86" s="144"/>
      <c r="J86" s="144"/>
      <c r="K86" s="1801"/>
      <c r="L86" s="1542" t="s">
        <v>1525</v>
      </c>
      <c r="M86" s="7"/>
      <c r="N86" s="7"/>
      <c r="O86" s="1809"/>
      <c r="Q86" s="1272"/>
    </row>
    <row r="87" spans="1:21" ht="15.75" x14ac:dyDescent="0.25">
      <c r="A87" s="1798"/>
      <c r="B87" s="1549" t="s">
        <v>1521</v>
      </c>
      <c r="C87" s="1549"/>
      <c r="D87" s="1547" t="s">
        <v>623</v>
      </c>
      <c r="E87" s="1635">
        <f>SUM(E64:E86)*0.1</f>
        <v>1.7637500000000004</v>
      </c>
      <c r="F87" s="144"/>
      <c r="G87" s="144"/>
      <c r="H87" s="144"/>
      <c r="I87" s="144"/>
      <c r="J87" s="144"/>
      <c r="K87" s="1801"/>
      <c r="M87" s="7"/>
      <c r="N87" s="7"/>
      <c r="O87" s="1809"/>
      <c r="Q87" s="1272"/>
    </row>
    <row r="88" spans="1:21" ht="16.5" thickBot="1" x14ac:dyDescent="0.3">
      <c r="A88" s="1799"/>
      <c r="B88" s="1550" t="s">
        <v>1522</v>
      </c>
      <c r="C88" s="1550"/>
      <c r="D88" s="1547" t="s">
        <v>156</v>
      </c>
      <c r="E88" s="1635">
        <f>SUM(E64:E86)*0.2</f>
        <v>3.5275000000000007</v>
      </c>
      <c r="F88" s="144"/>
      <c r="G88" s="144"/>
      <c r="H88" s="144"/>
      <c r="I88" s="144"/>
      <c r="J88" s="144"/>
      <c r="K88" s="1802"/>
      <c r="M88" s="7" t="s">
        <v>87</v>
      </c>
      <c r="N88" s="7">
        <v>0</v>
      </c>
      <c r="O88" s="1809"/>
      <c r="Q88" s="1272"/>
    </row>
    <row r="89" spans="1:21" ht="15.6" customHeight="1" x14ac:dyDescent="0.25">
      <c r="A89" s="1831" t="s">
        <v>1603</v>
      </c>
      <c r="B89" s="1797" t="s">
        <v>1597</v>
      </c>
      <c r="C89" s="1797" t="s">
        <v>1530</v>
      </c>
      <c r="D89" s="1543" t="s">
        <v>595</v>
      </c>
      <c r="E89" s="1634">
        <f>IF(D89="Инженер ОК",ТрЗ_ОКиА!$K$241,IF(D89="Старший инженер ОК",ТрЗ_ОКиА!$L$241,IF(D89="Ведущий инженер ОК",ТрЗ_ОКиА!$M$241,"")))</f>
        <v>0.6</v>
      </c>
      <c r="F89" s="143"/>
      <c r="G89" s="143"/>
      <c r="H89" s="143"/>
      <c r="I89" s="144"/>
      <c r="J89" s="143"/>
      <c r="K89" s="1832" t="s">
        <v>1558</v>
      </c>
      <c r="L89" s="93"/>
      <c r="M89" s="7"/>
      <c r="N89" s="7"/>
      <c r="O89" s="1809"/>
      <c r="Q89" s="1272"/>
      <c r="R89" s="1272"/>
      <c r="S89" s="1272"/>
      <c r="T89" s="1272"/>
      <c r="U89" s="1272"/>
    </row>
    <row r="90" spans="1:21" ht="15.75" x14ac:dyDescent="0.25">
      <c r="A90" s="1798"/>
      <c r="B90" s="1798"/>
      <c r="C90" s="1798"/>
      <c r="D90" s="1543" t="s">
        <v>596</v>
      </c>
      <c r="E90" s="1634">
        <f>IF(D90="Инженер ОК",ТрЗ_ОКиА!$K$241,IF(D90="Старший инженер ОК",ТрЗ_ОКиА!$L$241,IF(D90="Ведущий инженер ОК",ТрЗ_ОКиА!$M$241,"")))</f>
        <v>0.3</v>
      </c>
      <c r="F90" s="143"/>
      <c r="G90" s="143"/>
      <c r="H90" s="143"/>
      <c r="I90" s="144"/>
      <c r="J90" s="143"/>
      <c r="K90" s="1801"/>
      <c r="M90" s="7" t="s">
        <v>87</v>
      </c>
      <c r="N90" s="7">
        <v>0</v>
      </c>
      <c r="O90" s="1809"/>
      <c r="Q90" s="1272"/>
      <c r="R90" s="1272"/>
      <c r="S90" s="1272"/>
      <c r="T90" s="1272"/>
      <c r="U90" s="1272"/>
    </row>
    <row r="91" spans="1:21" ht="15" customHeight="1" x14ac:dyDescent="0.25">
      <c r="A91" s="1798"/>
      <c r="B91" s="1798"/>
      <c r="C91" s="1798"/>
      <c r="D91" s="1543" t="s">
        <v>597</v>
      </c>
      <c r="E91" s="1634">
        <f>IF(D91="Инженер ОК",ТрЗ_ОКиА!$K$241,IF(D91="Старший инженер ОК",ТрЗ_ОКиА!$L$241,IF(D91="Ведущий инженер ОК",ТрЗ_ОКиА!$M$241,"")))</f>
        <v>0.1</v>
      </c>
      <c r="F91" s="144"/>
      <c r="G91" s="144"/>
      <c r="H91" s="144"/>
      <c r="I91" s="144"/>
      <c r="J91" s="144"/>
      <c r="K91" s="1801"/>
      <c r="M91" s="7" t="s">
        <v>567</v>
      </c>
      <c r="N91" s="7">
        <v>22</v>
      </c>
      <c r="O91" s="1809"/>
      <c r="Q91" s="1272"/>
      <c r="R91" s="1272"/>
      <c r="S91" s="1272"/>
      <c r="T91" s="1272"/>
      <c r="U91" s="1272"/>
    </row>
    <row r="92" spans="1:21" ht="15" customHeight="1" x14ac:dyDescent="0.25">
      <c r="A92" s="1798"/>
      <c r="B92" s="1798"/>
      <c r="C92" s="1798"/>
      <c r="D92" s="1543" t="s">
        <v>592</v>
      </c>
      <c r="E92" s="1634"/>
      <c r="F92" s="144"/>
      <c r="G92" s="144"/>
      <c r="H92" s="144"/>
      <c r="I92" s="144"/>
      <c r="J92" s="144"/>
      <c r="K92" s="1801"/>
      <c r="M92" s="7" t="s">
        <v>119</v>
      </c>
      <c r="N92" s="7">
        <v>0</v>
      </c>
      <c r="O92" s="1809"/>
      <c r="Q92" s="1272"/>
      <c r="R92" s="1272"/>
      <c r="S92" s="1272"/>
      <c r="T92" s="1272"/>
      <c r="U92" s="1272"/>
    </row>
    <row r="93" spans="1:21" ht="15" customHeight="1" x14ac:dyDescent="0.25">
      <c r="A93" s="1798"/>
      <c r="B93" s="1798"/>
      <c r="C93" s="1798"/>
      <c r="D93" s="1543" t="s">
        <v>592</v>
      </c>
      <c r="E93" s="1634"/>
      <c r="F93" s="144"/>
      <c r="G93" s="144"/>
      <c r="H93" s="144"/>
      <c r="I93" s="144"/>
      <c r="J93" s="144"/>
      <c r="K93" s="1801"/>
      <c r="M93" s="7"/>
      <c r="N93" s="7"/>
      <c r="O93" s="1809"/>
      <c r="Q93" s="1272"/>
      <c r="R93" s="1272"/>
      <c r="S93" s="1272"/>
      <c r="T93" s="1272"/>
      <c r="U93" s="1272"/>
    </row>
    <row r="94" spans="1:21" ht="16.5" customHeight="1" thickBot="1" x14ac:dyDescent="0.3">
      <c r="A94" s="1798"/>
      <c r="B94" s="1827" t="s">
        <v>1598</v>
      </c>
      <c r="C94" s="1827" t="s">
        <v>1599</v>
      </c>
      <c r="D94" s="1543" t="s">
        <v>595</v>
      </c>
      <c r="E94" s="1634">
        <f>ROUNDUP(IF(D94="Инженер ОК",ТрЗ_ОКиА!$K$244,IF(D94="Старший инженер ОК",ТрЗ_ОКиА!$L$244,IF(D94="Ведущий инженер ОК",ТрЗ_ОКиА!$M$244,""))),0)</f>
        <v>1</v>
      </c>
      <c r="F94" s="144">
        <v>1</v>
      </c>
      <c r="G94" s="144">
        <v>1</v>
      </c>
      <c r="H94" s="144">
        <v>1</v>
      </c>
      <c r="I94" s="144"/>
      <c r="J94" s="144">
        <f>F94*G94*H94</f>
        <v>1</v>
      </c>
      <c r="K94" s="1801"/>
      <c r="M94" s="7" t="s">
        <v>119</v>
      </c>
      <c r="N94" s="7">
        <v>0</v>
      </c>
      <c r="O94" s="1809"/>
      <c r="Q94" s="1272"/>
    </row>
    <row r="95" spans="1:21" ht="16.5" thickBot="1" x14ac:dyDescent="0.3">
      <c r="A95" s="1798"/>
      <c r="B95" s="1828"/>
      <c r="C95" s="1828"/>
      <c r="D95" s="1543" t="s">
        <v>596</v>
      </c>
      <c r="E95" s="1634">
        <f>ROUNDUP(IF(D95="Инженер ОК",ТрЗ_ОКиА!$K$244,IF(D95="Старший инженер ОК",ТрЗ_ОКиА!$L$244,IF(D95="Ведущий инженер ОК",ТрЗ_ОКиА!$M$244,""))),0)</f>
        <v>2</v>
      </c>
      <c r="F95" s="144">
        <v>1</v>
      </c>
      <c r="G95" s="144">
        <v>2</v>
      </c>
      <c r="H95" s="144">
        <v>1</v>
      </c>
      <c r="I95" s="144"/>
      <c r="J95" s="144">
        <f t="shared" ref="J95:J96" si="3">F95*G95*H95</f>
        <v>2</v>
      </c>
      <c r="K95" s="1801"/>
      <c r="M95" s="7"/>
      <c r="N95" s="7"/>
      <c r="O95" s="1809"/>
      <c r="Q95" s="1272"/>
    </row>
    <row r="96" spans="1:21" ht="16.5" thickBot="1" x14ac:dyDescent="0.3">
      <c r="A96" s="1798"/>
      <c r="B96" s="1828"/>
      <c r="C96" s="1828"/>
      <c r="D96" s="1545" t="s">
        <v>597</v>
      </c>
      <c r="E96" s="1634">
        <f>ROUNDUP(IF(D96="Инженер ОК",ТрЗ_ОКиА!$K$244,IF(D96="Старший инженер ОК",ТрЗ_ОКиА!$L$244,IF(D96="Ведущий инженер ОК",ТрЗ_ОКиА!$M$244,""))),0)</f>
        <v>1</v>
      </c>
      <c r="F96" s="144">
        <v>1</v>
      </c>
      <c r="G96" s="144">
        <v>1</v>
      </c>
      <c r="H96" s="144">
        <v>1</v>
      </c>
      <c r="I96" s="144"/>
      <c r="J96" s="144">
        <f t="shared" si="3"/>
        <v>1</v>
      </c>
      <c r="K96" s="1801"/>
      <c r="M96" s="7" t="s">
        <v>87</v>
      </c>
      <c r="N96" s="7">
        <v>0</v>
      </c>
      <c r="O96" s="1809"/>
      <c r="Q96" s="1272"/>
    </row>
    <row r="97" spans="1:17" ht="16.5" thickBot="1" x14ac:dyDescent="0.3">
      <c r="A97" s="1798"/>
      <c r="B97" s="1828"/>
      <c r="C97" s="1828"/>
      <c r="D97" s="1543" t="s">
        <v>592</v>
      </c>
      <c r="E97" s="1634"/>
      <c r="F97" s="144"/>
      <c r="G97" s="144"/>
      <c r="H97" s="144"/>
      <c r="I97" s="144"/>
      <c r="J97" s="144"/>
      <c r="K97" s="1801"/>
      <c r="M97" s="7" t="s">
        <v>567</v>
      </c>
      <c r="N97" s="7">
        <v>0</v>
      </c>
      <c r="O97" s="1809"/>
      <c r="Q97" s="1272"/>
    </row>
    <row r="98" spans="1:17" ht="16.5" thickBot="1" x14ac:dyDescent="0.3">
      <c r="A98" s="1798"/>
      <c r="B98" s="1828"/>
      <c r="C98" s="1828"/>
      <c r="D98" s="1543" t="s">
        <v>593</v>
      </c>
      <c r="E98" s="1634"/>
      <c r="F98" s="144"/>
      <c r="G98" s="144"/>
      <c r="H98" s="144"/>
      <c r="I98" s="144"/>
      <c r="J98" s="144"/>
      <c r="K98" s="1801"/>
      <c r="M98" s="7"/>
      <c r="N98" s="7"/>
      <c r="O98" s="1809"/>
      <c r="Q98" s="1272"/>
    </row>
    <row r="99" spans="1:17" ht="16.5" thickBot="1" x14ac:dyDescent="0.3">
      <c r="A99" s="1798"/>
      <c r="B99" s="1828"/>
      <c r="C99" s="1828"/>
      <c r="D99" s="1543" t="s">
        <v>594</v>
      </c>
      <c r="E99" s="1634"/>
      <c r="F99" s="144"/>
      <c r="G99" s="144"/>
      <c r="H99" s="144"/>
      <c r="I99" s="144"/>
      <c r="J99" s="144"/>
      <c r="K99" s="1801"/>
      <c r="M99" s="7" t="s">
        <v>119</v>
      </c>
      <c r="N99" s="7">
        <v>0</v>
      </c>
      <c r="O99" s="1809"/>
      <c r="Q99" s="1272"/>
    </row>
    <row r="100" spans="1:17" ht="15.75" x14ac:dyDescent="0.25">
      <c r="A100" s="1798"/>
      <c r="B100" s="1829"/>
      <c r="C100" s="1829"/>
      <c r="D100" s="1544" t="s">
        <v>1224</v>
      </c>
      <c r="E100" s="1634"/>
      <c r="F100" s="144"/>
      <c r="G100" s="144"/>
      <c r="H100" s="144"/>
      <c r="I100" s="144"/>
      <c r="J100" s="144"/>
      <c r="K100" s="1801"/>
      <c r="L100" s="1542" t="s">
        <v>1525</v>
      </c>
      <c r="M100" s="7"/>
      <c r="N100" s="7"/>
      <c r="O100" s="1809"/>
      <c r="Q100" s="1272"/>
    </row>
    <row r="101" spans="1:17" ht="16.5" customHeight="1" thickBot="1" x14ac:dyDescent="0.3">
      <c r="A101" s="1798"/>
      <c r="B101" s="1827" t="s">
        <v>1600</v>
      </c>
      <c r="C101" s="1827" t="s">
        <v>1531</v>
      </c>
      <c r="D101" s="1543" t="s">
        <v>595</v>
      </c>
      <c r="E101" s="1634">
        <f>IF(D101="Инженер ОК",ТрЗ_ОКиА!$K$250,IF(D101="Старший инженер ОК",ТрЗ_ОКиА!$L$250,IF(D101="Ведущий инженер ОК",ТрЗ_ОКиА!$M$250,"")))</f>
        <v>1.3125</v>
      </c>
      <c r="F101" s="144"/>
      <c r="G101" s="144"/>
      <c r="H101" s="144"/>
      <c r="I101" s="144"/>
      <c r="J101" s="144"/>
      <c r="K101" s="1801"/>
      <c r="M101" s="7" t="s">
        <v>119</v>
      </c>
      <c r="N101" s="7">
        <v>0</v>
      </c>
      <c r="O101" s="1809"/>
      <c r="Q101" s="1272"/>
    </row>
    <row r="102" spans="1:17" ht="16.5" thickBot="1" x14ac:dyDescent="0.3">
      <c r="A102" s="1798"/>
      <c r="B102" s="1828"/>
      <c r="C102" s="1828"/>
      <c r="D102" s="1543" t="s">
        <v>596</v>
      </c>
      <c r="E102" s="1634">
        <f>IF(D102="Инженер ОК",ТрЗ_ОКиА!$K$250,IF(D102="Старший инженер ОК",ТрЗ_ОКиА!$L$250,IF(D102="Ведущий инженер ОК",ТрЗ_ОКиА!$M$250,"")))</f>
        <v>1.05</v>
      </c>
      <c r="F102" s="144"/>
      <c r="G102" s="144"/>
      <c r="H102" s="144"/>
      <c r="I102" s="144"/>
      <c r="J102" s="144"/>
      <c r="K102" s="1801"/>
      <c r="M102" s="7"/>
      <c r="N102" s="7"/>
      <c r="O102" s="1809"/>
      <c r="Q102" s="1272"/>
    </row>
    <row r="103" spans="1:17" ht="16.5" thickBot="1" x14ac:dyDescent="0.3">
      <c r="A103" s="1798"/>
      <c r="B103" s="1828"/>
      <c r="C103" s="1828"/>
      <c r="D103" s="1545" t="s">
        <v>597</v>
      </c>
      <c r="E103" s="1634">
        <f>IF(D103="Инженер ОК",ТрЗ_ОКиА!$K$250,IF(D103="Старший инженер ОК",ТрЗ_ОКиА!$L$250,IF(D103="Ведущий инженер ОК",ТрЗ_ОКиА!$M$250,"")))</f>
        <v>0.26250000000000001</v>
      </c>
      <c r="F103" s="144"/>
      <c r="G103" s="144"/>
      <c r="H103" s="144"/>
      <c r="I103" s="144"/>
      <c r="J103" s="144"/>
      <c r="K103" s="1801"/>
      <c r="M103" s="7" t="s">
        <v>87</v>
      </c>
      <c r="N103" s="7">
        <v>0</v>
      </c>
      <c r="O103" s="1809"/>
      <c r="Q103" s="1272"/>
    </row>
    <row r="104" spans="1:17" ht="15.75" x14ac:dyDescent="0.25">
      <c r="A104" s="1798"/>
      <c r="B104" s="1829"/>
      <c r="C104" s="1829"/>
      <c r="D104" s="1544" t="s">
        <v>1224</v>
      </c>
      <c r="E104" s="1634"/>
      <c r="F104" s="144"/>
      <c r="G104" s="144"/>
      <c r="H104" s="144"/>
      <c r="I104" s="144"/>
      <c r="J104" s="144"/>
      <c r="K104" s="1801"/>
      <c r="L104" s="1542" t="s">
        <v>1525</v>
      </c>
      <c r="M104" s="7"/>
      <c r="N104" s="7"/>
      <c r="O104" s="1809"/>
      <c r="Q104" s="1272"/>
    </row>
    <row r="105" spans="1:17" ht="15.75" x14ac:dyDescent="0.25">
      <c r="A105" s="1798"/>
      <c r="B105" s="1549" t="s">
        <v>1521</v>
      </c>
      <c r="C105" s="1549"/>
      <c r="D105" s="1547" t="s">
        <v>623</v>
      </c>
      <c r="E105" s="1635">
        <f>SUM(E89:E104)*0.1</f>
        <v>0.76250000000000007</v>
      </c>
      <c r="F105" s="144"/>
      <c r="G105" s="144"/>
      <c r="H105" s="144"/>
      <c r="I105" s="144"/>
      <c r="J105" s="144"/>
      <c r="K105" s="1801"/>
      <c r="M105" s="7"/>
      <c r="N105" s="7"/>
      <c r="O105" s="1809"/>
      <c r="Q105" s="1272"/>
    </row>
    <row r="106" spans="1:17" ht="15.75" x14ac:dyDescent="0.25">
      <c r="A106" s="1799"/>
      <c r="B106" s="1550" t="s">
        <v>1522</v>
      </c>
      <c r="C106" s="1550"/>
      <c r="D106" s="1547" t="s">
        <v>156</v>
      </c>
      <c r="E106" s="1635">
        <f>SUM(E89:E104)*0.2</f>
        <v>1.5250000000000001</v>
      </c>
      <c r="F106" s="144"/>
      <c r="G106" s="144"/>
      <c r="H106" s="144"/>
      <c r="I106" s="144"/>
      <c r="J106" s="144"/>
      <c r="K106" s="1802"/>
      <c r="M106" s="7" t="s">
        <v>87</v>
      </c>
      <c r="N106" s="7">
        <v>0</v>
      </c>
      <c r="O106" s="1809"/>
      <c r="Q106" s="1272"/>
    </row>
    <row r="107" spans="1:17" ht="30" customHeight="1" x14ac:dyDescent="0.25">
      <c r="A107" s="1797" t="s">
        <v>1604</v>
      </c>
      <c r="B107" s="1797" t="s">
        <v>1605</v>
      </c>
      <c r="C107" s="1798" t="s">
        <v>1606</v>
      </c>
      <c r="D107" s="145" t="s">
        <v>595</v>
      </c>
      <c r="E107" s="1634">
        <f>IF(D107="Инженер ОК",ТрЗ_ОКиА!$K$280,IF(D107="Старший инженер ОК",ТрЗ_ОКиА!$L$280,IF(D107="Ведущий инженер ОК",ТрЗ_ОКиА!$M$280,"")))</f>
        <v>0</v>
      </c>
      <c r="F107" s="144"/>
      <c r="G107" s="144"/>
      <c r="H107" s="144"/>
      <c r="I107" s="144"/>
      <c r="J107" s="144"/>
      <c r="K107" s="1800" t="s">
        <v>1558</v>
      </c>
      <c r="M107" s="7" t="s">
        <v>567</v>
      </c>
      <c r="N107" s="7">
        <v>0</v>
      </c>
      <c r="O107" s="1809"/>
      <c r="Q107" s="1272"/>
    </row>
    <row r="108" spans="1:17" ht="30" customHeight="1" x14ac:dyDescent="0.25">
      <c r="A108" s="1798"/>
      <c r="B108" s="1798"/>
      <c r="C108" s="1798"/>
      <c r="D108" s="145" t="s">
        <v>596</v>
      </c>
      <c r="E108" s="1634">
        <f>IF(D108="Инженер ОК",ТрЗ_ОКиА!$K$280,IF(D108="Старший инженер ОК",ТрЗ_ОКиА!$L$280,IF(D108="Ведущий инженер ОК",ТрЗ_ОКиА!$M$280,"")))</f>
        <v>0</v>
      </c>
      <c r="F108" s="144"/>
      <c r="G108" s="144"/>
      <c r="H108" s="144"/>
      <c r="I108" s="144"/>
      <c r="J108" s="144"/>
      <c r="K108" s="1801"/>
      <c r="M108" s="7" t="s">
        <v>119</v>
      </c>
      <c r="N108" s="7">
        <v>0</v>
      </c>
      <c r="O108" s="1809"/>
      <c r="Q108" s="1272"/>
    </row>
    <row r="109" spans="1:17" ht="30" customHeight="1" x14ac:dyDescent="0.25">
      <c r="A109" s="1798"/>
      <c r="B109" s="1798"/>
      <c r="C109" s="1798"/>
      <c r="D109" s="145" t="s">
        <v>597</v>
      </c>
      <c r="E109" s="1634">
        <f>IF(D109="Инженер ОК",ТрЗ_ОКиА!$K$280,IF(D109="Старший инженер ОК",ТрЗ_ОКиА!$L$280,IF(D109="Ведущий инженер ОК",ТрЗ_ОКиА!$M$280,"")))</f>
        <v>0</v>
      </c>
      <c r="F109" s="144"/>
      <c r="G109" s="144"/>
      <c r="H109" s="144"/>
      <c r="I109" s="144"/>
      <c r="J109" s="144"/>
      <c r="K109" s="1801"/>
      <c r="M109" s="7"/>
      <c r="N109" s="7"/>
      <c r="O109" s="1809"/>
      <c r="Q109" s="1272"/>
    </row>
    <row r="110" spans="1:17" ht="30" customHeight="1" x14ac:dyDescent="0.25">
      <c r="A110" s="1798"/>
      <c r="B110" s="1549" t="s">
        <v>1607</v>
      </c>
      <c r="C110" s="1549"/>
      <c r="D110" s="1548" t="s">
        <v>623</v>
      </c>
      <c r="E110" s="1635">
        <f>SUM(E107:E109)*0.1</f>
        <v>0</v>
      </c>
      <c r="F110" s="144"/>
      <c r="G110" s="144"/>
      <c r="H110" s="144"/>
      <c r="I110" s="144"/>
      <c r="J110" s="144"/>
      <c r="K110" s="1801"/>
      <c r="M110" s="7"/>
      <c r="N110" s="7"/>
      <c r="O110" s="1809"/>
    </row>
    <row r="111" spans="1:17" ht="30" customHeight="1" x14ac:dyDescent="0.25">
      <c r="A111" s="1799"/>
      <c r="B111" s="1550" t="s">
        <v>1608</v>
      </c>
      <c r="C111" s="1550"/>
      <c r="D111" s="1548" t="s">
        <v>156</v>
      </c>
      <c r="E111" s="1635">
        <f>SUM(E107:E109)*0.2</f>
        <v>0</v>
      </c>
      <c r="F111" s="144"/>
      <c r="G111" s="144"/>
      <c r="H111" s="144"/>
      <c r="I111" s="144"/>
      <c r="J111" s="144"/>
      <c r="K111" s="1802"/>
      <c r="M111" s="7" t="s">
        <v>87</v>
      </c>
      <c r="N111" s="7">
        <v>0</v>
      </c>
      <c r="O111" s="1809"/>
    </row>
    <row r="112" spans="1:17" ht="15.75" x14ac:dyDescent="0.25">
      <c r="A112" s="1797" t="s">
        <v>1609</v>
      </c>
      <c r="B112" s="1797" t="s">
        <v>1664</v>
      </c>
      <c r="C112" s="1798" t="s">
        <v>1665</v>
      </c>
      <c r="D112" s="145" t="s">
        <v>595</v>
      </c>
      <c r="E112" s="1634">
        <f>IF(D112="Инженер ОК",ТрЗ_ОКиА!$K$10,IF(D112="Старший инженер ОК",ТрЗ_ОКиА!$L$10,IF(D112="Ведущий инженер ОК",ТрЗ_ОКиА!$M$10,"")))</f>
        <v>0</v>
      </c>
      <c r="F112" s="144"/>
      <c r="G112" s="144"/>
      <c r="H112" s="144"/>
      <c r="I112" s="144"/>
      <c r="J112" s="144"/>
      <c r="K112" s="1800" t="s">
        <v>1558</v>
      </c>
      <c r="M112" s="7" t="s">
        <v>567</v>
      </c>
      <c r="N112" s="7">
        <v>0</v>
      </c>
      <c r="O112" s="1809"/>
      <c r="Q112" s="1272"/>
    </row>
    <row r="113" spans="1:17" ht="15.75" x14ac:dyDescent="0.25">
      <c r="A113" s="1798"/>
      <c r="B113" s="1798"/>
      <c r="C113" s="1798"/>
      <c r="D113" s="145" t="s">
        <v>596</v>
      </c>
      <c r="E113" s="1634">
        <f>IF(D113="Инженер ОК",ТрЗ_ОКиА!$K$10,IF(D113="Старший инженер ОК",ТрЗ_ОКиА!$L$10,IF(D113="Ведущий инженер ОК",ТрЗ_ОКиА!$M$10,"")))</f>
        <v>0</v>
      </c>
      <c r="F113" s="144"/>
      <c r="G113" s="144"/>
      <c r="H113" s="144"/>
      <c r="I113" s="144"/>
      <c r="J113" s="144"/>
      <c r="K113" s="1801"/>
      <c r="M113" s="7" t="s">
        <v>119</v>
      </c>
      <c r="N113" s="7">
        <v>0</v>
      </c>
      <c r="O113" s="1809"/>
      <c r="Q113" s="1272"/>
    </row>
    <row r="114" spans="1:17" ht="15.75" x14ac:dyDescent="0.25">
      <c r="A114" s="1798"/>
      <c r="B114" s="1798"/>
      <c r="C114" s="1798"/>
      <c r="D114" s="145" t="s">
        <v>597</v>
      </c>
      <c r="E114" s="1634">
        <f>IF(D114="Инженер ОК",ТрЗ_ОКиА!$K$10,IF(D114="Старший инженер ОК",ТрЗ_ОКиА!$L$10,IF(D114="Ведущий инженер ОК",ТрЗ_ОКиА!$M$10,"")))</f>
        <v>0</v>
      </c>
      <c r="F114" s="144"/>
      <c r="G114" s="144"/>
      <c r="H114" s="144"/>
      <c r="I114" s="144"/>
      <c r="J114" s="144"/>
      <c r="K114" s="1801"/>
      <c r="M114" s="7"/>
      <c r="N114" s="7"/>
      <c r="O114" s="1809"/>
      <c r="Q114" s="1272"/>
    </row>
    <row r="115" spans="1:17" ht="15.75" x14ac:dyDescent="0.25">
      <c r="A115" s="1798"/>
      <c r="B115" s="1798"/>
      <c r="C115" s="1798"/>
      <c r="D115" s="145" t="s">
        <v>595</v>
      </c>
      <c r="E115" s="1634"/>
      <c r="F115" s="144"/>
      <c r="G115" s="144"/>
      <c r="H115" s="144"/>
      <c r="I115" s="144"/>
      <c r="J115" s="144"/>
      <c r="K115" s="1801"/>
      <c r="M115" s="7" t="s">
        <v>87</v>
      </c>
      <c r="N115" s="7">
        <v>0</v>
      </c>
      <c r="O115" s="1809"/>
      <c r="Q115" s="1272"/>
    </row>
    <row r="116" spans="1:17" ht="15.75" x14ac:dyDescent="0.25">
      <c r="A116" s="1798"/>
      <c r="B116" s="1798"/>
      <c r="C116" s="1799"/>
      <c r="D116" s="145" t="s">
        <v>596</v>
      </c>
      <c r="E116" s="1634"/>
      <c r="F116" s="144"/>
      <c r="G116" s="144"/>
      <c r="H116" s="144"/>
      <c r="I116" s="144"/>
      <c r="J116" s="144"/>
      <c r="K116" s="1801"/>
      <c r="M116" s="7" t="s">
        <v>567</v>
      </c>
      <c r="N116" s="7">
        <v>0</v>
      </c>
      <c r="O116" s="1809"/>
      <c r="Q116" s="1272"/>
    </row>
    <row r="117" spans="1:17" x14ac:dyDescent="0.25">
      <c r="A117" s="1798"/>
      <c r="B117" s="1549" t="s">
        <v>1523</v>
      </c>
      <c r="C117" s="1549"/>
      <c r="D117" s="1548" t="s">
        <v>623</v>
      </c>
      <c r="E117" s="1635">
        <f>SUM(E112:E116)*0.1</f>
        <v>0</v>
      </c>
      <c r="F117" s="144"/>
      <c r="G117" s="144"/>
      <c r="H117" s="144"/>
      <c r="I117" s="144"/>
      <c r="J117" s="144"/>
      <c r="K117" s="1801"/>
      <c r="M117" s="7"/>
      <c r="N117" s="7"/>
      <c r="O117" s="1809"/>
    </row>
    <row r="118" spans="1:17" x14ac:dyDescent="0.25">
      <c r="A118" s="1799"/>
      <c r="B118" s="1550" t="s">
        <v>1524</v>
      </c>
      <c r="C118" s="1550"/>
      <c r="D118" s="1548" t="s">
        <v>156</v>
      </c>
      <c r="E118" s="1635">
        <f>SUM(E112:E116)*0.2</f>
        <v>0</v>
      </c>
      <c r="F118" s="144"/>
      <c r="G118" s="144"/>
      <c r="H118" s="144"/>
      <c r="I118" s="144"/>
      <c r="J118" s="144"/>
      <c r="K118" s="1802"/>
      <c r="M118" s="7" t="s">
        <v>87</v>
      </c>
      <c r="N118" s="7">
        <v>0</v>
      </c>
      <c r="O118" s="1809"/>
    </row>
    <row r="119" spans="1:17" ht="15.75" x14ac:dyDescent="0.25">
      <c r="A119" s="1797" t="s">
        <v>1610</v>
      </c>
      <c r="B119" s="1797" t="s">
        <v>1611</v>
      </c>
      <c r="C119" s="1798" t="s">
        <v>1612</v>
      </c>
      <c r="D119" s="145" t="s">
        <v>595</v>
      </c>
      <c r="E119" s="1634">
        <f>IF(D119="Инженер ОК",ТрЗ_ОКиА!$K$107,IF(D119="Старший инженер ОК",ТрЗ_ОКиА!$L$107,IF(D119="Ведущий инженер ОК",ТрЗ_ОКиА!$M$107,"")))</f>
        <v>0</v>
      </c>
      <c r="F119" s="144"/>
      <c r="G119" s="144"/>
      <c r="H119" s="144"/>
      <c r="I119" s="144"/>
      <c r="J119" s="144"/>
      <c r="K119" s="1800" t="s">
        <v>1558</v>
      </c>
      <c r="M119" s="7" t="s">
        <v>567</v>
      </c>
      <c r="N119" s="7">
        <v>0</v>
      </c>
      <c r="O119" s="1809"/>
      <c r="Q119" s="1272"/>
    </row>
    <row r="120" spans="1:17" ht="15.75" x14ac:dyDescent="0.25">
      <c r="A120" s="1798"/>
      <c r="B120" s="1798"/>
      <c r="C120" s="1798"/>
      <c r="D120" s="145" t="s">
        <v>596</v>
      </c>
      <c r="E120" s="1634">
        <f>IF(D120="Инженер ОК",ТрЗ_ОКиА!$K$107,IF(D120="Старший инженер ОК",ТрЗ_ОКиА!$L$107,IF(D120="Ведущий инженер ОК",ТрЗ_ОКиА!$M$107,"")))</f>
        <v>0</v>
      </c>
      <c r="F120" s="144"/>
      <c r="G120" s="144"/>
      <c r="H120" s="144"/>
      <c r="I120" s="144"/>
      <c r="J120" s="144"/>
      <c r="K120" s="1801"/>
      <c r="M120" s="7" t="s">
        <v>119</v>
      </c>
      <c r="N120" s="7">
        <v>0</v>
      </c>
      <c r="O120" s="1809"/>
      <c r="Q120" s="1272"/>
    </row>
    <row r="121" spans="1:17" ht="15.75" x14ac:dyDescent="0.25">
      <c r="A121" s="1798"/>
      <c r="B121" s="1798"/>
      <c r="C121" s="1798"/>
      <c r="D121" s="145" t="s">
        <v>597</v>
      </c>
      <c r="E121" s="1634">
        <f>IF(D121="Инженер ОК",ТрЗ_ОКиА!$K$107,IF(D121="Старший инженер ОК",ТрЗ_ОКиА!$L$107,IF(D121="Ведущий инженер ОК",ТрЗ_ОКиА!$M$107,"")))</f>
        <v>0</v>
      </c>
      <c r="F121" s="144"/>
      <c r="G121" s="144"/>
      <c r="H121" s="144"/>
      <c r="I121" s="144"/>
      <c r="J121" s="144"/>
      <c r="K121" s="1801"/>
      <c r="M121" s="7"/>
      <c r="N121" s="7"/>
      <c r="O121" s="1809"/>
      <c r="Q121" s="1272"/>
    </row>
    <row r="122" spans="1:17" ht="15.75" x14ac:dyDescent="0.25">
      <c r="A122" s="1798"/>
      <c r="B122" s="1798"/>
      <c r="C122" s="1798"/>
      <c r="D122" s="145" t="s">
        <v>595</v>
      </c>
      <c r="E122" s="1634"/>
      <c r="F122" s="144"/>
      <c r="G122" s="144"/>
      <c r="H122" s="144"/>
      <c r="I122" s="144"/>
      <c r="J122" s="144"/>
      <c r="K122" s="1801"/>
      <c r="M122" s="7" t="s">
        <v>87</v>
      </c>
      <c r="N122" s="7">
        <v>0</v>
      </c>
      <c r="O122" s="1809"/>
      <c r="Q122" s="1272"/>
    </row>
    <row r="123" spans="1:17" ht="15.75" x14ac:dyDescent="0.25">
      <c r="A123" s="1798"/>
      <c r="B123" s="1798"/>
      <c r="C123" s="1799"/>
      <c r="D123" s="145" t="s">
        <v>596</v>
      </c>
      <c r="E123" s="1634"/>
      <c r="F123" s="144"/>
      <c r="G123" s="144"/>
      <c r="H123" s="144"/>
      <c r="I123" s="144"/>
      <c r="J123" s="144"/>
      <c r="K123" s="1801"/>
      <c r="M123" s="7" t="s">
        <v>567</v>
      </c>
      <c r="N123" s="7">
        <v>0</v>
      </c>
      <c r="O123" s="1809"/>
      <c r="Q123" s="1272"/>
    </row>
    <row r="124" spans="1:17" x14ac:dyDescent="0.25">
      <c r="A124" s="1798"/>
      <c r="B124" s="1549" t="s">
        <v>1523</v>
      </c>
      <c r="C124" s="1549"/>
      <c r="D124" s="1548" t="s">
        <v>623</v>
      </c>
      <c r="E124" s="1635">
        <f>SUM(E119:E123)*0.1</f>
        <v>0</v>
      </c>
      <c r="F124" s="144"/>
      <c r="G124" s="144"/>
      <c r="H124" s="144"/>
      <c r="I124" s="144"/>
      <c r="J124" s="144"/>
      <c r="K124" s="1801"/>
      <c r="M124" s="7"/>
      <c r="N124" s="7"/>
      <c r="O124" s="1809"/>
    </row>
    <row r="125" spans="1:17" x14ac:dyDescent="0.25">
      <c r="A125" s="1799"/>
      <c r="B125" s="1550" t="s">
        <v>1524</v>
      </c>
      <c r="C125" s="1550"/>
      <c r="D125" s="1548" t="s">
        <v>156</v>
      </c>
      <c r="E125" s="1635">
        <f>SUM(E119:E123)*0.2</f>
        <v>0</v>
      </c>
      <c r="F125" s="144"/>
      <c r="G125" s="144"/>
      <c r="H125" s="144"/>
      <c r="I125" s="144"/>
      <c r="J125" s="144"/>
      <c r="K125" s="1802"/>
      <c r="M125" s="7" t="s">
        <v>87</v>
      </c>
      <c r="N125" s="7">
        <v>0</v>
      </c>
      <c r="O125" s="1809"/>
    </row>
    <row r="126" spans="1:17" ht="15.75" x14ac:dyDescent="0.25">
      <c r="A126" s="1797" t="s">
        <v>1613</v>
      </c>
      <c r="B126" s="1797" t="s">
        <v>1614</v>
      </c>
      <c r="C126" s="1798" t="s">
        <v>1615</v>
      </c>
      <c r="D126" s="145" t="s">
        <v>595</v>
      </c>
      <c r="E126" s="1634">
        <f>IF(D126="Инженер ОК",ТрЗ_ОКиА!$K$185,IF(D126="Старший инженер ОК",ТрЗ_ОКиА!$L$185,IF(D126="Ведущий инженер ОК",ТрЗ_ОКиА!$M$185,"")))</f>
        <v>0.13124999999999998</v>
      </c>
      <c r="F126" s="144"/>
      <c r="G126" s="144"/>
      <c r="H126" s="144"/>
      <c r="I126" s="144"/>
      <c r="J126" s="144"/>
      <c r="K126" s="1800" t="s">
        <v>1558</v>
      </c>
      <c r="M126" s="7" t="s">
        <v>567</v>
      </c>
      <c r="N126" s="7">
        <v>0</v>
      </c>
      <c r="O126" s="1809"/>
      <c r="Q126" s="1272"/>
    </row>
    <row r="127" spans="1:17" ht="15.75" x14ac:dyDescent="0.25">
      <c r="A127" s="1798"/>
      <c r="B127" s="1798"/>
      <c r="C127" s="1798"/>
      <c r="D127" s="145" t="s">
        <v>596</v>
      </c>
      <c r="E127" s="1634">
        <f>IF(D127="Инженер ОК",ТрЗ_ОКиА!$K$185,IF(D127="Старший инженер ОК",ТрЗ_ОКиА!$L$185,IF(D127="Ведущий инженер ОК",ТрЗ_ОКиА!$M$185,"")))</f>
        <v>0.12343750000000001</v>
      </c>
      <c r="F127" s="144"/>
      <c r="G127" s="144"/>
      <c r="H127" s="144"/>
      <c r="I127" s="144"/>
      <c r="J127" s="144"/>
      <c r="K127" s="1801"/>
      <c r="M127" s="7" t="s">
        <v>119</v>
      </c>
      <c r="N127" s="7">
        <v>0</v>
      </c>
      <c r="O127" s="1809"/>
      <c r="Q127" s="1272"/>
    </row>
    <row r="128" spans="1:17" ht="15.75" x14ac:dyDescent="0.25">
      <c r="A128" s="1798"/>
      <c r="B128" s="1798"/>
      <c r="C128" s="1798"/>
      <c r="D128" s="145" t="s">
        <v>597</v>
      </c>
      <c r="E128" s="1634">
        <f>IF(D128="Инженер ОК",ТрЗ_ОКиА!$K$185,IF(D128="Старший инженер ОК",ТрЗ_ОКиА!$L$185,IF(D128="Ведущий инженер ОК",ТрЗ_ОКиА!$M$185,"")))</f>
        <v>8.9062499999999989E-2</v>
      </c>
      <c r="F128" s="144"/>
      <c r="G128" s="144"/>
      <c r="H128" s="144"/>
      <c r="I128" s="144"/>
      <c r="J128" s="144"/>
      <c r="K128" s="1801"/>
      <c r="M128" s="7"/>
      <c r="N128" s="7"/>
      <c r="O128" s="1809"/>
      <c r="Q128" s="1272"/>
    </row>
    <row r="129" spans="1:17" ht="15.75" x14ac:dyDescent="0.25">
      <c r="A129" s="1798"/>
      <c r="B129" s="1798"/>
      <c r="C129" s="1798"/>
      <c r="D129" s="145" t="s">
        <v>595</v>
      </c>
      <c r="E129" s="1634"/>
      <c r="F129" s="144"/>
      <c r="G129" s="144"/>
      <c r="H129" s="144"/>
      <c r="I129" s="144"/>
      <c r="J129" s="144"/>
      <c r="K129" s="1801"/>
      <c r="M129" s="7" t="s">
        <v>87</v>
      </c>
      <c r="N129" s="7">
        <v>0</v>
      </c>
      <c r="O129" s="1809"/>
      <c r="Q129" s="1272"/>
    </row>
    <row r="130" spans="1:17" ht="15.75" x14ac:dyDescent="0.25">
      <c r="A130" s="1798"/>
      <c r="B130" s="1798"/>
      <c r="C130" s="1799"/>
      <c r="D130" s="145" t="s">
        <v>596</v>
      </c>
      <c r="E130" s="1634"/>
      <c r="F130" s="144"/>
      <c r="G130" s="144"/>
      <c r="H130" s="144"/>
      <c r="I130" s="144"/>
      <c r="J130" s="144"/>
      <c r="K130" s="1801"/>
      <c r="M130" s="7" t="s">
        <v>567</v>
      </c>
      <c r="N130" s="7">
        <v>0</v>
      </c>
      <c r="O130" s="1809"/>
      <c r="Q130" s="1272"/>
    </row>
    <row r="131" spans="1:17" x14ac:dyDescent="0.25">
      <c r="A131" s="1798"/>
      <c r="B131" s="1549" t="s">
        <v>1523</v>
      </c>
      <c r="C131" s="1549"/>
      <c r="D131" s="1548" t="s">
        <v>623</v>
      </c>
      <c r="E131" s="1635">
        <f>SUM(E126:E130)*0.1</f>
        <v>3.4374999999999996E-2</v>
      </c>
      <c r="F131" s="144"/>
      <c r="G131" s="144"/>
      <c r="H131" s="144"/>
      <c r="I131" s="144"/>
      <c r="J131" s="144"/>
      <c r="K131" s="1801"/>
      <c r="M131" s="7"/>
      <c r="N131" s="7"/>
      <c r="O131" s="1809"/>
    </row>
    <row r="132" spans="1:17" x14ac:dyDescent="0.25">
      <c r="A132" s="1799"/>
      <c r="B132" s="1550" t="s">
        <v>1524</v>
      </c>
      <c r="C132" s="1550"/>
      <c r="D132" s="1548" t="s">
        <v>156</v>
      </c>
      <c r="E132" s="1635">
        <f>SUM(E126:E130)*0.2</f>
        <v>6.8749999999999992E-2</v>
      </c>
      <c r="F132" s="144"/>
      <c r="G132" s="144"/>
      <c r="H132" s="144"/>
      <c r="I132" s="144"/>
      <c r="J132" s="144"/>
      <c r="K132" s="1802"/>
      <c r="M132" s="7" t="s">
        <v>87</v>
      </c>
      <c r="N132" s="7">
        <v>0</v>
      </c>
      <c r="O132" s="1809"/>
    </row>
    <row r="133" spans="1:17" ht="15.75" x14ac:dyDescent="0.25">
      <c r="A133" s="1797" t="s">
        <v>1616</v>
      </c>
      <c r="B133" s="1797" t="s">
        <v>1617</v>
      </c>
      <c r="C133" s="1824" t="s">
        <v>1618</v>
      </c>
      <c r="D133" s="145" t="s">
        <v>595</v>
      </c>
      <c r="E133" s="1634">
        <f>IF(D133="Инженер ОК",ТрЗ_ОКиА!$K$38,IF(D133="Старший инженер ОК",ТрЗ_ОКиА!$L$38,IF(D133="Ведущий инженер ОК",ТрЗ_ОКиА!$M$38,"")))</f>
        <v>0</v>
      </c>
      <c r="F133" s="144"/>
      <c r="G133" s="144"/>
      <c r="H133" s="144"/>
      <c r="I133" s="144"/>
      <c r="J133" s="144"/>
      <c r="K133" s="1800" t="s">
        <v>1558</v>
      </c>
      <c r="M133" s="7" t="s">
        <v>567</v>
      </c>
      <c r="N133" s="7">
        <v>0</v>
      </c>
      <c r="O133" s="1809"/>
      <c r="Q133" s="1272"/>
    </row>
    <row r="134" spans="1:17" ht="15.75" x14ac:dyDescent="0.25">
      <c r="A134" s="1798"/>
      <c r="B134" s="1798"/>
      <c r="C134" s="1825"/>
      <c r="D134" s="145" t="s">
        <v>596</v>
      </c>
      <c r="E134" s="1634">
        <f>IF(D134="Инженер ОК",ТрЗ_ОКиА!$K$38,IF(D134="Старший инженер ОК",ТрЗ_ОКиА!$L$38,IF(D134="Ведущий инженер ОК",ТрЗ_ОКиА!$M$38,"")))</f>
        <v>0</v>
      </c>
      <c r="F134" s="144"/>
      <c r="G134" s="144"/>
      <c r="H134" s="144"/>
      <c r="I134" s="144"/>
      <c r="J134" s="144"/>
      <c r="K134" s="1801"/>
      <c r="M134" s="7" t="s">
        <v>119</v>
      </c>
      <c r="N134" s="7">
        <v>0</v>
      </c>
      <c r="O134" s="1809"/>
      <c r="Q134" s="1272"/>
    </row>
    <row r="135" spans="1:17" ht="15.75" x14ac:dyDescent="0.25">
      <c r="A135" s="1798"/>
      <c r="B135" s="1798"/>
      <c r="C135" s="1825"/>
      <c r="D135" s="145" t="s">
        <v>597</v>
      </c>
      <c r="E135" s="1634">
        <f>IF(D135="Инженер ОК",ТрЗ_ОКиА!$K$38,IF(D135="Старший инженер ОК",ТрЗ_ОКиА!$L$38,IF(D135="Ведущий инженер ОК",ТрЗ_ОКиА!$M$38,"")))</f>
        <v>0</v>
      </c>
      <c r="F135" s="144"/>
      <c r="G135" s="144"/>
      <c r="H135" s="144"/>
      <c r="I135" s="144"/>
      <c r="J135" s="144"/>
      <c r="K135" s="1801"/>
      <c r="M135" s="7"/>
      <c r="N135" s="7"/>
      <c r="O135" s="1622"/>
      <c r="Q135" s="1272"/>
    </row>
    <row r="136" spans="1:17" ht="15" customHeight="1" x14ac:dyDescent="0.25">
      <c r="A136" s="1798"/>
      <c r="B136" s="1798"/>
      <c r="C136" s="1825"/>
      <c r="D136" s="1546" t="s">
        <v>1224</v>
      </c>
      <c r="E136" s="1634"/>
      <c r="F136" s="144"/>
      <c r="G136" s="144"/>
      <c r="H136" s="144"/>
      <c r="I136" s="144"/>
      <c r="J136" s="144"/>
      <c r="K136" s="1801"/>
      <c r="L136" s="1542" t="s">
        <v>1525</v>
      </c>
      <c r="M136" s="7"/>
      <c r="N136" s="7"/>
      <c r="O136" s="1622"/>
      <c r="Q136" s="1272"/>
    </row>
    <row r="137" spans="1:17" ht="15.75" x14ac:dyDescent="0.25">
      <c r="A137" s="1798"/>
      <c r="B137" s="1797" t="s">
        <v>1619</v>
      </c>
      <c r="C137" s="1824" t="s">
        <v>1620</v>
      </c>
      <c r="D137" s="145" t="s">
        <v>595</v>
      </c>
      <c r="E137" s="1634">
        <f>IF(D137="Инженер ОК",ТрЗ_ОКиА!$K$104,IF(D137="Старший инженер ОК",ТрЗ_ОКиА!$L$104,IF(D137="Ведущий инженер ОК",ТрЗ_ОКиА!$M$104,"")))</f>
        <v>0</v>
      </c>
      <c r="F137" s="144"/>
      <c r="G137" s="144"/>
      <c r="H137" s="144"/>
      <c r="I137" s="144"/>
      <c r="J137" s="144"/>
      <c r="K137" s="1801"/>
      <c r="M137" s="7" t="s">
        <v>567</v>
      </c>
      <c r="N137" s="7">
        <v>0</v>
      </c>
      <c r="O137" s="1622"/>
      <c r="Q137" s="1272"/>
    </row>
    <row r="138" spans="1:17" ht="15.75" x14ac:dyDescent="0.25">
      <c r="A138" s="1798"/>
      <c r="B138" s="1798"/>
      <c r="C138" s="1825"/>
      <c r="D138" s="145" t="s">
        <v>596</v>
      </c>
      <c r="E138" s="1634">
        <f>IF(D138="Инженер ОК",ТрЗ_ОКиА!$K$104,IF(D138="Старший инженер ОК",ТрЗ_ОКиА!$L$104,IF(D138="Ведущий инженер ОК",ТрЗ_ОКиА!$M$104,"")))</f>
        <v>0</v>
      </c>
      <c r="F138" s="144"/>
      <c r="G138" s="144"/>
      <c r="H138" s="144"/>
      <c r="I138" s="144"/>
      <c r="J138" s="144"/>
      <c r="K138" s="1801"/>
      <c r="M138" s="7" t="s">
        <v>119</v>
      </c>
      <c r="N138" s="7">
        <v>0</v>
      </c>
      <c r="O138" s="1622"/>
      <c r="Q138" s="1272"/>
    </row>
    <row r="139" spans="1:17" ht="15.75" x14ac:dyDescent="0.25">
      <c r="A139" s="1798"/>
      <c r="B139" s="1798"/>
      <c r="C139" s="1825"/>
      <c r="D139" s="145" t="s">
        <v>597</v>
      </c>
      <c r="E139" s="1634">
        <f>IF(D139="Инженер ОК",ТрЗ_ОКиА!$K$104,IF(D139="Старший инженер ОК",ТрЗ_ОКиА!$L$104,IF(D139="Ведущий инженер ОК",ТрЗ_ОКиА!$M$104,"")))</f>
        <v>0</v>
      </c>
      <c r="F139" s="144"/>
      <c r="G139" s="144"/>
      <c r="H139" s="144"/>
      <c r="I139" s="144"/>
      <c r="J139" s="144"/>
      <c r="K139" s="1801"/>
      <c r="M139" s="7"/>
      <c r="N139" s="7"/>
      <c r="O139" s="1622"/>
      <c r="Q139" s="1272"/>
    </row>
    <row r="140" spans="1:17" ht="15" customHeight="1" x14ac:dyDescent="0.25">
      <c r="A140" s="1798"/>
      <c r="B140" s="1798"/>
      <c r="C140" s="1825"/>
      <c r="D140" s="1546" t="s">
        <v>1224</v>
      </c>
      <c r="E140" s="1634"/>
      <c r="F140" s="144"/>
      <c r="G140" s="144"/>
      <c r="H140" s="144"/>
      <c r="I140" s="144"/>
      <c r="J140" s="144"/>
      <c r="K140" s="1801"/>
      <c r="L140" s="1542" t="s">
        <v>1525</v>
      </c>
      <c r="M140" s="7"/>
      <c r="N140" s="7"/>
      <c r="O140" s="1622"/>
      <c r="Q140" s="1272"/>
    </row>
    <row r="141" spans="1:17" ht="15.75" x14ac:dyDescent="0.25">
      <c r="A141" s="1798"/>
      <c r="B141" s="1797" t="s">
        <v>1621</v>
      </c>
      <c r="C141" s="1824" t="s">
        <v>1622</v>
      </c>
      <c r="D141" s="145" t="s">
        <v>595</v>
      </c>
      <c r="E141" s="1634">
        <f>IF(D141="Инженер ОК",ТрЗ_ОКиА!$K$182,IF(D141="Старший инженер ОК",ТрЗ_ОКиА!$L$182,IF(D141="Ведущий инженер ОК",ТрЗ_ОКиА!$M$182,"")))</f>
        <v>2.4</v>
      </c>
      <c r="F141" s="144"/>
      <c r="G141" s="144"/>
      <c r="H141" s="144"/>
      <c r="I141" s="144"/>
      <c r="J141" s="144"/>
      <c r="K141" s="1801"/>
      <c r="M141" s="7" t="s">
        <v>567</v>
      </c>
      <c r="N141" s="7">
        <v>0</v>
      </c>
      <c r="O141" s="1622"/>
      <c r="Q141" s="1272"/>
    </row>
    <row r="142" spans="1:17" ht="15.75" x14ac:dyDescent="0.25">
      <c r="A142" s="1798"/>
      <c r="B142" s="1798"/>
      <c r="C142" s="1825"/>
      <c r="D142" s="145" t="s">
        <v>596</v>
      </c>
      <c r="E142" s="1634">
        <f>IF(D142="Инженер ОК",ТрЗ_ОКиА!$K$182,IF(D142="Старший инженер ОК",ТрЗ_ОКиА!$L$182,IF(D142="Ведущий инженер ОК",ТрЗ_ОКиА!$M$182,"")))</f>
        <v>3.2</v>
      </c>
      <c r="F142" s="144"/>
      <c r="G142" s="144"/>
      <c r="H142" s="144"/>
      <c r="I142" s="144"/>
      <c r="J142" s="144"/>
      <c r="K142" s="1801"/>
      <c r="M142" s="7" t="s">
        <v>119</v>
      </c>
      <c r="N142" s="7">
        <v>0</v>
      </c>
      <c r="O142" s="1622"/>
      <c r="Q142" s="1272"/>
    </row>
    <row r="143" spans="1:17" ht="15.75" x14ac:dyDescent="0.25">
      <c r="A143" s="1798"/>
      <c r="B143" s="1798"/>
      <c r="C143" s="1825"/>
      <c r="D143" s="145" t="s">
        <v>597</v>
      </c>
      <c r="E143" s="1634">
        <f>IF(D143="Инженер ОК",ТрЗ_ОКиА!$K$182,IF(D143="Старший инженер ОК",ТрЗ_ОКиА!$L$182,IF(D143="Ведущий инженер ОК",ТрЗ_ОКиА!$M$182,"")))</f>
        <v>2.4</v>
      </c>
      <c r="F143" s="144"/>
      <c r="G143" s="144"/>
      <c r="H143" s="144"/>
      <c r="I143" s="144"/>
      <c r="J143" s="144"/>
      <c r="K143" s="1801"/>
      <c r="M143" s="7"/>
      <c r="N143" s="7"/>
      <c r="O143" s="1622"/>
      <c r="Q143" s="1272"/>
    </row>
    <row r="144" spans="1:17" ht="15" customHeight="1" x14ac:dyDescent="0.25">
      <c r="A144" s="1798"/>
      <c r="B144" s="1798"/>
      <c r="C144" s="1825"/>
      <c r="D144" s="1546" t="s">
        <v>1224</v>
      </c>
      <c r="E144" s="1634"/>
      <c r="F144" s="144"/>
      <c r="G144" s="144"/>
      <c r="H144" s="144"/>
      <c r="I144" s="144"/>
      <c r="J144" s="144"/>
      <c r="K144" s="1801"/>
      <c r="L144" s="1542" t="s">
        <v>1525</v>
      </c>
      <c r="M144" s="7"/>
      <c r="N144" s="7"/>
      <c r="O144" s="1622"/>
      <c r="Q144" s="1272"/>
    </row>
    <row r="145" spans="1:17" ht="15.75" x14ac:dyDescent="0.25">
      <c r="A145" s="1798"/>
      <c r="B145" s="1797" t="s">
        <v>1623</v>
      </c>
      <c r="C145" s="1824" t="s">
        <v>1624</v>
      </c>
      <c r="D145" s="145" t="s">
        <v>595</v>
      </c>
      <c r="E145" s="1634">
        <f>IF(D145="Инженер ОК",ТрЗ_ОКиА!$K$253,IF(D145="Старший инженер ОК",ТрЗ_ОКиА!$L$253,IF(D145="Ведущий инженер ОК",ТрЗ_ОКиА!$M$253,"")))</f>
        <v>0</v>
      </c>
      <c r="F145" s="144"/>
      <c r="G145" s="144"/>
      <c r="H145" s="144"/>
      <c r="I145" s="144"/>
      <c r="J145" s="144"/>
      <c r="K145" s="1801"/>
      <c r="M145" s="7" t="s">
        <v>567</v>
      </c>
      <c r="N145" s="7">
        <v>0</v>
      </c>
      <c r="O145" s="1622"/>
      <c r="Q145" s="1272"/>
    </row>
    <row r="146" spans="1:17" ht="15.75" x14ac:dyDescent="0.25">
      <c r="A146" s="1798"/>
      <c r="B146" s="1798"/>
      <c r="C146" s="1825"/>
      <c r="D146" s="145" t="s">
        <v>596</v>
      </c>
      <c r="E146" s="1634">
        <f>IF(D146="Инженер ОК",ТрЗ_ОКиА!$K$253,IF(D146="Старший инженер ОК",ТрЗ_ОКиА!$L$253,IF(D146="Ведущий инженер ОК",ТрЗ_ОКиА!$M$253,"")))</f>
        <v>0</v>
      </c>
      <c r="F146" s="144"/>
      <c r="G146" s="144"/>
      <c r="H146" s="144"/>
      <c r="I146" s="144"/>
      <c r="J146" s="144"/>
      <c r="K146" s="1801"/>
      <c r="M146" s="7" t="s">
        <v>119</v>
      </c>
      <c r="N146" s="7">
        <v>0</v>
      </c>
      <c r="O146" s="1622"/>
      <c r="Q146" s="1272"/>
    </row>
    <row r="147" spans="1:17" ht="15.75" x14ac:dyDescent="0.25">
      <c r="A147" s="1798"/>
      <c r="B147" s="1798"/>
      <c r="C147" s="1825"/>
      <c r="D147" s="145" t="s">
        <v>597</v>
      </c>
      <c r="E147" s="1634">
        <f>IF(D147="Инженер ОК",ТрЗ_ОКиА!$K$253,IF(D147="Старший инженер ОК",ТрЗ_ОКиА!$L$253,IF(D147="Ведущий инженер ОК",ТрЗ_ОКиА!$M$253,"")))</f>
        <v>0</v>
      </c>
      <c r="F147" s="144"/>
      <c r="G147" s="144"/>
      <c r="H147" s="144"/>
      <c r="I147" s="144"/>
      <c r="J147" s="144"/>
      <c r="K147" s="1801"/>
      <c r="M147" s="7"/>
      <c r="N147" s="7"/>
      <c r="O147" s="1622"/>
      <c r="Q147" s="1272"/>
    </row>
    <row r="148" spans="1:17" ht="15" customHeight="1" x14ac:dyDescent="0.25">
      <c r="A148" s="1798"/>
      <c r="B148" s="1798"/>
      <c r="C148" s="1825"/>
      <c r="D148" s="1546" t="s">
        <v>1224</v>
      </c>
      <c r="E148" s="1634"/>
      <c r="F148" s="144"/>
      <c r="G148" s="144"/>
      <c r="H148" s="144"/>
      <c r="I148" s="144"/>
      <c r="J148" s="144"/>
      <c r="K148" s="1801"/>
      <c r="L148" s="1542" t="s">
        <v>1525</v>
      </c>
      <c r="M148" s="7"/>
      <c r="N148" s="7"/>
      <c r="O148" s="1622"/>
      <c r="Q148" s="1272"/>
    </row>
    <row r="149" spans="1:17" x14ac:dyDescent="0.25">
      <c r="A149" s="1798"/>
      <c r="B149" s="1810" t="s">
        <v>1660</v>
      </c>
      <c r="C149" s="1822" t="s">
        <v>1625</v>
      </c>
      <c r="D149" s="145" t="s">
        <v>595</v>
      </c>
      <c r="E149" s="1634"/>
      <c r="F149" s="144"/>
      <c r="G149" s="144"/>
      <c r="H149" s="144"/>
      <c r="I149" s="144"/>
      <c r="J149" s="144"/>
      <c r="K149" s="1801"/>
      <c r="M149" s="7" t="s">
        <v>87</v>
      </c>
      <c r="N149" s="7">
        <v>0</v>
      </c>
      <c r="O149" s="1809"/>
    </row>
    <row r="150" spans="1:17" x14ac:dyDescent="0.25">
      <c r="A150" s="1798"/>
      <c r="B150" s="1811"/>
      <c r="C150" s="1823"/>
      <c r="D150" s="145" t="s">
        <v>596</v>
      </c>
      <c r="E150" s="1634"/>
      <c r="F150" s="144"/>
      <c r="G150" s="144"/>
      <c r="H150" s="144"/>
      <c r="I150" s="144"/>
      <c r="J150" s="144"/>
      <c r="K150" s="1801"/>
      <c r="M150" s="7" t="s">
        <v>567</v>
      </c>
      <c r="N150" s="7">
        <v>0</v>
      </c>
      <c r="O150" s="1809"/>
    </row>
    <row r="151" spans="1:17" x14ac:dyDescent="0.25">
      <c r="A151" s="1798"/>
      <c r="B151" s="1811"/>
      <c r="C151" s="1823"/>
      <c r="D151" s="145" t="s">
        <v>597</v>
      </c>
      <c r="E151" s="1634"/>
      <c r="F151" s="144"/>
      <c r="G151" s="144"/>
      <c r="H151" s="144"/>
      <c r="I151" s="144"/>
      <c r="J151" s="144"/>
      <c r="K151" s="1801"/>
      <c r="M151" s="7" t="s">
        <v>119</v>
      </c>
      <c r="N151" s="7">
        <v>0</v>
      </c>
      <c r="O151" s="1809"/>
    </row>
    <row r="152" spans="1:17" x14ac:dyDescent="0.25">
      <c r="A152" s="1798"/>
      <c r="B152" s="1811"/>
      <c r="C152" s="1826"/>
      <c r="D152" s="1546" t="s">
        <v>1224</v>
      </c>
      <c r="E152" s="1634"/>
      <c r="F152" s="144"/>
      <c r="G152" s="144"/>
      <c r="H152" s="144"/>
      <c r="I152" s="144"/>
      <c r="J152" s="144"/>
      <c r="K152" s="1801"/>
      <c r="M152" s="7"/>
      <c r="N152" s="7"/>
      <c r="O152" s="1622"/>
    </row>
    <row r="153" spans="1:17" x14ac:dyDescent="0.25">
      <c r="A153" s="1798"/>
      <c r="B153" s="1811"/>
      <c r="C153" s="1822" t="s">
        <v>1532</v>
      </c>
      <c r="D153" s="145" t="s">
        <v>592</v>
      </c>
      <c r="E153" s="1634"/>
      <c r="F153" s="144"/>
      <c r="G153" s="144"/>
      <c r="H153" s="144"/>
      <c r="I153" s="144"/>
      <c r="J153" s="144"/>
      <c r="K153" s="1801"/>
      <c r="M153" s="7" t="s">
        <v>87</v>
      </c>
      <c r="N153" s="7">
        <v>0</v>
      </c>
      <c r="O153" s="1809"/>
    </row>
    <row r="154" spans="1:17" x14ac:dyDescent="0.25">
      <c r="A154" s="1798"/>
      <c r="B154" s="1811"/>
      <c r="C154" s="1823"/>
      <c r="D154" s="145" t="s">
        <v>593</v>
      </c>
      <c r="E154" s="1634"/>
      <c r="F154" s="144"/>
      <c r="G154" s="144"/>
      <c r="H154" s="144"/>
      <c r="I154" s="144"/>
      <c r="J154" s="144"/>
      <c r="K154" s="1801"/>
      <c r="M154" s="7" t="s">
        <v>567</v>
      </c>
      <c r="N154" s="7">
        <v>0</v>
      </c>
      <c r="O154" s="1809"/>
    </row>
    <row r="155" spans="1:17" x14ac:dyDescent="0.25">
      <c r="A155" s="1798"/>
      <c r="B155" s="1812"/>
      <c r="C155" s="1823"/>
      <c r="D155" s="145" t="s">
        <v>594</v>
      </c>
      <c r="E155" s="1634"/>
      <c r="F155" s="144"/>
      <c r="G155" s="144"/>
      <c r="H155" s="144"/>
      <c r="I155" s="144"/>
      <c r="J155" s="144"/>
      <c r="K155" s="1801"/>
      <c r="M155" s="7" t="s">
        <v>119</v>
      </c>
      <c r="N155" s="7">
        <v>0</v>
      </c>
      <c r="O155" s="1809"/>
    </row>
    <row r="156" spans="1:17" x14ac:dyDescent="0.25">
      <c r="A156" s="1798"/>
      <c r="B156" s="1549" t="s">
        <v>1626</v>
      </c>
      <c r="C156" s="1549"/>
      <c r="D156" s="1548" t="s">
        <v>623</v>
      </c>
      <c r="E156" s="1635">
        <f>SUM(E133:E155)*0.1</f>
        <v>0.8</v>
      </c>
      <c r="F156" s="144"/>
      <c r="G156" s="144"/>
      <c r="H156" s="144"/>
      <c r="I156" s="144"/>
      <c r="J156" s="144"/>
      <c r="K156" s="1801"/>
      <c r="M156" s="1813" t="s">
        <v>447</v>
      </c>
      <c r="N156" s="1814"/>
      <c r="O156" s="1814"/>
    </row>
    <row r="157" spans="1:17" x14ac:dyDescent="0.25">
      <c r="A157" s="1799"/>
      <c r="B157" s="1550" t="s">
        <v>1627</v>
      </c>
      <c r="C157" s="1550"/>
      <c r="D157" s="1548" t="s">
        <v>156</v>
      </c>
      <c r="E157" s="1635">
        <f>SUM(E133:E155)*0.2</f>
        <v>1.6</v>
      </c>
      <c r="F157" s="144"/>
      <c r="G157" s="144"/>
      <c r="H157" s="144"/>
      <c r="I157" s="144"/>
      <c r="J157" s="144"/>
      <c r="K157" s="1802"/>
      <c r="M157" s="7" t="s">
        <v>87</v>
      </c>
      <c r="N157" s="7">
        <v>0</v>
      </c>
      <c r="O157" s="1809"/>
    </row>
    <row r="158" spans="1:17" ht="14.45" customHeight="1" x14ac:dyDescent="0.25">
      <c r="A158" s="1806" t="s">
        <v>1628</v>
      </c>
      <c r="B158" s="1797" t="s">
        <v>1629</v>
      </c>
      <c r="C158" s="1797" t="s">
        <v>1533</v>
      </c>
      <c r="D158" s="145" t="s">
        <v>137</v>
      </c>
      <c r="E158" s="1634"/>
      <c r="F158" s="144"/>
      <c r="G158" s="144"/>
      <c r="H158" s="144"/>
      <c r="I158" s="144"/>
      <c r="J158" s="144"/>
      <c r="K158" s="1800" t="s">
        <v>1558</v>
      </c>
      <c r="M158" s="7" t="s">
        <v>567</v>
      </c>
      <c r="N158" s="7">
        <v>0</v>
      </c>
      <c r="O158" s="1809"/>
    </row>
    <row r="159" spans="1:17" x14ac:dyDescent="0.25">
      <c r="A159" s="1807"/>
      <c r="B159" s="1798"/>
      <c r="C159" s="1798"/>
      <c r="D159" s="145" t="s">
        <v>598</v>
      </c>
      <c r="E159" s="1634"/>
      <c r="F159" s="144"/>
      <c r="G159" s="144"/>
      <c r="H159" s="144"/>
      <c r="I159" s="144"/>
      <c r="J159" s="144"/>
      <c r="K159" s="1801"/>
      <c r="M159" s="7" t="s">
        <v>119</v>
      </c>
      <c r="N159" s="7">
        <v>0</v>
      </c>
      <c r="O159" s="1809"/>
    </row>
    <row r="160" spans="1:17" ht="15" customHeight="1" x14ac:dyDescent="0.25">
      <c r="A160" s="1807"/>
      <c r="B160" s="1798"/>
      <c r="C160" s="1798"/>
      <c r="D160" s="145" t="s">
        <v>136</v>
      </c>
      <c r="E160" s="1634"/>
      <c r="F160" s="144"/>
      <c r="G160" s="144"/>
      <c r="H160" s="144"/>
      <c r="I160" s="144"/>
      <c r="J160" s="144"/>
      <c r="K160" s="1801"/>
      <c r="M160" s="1813" t="s">
        <v>1</v>
      </c>
      <c r="N160" s="1814"/>
      <c r="O160" s="1814"/>
    </row>
    <row r="161" spans="1:15" x14ac:dyDescent="0.25">
      <c r="A161" s="1807"/>
      <c r="B161" s="1798"/>
      <c r="C161" s="1798"/>
      <c r="D161" s="145" t="s">
        <v>592</v>
      </c>
      <c r="E161" s="1634"/>
      <c r="F161" s="144"/>
      <c r="G161" s="144"/>
      <c r="H161" s="144"/>
      <c r="I161" s="144"/>
      <c r="J161" s="144"/>
      <c r="K161" s="1801"/>
      <c r="M161" s="7" t="s">
        <v>87</v>
      </c>
      <c r="N161" s="7">
        <v>0</v>
      </c>
      <c r="O161" s="1809"/>
    </row>
    <row r="162" spans="1:15" x14ac:dyDescent="0.25">
      <c r="A162" s="1807"/>
      <c r="B162" s="1798"/>
      <c r="C162" s="1798"/>
      <c r="D162" s="145" t="s">
        <v>593</v>
      </c>
      <c r="E162" s="1634"/>
      <c r="F162" s="144"/>
      <c r="G162" s="144"/>
      <c r="H162" s="144"/>
      <c r="I162" s="144"/>
      <c r="J162" s="144"/>
      <c r="K162" s="1801"/>
      <c r="M162" s="7" t="s">
        <v>567</v>
      </c>
      <c r="N162" s="7">
        <v>0</v>
      </c>
      <c r="O162" s="1809"/>
    </row>
    <row r="163" spans="1:15" x14ac:dyDescent="0.25">
      <c r="A163" s="1807"/>
      <c r="B163" s="1798"/>
      <c r="C163" s="1798"/>
      <c r="D163" s="145" t="s">
        <v>594</v>
      </c>
      <c r="E163" s="1634"/>
      <c r="F163" s="144"/>
      <c r="G163" s="144"/>
      <c r="H163" s="144"/>
      <c r="I163" s="144"/>
      <c r="J163" s="144"/>
      <c r="K163" s="1801"/>
      <c r="M163" s="7"/>
      <c r="N163" s="7"/>
      <c r="O163" s="1809"/>
    </row>
    <row r="164" spans="1:15" x14ac:dyDescent="0.25">
      <c r="A164" s="1807"/>
      <c r="B164" s="1798"/>
      <c r="C164" s="1798"/>
      <c r="D164" s="145" t="s">
        <v>137</v>
      </c>
      <c r="E164" s="1634"/>
      <c r="F164" s="144"/>
      <c r="G164" s="144"/>
      <c r="H164" s="144"/>
      <c r="I164" s="144"/>
      <c r="J164" s="144"/>
      <c r="K164" s="1801"/>
      <c r="M164" s="7" t="s">
        <v>119</v>
      </c>
      <c r="N164" s="7">
        <v>0</v>
      </c>
      <c r="O164" s="1809"/>
    </row>
    <row r="165" spans="1:15" x14ac:dyDescent="0.25">
      <c r="A165" s="1807"/>
      <c r="B165" s="1799"/>
      <c r="C165" s="1799"/>
      <c r="D165" s="145" t="s">
        <v>598</v>
      </c>
      <c r="E165" s="1634"/>
      <c r="F165" s="144"/>
      <c r="G165" s="144"/>
      <c r="H165" s="144"/>
      <c r="I165" s="144"/>
      <c r="J165" s="144"/>
      <c r="K165" s="1801"/>
      <c r="M165" s="1813" t="s">
        <v>11</v>
      </c>
      <c r="N165" s="1814"/>
      <c r="O165" s="1814"/>
    </row>
    <row r="166" spans="1:15" x14ac:dyDescent="0.25">
      <c r="A166" s="1807"/>
      <c r="B166" s="1797" t="s">
        <v>1630</v>
      </c>
      <c r="C166" s="1797" t="s">
        <v>1534</v>
      </c>
      <c r="D166" s="145" t="s">
        <v>592</v>
      </c>
      <c r="E166" s="1634"/>
      <c r="F166" s="144"/>
      <c r="G166" s="144"/>
      <c r="H166" s="144"/>
      <c r="I166" s="144"/>
      <c r="J166" s="144"/>
      <c r="K166" s="1801"/>
      <c r="M166" s="7" t="s">
        <v>87</v>
      </c>
      <c r="N166" s="7">
        <v>0</v>
      </c>
      <c r="O166" s="1809"/>
    </row>
    <row r="167" spans="1:15" x14ac:dyDescent="0.25">
      <c r="A167" s="1807"/>
      <c r="B167" s="1798"/>
      <c r="C167" s="1798"/>
      <c r="D167" s="145" t="s">
        <v>593</v>
      </c>
      <c r="E167" s="1634"/>
      <c r="F167" s="144"/>
      <c r="G167" s="144"/>
      <c r="H167" s="144"/>
      <c r="I167" s="144"/>
      <c r="J167" s="144"/>
      <c r="K167" s="1801"/>
      <c r="M167" s="7" t="s">
        <v>567</v>
      </c>
      <c r="N167" s="7">
        <v>0</v>
      </c>
      <c r="O167" s="1809"/>
    </row>
    <row r="168" spans="1:15" x14ac:dyDescent="0.25">
      <c r="A168" s="1807"/>
      <c r="B168" s="1798"/>
      <c r="C168" s="1798"/>
      <c r="D168" s="145" t="s">
        <v>594</v>
      </c>
      <c r="E168" s="1634"/>
      <c r="F168" s="144"/>
      <c r="G168" s="144"/>
      <c r="H168" s="144"/>
      <c r="I168" s="144"/>
      <c r="J168" s="144"/>
      <c r="K168" s="1801"/>
      <c r="M168" s="7" t="s">
        <v>119</v>
      </c>
      <c r="N168" s="7">
        <v>0</v>
      </c>
      <c r="O168" s="1809"/>
    </row>
    <row r="169" spans="1:15" x14ac:dyDescent="0.25">
      <c r="A169" s="1807"/>
      <c r="B169" s="1798"/>
      <c r="C169" s="1798"/>
      <c r="D169" s="1546" t="s">
        <v>1224</v>
      </c>
      <c r="E169" s="1634"/>
      <c r="F169" s="144"/>
      <c r="G169" s="144"/>
      <c r="H169" s="144"/>
      <c r="I169" s="144"/>
      <c r="J169" s="144"/>
      <c r="K169" s="1801"/>
      <c r="L169" s="1542" t="s">
        <v>1525</v>
      </c>
      <c r="M169" s="7"/>
      <c r="N169" s="7"/>
      <c r="O169" s="1622"/>
    </row>
    <row r="170" spans="1:15" x14ac:dyDescent="0.25">
      <c r="A170" s="1807"/>
      <c r="B170" s="1549" t="s">
        <v>1631</v>
      </c>
      <c r="C170" s="1549"/>
      <c r="D170" s="1548" t="s">
        <v>623</v>
      </c>
      <c r="E170" s="1635">
        <f>SUM(E166:E169)*0.1</f>
        <v>0</v>
      </c>
      <c r="F170" s="144"/>
      <c r="G170" s="144"/>
      <c r="H170" s="144"/>
      <c r="I170" s="144"/>
      <c r="J170" s="144"/>
      <c r="K170" s="1801"/>
      <c r="M170" s="1813" t="s">
        <v>343</v>
      </c>
      <c r="N170" s="1814"/>
      <c r="O170" s="1814"/>
    </row>
    <row r="171" spans="1:15" x14ac:dyDescent="0.25">
      <c r="A171" s="1808"/>
      <c r="B171" s="1550" t="s">
        <v>1632</v>
      </c>
      <c r="C171" s="1550"/>
      <c r="D171" s="1548" t="s">
        <v>156</v>
      </c>
      <c r="E171" s="1635">
        <f>SUM(E166:E169)*0.2</f>
        <v>0</v>
      </c>
      <c r="F171" s="144"/>
      <c r="G171" s="144"/>
      <c r="H171" s="144"/>
      <c r="I171" s="144"/>
      <c r="J171" s="144"/>
      <c r="K171" s="1802"/>
      <c r="M171" s="7" t="s">
        <v>87</v>
      </c>
      <c r="N171" s="7">
        <v>0</v>
      </c>
      <c r="O171" s="1809"/>
    </row>
    <row r="172" spans="1:15" x14ac:dyDescent="0.25">
      <c r="A172" s="1806" t="s">
        <v>1633</v>
      </c>
      <c r="B172" s="1797" t="s">
        <v>1634</v>
      </c>
      <c r="C172" s="1797" t="s">
        <v>1536</v>
      </c>
      <c r="D172" s="145" t="s">
        <v>592</v>
      </c>
      <c r="E172" s="1634">
        <f>IFERROR(ROUNDUP(ТрЗ_ОП!H107+IF(ТрЗ_ОП!F2="Пресейл",ТрЗ_ОП!H127,0),1),"-")</f>
        <v>0</v>
      </c>
      <c r="F172" s="144"/>
      <c r="G172" s="144"/>
      <c r="H172" s="144"/>
      <c r="I172" s="144"/>
      <c r="J172" s="144"/>
      <c r="K172" s="1800" t="s">
        <v>1558</v>
      </c>
      <c r="M172" s="7" t="s">
        <v>567</v>
      </c>
      <c r="N172" s="7">
        <v>0</v>
      </c>
      <c r="O172" s="1809"/>
    </row>
    <row r="173" spans="1:15" x14ac:dyDescent="0.25">
      <c r="A173" s="1807"/>
      <c r="B173" s="1798"/>
      <c r="C173" s="1798"/>
      <c r="D173" s="145" t="s">
        <v>593</v>
      </c>
      <c r="E173" s="1634">
        <f>IFERROR(ROUNDUP(ТрЗ_ОП!H108+IF(ТрЗ_ОП!F2="Пресейл",ТрЗ_ОП!H128,0),1),"-")</f>
        <v>0</v>
      </c>
      <c r="F173" s="144"/>
      <c r="G173" s="144"/>
      <c r="H173" s="144"/>
      <c r="I173" s="144"/>
      <c r="J173" s="144"/>
      <c r="K173" s="1801"/>
      <c r="M173" s="7" t="s">
        <v>119</v>
      </c>
      <c r="N173" s="7">
        <v>0</v>
      </c>
      <c r="O173" s="1809"/>
    </row>
    <row r="174" spans="1:15" x14ac:dyDescent="0.25">
      <c r="A174" s="1807"/>
      <c r="B174" s="1798"/>
      <c r="C174" s="1798"/>
      <c r="D174" s="145" t="s">
        <v>594</v>
      </c>
      <c r="E174" s="1634">
        <f>IFERROR(ROUNDUP(ТрЗ_ОП!H109+IF(ТрЗ_ОП!F2="Пресейл",ТрЗ_ОП!H129,0),1),"-")</f>
        <v>0</v>
      </c>
      <c r="F174" s="144"/>
      <c r="G174" s="144"/>
      <c r="H174" s="144"/>
      <c r="I174" s="144"/>
      <c r="J174" s="144"/>
      <c r="K174" s="1801"/>
      <c r="M174" s="1813" t="s">
        <v>243</v>
      </c>
      <c r="N174" s="1814"/>
      <c r="O174" s="1814"/>
    </row>
    <row r="175" spans="1:15" x14ac:dyDescent="0.25">
      <c r="A175" s="1807"/>
      <c r="B175" s="1798"/>
      <c r="C175" s="1798"/>
      <c r="D175" s="1546" t="s">
        <v>1224</v>
      </c>
      <c r="E175" s="1634">
        <f>IFERROR(ROUNDUP(ТрЗ_ОП!H110+IF(ТрЗ_ОП!F2="Пресейл",ТрЗ_ОП!H130,0),1),"-")</f>
        <v>0</v>
      </c>
      <c r="F175" s="144"/>
      <c r="G175" s="144"/>
      <c r="H175" s="144"/>
      <c r="I175" s="144"/>
      <c r="J175" s="144"/>
      <c r="K175" s="1801"/>
      <c r="M175" s="1624"/>
    </row>
    <row r="176" spans="1:15" x14ac:dyDescent="0.25">
      <c r="A176" s="1807"/>
      <c r="B176" s="1798"/>
      <c r="C176" s="1798"/>
      <c r="D176" s="145" t="s">
        <v>157</v>
      </c>
      <c r="E176" s="1634">
        <f>IFERROR(SUM(E172:E174)*0.01,"-")</f>
        <v>0</v>
      </c>
      <c r="F176" s="144"/>
      <c r="G176" s="144"/>
      <c r="H176" s="144"/>
      <c r="I176" s="144"/>
      <c r="J176" s="144"/>
      <c r="K176" s="1801"/>
      <c r="M176" s="7" t="s">
        <v>87</v>
      </c>
      <c r="N176" s="7">
        <v>0</v>
      </c>
      <c r="O176" s="1809"/>
    </row>
    <row r="177" spans="1:15" x14ac:dyDescent="0.25">
      <c r="A177" s="1807"/>
      <c r="B177" s="1799"/>
      <c r="C177" s="1799"/>
      <c r="D177" s="145" t="s">
        <v>592</v>
      </c>
      <c r="E177" s="1634"/>
      <c r="F177" s="144"/>
      <c r="G177" s="144"/>
      <c r="H177" s="144"/>
      <c r="I177" s="144"/>
      <c r="J177" s="144"/>
      <c r="K177" s="1801"/>
      <c r="M177" s="7" t="s">
        <v>567</v>
      </c>
      <c r="N177" s="7">
        <v>0</v>
      </c>
      <c r="O177" s="1809"/>
    </row>
    <row r="178" spans="1:15" x14ac:dyDescent="0.25">
      <c r="A178" s="1807"/>
      <c r="B178" s="1797" t="s">
        <v>1635</v>
      </c>
      <c r="C178" s="1797" t="s">
        <v>1535</v>
      </c>
      <c r="D178" s="145" t="s">
        <v>592</v>
      </c>
      <c r="E178" s="1634">
        <f>IFERROR(ROUNDUP(ТрЗ_ОП!H111+IF(ТрЗ_ОП!F2="ЭП",ТрЗ_ОП!H127,0),1),"-")</f>
        <v>0</v>
      </c>
      <c r="F178" s="144"/>
      <c r="G178" s="144"/>
      <c r="H178" s="144"/>
      <c r="I178" s="144"/>
      <c r="J178" s="144"/>
      <c r="K178" s="1801"/>
      <c r="M178" s="7" t="s">
        <v>119</v>
      </c>
      <c r="N178" s="7">
        <v>0</v>
      </c>
      <c r="O178" s="1809"/>
    </row>
    <row r="179" spans="1:15" x14ac:dyDescent="0.25">
      <c r="A179" s="1807"/>
      <c r="B179" s="1798"/>
      <c r="C179" s="1798"/>
      <c r="D179" s="145" t="s">
        <v>593</v>
      </c>
      <c r="E179" s="1634">
        <f>IFERROR(ROUNDUP(ТрЗ_ОП!H112+IF(ТрЗ_ОП!F2="ЭП",ТрЗ_ОП!H128,0),1),"-")</f>
        <v>0</v>
      </c>
      <c r="F179" s="144"/>
      <c r="G179" s="144"/>
      <c r="H179" s="144"/>
      <c r="I179" s="144"/>
      <c r="J179" s="144"/>
      <c r="K179" s="1801"/>
      <c r="M179" s="1813" t="s">
        <v>244</v>
      </c>
      <c r="N179" s="1814"/>
      <c r="O179" s="1814"/>
    </row>
    <row r="180" spans="1:15" x14ac:dyDescent="0.25">
      <c r="A180" s="1807"/>
      <c r="B180" s="1798"/>
      <c r="C180" s="1798"/>
      <c r="D180" s="145" t="s">
        <v>594</v>
      </c>
      <c r="E180" s="1634">
        <f>IFERROR(ROUNDUP(ТрЗ_ОП!H113+IF(ТрЗ_ОП!F2="ЭП",ТрЗ_ОП!H129,0),1),"-")</f>
        <v>0</v>
      </c>
      <c r="F180" s="144"/>
      <c r="G180" s="144"/>
      <c r="H180" s="144"/>
      <c r="I180" s="144"/>
      <c r="J180" s="144"/>
      <c r="K180" s="1801"/>
      <c r="M180" s="7" t="s">
        <v>87</v>
      </c>
      <c r="N180" s="7">
        <v>0</v>
      </c>
      <c r="O180" s="1809"/>
    </row>
    <row r="181" spans="1:15" x14ac:dyDescent="0.25">
      <c r="A181" s="1807"/>
      <c r="B181" s="1798"/>
      <c r="C181" s="1798"/>
      <c r="D181" s="1546" t="s">
        <v>1224</v>
      </c>
      <c r="E181" s="1634">
        <f>IFERROR(ROUNDUP(ТрЗ_ОП!H114+IF(ТрЗ_ОП!F2="ЭП",ТрЗ_ОП!H130,0),1),"-")</f>
        <v>0</v>
      </c>
      <c r="F181" s="144"/>
      <c r="G181" s="144"/>
      <c r="H181" s="144"/>
      <c r="I181" s="144"/>
      <c r="J181" s="144"/>
      <c r="K181" s="1801"/>
      <c r="L181" s="1542" t="s">
        <v>1525</v>
      </c>
      <c r="M181" s="7"/>
      <c r="N181" s="7"/>
      <c r="O181" s="1809"/>
    </row>
    <row r="182" spans="1:15" x14ac:dyDescent="0.25">
      <c r="A182" s="1807"/>
      <c r="B182" s="1798"/>
      <c r="C182" s="1798"/>
      <c r="D182" s="145" t="s">
        <v>157</v>
      </c>
      <c r="E182" s="1634">
        <f>IFERROR(SUM(E178:E180)*0.01,"-")</f>
        <v>0</v>
      </c>
      <c r="F182" s="144"/>
      <c r="G182" s="144"/>
      <c r="H182" s="144"/>
      <c r="I182" s="144"/>
      <c r="J182" s="144"/>
      <c r="K182" s="1801"/>
      <c r="M182" s="7" t="s">
        <v>567</v>
      </c>
      <c r="N182" s="7">
        <v>0</v>
      </c>
      <c r="O182" s="1809"/>
    </row>
    <row r="183" spans="1:15" x14ac:dyDescent="0.25">
      <c r="A183" s="1807"/>
      <c r="B183" s="1799"/>
      <c r="C183" s="1799"/>
      <c r="D183" s="145" t="s">
        <v>592</v>
      </c>
      <c r="E183" s="1634"/>
      <c r="F183" s="144"/>
      <c r="G183" s="144"/>
      <c r="H183" s="144"/>
      <c r="I183" s="144"/>
      <c r="J183" s="144"/>
      <c r="K183" s="1801"/>
      <c r="M183" s="7" t="s">
        <v>119</v>
      </c>
      <c r="N183" s="7">
        <v>0</v>
      </c>
      <c r="O183" s="1809"/>
    </row>
    <row r="184" spans="1:15" ht="14.45" customHeight="1" x14ac:dyDescent="0.25">
      <c r="A184" s="1807"/>
      <c r="B184" s="1797" t="s">
        <v>1636</v>
      </c>
      <c r="C184" s="1797" t="s">
        <v>1537</v>
      </c>
      <c r="D184" s="145" t="s">
        <v>592</v>
      </c>
      <c r="E184" s="1634" t="str">
        <f>IFERROR(ROUNDUP(IF(ТрЗ_ОП!$F$2="ТП",ТрЗ_ОП!H115+ТрЗ_ОП!H119+ТрЗ_ОП!H127,ТрЗ_ОП!H115+IF(ТрЗ_ОП!$F$2="ТРП",ТрЗ_ОП!H127*ТрЗ_ОП!$I$127,0)),1),"-")</f>
        <v>-</v>
      </c>
      <c r="F184" s="144"/>
      <c r="G184" s="144"/>
      <c r="H184" s="144"/>
      <c r="I184" s="144"/>
      <c r="J184" s="144"/>
      <c r="K184" s="1801"/>
      <c r="M184" s="1813" t="s">
        <v>245</v>
      </c>
      <c r="N184" s="1814"/>
      <c r="O184" s="1814"/>
    </row>
    <row r="185" spans="1:15" x14ac:dyDescent="0.25">
      <c r="A185" s="1807"/>
      <c r="B185" s="1798"/>
      <c r="C185" s="1798"/>
      <c r="D185" s="145" t="s">
        <v>593</v>
      </c>
      <c r="E185" s="1634" t="str">
        <f>IFERROR(ROUNDUP(IF(ТрЗ_ОП!$F$2="ТП",ТрЗ_ОП!H116+ТрЗ_ОП!H120+ТрЗ_ОП!H128,ТрЗ_ОП!H116+IF(ТрЗ_ОП!$F$2="ТРП",ТрЗ_ОП!H128*ТрЗ_ОП!$I$127,0)),1),"-")</f>
        <v>-</v>
      </c>
      <c r="F185" s="144"/>
      <c r="G185" s="144"/>
      <c r="H185" s="144"/>
      <c r="I185" s="144"/>
      <c r="J185" s="144"/>
      <c r="K185" s="1801"/>
      <c r="M185" s="7" t="s">
        <v>87</v>
      </c>
      <c r="N185" s="7">
        <v>0</v>
      </c>
      <c r="O185" s="1809"/>
    </row>
    <row r="186" spans="1:15" x14ac:dyDescent="0.25">
      <c r="A186" s="1807"/>
      <c r="B186" s="1798"/>
      <c r="C186" s="1798"/>
      <c r="D186" s="145" t="s">
        <v>594</v>
      </c>
      <c r="E186" s="1634" t="str">
        <f>IFERROR(ROUNDUP(IF(ТрЗ_ОП!$F$2="ТП",ТрЗ_ОП!H117+ТрЗ_ОП!H121+ТрЗ_ОП!H129,ТрЗ_ОП!H117+IF(ТрЗ_ОП!$F$2="ТРП",ТрЗ_ОП!H129*ТрЗ_ОП!$I$127,0)),1),"-")</f>
        <v>-</v>
      </c>
      <c r="F186" s="144"/>
      <c r="G186" s="144"/>
      <c r="H186" s="144"/>
      <c r="I186" s="144"/>
      <c r="J186" s="144"/>
      <c r="K186" s="1801"/>
      <c r="M186" s="7" t="s">
        <v>567</v>
      </c>
      <c r="N186" s="7">
        <v>0</v>
      </c>
      <c r="O186" s="1809"/>
    </row>
    <row r="187" spans="1:15" x14ac:dyDescent="0.25">
      <c r="A187" s="1807"/>
      <c r="B187" s="1798"/>
      <c r="C187" s="1798"/>
      <c r="D187" s="1546" t="s">
        <v>1224</v>
      </c>
      <c r="E187" s="1634" t="str">
        <f>IFERROR(ROUNDUP(IF(ТрЗ_ОП!$F$2="ТП",ТрЗ_ОП!H118+ТрЗ_ОП!H122+ТрЗ_ОП!H130,ТрЗ_ОП!H118+IF(ТрЗ_ОП!$F$2="ТРП",ТрЗ_ОП!H130*ТрЗ_ОП!$I$127,0)),1),"-")</f>
        <v>-</v>
      </c>
      <c r="F187" s="144"/>
      <c r="G187" s="144"/>
      <c r="H187" s="144"/>
      <c r="I187" s="144"/>
      <c r="J187" s="144"/>
      <c r="K187" s="1801"/>
      <c r="L187" s="1542" t="s">
        <v>1525</v>
      </c>
      <c r="M187" s="7"/>
      <c r="N187" s="7"/>
      <c r="O187" s="1809"/>
    </row>
    <row r="188" spans="1:15" x14ac:dyDescent="0.25">
      <c r="A188" s="1807"/>
      <c r="B188" s="1798"/>
      <c r="C188" s="1798"/>
      <c r="D188" s="145" t="s">
        <v>157</v>
      </c>
      <c r="E188" s="1634">
        <f>IFERROR(SUM(E184:E186)*0.02,"-")</f>
        <v>0</v>
      </c>
      <c r="F188" s="144"/>
      <c r="G188" s="144"/>
      <c r="H188" s="144"/>
      <c r="I188" s="144"/>
      <c r="J188" s="144"/>
      <c r="K188" s="1801"/>
      <c r="M188" s="7"/>
      <c r="N188" s="7"/>
      <c r="O188" s="1809"/>
    </row>
    <row r="189" spans="1:15" x14ac:dyDescent="0.25">
      <c r="A189" s="1807"/>
      <c r="B189" s="1798"/>
      <c r="C189" s="1798"/>
      <c r="D189" s="145" t="s">
        <v>592</v>
      </c>
      <c r="E189" s="1634"/>
      <c r="F189" s="144"/>
      <c r="G189" s="144"/>
      <c r="H189" s="144"/>
      <c r="I189" s="144"/>
      <c r="J189" s="144"/>
      <c r="K189" s="1801"/>
      <c r="M189" s="7" t="s">
        <v>119</v>
      </c>
      <c r="N189" s="7">
        <v>0</v>
      </c>
      <c r="O189" s="1809"/>
    </row>
    <row r="190" spans="1:15" x14ac:dyDescent="0.25">
      <c r="A190" s="1807"/>
      <c r="B190" s="1799"/>
      <c r="C190" s="1799"/>
      <c r="D190" s="145" t="s">
        <v>592</v>
      </c>
      <c r="E190" s="1634"/>
      <c r="F190" s="144"/>
      <c r="G190" s="144"/>
      <c r="H190" s="144"/>
      <c r="I190" s="144"/>
      <c r="J190" s="144"/>
      <c r="K190" s="1801"/>
      <c r="M190" s="1815" t="s">
        <v>342</v>
      </c>
      <c r="N190" s="1814"/>
      <c r="O190" s="1814"/>
    </row>
    <row r="191" spans="1:15" x14ac:dyDescent="0.25">
      <c r="A191" s="1807"/>
      <c r="B191" s="1797" t="s">
        <v>1637</v>
      </c>
      <c r="C191" s="1797" t="s">
        <v>1542</v>
      </c>
      <c r="D191" s="145" t="s">
        <v>592</v>
      </c>
      <c r="E191" s="1634" t="str">
        <f>IFERROR(ROUNDUP(IF(ТрЗ_ОП!$F$2="ТП",0,ТрЗ_ОП!H119+IF(ТрЗ_ОП!$F$2="ТРП",ТрЗ_ОП!H127*ТрЗ_ОП!$J$127,0)),1),"-")</f>
        <v>-</v>
      </c>
      <c r="F191" s="144"/>
      <c r="G191" s="144"/>
      <c r="H191" s="144"/>
      <c r="I191" s="144"/>
      <c r="J191" s="144"/>
      <c r="K191" s="1801"/>
      <c r="M191" s="1813" t="s">
        <v>245</v>
      </c>
      <c r="N191" s="1814"/>
      <c r="O191" s="1814"/>
    </row>
    <row r="192" spans="1:15" x14ac:dyDescent="0.25">
      <c r="A192" s="1807"/>
      <c r="B192" s="1798"/>
      <c r="C192" s="1798"/>
      <c r="D192" s="145" t="s">
        <v>593</v>
      </c>
      <c r="E192" s="1634" t="str">
        <f>IFERROR(ROUNDUP(IF(ТрЗ_ОП!$F$2="ТП",0,ТрЗ_ОП!H120+IF(ТрЗ_ОП!$F$2="ТРП",ТрЗ_ОП!H128*ТрЗ_ОП!$J$127,0)),1),"-")</f>
        <v>-</v>
      </c>
      <c r="F192" s="144"/>
      <c r="G192" s="144"/>
      <c r="H192" s="144"/>
      <c r="I192" s="144"/>
      <c r="J192" s="144"/>
      <c r="K192" s="1801"/>
      <c r="M192" s="7" t="s">
        <v>87</v>
      </c>
      <c r="N192" s="7">
        <v>0</v>
      </c>
      <c r="O192" s="1809"/>
    </row>
    <row r="193" spans="1:15" x14ac:dyDescent="0.25">
      <c r="A193" s="1807"/>
      <c r="B193" s="1798"/>
      <c r="C193" s="1798"/>
      <c r="D193" s="145" t="s">
        <v>594</v>
      </c>
      <c r="E193" s="1634" t="str">
        <f>IFERROR(ROUNDUP(IF(ТрЗ_ОП!$F$2="ТП",0,ТрЗ_ОП!H121+IF(ТрЗ_ОП!$F$2="ТРП",ТрЗ_ОП!H129*ТрЗ_ОП!$J$127,0)),1),"-")</f>
        <v>-</v>
      </c>
      <c r="F193" s="144"/>
      <c r="G193" s="144"/>
      <c r="H193" s="144"/>
      <c r="I193" s="144"/>
      <c r="J193" s="144"/>
      <c r="K193" s="1801"/>
      <c r="M193" s="7" t="s">
        <v>567</v>
      </c>
      <c r="N193" s="7">
        <v>0</v>
      </c>
      <c r="O193" s="1809"/>
    </row>
    <row r="194" spans="1:15" x14ac:dyDescent="0.25">
      <c r="A194" s="1807"/>
      <c r="B194" s="1798"/>
      <c r="C194" s="1798"/>
      <c r="D194" s="1546" t="s">
        <v>1224</v>
      </c>
      <c r="E194" s="1634" t="str">
        <f>IFERROR(ROUNDUP(IF(ТрЗ_ОП!$F$2="ТП",0,ТрЗ_ОП!H122+IF(ТрЗ_ОП!$F$2="ТРП",ТрЗ_ОП!H130*ТрЗ_ОП!$J$127,0)),1),"-")</f>
        <v>-</v>
      </c>
      <c r="F194" s="144"/>
      <c r="G194" s="144"/>
      <c r="H194" s="144"/>
      <c r="I194" s="144"/>
      <c r="J194" s="144"/>
      <c r="K194" s="1801"/>
      <c r="L194" s="1542" t="s">
        <v>1525</v>
      </c>
      <c r="M194" s="7"/>
      <c r="N194" s="7"/>
      <c r="O194" s="1809"/>
    </row>
    <row r="195" spans="1:15" x14ac:dyDescent="0.25">
      <c r="A195" s="1807"/>
      <c r="B195" s="1798"/>
      <c r="C195" s="1798"/>
      <c r="D195" s="145" t="s">
        <v>157</v>
      </c>
      <c r="E195" s="1634">
        <f>IFERROR(SUM(E191:E193)*0.02,"-")</f>
        <v>0</v>
      </c>
      <c r="F195" s="144"/>
      <c r="G195" s="144"/>
      <c r="H195" s="144"/>
      <c r="I195" s="144"/>
      <c r="J195" s="144"/>
      <c r="K195" s="1801"/>
      <c r="M195" s="7"/>
      <c r="N195" s="7"/>
      <c r="O195" s="1809"/>
    </row>
    <row r="196" spans="1:15" x14ac:dyDescent="0.25">
      <c r="A196" s="1807"/>
      <c r="B196" s="1798"/>
      <c r="C196" s="1798"/>
      <c r="D196" s="145" t="s">
        <v>592</v>
      </c>
      <c r="E196" s="1634"/>
      <c r="F196" s="144"/>
      <c r="G196" s="144"/>
      <c r="H196" s="144"/>
      <c r="I196" s="144"/>
      <c r="J196" s="144"/>
      <c r="K196" s="1801"/>
      <c r="M196" s="7" t="s">
        <v>119</v>
      </c>
      <c r="N196" s="7">
        <v>0</v>
      </c>
      <c r="O196" s="1809"/>
    </row>
    <row r="197" spans="1:15" x14ac:dyDescent="0.25">
      <c r="A197" s="1807"/>
      <c r="B197" s="1799"/>
      <c r="C197" s="1799"/>
      <c r="D197" s="145" t="s">
        <v>592</v>
      </c>
      <c r="E197" s="1634"/>
      <c r="F197" s="144"/>
      <c r="G197" s="144"/>
      <c r="H197" s="144"/>
      <c r="I197" s="144"/>
      <c r="J197" s="144"/>
      <c r="K197" s="1801"/>
      <c r="M197" s="1815" t="s">
        <v>342</v>
      </c>
      <c r="N197" s="1814"/>
      <c r="O197" s="1814"/>
    </row>
    <row r="198" spans="1:15" x14ac:dyDescent="0.25">
      <c r="A198" s="1807"/>
      <c r="B198" s="1797" t="s">
        <v>1638</v>
      </c>
      <c r="C198" s="1797" t="s">
        <v>1543</v>
      </c>
      <c r="D198" s="145" t="s">
        <v>592</v>
      </c>
      <c r="E198" s="1634" t="str">
        <f>IFERROR(ROUNDUP(ТрЗ_ОП!H123+IF(ТрЗ_ОП!F2="ТРП",ТрЗ_ОП!H127*ТрЗ_ОП!$K$127,0),1),"-")</f>
        <v>-</v>
      </c>
      <c r="F198" s="144"/>
      <c r="G198" s="144"/>
      <c r="H198" s="144"/>
      <c r="I198" s="144"/>
      <c r="J198" s="144"/>
      <c r="K198" s="1801"/>
      <c r="M198" s="1813" t="s">
        <v>245</v>
      </c>
      <c r="N198" s="1814"/>
      <c r="O198" s="1814"/>
    </row>
    <row r="199" spans="1:15" x14ac:dyDescent="0.25">
      <c r="A199" s="1807"/>
      <c r="B199" s="1798"/>
      <c r="C199" s="1798"/>
      <c r="D199" s="145" t="s">
        <v>593</v>
      </c>
      <c r="E199" s="1634" t="str">
        <f>IFERROR(ROUNDUP(ТрЗ_ОП!H124+IF(ТрЗ_ОП!F2="ТРП",ТрЗ_ОП!H128*ТрЗ_ОП!$K$127,0),1),"-")</f>
        <v>-</v>
      </c>
      <c r="F199" s="144"/>
      <c r="G199" s="144"/>
      <c r="H199" s="144"/>
      <c r="I199" s="144"/>
      <c r="J199" s="144"/>
      <c r="K199" s="1801"/>
      <c r="M199" s="7" t="s">
        <v>87</v>
      </c>
      <c r="N199" s="7">
        <v>0</v>
      </c>
      <c r="O199" s="1809"/>
    </row>
    <row r="200" spans="1:15" x14ac:dyDescent="0.25">
      <c r="A200" s="1807"/>
      <c r="B200" s="1798"/>
      <c r="C200" s="1798"/>
      <c r="D200" s="145" t="s">
        <v>594</v>
      </c>
      <c r="E200" s="1634" t="str">
        <f>IFERROR(ROUNDUP(ТрЗ_ОП!H125+IF(ТрЗ_ОП!F2="ТРП",ТрЗ_ОП!H129*ТрЗ_ОП!$K$127,0),1),"-")</f>
        <v>-</v>
      </c>
      <c r="F200" s="144"/>
      <c r="G200" s="144"/>
      <c r="H200" s="144"/>
      <c r="I200" s="144"/>
      <c r="J200" s="144"/>
      <c r="K200" s="1801"/>
      <c r="M200" s="7" t="s">
        <v>567</v>
      </c>
      <c r="N200" s="7">
        <v>0</v>
      </c>
      <c r="O200" s="1809"/>
    </row>
    <row r="201" spans="1:15" x14ac:dyDescent="0.25">
      <c r="A201" s="1807"/>
      <c r="B201" s="1798"/>
      <c r="C201" s="1798"/>
      <c r="D201" s="1546" t="s">
        <v>1224</v>
      </c>
      <c r="E201" s="1634">
        <f>IFERROR(ROUNDUP(IF(ТрЗ_ОП!F2="ТРП",ТрЗ_ОП!H130*ТрЗ_ОП!$K$127,0),1),"-")</f>
        <v>0</v>
      </c>
      <c r="F201" s="144"/>
      <c r="G201" s="144"/>
      <c r="H201" s="144"/>
      <c r="I201" s="144"/>
      <c r="J201" s="144"/>
      <c r="K201" s="1801"/>
      <c r="L201" s="1542" t="s">
        <v>1525</v>
      </c>
      <c r="M201" s="7"/>
      <c r="N201" s="7"/>
      <c r="O201" s="1809"/>
    </row>
    <row r="202" spans="1:15" x14ac:dyDescent="0.25">
      <c r="A202" s="1807"/>
      <c r="B202" s="1798"/>
      <c r="C202" s="1798"/>
      <c r="D202" s="145" t="s">
        <v>157</v>
      </c>
      <c r="E202" s="1634">
        <f>IFERROR(SUM(E198:E200)*0.02,"-")</f>
        <v>0</v>
      </c>
      <c r="F202" s="144"/>
      <c r="G202" s="144"/>
      <c r="H202" s="144"/>
      <c r="I202" s="144"/>
      <c r="J202" s="144"/>
      <c r="K202" s="1801"/>
      <c r="M202" s="7"/>
      <c r="N202" s="7"/>
      <c r="O202" s="1809"/>
    </row>
    <row r="203" spans="1:15" x14ac:dyDescent="0.25">
      <c r="A203" s="1807"/>
      <c r="B203" s="1798"/>
      <c r="C203" s="1798"/>
      <c r="D203" s="145" t="s">
        <v>592</v>
      </c>
      <c r="E203" s="1634" t="str">
        <f>IF(D203="Инженер ОК",ТрЗ_ОКиА!$K$110,IF(D203="Старший инженер ОК",ТрЗ_ОКиА!$L$110,IF(D203="Ведущий инженер ОК",ТрЗ_ОКиА!$M$110,"")))</f>
        <v/>
      </c>
      <c r="F203" s="144"/>
      <c r="G203" s="144"/>
      <c r="H203" s="144"/>
      <c r="I203" s="144"/>
      <c r="J203" s="144"/>
      <c r="K203" s="1801"/>
      <c r="M203" s="7" t="s">
        <v>119</v>
      </c>
      <c r="N203" s="7">
        <v>0</v>
      </c>
      <c r="O203" s="1809"/>
    </row>
    <row r="204" spans="1:15" x14ac:dyDescent="0.25">
      <c r="A204" s="1807"/>
      <c r="B204" s="1799"/>
      <c r="C204" s="1799"/>
      <c r="D204" s="145" t="s">
        <v>592</v>
      </c>
      <c r="E204" s="1634"/>
      <c r="F204" s="144"/>
      <c r="G204" s="144"/>
      <c r="H204" s="144"/>
      <c r="I204" s="144"/>
      <c r="J204" s="144"/>
      <c r="K204" s="1801"/>
      <c r="M204" s="1815" t="s">
        <v>342</v>
      </c>
      <c r="N204" s="1814"/>
      <c r="O204" s="1814"/>
    </row>
    <row r="205" spans="1:15" ht="14.45" customHeight="1" x14ac:dyDescent="0.25">
      <c r="A205" s="1807"/>
      <c r="B205" s="1797" t="s">
        <v>1639</v>
      </c>
      <c r="C205" s="1797" t="s">
        <v>1640</v>
      </c>
      <c r="D205" s="145" t="s">
        <v>595</v>
      </c>
      <c r="E205" s="1634">
        <f>IF(D205="Инженер ОК",ТрЗ_ОКиА!$K$42,IF(D205="Старший инженер ОК",ТрЗ_ОКиА!$L$42,IF(D205="Ведущий инженер ОК",ТрЗ_ОКиА!$M$42,"")))</f>
        <v>0</v>
      </c>
      <c r="F205" s="144"/>
      <c r="G205" s="144"/>
      <c r="H205" s="144"/>
      <c r="I205" s="144"/>
      <c r="J205" s="144"/>
      <c r="K205" s="1801"/>
      <c r="M205" s="7" t="s">
        <v>87</v>
      </c>
      <c r="N205" s="7">
        <v>0</v>
      </c>
      <c r="O205" s="1809"/>
    </row>
    <row r="206" spans="1:15" x14ac:dyDescent="0.25">
      <c r="A206" s="1807"/>
      <c r="B206" s="1798"/>
      <c r="C206" s="1798"/>
      <c r="D206" s="145" t="s">
        <v>596</v>
      </c>
      <c r="E206" s="1634">
        <f>IF(D206="Инженер ОК",ТрЗ_ОКиА!$K$42,IF(D206="Старший инженер ОК",ТрЗ_ОКиА!$L$42,IF(D206="Ведущий инженер ОК",ТрЗ_ОКиА!$M$42,"")))</f>
        <v>0</v>
      </c>
      <c r="F206" s="144"/>
      <c r="G206" s="144"/>
      <c r="H206" s="144"/>
      <c r="I206" s="144"/>
      <c r="J206" s="144"/>
      <c r="K206" s="1801"/>
      <c r="M206" s="7" t="s">
        <v>567</v>
      </c>
      <c r="N206" s="7">
        <v>0</v>
      </c>
      <c r="O206" s="1809"/>
    </row>
    <row r="207" spans="1:15" x14ac:dyDescent="0.25">
      <c r="A207" s="1807"/>
      <c r="B207" s="1798"/>
      <c r="C207" s="1798"/>
      <c r="D207" s="145" t="s">
        <v>597</v>
      </c>
      <c r="E207" s="1634">
        <f>IF(D207="Инженер ОК",ТрЗ_ОКиА!$K$42,IF(D207="Старший инженер ОК",ТрЗ_ОКиА!$L$42,IF(D207="Ведущий инженер ОК",ТрЗ_ОКиА!$M$42,"")))</f>
        <v>0</v>
      </c>
      <c r="F207" s="144"/>
      <c r="G207" s="144"/>
      <c r="H207" s="144"/>
      <c r="I207" s="144"/>
      <c r="J207" s="144"/>
      <c r="K207" s="1801"/>
      <c r="M207" s="7" t="s">
        <v>119</v>
      </c>
      <c r="N207" s="7">
        <v>0</v>
      </c>
      <c r="O207" s="1809"/>
    </row>
    <row r="208" spans="1:15" x14ac:dyDescent="0.25">
      <c r="A208" s="1807"/>
      <c r="B208" s="1798"/>
      <c r="C208" s="1798"/>
      <c r="D208" s="1546" t="s">
        <v>1224</v>
      </c>
      <c r="E208" s="1634"/>
      <c r="F208" s="144"/>
      <c r="G208" s="144"/>
      <c r="H208" s="144"/>
      <c r="I208" s="144"/>
      <c r="J208" s="144"/>
      <c r="K208" s="1801"/>
      <c r="L208" s="1542" t="s">
        <v>1525</v>
      </c>
      <c r="M208" s="7"/>
      <c r="N208" s="7"/>
      <c r="O208" s="1622"/>
    </row>
    <row r="209" spans="1:15" ht="14.45" customHeight="1" x14ac:dyDescent="0.25">
      <c r="A209" s="1807"/>
      <c r="B209" s="1797" t="s">
        <v>1641</v>
      </c>
      <c r="C209" s="1797" t="s">
        <v>1642</v>
      </c>
      <c r="D209" s="145" t="s">
        <v>595</v>
      </c>
      <c r="E209" s="1634">
        <f>IF(D209="Инженер ОК",ТрЗ_ОКиА!$K$110,IF(D209="Старший инженер ОК",ТрЗ_ОКиА!$L$110,IF(D209="Ведущий инженер ОК",ТрЗ_ОКиА!$M$110,"")))</f>
        <v>0</v>
      </c>
      <c r="F209" s="144"/>
      <c r="G209" s="144"/>
      <c r="H209" s="144"/>
      <c r="I209" s="144"/>
      <c r="J209" s="144"/>
      <c r="K209" s="1801"/>
      <c r="M209" s="7" t="s">
        <v>87</v>
      </c>
      <c r="N209" s="7">
        <v>0</v>
      </c>
      <c r="O209" s="1809"/>
    </row>
    <row r="210" spans="1:15" x14ac:dyDescent="0.25">
      <c r="A210" s="1807"/>
      <c r="B210" s="1798"/>
      <c r="C210" s="1798"/>
      <c r="D210" s="145" t="s">
        <v>596</v>
      </c>
      <c r="E210" s="1634">
        <f>IF(D210="Инженер ОК",ТрЗ_ОКиА!$K$110,IF(D210="Старший инженер ОК",ТрЗ_ОКиА!$L$110,IF(D210="Ведущий инженер ОК",ТрЗ_ОКиА!$M$110,"")))</f>
        <v>0</v>
      </c>
      <c r="F210" s="144"/>
      <c r="G210" s="144"/>
      <c r="H210" s="144"/>
      <c r="I210" s="144"/>
      <c r="J210" s="144"/>
      <c r="K210" s="1801"/>
      <c r="M210" s="7" t="s">
        <v>567</v>
      </c>
      <c r="N210" s="7">
        <v>0</v>
      </c>
      <c r="O210" s="1809"/>
    </row>
    <row r="211" spans="1:15" x14ac:dyDescent="0.25">
      <c r="A211" s="1807"/>
      <c r="B211" s="1798"/>
      <c r="C211" s="1798"/>
      <c r="D211" s="145" t="s">
        <v>597</v>
      </c>
      <c r="E211" s="1634">
        <f>IF(D211="Инженер ОК",ТрЗ_ОКиА!$K$110,IF(D211="Старший инженер ОК",ТрЗ_ОКиА!$L$110,IF(D211="Ведущий инженер ОК",ТрЗ_ОКиА!$M$110,"")))</f>
        <v>0</v>
      </c>
      <c r="F211" s="144"/>
      <c r="G211" s="144"/>
      <c r="H211" s="144"/>
      <c r="I211" s="144"/>
      <c r="J211" s="144"/>
      <c r="K211" s="1801"/>
      <c r="M211" s="7" t="s">
        <v>119</v>
      </c>
      <c r="N211" s="7">
        <v>0</v>
      </c>
      <c r="O211" s="1809"/>
    </row>
    <row r="212" spans="1:15" x14ac:dyDescent="0.25">
      <c r="A212" s="1807"/>
      <c r="B212" s="1798"/>
      <c r="C212" s="1798"/>
      <c r="D212" s="1546" t="s">
        <v>1224</v>
      </c>
      <c r="E212" s="1634"/>
      <c r="F212" s="144"/>
      <c r="G212" s="144"/>
      <c r="H212" s="144"/>
      <c r="I212" s="144"/>
      <c r="J212" s="144"/>
      <c r="K212" s="1801"/>
      <c r="L212" s="1542" t="s">
        <v>1525</v>
      </c>
      <c r="M212" s="7"/>
      <c r="N212" s="7"/>
      <c r="O212" s="1622"/>
    </row>
    <row r="213" spans="1:15" ht="14.45" customHeight="1" x14ac:dyDescent="0.25">
      <c r="A213" s="1807"/>
      <c r="B213" s="1797" t="s">
        <v>1643</v>
      </c>
      <c r="C213" s="1797" t="s">
        <v>1644</v>
      </c>
      <c r="D213" s="145" t="s">
        <v>595</v>
      </c>
      <c r="E213" s="1634">
        <f>IF(D213="Инженер ОК",ТрЗ_ОКиА!$K$188,IF(D213="Старший инженер ОК",ТрЗ_ОКиА!$L$188,IF(D213="Ведущий инженер ОК",ТрЗ_ОКиА!$M$188,"")))</f>
        <v>9.26</v>
      </c>
      <c r="F213" s="144"/>
      <c r="G213" s="144"/>
      <c r="H213" s="144"/>
      <c r="I213" s="144"/>
      <c r="J213" s="144"/>
      <c r="K213" s="1801"/>
      <c r="M213" s="7" t="s">
        <v>87</v>
      </c>
      <c r="N213" s="7">
        <v>0</v>
      </c>
      <c r="O213" s="1809"/>
    </row>
    <row r="214" spans="1:15" x14ac:dyDescent="0.25">
      <c r="A214" s="1807"/>
      <c r="B214" s="1798"/>
      <c r="C214" s="1798"/>
      <c r="D214" s="145" t="s">
        <v>596</v>
      </c>
      <c r="E214" s="1634">
        <f>IF(D214="Инженер ОК",ТрЗ_ОКиА!$K$188,IF(D214="Старший инженер ОК",ТрЗ_ОКиА!$L$188,IF(D214="Ведущий инженер ОК",ТрЗ_ОКиА!$M$188,"")))</f>
        <v>4.1213750000000005</v>
      </c>
      <c r="F214" s="144"/>
      <c r="G214" s="144"/>
      <c r="H214" s="144"/>
      <c r="I214" s="144"/>
      <c r="J214" s="144"/>
      <c r="K214" s="1801"/>
      <c r="M214" s="7" t="s">
        <v>567</v>
      </c>
      <c r="N214" s="7">
        <v>0</v>
      </c>
      <c r="O214" s="1809"/>
    </row>
    <row r="215" spans="1:15" x14ac:dyDescent="0.25">
      <c r="A215" s="1807"/>
      <c r="B215" s="1798"/>
      <c r="C215" s="1798"/>
      <c r="D215" s="145" t="s">
        <v>597</v>
      </c>
      <c r="E215" s="1634">
        <f>IF(D215="Инженер ОК",ТрЗ_ОКиА!$K$188,IF(D215="Старший инженер ОК",ТрЗ_ОКиА!$L$188,IF(D215="Ведущий инженер ОК",ТрЗ_ОКиА!$M$188,"")))</f>
        <v>1.4498750000000002</v>
      </c>
      <c r="F215" s="144"/>
      <c r="G215" s="144"/>
      <c r="H215" s="144"/>
      <c r="I215" s="144"/>
      <c r="J215" s="144"/>
      <c r="K215" s="1801"/>
      <c r="M215" s="7" t="s">
        <v>119</v>
      </c>
      <c r="N215" s="7">
        <v>0</v>
      </c>
      <c r="O215" s="1809"/>
    </row>
    <row r="216" spans="1:15" x14ac:dyDescent="0.25">
      <c r="A216" s="1807"/>
      <c r="B216" s="1798"/>
      <c r="C216" s="1798"/>
      <c r="D216" s="1546" t="s">
        <v>1224</v>
      </c>
      <c r="E216" s="1634"/>
      <c r="F216" s="144"/>
      <c r="G216" s="144"/>
      <c r="H216" s="144"/>
      <c r="I216" s="144"/>
      <c r="J216" s="144"/>
      <c r="K216" s="1801"/>
      <c r="L216" s="1542" t="s">
        <v>1525</v>
      </c>
      <c r="M216" s="7"/>
      <c r="N216" s="7"/>
      <c r="O216" s="1622"/>
    </row>
    <row r="217" spans="1:15" ht="14.45" customHeight="1" x14ac:dyDescent="0.25">
      <c r="A217" s="1807"/>
      <c r="B217" s="1797" t="s">
        <v>1645</v>
      </c>
      <c r="C217" s="1797" t="s">
        <v>1646</v>
      </c>
      <c r="D217" s="145" t="s">
        <v>595</v>
      </c>
      <c r="E217" s="1634">
        <f>IF(D217="Инженер ОК",ТрЗ_ОКиА!$K$256,IF(D217="Старший инженер ОК",ТрЗ_ОКиА!$L$256,IF(D217="Ведущий инженер ОК",ТрЗ_ОКиА!$M$256,"")))</f>
        <v>0</v>
      </c>
      <c r="F217" s="144"/>
      <c r="G217" s="144"/>
      <c r="H217" s="144"/>
      <c r="I217" s="144"/>
      <c r="J217" s="144"/>
      <c r="K217" s="1801"/>
      <c r="M217" s="7" t="s">
        <v>87</v>
      </c>
      <c r="N217" s="7">
        <v>0</v>
      </c>
      <c r="O217" s="1809"/>
    </row>
    <row r="218" spans="1:15" x14ac:dyDescent="0.25">
      <c r="A218" s="1807"/>
      <c r="B218" s="1798"/>
      <c r="C218" s="1798"/>
      <c r="D218" s="145" t="s">
        <v>596</v>
      </c>
      <c r="E218" s="1634">
        <f>IF(D218="Инженер ОК",ТрЗ_ОКиА!$K$256,IF(D218="Старший инженер ОК",ТрЗ_ОКиА!$L$256,IF(D218="Ведущий инженер ОК",ТрЗ_ОКиА!$M$256,"")))</f>
        <v>0</v>
      </c>
      <c r="F218" s="144"/>
      <c r="G218" s="144"/>
      <c r="H218" s="144"/>
      <c r="I218" s="144"/>
      <c r="J218" s="144"/>
      <c r="K218" s="1801"/>
      <c r="M218" s="7" t="s">
        <v>567</v>
      </c>
      <c r="N218" s="7">
        <v>0</v>
      </c>
      <c r="O218" s="1809"/>
    </row>
    <row r="219" spans="1:15" x14ac:dyDescent="0.25">
      <c r="A219" s="1807"/>
      <c r="B219" s="1798"/>
      <c r="C219" s="1798"/>
      <c r="D219" s="145" t="s">
        <v>597</v>
      </c>
      <c r="E219" s="1634">
        <f>IF(D219="Инженер ОК",ТрЗ_ОКиА!$K$256,IF(D219="Старший инженер ОК",ТрЗ_ОКиА!$L$256,IF(D219="Ведущий инженер ОК",ТрЗ_ОКиА!$M$256,"")))</f>
        <v>0</v>
      </c>
      <c r="F219" s="144"/>
      <c r="G219" s="144"/>
      <c r="H219" s="144"/>
      <c r="I219" s="144"/>
      <c r="J219" s="144"/>
      <c r="K219" s="1801"/>
      <c r="M219" s="7" t="s">
        <v>119</v>
      </c>
      <c r="N219" s="7">
        <v>0</v>
      </c>
      <c r="O219" s="1809"/>
    </row>
    <row r="220" spans="1:15" x14ac:dyDescent="0.25">
      <c r="A220" s="1807"/>
      <c r="B220" s="1798"/>
      <c r="C220" s="1798"/>
      <c r="D220" s="1546" t="s">
        <v>1224</v>
      </c>
      <c r="E220" s="1634"/>
      <c r="F220" s="144"/>
      <c r="G220" s="144"/>
      <c r="H220" s="144"/>
      <c r="I220" s="144"/>
      <c r="J220" s="144"/>
      <c r="K220" s="1801"/>
      <c r="L220" s="1542" t="s">
        <v>1525</v>
      </c>
      <c r="M220" s="7"/>
      <c r="N220" s="7"/>
      <c r="O220" s="1622"/>
    </row>
    <row r="221" spans="1:15" x14ac:dyDescent="0.25">
      <c r="A221" s="1807"/>
      <c r="B221" s="1549" t="s">
        <v>1647</v>
      </c>
      <c r="C221" s="1549"/>
      <c r="D221" s="145" t="s">
        <v>623</v>
      </c>
      <c r="E221" s="1635">
        <f>SUM(E172:E208)*0.1</f>
        <v>0</v>
      </c>
      <c r="F221" s="144"/>
      <c r="G221" s="144"/>
      <c r="H221" s="144"/>
      <c r="I221" s="144"/>
      <c r="J221" s="144"/>
      <c r="K221" s="1801"/>
    </row>
    <row r="222" spans="1:15" x14ac:dyDescent="0.25">
      <c r="A222" s="1808"/>
      <c r="B222" s="1550" t="s">
        <v>1648</v>
      </c>
      <c r="C222" s="1550"/>
      <c r="D222" s="145" t="s">
        <v>156</v>
      </c>
      <c r="E222" s="1635">
        <f>SUM(E172:E208)*0.2</f>
        <v>0</v>
      </c>
      <c r="F222" s="144"/>
      <c r="G222" s="144"/>
      <c r="H222" s="144"/>
      <c r="I222" s="144"/>
      <c r="J222" s="144"/>
      <c r="K222" s="1802"/>
    </row>
    <row r="223" spans="1:15" x14ac:dyDescent="0.25">
      <c r="A223" s="1806" t="s">
        <v>1649</v>
      </c>
      <c r="B223" s="1797" t="s">
        <v>1650</v>
      </c>
      <c r="C223" s="1797" t="s">
        <v>1538</v>
      </c>
      <c r="D223" s="145" t="s">
        <v>137</v>
      </c>
      <c r="E223" s="1634">
        <f>IFERROR(ROUNDUP(ТрЗ_ОВ!$D$11,1),"-")</f>
        <v>0</v>
      </c>
      <c r="F223" s="144"/>
      <c r="G223" s="144"/>
      <c r="H223" s="144"/>
      <c r="I223" s="144"/>
      <c r="J223" s="144"/>
      <c r="K223" s="1800" t="s">
        <v>1558</v>
      </c>
    </row>
    <row r="224" spans="1:15" x14ac:dyDescent="0.25">
      <c r="A224" s="1807"/>
      <c r="B224" s="1798"/>
      <c r="C224" s="1798"/>
      <c r="D224" s="145" t="s">
        <v>598</v>
      </c>
      <c r="E224" s="1634">
        <f>IFERROR(ROUNDUP(ТрЗ_ОВ!$D$10,1),"-")</f>
        <v>0</v>
      </c>
      <c r="F224" s="144"/>
      <c r="G224" s="144"/>
      <c r="H224" s="144"/>
      <c r="I224" s="144"/>
      <c r="J224" s="144"/>
      <c r="K224" s="1801"/>
    </row>
    <row r="225" spans="1:11" x14ac:dyDescent="0.25">
      <c r="A225" s="1807"/>
      <c r="B225" s="1798"/>
      <c r="C225" s="1798"/>
      <c r="D225" s="145" t="s">
        <v>136</v>
      </c>
      <c r="E225" s="1634">
        <f>IFERROR(ROUNDUP(ТрЗ_ОВ!$D$9,1),"-")</f>
        <v>0</v>
      </c>
      <c r="F225" s="144"/>
      <c r="G225" s="144"/>
      <c r="H225" s="144"/>
      <c r="I225" s="144"/>
      <c r="J225" s="144"/>
      <c r="K225" s="1801"/>
    </row>
    <row r="226" spans="1:11" x14ac:dyDescent="0.25">
      <c r="A226" s="1807"/>
      <c r="B226" s="1798"/>
      <c r="C226" s="1798"/>
      <c r="D226" s="145" t="s">
        <v>592</v>
      </c>
      <c r="E226" s="1634"/>
      <c r="F226" s="144"/>
      <c r="G226" s="144"/>
      <c r="H226" s="144"/>
      <c r="I226" s="144"/>
      <c r="J226" s="144"/>
      <c r="K226" s="1801"/>
    </row>
    <row r="227" spans="1:11" x14ac:dyDescent="0.25">
      <c r="A227" s="1807"/>
      <c r="B227" s="1799"/>
      <c r="C227" s="1799"/>
      <c r="D227" s="145" t="s">
        <v>593</v>
      </c>
      <c r="E227" s="1634"/>
      <c r="F227" s="144"/>
      <c r="G227" s="144"/>
      <c r="H227" s="144"/>
      <c r="I227" s="144"/>
      <c r="J227" s="144"/>
      <c r="K227" s="1801"/>
    </row>
    <row r="228" spans="1:11" x14ac:dyDescent="0.25">
      <c r="A228" s="1807"/>
      <c r="B228" s="1797" t="s">
        <v>1651</v>
      </c>
      <c r="C228" s="1797" t="s">
        <v>1541</v>
      </c>
      <c r="D228" s="145" t="s">
        <v>137</v>
      </c>
      <c r="E228" s="1634">
        <f>IFERROR(ROUNDUP(ТрЗ_ОВ!$D$16,1),"-")</f>
        <v>0</v>
      </c>
      <c r="F228" s="144"/>
      <c r="G228" s="144"/>
      <c r="H228" s="144"/>
      <c r="I228" s="144"/>
      <c r="J228" s="144"/>
      <c r="K228" s="1801"/>
    </row>
    <row r="229" spans="1:11" x14ac:dyDescent="0.25">
      <c r="A229" s="1807"/>
      <c r="B229" s="1798"/>
      <c r="C229" s="1798"/>
      <c r="D229" s="145" t="s">
        <v>598</v>
      </c>
      <c r="E229" s="1634">
        <f>IFERROR(ROUNDUP(ТрЗ_ОВ!$D$15,1),"-")</f>
        <v>0</v>
      </c>
      <c r="F229" s="144"/>
      <c r="G229" s="144"/>
      <c r="H229" s="144"/>
      <c r="I229" s="144"/>
      <c r="J229" s="144"/>
      <c r="K229" s="1801"/>
    </row>
    <row r="230" spans="1:11" x14ac:dyDescent="0.25">
      <c r="A230" s="1807"/>
      <c r="B230" s="1798"/>
      <c r="C230" s="1798"/>
      <c r="D230" s="145" t="s">
        <v>136</v>
      </c>
      <c r="E230" s="1634">
        <f>IFERROR(ROUNDUP(ТрЗ_ОВ!$D$14,1),"-")</f>
        <v>0</v>
      </c>
      <c r="F230" s="144"/>
      <c r="G230" s="144"/>
      <c r="H230" s="144"/>
      <c r="I230" s="144"/>
      <c r="J230" s="144"/>
      <c r="K230" s="1801"/>
    </row>
    <row r="231" spans="1:11" x14ac:dyDescent="0.25">
      <c r="A231" s="1807"/>
      <c r="B231" s="1798"/>
      <c r="C231" s="1798"/>
      <c r="D231" s="145" t="s">
        <v>592</v>
      </c>
      <c r="E231" s="1634"/>
      <c r="F231" s="144"/>
      <c r="G231" s="144"/>
      <c r="H231" s="144"/>
      <c r="I231" s="144"/>
      <c r="J231" s="144"/>
      <c r="K231" s="1801"/>
    </row>
    <row r="232" spans="1:11" x14ac:dyDescent="0.25">
      <c r="A232" s="1807"/>
      <c r="B232" s="1798"/>
      <c r="C232" s="1798"/>
      <c r="D232" s="145" t="s">
        <v>593</v>
      </c>
      <c r="E232" s="1634"/>
      <c r="F232" s="144"/>
      <c r="G232" s="144"/>
      <c r="H232" s="144"/>
      <c r="I232" s="144"/>
      <c r="J232" s="144"/>
      <c r="K232" s="1801"/>
    </row>
    <row r="233" spans="1:11" x14ac:dyDescent="0.25">
      <c r="A233" s="1807"/>
      <c r="B233" s="1799"/>
      <c r="C233" s="1799"/>
      <c r="D233" s="145" t="s">
        <v>594</v>
      </c>
      <c r="E233" s="1634"/>
      <c r="F233" s="144"/>
      <c r="G233" s="144"/>
      <c r="H233" s="144"/>
      <c r="I233" s="144"/>
      <c r="J233" s="144"/>
      <c r="K233" s="1801"/>
    </row>
    <row r="234" spans="1:11" x14ac:dyDescent="0.25">
      <c r="A234" s="1807"/>
      <c r="B234" s="1797" t="s">
        <v>1652</v>
      </c>
      <c r="C234" s="1797" t="s">
        <v>1540</v>
      </c>
      <c r="D234" s="145" t="s">
        <v>137</v>
      </c>
      <c r="E234" s="1634">
        <f>IFERROR(ROUNDUP(ТрЗ_ОВ!$D$21,1),"-")</f>
        <v>0</v>
      </c>
      <c r="F234" s="144"/>
      <c r="G234" s="144"/>
      <c r="H234" s="144"/>
      <c r="I234" s="144"/>
      <c r="J234" s="144"/>
      <c r="K234" s="1801"/>
    </row>
    <row r="235" spans="1:11" x14ac:dyDescent="0.25">
      <c r="A235" s="1807"/>
      <c r="B235" s="1798"/>
      <c r="C235" s="1798"/>
      <c r="D235" s="145" t="s">
        <v>598</v>
      </c>
      <c r="E235" s="1634">
        <f>IFERROR(ROUNDUP(ТрЗ_ОВ!$D$20,1),"-")</f>
        <v>0</v>
      </c>
      <c r="F235" s="144"/>
      <c r="G235" s="144"/>
      <c r="H235" s="144"/>
      <c r="I235" s="144"/>
      <c r="J235" s="144"/>
      <c r="K235" s="1801"/>
    </row>
    <row r="236" spans="1:11" x14ac:dyDescent="0.25">
      <c r="A236" s="1807"/>
      <c r="B236" s="1798"/>
      <c r="C236" s="1798"/>
      <c r="D236" s="145" t="s">
        <v>136</v>
      </c>
      <c r="E236" s="1634">
        <f>IFERROR(ROUNDUP(ТрЗ_ОВ!$D$19,1),"-")</f>
        <v>0</v>
      </c>
      <c r="F236" s="144"/>
      <c r="G236" s="144"/>
      <c r="H236" s="144"/>
      <c r="I236" s="144"/>
      <c r="J236" s="144"/>
      <c r="K236" s="1801"/>
    </row>
    <row r="237" spans="1:11" x14ac:dyDescent="0.25">
      <c r="A237" s="1807"/>
      <c r="B237" s="1798"/>
      <c r="C237" s="1798"/>
      <c r="D237" s="145" t="s">
        <v>592</v>
      </c>
      <c r="E237" s="1634"/>
      <c r="F237" s="144"/>
      <c r="G237" s="144"/>
      <c r="H237" s="144"/>
      <c r="I237" s="144"/>
      <c r="J237" s="144"/>
      <c r="K237" s="1801"/>
    </row>
    <row r="238" spans="1:11" x14ac:dyDescent="0.25">
      <c r="A238" s="1807"/>
      <c r="B238" s="1799"/>
      <c r="C238" s="1799"/>
      <c r="D238" s="145" t="s">
        <v>593</v>
      </c>
      <c r="E238" s="1634"/>
      <c r="F238" s="144"/>
      <c r="G238" s="144"/>
      <c r="H238" s="144"/>
      <c r="I238" s="144"/>
      <c r="J238" s="144"/>
      <c r="K238" s="1801"/>
    </row>
    <row r="239" spans="1:11" ht="14.45" customHeight="1" x14ac:dyDescent="0.25">
      <c r="A239" s="1807"/>
      <c r="B239" s="1797" t="s">
        <v>1653</v>
      </c>
      <c r="C239" s="1797" t="s">
        <v>1539</v>
      </c>
      <c r="D239" s="145" t="s">
        <v>137</v>
      </c>
      <c r="E239" s="1634">
        <f>IFERROR(ROUNDUP(ТрЗ_ОВ!$D$26,1),"-")</f>
        <v>0</v>
      </c>
      <c r="F239" s="144"/>
      <c r="G239" s="144"/>
      <c r="H239" s="144"/>
      <c r="I239" s="144"/>
      <c r="J239" s="144"/>
      <c r="K239" s="1801"/>
    </row>
    <row r="240" spans="1:11" x14ac:dyDescent="0.25">
      <c r="A240" s="1807"/>
      <c r="B240" s="1798"/>
      <c r="C240" s="1798"/>
      <c r="D240" s="145" t="s">
        <v>598</v>
      </c>
      <c r="E240" s="1634">
        <f>IFERROR(ROUNDUP(ТрЗ_ОВ!$D$25,1),"-")</f>
        <v>0</v>
      </c>
      <c r="F240" s="144"/>
      <c r="G240" s="144"/>
      <c r="H240" s="144"/>
      <c r="I240" s="144"/>
      <c r="J240" s="144"/>
      <c r="K240" s="1801"/>
    </row>
    <row r="241" spans="1:17" x14ac:dyDescent="0.25">
      <c r="A241" s="1807"/>
      <c r="B241" s="1798"/>
      <c r="C241" s="1798"/>
      <c r="D241" s="145" t="s">
        <v>136</v>
      </c>
      <c r="E241" s="1634">
        <f>IFERROR(ROUNDUP(ТрЗ_ОВ!$D$24,1),"-")</f>
        <v>0</v>
      </c>
      <c r="F241" s="144"/>
      <c r="G241" s="144"/>
      <c r="H241" s="144"/>
      <c r="I241" s="144"/>
      <c r="J241" s="144"/>
      <c r="K241" s="1801"/>
    </row>
    <row r="242" spans="1:17" x14ac:dyDescent="0.25">
      <c r="A242" s="1807"/>
      <c r="B242" s="1798"/>
      <c r="C242" s="1798"/>
      <c r="D242" s="145" t="s">
        <v>592</v>
      </c>
      <c r="E242" s="1634"/>
      <c r="F242" s="144"/>
      <c r="G242" s="144"/>
      <c r="H242" s="144"/>
      <c r="I242" s="144"/>
      <c r="J242" s="144"/>
      <c r="K242" s="1801"/>
    </row>
    <row r="243" spans="1:17" x14ac:dyDescent="0.25">
      <c r="A243" s="1807"/>
      <c r="B243" s="1798"/>
      <c r="C243" s="1798"/>
      <c r="D243" s="145" t="s">
        <v>595</v>
      </c>
      <c r="E243" s="1634"/>
      <c r="F243" s="144"/>
      <c r="G243" s="144"/>
      <c r="H243" s="144"/>
      <c r="I243" s="144"/>
      <c r="J243" s="144"/>
      <c r="K243" s="1801"/>
    </row>
    <row r="244" spans="1:17" x14ac:dyDescent="0.25">
      <c r="A244" s="1807"/>
      <c r="B244" s="1798"/>
      <c r="C244" s="1798"/>
      <c r="D244" s="145" t="s">
        <v>596</v>
      </c>
      <c r="E244" s="1634"/>
      <c r="F244" s="144"/>
      <c r="G244" s="144"/>
      <c r="H244" s="144"/>
      <c r="I244" s="144"/>
      <c r="J244" s="144"/>
      <c r="K244" s="1801"/>
    </row>
    <row r="245" spans="1:17" x14ac:dyDescent="0.25">
      <c r="A245" s="1807"/>
      <c r="B245" s="1549" t="s">
        <v>1654</v>
      </c>
      <c r="C245" s="1549"/>
      <c r="D245" s="145" t="s">
        <v>623</v>
      </c>
      <c r="E245" s="1635">
        <f>SUM(E223:E244)*0.1</f>
        <v>0</v>
      </c>
      <c r="F245" s="144"/>
      <c r="G245" s="144"/>
      <c r="H245" s="144"/>
      <c r="I245" s="144"/>
      <c r="J245" s="144"/>
      <c r="K245" s="1801"/>
    </row>
    <row r="246" spans="1:17" x14ac:dyDescent="0.25">
      <c r="A246" s="1808"/>
      <c r="B246" s="1550" t="s">
        <v>1655</v>
      </c>
      <c r="C246" s="1550"/>
      <c r="D246" s="145" t="s">
        <v>156</v>
      </c>
      <c r="E246" s="1635">
        <f>SUM(E223:E244)*0.2</f>
        <v>0</v>
      </c>
      <c r="F246" s="144"/>
      <c r="G246" s="144"/>
      <c r="H246" s="144"/>
      <c r="I246" s="144"/>
      <c r="J246" s="144"/>
      <c r="K246" s="1802"/>
    </row>
    <row r="247" spans="1:17" ht="15.75" x14ac:dyDescent="0.25">
      <c r="A247" s="1797" t="s">
        <v>1656</v>
      </c>
      <c r="B247" s="1797" t="s">
        <v>1657</v>
      </c>
      <c r="C247" s="1798" t="s">
        <v>1457</v>
      </c>
      <c r="D247" s="145" t="s">
        <v>595</v>
      </c>
      <c r="E247" s="1634">
        <f>IF(D247="Инженер ОК",ТрЗ_ОКиА!$K$223,IF(D247="Старший инженер ОК",ТрЗ_ОКиА!$L$223,IF(D247="Ведущий инженер ОК",ТрЗ_ОКиА!$M$223,"")))</f>
        <v>0</v>
      </c>
      <c r="F247" s="144"/>
      <c r="G247" s="144"/>
      <c r="H247" s="144"/>
      <c r="I247" s="144"/>
      <c r="J247" s="144"/>
      <c r="K247" s="1800" t="s">
        <v>1558</v>
      </c>
      <c r="M247" s="7" t="s">
        <v>567</v>
      </c>
      <c r="N247" s="7">
        <v>0</v>
      </c>
      <c r="Q247" s="1272"/>
    </row>
    <row r="248" spans="1:17" ht="15.75" x14ac:dyDescent="0.25">
      <c r="A248" s="1798"/>
      <c r="B248" s="1798"/>
      <c r="C248" s="1798"/>
      <c r="D248" s="145" t="s">
        <v>596</v>
      </c>
      <c r="E248" s="1634">
        <f>IF(D248="Инженер ОК",ТрЗ_ОКиА!$K$223,IF(D248="Старший инженер ОК",ТрЗ_ОКиА!$L$223,IF(D248="Ведущий инженер ОК",ТрЗ_ОКиА!$M$223,"")))</f>
        <v>0</v>
      </c>
      <c r="F248" s="144"/>
      <c r="G248" s="144"/>
      <c r="H248" s="144"/>
      <c r="I248" s="144"/>
      <c r="J248" s="144"/>
      <c r="K248" s="1801"/>
      <c r="M248" s="7" t="s">
        <v>119</v>
      </c>
      <c r="N248" s="7">
        <v>0</v>
      </c>
      <c r="Q248" s="1272"/>
    </row>
    <row r="249" spans="1:17" ht="35.25" customHeight="1" x14ac:dyDescent="0.25">
      <c r="A249" s="1798"/>
      <c r="B249" s="1798"/>
      <c r="C249" s="1798"/>
      <c r="D249" s="145" t="s">
        <v>597</v>
      </c>
      <c r="E249" s="1634">
        <f>IF(D249="Инженер ОК",ТрЗ_ОКиА!$K$223,IF(D249="Старший инженер ОК",ТрЗ_ОКиА!$L$223,IF(D249="Ведущий инженер ОК",ТрЗ_ОКиА!$M$223,"")))</f>
        <v>0</v>
      </c>
      <c r="F249" s="144"/>
      <c r="G249" s="144"/>
      <c r="H249" s="144"/>
      <c r="I249" s="144"/>
      <c r="J249" s="144"/>
      <c r="K249" s="1801"/>
      <c r="M249" s="7"/>
      <c r="N249" s="7"/>
      <c r="Q249" s="1272"/>
    </row>
    <row r="250" spans="1:17" x14ac:dyDescent="0.25">
      <c r="A250" s="1798"/>
      <c r="B250" s="1549" t="s">
        <v>1658</v>
      </c>
      <c r="C250" s="1549"/>
      <c r="D250" s="1548" t="s">
        <v>623</v>
      </c>
      <c r="E250" s="1635">
        <f>SUM(E247:E249)*0.1</f>
        <v>0</v>
      </c>
      <c r="F250" s="144"/>
      <c r="G250" s="144"/>
      <c r="H250" s="144"/>
      <c r="I250" s="144"/>
      <c r="J250" s="144"/>
      <c r="K250" s="1801"/>
      <c r="M250" s="7"/>
      <c r="N250" s="7"/>
    </row>
    <row r="251" spans="1:17" ht="27" customHeight="1" x14ac:dyDescent="0.25">
      <c r="A251" s="1799"/>
      <c r="B251" s="1550" t="s">
        <v>1659</v>
      </c>
      <c r="C251" s="1550"/>
      <c r="D251" s="1548" t="s">
        <v>156</v>
      </c>
      <c r="E251" s="1635">
        <f>SUM(E247:E249)*0.2</f>
        <v>0</v>
      </c>
      <c r="F251" s="144"/>
      <c r="G251" s="144"/>
      <c r="H251" s="144"/>
      <c r="I251" s="144"/>
      <c r="J251" s="144"/>
      <c r="K251" s="1802"/>
      <c r="M251" s="7" t="s">
        <v>87</v>
      </c>
      <c r="N251" s="7">
        <v>0</v>
      </c>
    </row>
    <row r="252" spans="1:17" ht="15.75" thickBot="1" x14ac:dyDescent="0.3">
      <c r="A252" s="1540"/>
      <c r="B252" s="1551"/>
      <c r="C252" s="1551"/>
      <c r="D252" s="1540"/>
      <c r="E252" s="1541"/>
      <c r="F252" s="1552"/>
      <c r="G252" s="1540"/>
      <c r="H252" s="1540"/>
      <c r="I252" s="1540"/>
      <c r="J252" s="1540"/>
      <c r="K252" s="1540"/>
      <c r="L252" s="1540"/>
      <c r="M252" s="1540"/>
      <c r="N252" s="1540"/>
      <c r="O252" s="1540"/>
      <c r="P252" s="1540"/>
    </row>
    <row r="253" spans="1:17" ht="42" customHeight="1" thickBot="1" x14ac:dyDescent="0.3">
      <c r="A253" s="1540"/>
      <c r="B253" s="1540"/>
      <c r="C253" s="1555" t="s">
        <v>1512</v>
      </c>
      <c r="D253" s="1540"/>
      <c r="E253" s="1541"/>
      <c r="F253" s="1803" t="s">
        <v>1513</v>
      </c>
      <c r="G253" s="1804"/>
      <c r="H253" s="1804"/>
      <c r="I253" s="1804"/>
      <c r="J253" s="1804"/>
      <c r="K253" s="1804"/>
      <c r="L253" s="1804"/>
      <c r="M253" s="1804"/>
      <c r="N253" s="1804"/>
      <c r="O253" s="1804"/>
      <c r="P253" s="1805"/>
    </row>
    <row r="254" spans="1:17" ht="14.45" customHeight="1" x14ac:dyDescent="0.25">
      <c r="A254" s="1540"/>
      <c r="B254" s="1540"/>
      <c r="C254" s="1556" t="s">
        <v>1544</v>
      </c>
      <c r="D254" s="1540"/>
      <c r="E254" s="1541"/>
      <c r="F254" s="1820" t="s">
        <v>1517</v>
      </c>
      <c r="G254" s="1820" t="s">
        <v>1518</v>
      </c>
      <c r="H254" s="1820" t="s">
        <v>1519</v>
      </c>
      <c r="I254" s="1818" t="s">
        <v>1520</v>
      </c>
      <c r="J254" s="1625"/>
      <c r="K254" s="1816" t="s">
        <v>1526</v>
      </c>
      <c r="L254" s="1816" t="s">
        <v>1527</v>
      </c>
      <c r="P254" s="1818" t="s">
        <v>1528</v>
      </c>
    </row>
    <row r="255" spans="1:17" ht="15.75" thickBot="1" x14ac:dyDescent="0.3">
      <c r="A255" s="1540"/>
      <c r="B255" s="1540"/>
      <c r="C255" s="1553"/>
      <c r="D255" s="1540"/>
      <c r="E255" s="1541"/>
      <c r="F255" s="1821"/>
      <c r="G255" s="1821"/>
      <c r="H255" s="1821"/>
      <c r="I255" s="1819"/>
      <c r="J255" s="1626"/>
      <c r="K255" s="1817"/>
      <c r="L255" s="1817"/>
      <c r="P255" s="1819"/>
    </row>
    <row r="256" spans="1:17" x14ac:dyDescent="0.25">
      <c r="A256" s="1540"/>
      <c r="B256" s="1540"/>
      <c r="C256" s="1553"/>
      <c r="D256" s="1540"/>
      <c r="E256" s="1541"/>
      <c r="F256" s="1533"/>
      <c r="G256" s="1534"/>
      <c r="H256" s="1534"/>
      <c r="I256" s="1534"/>
      <c r="P256" s="1536"/>
    </row>
    <row r="257" spans="1:16" x14ac:dyDescent="0.25">
      <c r="A257" s="1540"/>
      <c r="B257" s="1540"/>
      <c r="C257" s="1553"/>
      <c r="D257" s="1540"/>
      <c r="E257" s="1541"/>
      <c r="F257" s="1535"/>
      <c r="P257" s="1536"/>
    </row>
    <row r="258" spans="1:16" x14ac:dyDescent="0.25">
      <c r="A258" s="1540"/>
      <c r="B258" s="1540"/>
      <c r="C258" s="1553"/>
      <c r="D258" s="1540"/>
      <c r="E258" s="1541"/>
      <c r="F258" s="1535"/>
      <c r="P258" s="1536"/>
    </row>
    <row r="259" spans="1:16" x14ac:dyDescent="0.25">
      <c r="A259" s="1540"/>
      <c r="B259" s="1540"/>
      <c r="C259" s="1553"/>
      <c r="D259" s="1540"/>
      <c r="E259" s="1541"/>
      <c r="F259" s="1535"/>
      <c r="P259" s="1536"/>
    </row>
    <row r="260" spans="1:16" x14ac:dyDescent="0.25">
      <c r="A260" s="1540"/>
      <c r="B260" s="1540"/>
      <c r="C260" s="1553"/>
      <c r="D260" s="1540"/>
      <c r="E260" s="1541"/>
      <c r="F260" s="1535"/>
      <c r="P260" s="1536"/>
    </row>
    <row r="261" spans="1:16" x14ac:dyDescent="0.25">
      <c r="A261" s="1540"/>
      <c r="B261" s="1540"/>
      <c r="C261" s="1553"/>
      <c r="D261" s="1540"/>
      <c r="E261" s="1541"/>
      <c r="F261" s="1535"/>
      <c r="P261" s="1536"/>
    </row>
    <row r="262" spans="1:16" x14ac:dyDescent="0.25">
      <c r="A262" s="1540"/>
      <c r="B262" s="1540"/>
      <c r="C262" s="1553"/>
      <c r="D262" s="1540"/>
      <c r="E262" s="1541"/>
      <c r="F262" s="1535"/>
      <c r="P262" s="1536"/>
    </row>
    <row r="263" spans="1:16" x14ac:dyDescent="0.25">
      <c r="A263" s="1540"/>
      <c r="B263" s="1540"/>
      <c r="C263" s="1553"/>
      <c r="D263" s="1540"/>
      <c r="E263" s="1541"/>
      <c r="F263" s="1535"/>
      <c r="P263" s="1536"/>
    </row>
    <row r="264" spans="1:16" x14ac:dyDescent="0.25">
      <c r="A264" s="1540"/>
      <c r="B264" s="1540"/>
      <c r="C264" s="1553"/>
      <c r="D264" s="1540"/>
      <c r="E264" s="1541"/>
      <c r="F264" s="1535"/>
      <c r="P264" s="1536"/>
    </row>
    <row r="265" spans="1:16" x14ac:dyDescent="0.25">
      <c r="A265" s="1540"/>
      <c r="B265" s="1540"/>
      <c r="C265" s="1553"/>
      <c r="D265" s="1540"/>
      <c r="E265" s="1541"/>
      <c r="F265" s="1535"/>
      <c r="P265" s="1536"/>
    </row>
    <row r="266" spans="1:16" x14ac:dyDescent="0.25">
      <c r="A266" s="1540"/>
      <c r="B266" s="1540"/>
      <c r="C266" s="1553"/>
      <c r="D266" s="1540"/>
      <c r="E266" s="1541"/>
      <c r="F266" s="1535"/>
      <c r="P266" s="1536"/>
    </row>
    <row r="267" spans="1:16" x14ac:dyDescent="0.25">
      <c r="A267" s="1540"/>
      <c r="B267" s="1540"/>
      <c r="C267" s="1553"/>
      <c r="D267" s="1540"/>
      <c r="E267" s="1541"/>
      <c r="F267" s="1535"/>
      <c r="P267" s="1536"/>
    </row>
    <row r="268" spans="1:16" x14ac:dyDescent="0.25">
      <c r="A268" s="1540"/>
      <c r="B268" s="1540"/>
      <c r="C268" s="1553"/>
      <c r="D268" s="1540"/>
      <c r="E268" s="1541"/>
      <c r="F268" s="1535"/>
      <c r="P268" s="1536"/>
    </row>
    <row r="269" spans="1:16" x14ac:dyDescent="0.25">
      <c r="A269" s="1540"/>
      <c r="B269" s="1540"/>
      <c r="C269" s="1553"/>
      <c r="D269" s="1540"/>
      <c r="E269" s="1541"/>
      <c r="F269" s="1535"/>
      <c r="P269" s="1536"/>
    </row>
    <row r="270" spans="1:16" x14ac:dyDescent="0.25">
      <c r="A270" s="1540"/>
      <c r="B270" s="1540"/>
      <c r="C270" s="1553"/>
      <c r="D270" s="1540"/>
      <c r="E270" s="1541"/>
      <c r="F270" s="1535"/>
      <c r="P270" s="1536"/>
    </row>
    <row r="271" spans="1:16" x14ac:dyDescent="0.25">
      <c r="A271" s="1540"/>
      <c r="B271" s="1540"/>
      <c r="C271" s="1553"/>
      <c r="D271" s="1540"/>
      <c r="E271" s="1541"/>
      <c r="F271" s="1535"/>
      <c r="P271" s="1536"/>
    </row>
    <row r="272" spans="1:16" x14ac:dyDescent="0.25">
      <c r="A272" s="1540"/>
      <c r="B272" s="1540"/>
      <c r="C272" s="1553"/>
      <c r="D272" s="1540"/>
      <c r="E272" s="1541"/>
      <c r="F272" s="1535"/>
      <c r="P272" s="1536"/>
    </row>
    <row r="273" spans="1:16" x14ac:dyDescent="0.25">
      <c r="A273" s="1540"/>
      <c r="B273" s="1540"/>
      <c r="C273" s="1557" t="s">
        <v>1545</v>
      </c>
      <c r="D273" s="1540"/>
      <c r="E273" s="1541"/>
      <c r="F273" s="1535"/>
      <c r="P273" s="1536"/>
    </row>
    <row r="274" spans="1:16" x14ac:dyDescent="0.25">
      <c r="A274" s="1540"/>
      <c r="B274" s="1540"/>
      <c r="C274" s="1553"/>
      <c r="D274" s="1540"/>
      <c r="E274" s="1541"/>
      <c r="F274" s="1535"/>
      <c r="P274" s="1536"/>
    </row>
    <row r="275" spans="1:16" x14ac:dyDescent="0.25">
      <c r="A275" s="1540"/>
      <c r="B275" s="1540"/>
      <c r="C275" s="1553"/>
      <c r="D275" s="1540"/>
      <c r="E275" s="1541"/>
      <c r="F275" s="1535"/>
      <c r="P275" s="1536"/>
    </row>
    <row r="276" spans="1:16" x14ac:dyDescent="0.25">
      <c r="A276" s="1540"/>
      <c r="B276" s="1540"/>
      <c r="C276" s="1553"/>
      <c r="D276" s="1540"/>
      <c r="E276" s="1541"/>
      <c r="F276" s="1535"/>
      <c r="P276" s="1536"/>
    </row>
    <row r="277" spans="1:16" x14ac:dyDescent="0.25">
      <c r="A277" s="1540"/>
      <c r="B277" s="1540"/>
      <c r="C277" s="1553"/>
      <c r="D277" s="1540"/>
      <c r="E277" s="1541"/>
      <c r="F277" s="1535"/>
      <c r="P277" s="1536"/>
    </row>
    <row r="278" spans="1:16" x14ac:dyDescent="0.25">
      <c r="A278" s="1540"/>
      <c r="B278" s="1540"/>
      <c r="C278" s="1553"/>
      <c r="D278" s="1540"/>
      <c r="E278" s="1541"/>
      <c r="F278" s="1535"/>
      <c r="P278" s="1536"/>
    </row>
    <row r="279" spans="1:16" x14ac:dyDescent="0.25">
      <c r="A279" s="1540"/>
      <c r="B279" s="1540"/>
      <c r="C279" s="1553"/>
      <c r="D279" s="1540"/>
      <c r="E279" s="1541"/>
      <c r="F279" s="1535"/>
      <c r="P279" s="1536"/>
    </row>
    <row r="280" spans="1:16" x14ac:dyDescent="0.25">
      <c r="A280" s="1540"/>
      <c r="B280" s="1540"/>
      <c r="C280" s="1553"/>
      <c r="D280" s="1540"/>
      <c r="E280" s="1541"/>
      <c r="F280" s="1535"/>
      <c r="P280" s="1536"/>
    </row>
    <row r="281" spans="1:16" x14ac:dyDescent="0.25">
      <c r="A281" s="1540"/>
      <c r="B281" s="1540"/>
      <c r="C281" s="1553"/>
      <c r="D281" s="1540"/>
      <c r="E281" s="1541"/>
      <c r="F281" s="1535"/>
      <c r="P281" s="1536"/>
    </row>
    <row r="282" spans="1:16" x14ac:dyDescent="0.25">
      <c r="A282" s="1540"/>
      <c r="B282" s="1540"/>
      <c r="C282" s="1553"/>
      <c r="D282" s="1540"/>
      <c r="E282" s="1541"/>
      <c r="F282" s="1535"/>
      <c r="P282" s="1536"/>
    </row>
    <row r="283" spans="1:16" x14ac:dyDescent="0.25">
      <c r="A283" s="1540"/>
      <c r="B283" s="1540"/>
      <c r="C283" s="1553"/>
      <c r="D283" s="1540"/>
      <c r="E283" s="1541"/>
      <c r="F283" s="1535"/>
      <c r="P283" s="1536"/>
    </row>
    <row r="284" spans="1:16" x14ac:dyDescent="0.25">
      <c r="A284" s="1540"/>
      <c r="B284" s="1540"/>
      <c r="C284" s="1553"/>
      <c r="D284" s="1540"/>
      <c r="E284" s="1541"/>
      <c r="F284" s="1535"/>
      <c r="P284" s="1536"/>
    </row>
    <row r="285" spans="1:16" x14ac:dyDescent="0.25">
      <c r="A285" s="1540"/>
      <c r="B285" s="1540"/>
      <c r="C285" s="1553"/>
      <c r="D285" s="1540"/>
      <c r="E285" s="1541"/>
      <c r="F285" s="1535"/>
      <c r="P285" s="1536"/>
    </row>
    <row r="286" spans="1:16" x14ac:dyDescent="0.25">
      <c r="A286" s="1540"/>
      <c r="B286" s="1540"/>
      <c r="C286" s="1553"/>
      <c r="D286" s="1540"/>
      <c r="E286" s="1541"/>
      <c r="F286" s="1535"/>
      <c r="P286" s="1536"/>
    </row>
    <row r="287" spans="1:16" x14ac:dyDescent="0.25">
      <c r="A287" s="1540"/>
      <c r="B287" s="1540"/>
      <c r="C287" s="1553"/>
      <c r="D287" s="1540"/>
      <c r="E287" s="1541"/>
      <c r="F287" s="1535"/>
      <c r="P287" s="1536"/>
    </row>
    <row r="288" spans="1:16" x14ac:dyDescent="0.25">
      <c r="A288" s="1540"/>
      <c r="B288" s="1540"/>
      <c r="C288" s="1553"/>
      <c r="D288" s="1540"/>
      <c r="E288" s="1541"/>
      <c r="F288" s="1535"/>
      <c r="P288" s="1536"/>
    </row>
    <row r="289" spans="1:16" x14ac:dyDescent="0.25">
      <c r="A289" s="1540"/>
      <c r="B289" s="1540"/>
      <c r="C289" s="1553"/>
      <c r="D289" s="1540"/>
      <c r="E289" s="1541"/>
      <c r="F289" s="1535"/>
      <c r="P289" s="1536"/>
    </row>
    <row r="290" spans="1:16" x14ac:dyDescent="0.25">
      <c r="A290" s="1540"/>
      <c r="B290" s="1540"/>
      <c r="C290" s="1553"/>
      <c r="D290" s="1540"/>
      <c r="E290" s="1541"/>
      <c r="F290" s="1535"/>
      <c r="P290" s="1536"/>
    </row>
    <row r="291" spans="1:16" x14ac:dyDescent="0.25">
      <c r="A291" s="1540"/>
      <c r="B291" s="1540"/>
      <c r="C291" s="1553"/>
      <c r="D291" s="1540"/>
      <c r="E291" s="1541"/>
      <c r="F291" s="1535"/>
      <c r="P291" s="1536"/>
    </row>
    <row r="292" spans="1:16" x14ac:dyDescent="0.25">
      <c r="A292" s="1540"/>
      <c r="B292" s="1540"/>
      <c r="C292" s="1553"/>
      <c r="D292" s="1540"/>
      <c r="E292" s="1541"/>
      <c r="F292" s="1535"/>
      <c r="P292" s="1536"/>
    </row>
    <row r="293" spans="1:16" x14ac:dyDescent="0.25">
      <c r="A293" s="1540"/>
      <c r="B293" s="1540"/>
      <c r="C293" s="1553"/>
      <c r="D293" s="1540"/>
      <c r="E293" s="1541"/>
      <c r="F293" s="1535"/>
      <c r="P293" s="1536"/>
    </row>
    <row r="294" spans="1:16" x14ac:dyDescent="0.25">
      <c r="A294" s="1540"/>
      <c r="B294" s="1540"/>
      <c r="C294" s="1553"/>
      <c r="D294" s="1540"/>
      <c r="E294" s="1541"/>
      <c r="F294" s="1535"/>
      <c r="P294" s="1536"/>
    </row>
    <row r="295" spans="1:16" x14ac:dyDescent="0.25">
      <c r="A295" s="1540"/>
      <c r="B295" s="1540"/>
      <c r="C295" s="1553"/>
      <c r="D295" s="1540"/>
      <c r="E295" s="1541"/>
      <c r="F295" s="1535"/>
      <c r="P295" s="1536"/>
    </row>
    <row r="296" spans="1:16" x14ac:dyDescent="0.25">
      <c r="A296" s="1540"/>
      <c r="B296" s="1540"/>
      <c r="C296" s="1553"/>
      <c r="D296" s="1540"/>
      <c r="E296" s="1541"/>
      <c r="F296" s="1535"/>
      <c r="P296" s="1536"/>
    </row>
    <row r="297" spans="1:16" x14ac:dyDescent="0.25">
      <c r="A297" s="1540"/>
      <c r="B297" s="1540"/>
      <c r="C297" s="1553"/>
      <c r="D297" s="1540"/>
      <c r="E297" s="1541"/>
      <c r="F297" s="1535"/>
      <c r="P297" s="1536"/>
    </row>
    <row r="298" spans="1:16" x14ac:dyDescent="0.25">
      <c r="A298" s="1540"/>
      <c r="B298" s="1540"/>
      <c r="C298" s="1553"/>
      <c r="D298" s="1540"/>
      <c r="E298" s="1541"/>
      <c r="F298" s="1535"/>
      <c r="P298" s="1536"/>
    </row>
    <row r="299" spans="1:16" x14ac:dyDescent="0.25">
      <c r="A299" s="1540"/>
      <c r="B299" s="1540"/>
      <c r="C299" s="1553"/>
      <c r="D299" s="1540"/>
      <c r="E299" s="1541"/>
      <c r="F299" s="1535"/>
      <c r="P299" s="1536"/>
    </row>
    <row r="300" spans="1:16" x14ac:dyDescent="0.25">
      <c r="A300" s="1540"/>
      <c r="B300" s="1540"/>
      <c r="C300" s="1553"/>
      <c r="D300" s="1540"/>
      <c r="E300" s="1541"/>
      <c r="F300" s="1535"/>
      <c r="P300" s="1536"/>
    </row>
    <row r="301" spans="1:16" x14ac:dyDescent="0.25">
      <c r="A301" s="1540"/>
      <c r="B301" s="1540"/>
      <c r="C301" s="1553"/>
      <c r="D301" s="1540"/>
      <c r="E301" s="1541"/>
      <c r="F301" s="1535"/>
      <c r="P301" s="1536"/>
    </row>
    <row r="302" spans="1:16" x14ac:dyDescent="0.25">
      <c r="A302" s="1540"/>
      <c r="B302" s="1540"/>
      <c r="C302" s="1553"/>
      <c r="D302" s="1540"/>
      <c r="E302" s="1541"/>
      <c r="F302" s="1535"/>
      <c r="P302" s="1536"/>
    </row>
    <row r="303" spans="1:16" x14ac:dyDescent="0.25">
      <c r="A303" s="1540"/>
      <c r="B303" s="1540"/>
      <c r="C303" s="1553"/>
      <c r="D303" s="1540"/>
      <c r="E303" s="1541"/>
      <c r="F303" s="1535"/>
      <c r="P303" s="1536"/>
    </row>
    <row r="304" spans="1:16" x14ac:dyDescent="0.25">
      <c r="A304" s="1540"/>
      <c r="B304" s="1540"/>
      <c r="C304" s="1553"/>
      <c r="D304" s="1540"/>
      <c r="E304" s="1541"/>
      <c r="F304" s="1535"/>
      <c r="P304" s="1536"/>
    </row>
    <row r="305" spans="1:16" x14ac:dyDescent="0.25">
      <c r="A305" s="1540"/>
      <c r="B305" s="1540"/>
      <c r="C305" s="1553"/>
      <c r="D305" s="1540"/>
      <c r="E305" s="1541"/>
      <c r="F305" s="1535"/>
      <c r="P305" s="1536"/>
    </row>
    <row r="306" spans="1:16" x14ac:dyDescent="0.25">
      <c r="A306" s="1540"/>
      <c r="B306" s="1540"/>
      <c r="C306" s="1553"/>
      <c r="D306" s="1540"/>
      <c r="E306" s="1541"/>
      <c r="F306" s="1535"/>
      <c r="P306" s="1536"/>
    </row>
    <row r="307" spans="1:16" x14ac:dyDescent="0.25">
      <c r="A307" s="1540"/>
      <c r="B307" s="1540"/>
      <c r="C307" s="1553"/>
      <c r="D307" s="1540"/>
      <c r="E307" s="1541"/>
      <c r="F307" s="1535"/>
      <c r="P307" s="1536"/>
    </row>
    <row r="308" spans="1:16" x14ac:dyDescent="0.25">
      <c r="A308" s="1540"/>
      <c r="B308" s="1540"/>
      <c r="C308" s="1553"/>
      <c r="D308" s="1540"/>
      <c r="E308" s="1541"/>
      <c r="F308" s="1535"/>
      <c r="P308" s="1536"/>
    </row>
    <row r="309" spans="1:16" x14ac:dyDescent="0.25">
      <c r="A309" s="1540"/>
      <c r="B309" s="1540"/>
      <c r="C309" s="1553"/>
      <c r="D309" s="1540"/>
      <c r="E309" s="1541"/>
      <c r="F309" s="1535"/>
      <c r="P309" s="1536"/>
    </row>
    <row r="310" spans="1:16" x14ac:dyDescent="0.25">
      <c r="A310" s="1540"/>
      <c r="B310" s="1540"/>
      <c r="C310" s="1553"/>
      <c r="D310" s="1540"/>
      <c r="E310" s="1541"/>
      <c r="F310" s="1535"/>
      <c r="P310" s="1536"/>
    </row>
    <row r="311" spans="1:16" x14ac:dyDescent="0.25">
      <c r="A311" s="1540"/>
      <c r="B311" s="1540"/>
      <c r="C311" s="1553"/>
      <c r="D311" s="1540"/>
      <c r="E311" s="1541"/>
      <c r="F311" s="1535"/>
      <c r="P311" s="1536"/>
    </row>
    <row r="312" spans="1:16" x14ac:dyDescent="0.25">
      <c r="A312" s="1540"/>
      <c r="B312" s="1540"/>
      <c r="C312" s="1553"/>
      <c r="D312" s="1540"/>
      <c r="E312" s="1541"/>
      <c r="F312" s="1535"/>
      <c r="P312" s="1536"/>
    </row>
    <row r="313" spans="1:16" x14ac:dyDescent="0.25">
      <c r="A313" s="1540"/>
      <c r="B313" s="1540"/>
      <c r="C313" s="1553"/>
      <c r="D313" s="1540"/>
      <c r="E313" s="1541"/>
      <c r="F313" s="1535"/>
      <c r="P313" s="1536"/>
    </row>
    <row r="314" spans="1:16" x14ac:dyDescent="0.25">
      <c r="A314" s="1540"/>
      <c r="B314" s="1540"/>
      <c r="C314" s="1553"/>
      <c r="D314" s="1540"/>
      <c r="E314" s="1541"/>
      <c r="F314" s="1535"/>
      <c r="P314" s="1536"/>
    </row>
    <row r="315" spans="1:16" ht="15.75" thickBot="1" x14ac:dyDescent="0.3">
      <c r="A315" s="1540"/>
      <c r="B315" s="1540"/>
      <c r="C315" s="1554"/>
      <c r="D315" s="1540"/>
      <c r="E315" s="1541"/>
      <c r="F315" s="1537"/>
      <c r="G315" s="1538"/>
      <c r="H315" s="1538"/>
      <c r="I315" s="1538"/>
      <c r="J315" s="1538"/>
      <c r="K315" s="1538"/>
      <c r="L315" s="1538"/>
      <c r="M315" s="1538"/>
      <c r="N315" s="1538"/>
      <c r="O315" s="1538"/>
      <c r="P315" s="1539"/>
    </row>
  </sheetData>
  <mergeCells count="151">
    <mergeCell ref="B2:C2"/>
    <mergeCell ref="B3:C3"/>
    <mergeCell ref="C14:C22"/>
    <mergeCell ref="A4:A8"/>
    <mergeCell ref="B14:B22"/>
    <mergeCell ref="B23:B29"/>
    <mergeCell ref="B48:B54"/>
    <mergeCell ref="A107:A111"/>
    <mergeCell ref="B107:B109"/>
    <mergeCell ref="C107:C109"/>
    <mergeCell ref="B55:B61"/>
    <mergeCell ref="A64:A88"/>
    <mergeCell ref="B64:B72"/>
    <mergeCell ref="B73:B79"/>
    <mergeCell ref="C73:C79"/>
    <mergeCell ref="B80:B86"/>
    <mergeCell ref="C80:C86"/>
    <mergeCell ref="A89:A106"/>
    <mergeCell ref="B89:B93"/>
    <mergeCell ref="C89:C93"/>
    <mergeCell ref="B94:B100"/>
    <mergeCell ref="C94:C100"/>
    <mergeCell ref="B101:B104"/>
    <mergeCell ref="L2:L11"/>
    <mergeCell ref="A14:A38"/>
    <mergeCell ref="K14:K38"/>
    <mergeCell ref="M14:O14"/>
    <mergeCell ref="O15:O17"/>
    <mergeCell ref="M19:O19"/>
    <mergeCell ref="O20:O30"/>
    <mergeCell ref="B30:B36"/>
    <mergeCell ref="C30:C36"/>
    <mergeCell ref="M31:O31"/>
    <mergeCell ref="O32:O35"/>
    <mergeCell ref="M37:O37"/>
    <mergeCell ref="O38:O134"/>
    <mergeCell ref="A39:A63"/>
    <mergeCell ref="B39:B47"/>
    <mergeCell ref="C39:C47"/>
    <mergeCell ref="K39:K63"/>
    <mergeCell ref="K64:K88"/>
    <mergeCell ref="K89:K106"/>
    <mergeCell ref="C23:C29"/>
    <mergeCell ref="C48:C54"/>
    <mergeCell ref="C55:C61"/>
    <mergeCell ref="C64:C72"/>
    <mergeCell ref="F12:J12"/>
    <mergeCell ref="K107:K111"/>
    <mergeCell ref="A112:A118"/>
    <mergeCell ref="B112:B116"/>
    <mergeCell ref="C112:C116"/>
    <mergeCell ref="K112:K118"/>
    <mergeCell ref="A119:A125"/>
    <mergeCell ref="B119:B123"/>
    <mergeCell ref="C119:C123"/>
    <mergeCell ref="C101:C104"/>
    <mergeCell ref="M160:O160"/>
    <mergeCell ref="O161:O164"/>
    <mergeCell ref="M165:O165"/>
    <mergeCell ref="B166:B169"/>
    <mergeCell ref="K119:K125"/>
    <mergeCell ref="A126:A132"/>
    <mergeCell ref="B126:B130"/>
    <mergeCell ref="C126:C130"/>
    <mergeCell ref="K126:K132"/>
    <mergeCell ref="B184:B190"/>
    <mergeCell ref="C184:C190"/>
    <mergeCell ref="C217:C220"/>
    <mergeCell ref="O217:O219"/>
    <mergeCell ref="O149:O151"/>
    <mergeCell ref="C153:C155"/>
    <mergeCell ref="O153:O155"/>
    <mergeCell ref="M156:O156"/>
    <mergeCell ref="A133:A157"/>
    <mergeCell ref="B133:B136"/>
    <mergeCell ref="C133:C136"/>
    <mergeCell ref="K133:K157"/>
    <mergeCell ref="B137:B140"/>
    <mergeCell ref="C137:C140"/>
    <mergeCell ref="B141:B144"/>
    <mergeCell ref="C141:C144"/>
    <mergeCell ref="B145:B148"/>
    <mergeCell ref="C145:C148"/>
    <mergeCell ref="C149:C152"/>
    <mergeCell ref="O157:O159"/>
    <mergeCell ref="A158:A171"/>
    <mergeCell ref="B158:B165"/>
    <mergeCell ref="C158:C165"/>
    <mergeCell ref="K158:K171"/>
    <mergeCell ref="B191:B197"/>
    <mergeCell ref="C191:C197"/>
    <mergeCell ref="M191:O191"/>
    <mergeCell ref="O192:O196"/>
    <mergeCell ref="C166:C169"/>
    <mergeCell ref="O166:O168"/>
    <mergeCell ref="M170:O170"/>
    <mergeCell ref="O171:O173"/>
    <mergeCell ref="A172:A222"/>
    <mergeCell ref="B172:B177"/>
    <mergeCell ref="C172:C177"/>
    <mergeCell ref="M197:O197"/>
    <mergeCell ref="B198:B204"/>
    <mergeCell ref="C198:C204"/>
    <mergeCell ref="M198:O198"/>
    <mergeCell ref="O199:O203"/>
    <mergeCell ref="M204:O204"/>
    <mergeCell ref="K172:K222"/>
    <mergeCell ref="M174:O174"/>
    <mergeCell ref="O176:O178"/>
    <mergeCell ref="B178:B183"/>
    <mergeCell ref="C178:C183"/>
    <mergeCell ref="M179:O179"/>
    <mergeCell ref="O180:O183"/>
    <mergeCell ref="L254:L255"/>
    <mergeCell ref="P254:P255"/>
    <mergeCell ref="F254:F255"/>
    <mergeCell ref="G254:G255"/>
    <mergeCell ref="H254:H255"/>
    <mergeCell ref="I254:I255"/>
    <mergeCell ref="K254:K255"/>
    <mergeCell ref="B217:B220"/>
    <mergeCell ref="B205:B208"/>
    <mergeCell ref="C205:C208"/>
    <mergeCell ref="O205:O207"/>
    <mergeCell ref="B209:B212"/>
    <mergeCell ref="C209:C212"/>
    <mergeCell ref="O209:O211"/>
    <mergeCell ref="F1:I1"/>
    <mergeCell ref="F3:I3"/>
    <mergeCell ref="A247:A251"/>
    <mergeCell ref="B247:B249"/>
    <mergeCell ref="C247:C249"/>
    <mergeCell ref="K247:K251"/>
    <mergeCell ref="F253:P253"/>
    <mergeCell ref="A223:A246"/>
    <mergeCell ref="B223:B227"/>
    <mergeCell ref="C223:C227"/>
    <mergeCell ref="K223:K246"/>
    <mergeCell ref="B228:B233"/>
    <mergeCell ref="C228:C233"/>
    <mergeCell ref="B234:B238"/>
    <mergeCell ref="C234:C238"/>
    <mergeCell ref="B239:B244"/>
    <mergeCell ref="C239:C244"/>
    <mergeCell ref="B213:B216"/>
    <mergeCell ref="C213:C216"/>
    <mergeCell ref="O213:O215"/>
    <mergeCell ref="B149:B155"/>
    <mergeCell ref="M184:O184"/>
    <mergeCell ref="O185:O189"/>
    <mergeCell ref="M190:O190"/>
  </mergeCells>
  <conditionalFormatting sqref="B2:C3 C4:C8">
    <cfRule type="cellIs" dxfId="631" priority="36" operator="equal">
      <formula>""</formula>
    </cfRule>
  </conditionalFormatting>
  <conditionalFormatting sqref="D4:D8">
    <cfRule type="colorScale" priority="37">
      <colorScale>
        <cfvo type="num" val="90"/>
        <cfvo type="max"/>
        <color theme="0"/>
        <color rgb="FFFF0000"/>
      </colorScale>
    </cfRule>
  </conditionalFormatting>
  <conditionalFormatting sqref="R14:T15">
    <cfRule type="colorScale" priority="38">
      <colorScale>
        <cfvo type="min"/>
        <cfvo type="percentile" val="50"/>
        <cfvo type="max"/>
        <color rgb="FF00FF00"/>
        <color rgb="FFFFFF00"/>
        <color rgb="FFFF0000"/>
      </colorScale>
    </cfRule>
  </conditionalFormatting>
  <conditionalFormatting sqref="R39:T40">
    <cfRule type="colorScale" priority="35">
      <colorScale>
        <cfvo type="min"/>
        <cfvo type="percentile" val="50"/>
        <cfvo type="max"/>
        <color rgb="FF00FF00"/>
        <color rgb="FFFFFF00"/>
        <color rgb="FFFF0000"/>
      </colorScale>
    </cfRule>
  </conditionalFormatting>
  <conditionalFormatting sqref="R64:T65">
    <cfRule type="colorScale" priority="34">
      <colorScale>
        <cfvo type="min"/>
        <cfvo type="percentile" val="50"/>
        <cfvo type="max"/>
        <color rgb="FF00FF00"/>
        <color rgb="FFFFFF00"/>
        <color rgb="FFFF0000"/>
      </colorScale>
    </cfRule>
  </conditionalFormatting>
  <conditionalFormatting sqref="R89:T90">
    <cfRule type="colorScale" priority="33">
      <colorScale>
        <cfvo type="min"/>
        <cfvo type="percentile" val="50"/>
        <cfvo type="max"/>
        <color rgb="FF00FF00"/>
        <color rgb="FFFFFF00"/>
        <color rgb="FFFF0000"/>
      </colorScale>
    </cfRule>
  </conditionalFormatting>
  <conditionalFormatting sqref="E23">
    <cfRule type="expression" dxfId="630" priority="10" stopIfTrue="1">
      <formula>$E23&lt;$J23</formula>
    </cfRule>
  </conditionalFormatting>
  <conditionalFormatting sqref="E24">
    <cfRule type="cellIs" dxfId="629" priority="28" operator="lessThan">
      <formula>$J$24+0.1</formula>
    </cfRule>
  </conditionalFormatting>
  <conditionalFormatting sqref="E25">
    <cfRule type="cellIs" dxfId="628" priority="27" operator="lessThan">
      <formula>$J$25</formula>
    </cfRule>
  </conditionalFormatting>
  <conditionalFormatting sqref="E48">
    <cfRule type="cellIs" dxfId="627" priority="26" operator="lessThan">
      <formula>$J$48</formula>
    </cfRule>
  </conditionalFormatting>
  <conditionalFormatting sqref="E49">
    <cfRule type="cellIs" dxfId="626" priority="25" operator="lessThan">
      <formula>$J$49</formula>
    </cfRule>
  </conditionalFormatting>
  <conditionalFormatting sqref="E73">
    <cfRule type="cellIs" dxfId="625" priority="24" operator="lessThan">
      <formula>$J$73</formula>
    </cfRule>
  </conditionalFormatting>
  <conditionalFormatting sqref="E74">
    <cfRule type="cellIs" dxfId="624" priority="23" operator="lessThan">
      <formula>$J$74</formula>
    </cfRule>
  </conditionalFormatting>
  <conditionalFormatting sqref="E75">
    <cfRule type="cellIs" dxfId="623" priority="22" operator="lessThan">
      <formula>$J$75</formula>
    </cfRule>
  </conditionalFormatting>
  <conditionalFormatting sqref="E50">
    <cfRule type="cellIs" dxfId="622" priority="21" operator="lessThan">
      <formula>$J$50</formula>
    </cfRule>
  </conditionalFormatting>
  <conditionalFormatting sqref="E94">
    <cfRule type="cellIs" dxfId="621" priority="20" operator="lessThan">
      <formula>$J$94</formula>
    </cfRule>
  </conditionalFormatting>
  <conditionalFormatting sqref="E95">
    <cfRule type="cellIs" dxfId="620" priority="19" operator="lessThan">
      <formula>$J$95</formula>
    </cfRule>
  </conditionalFormatting>
  <conditionalFormatting sqref="E96">
    <cfRule type="cellIs" dxfId="619" priority="18" operator="lessThan">
      <formula>$J$96</formula>
    </cfRule>
  </conditionalFormatting>
  <conditionalFormatting sqref="E14">
    <cfRule type="expression" dxfId="618" priority="9" stopIfTrue="1">
      <formula>$E14&lt;$J14</formula>
    </cfRule>
  </conditionalFormatting>
  <conditionalFormatting sqref="E19:E20">
    <cfRule type="expression" dxfId="617" priority="6" stopIfTrue="1">
      <formula>$E19&lt;$J19</formula>
    </cfRule>
  </conditionalFormatting>
  <conditionalFormatting sqref="E15">
    <cfRule type="expression" dxfId="616" priority="5" stopIfTrue="1">
      <formula>$E15&lt;$J15</formula>
    </cfRule>
  </conditionalFormatting>
  <conditionalFormatting sqref="E16">
    <cfRule type="expression" dxfId="615" priority="4" stopIfTrue="1">
      <formula>$E16&lt;$J16</formula>
    </cfRule>
  </conditionalFormatting>
  <conditionalFormatting sqref="E17">
    <cfRule type="expression" dxfId="614" priority="3" stopIfTrue="1">
      <formula>$E17&lt;$J17</formula>
    </cfRule>
  </conditionalFormatting>
  <conditionalFormatting sqref="E18">
    <cfRule type="expression" dxfId="613" priority="2" stopIfTrue="1">
      <formula>$E18&lt;$J18</formula>
    </cfRule>
  </conditionalFormatting>
  <conditionalFormatting sqref="J4:J8">
    <cfRule type="colorScale" priority="1">
      <colorScale>
        <cfvo type="num" val="90"/>
        <cfvo type="max"/>
        <color theme="0"/>
        <color rgb="FFFF0000"/>
      </colorScale>
    </cfRule>
  </conditionalFormatting>
  <dataValidations count="2">
    <dataValidation type="list" allowBlank="1" showInputMessage="1" showErrorMessage="1" sqref="D14:D251" xr:uid="{00000000-0002-0000-0100-000000000000}">
      <formula1>INDIRECT("Спецы")</formula1>
    </dataValidation>
    <dataValidation type="list" allowBlank="1" showInputMessage="1" showErrorMessage="1" sqref="I14:I251" xr:uid="{00000000-0002-0000-0100-000001000000}">
      <formula1>INDIRECT("Регионы")</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Button 3">
              <controlPr defaultSize="0" print="0" autoFill="0" autoPict="0" macro="[0]!proto">
                <anchor moveWithCells="1" sizeWithCells="1">
                  <from>
                    <xdr:col>15</xdr:col>
                    <xdr:colOff>76200</xdr:colOff>
                    <xdr:row>12</xdr:row>
                    <xdr:rowOff>85725</xdr:rowOff>
                  </from>
                  <to>
                    <xdr:col>15</xdr:col>
                    <xdr:colOff>2600325</xdr:colOff>
                    <xdr:row>12</xdr:row>
                    <xdr:rowOff>676275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7">
    <tabColor rgb="FF92D050"/>
  </sheetPr>
  <dimension ref="A1:AR161"/>
  <sheetViews>
    <sheetView zoomScale="85" zoomScaleNormal="85" zoomScalePageLayoutView="56" workbookViewId="0">
      <selection activeCell="I11" sqref="I11"/>
    </sheetView>
  </sheetViews>
  <sheetFormatPr defaultRowHeight="15" x14ac:dyDescent="0.25"/>
  <cols>
    <col min="1" max="1" width="9.7109375" customWidth="1"/>
    <col min="2" max="2" width="55.7109375" bestFit="1" customWidth="1"/>
    <col min="3" max="3" width="18.7109375" customWidth="1"/>
    <col min="4" max="4" width="36.85546875" customWidth="1"/>
    <col min="5" max="5" width="15.28515625" customWidth="1"/>
    <col min="6" max="6" width="33" customWidth="1"/>
    <col min="7" max="7" width="21.7109375" customWidth="1"/>
    <col min="8" max="8" width="26" customWidth="1"/>
    <col min="9" max="9" width="14.28515625" customWidth="1"/>
    <col min="10" max="10" width="10.28515625" customWidth="1"/>
    <col min="11" max="11" width="10.28515625" bestFit="1" customWidth="1"/>
    <col min="12" max="12" width="10.28515625" customWidth="1"/>
    <col min="13" max="13" width="10.28515625" bestFit="1" customWidth="1"/>
    <col min="14" max="14" width="30.7109375" customWidth="1"/>
    <col min="15" max="15" width="67.85546875" bestFit="1" customWidth="1"/>
    <col min="16" max="16" width="20.28515625" customWidth="1"/>
    <col min="17" max="17" width="4.7109375" customWidth="1"/>
    <col min="18" max="18" width="11.5703125" customWidth="1"/>
    <col min="19" max="19" width="64.5703125" customWidth="1"/>
    <col min="20" max="20" width="20.7109375" bestFit="1" customWidth="1"/>
    <col min="21" max="21" width="33.7109375" customWidth="1"/>
    <col min="22" max="22" width="14.28515625" customWidth="1"/>
    <col min="23" max="23" width="33.7109375" customWidth="1"/>
    <col min="24" max="24" width="9.5703125" customWidth="1"/>
    <col min="25" max="26" width="10.42578125" customWidth="1"/>
    <col min="27" max="27" width="9.5703125" customWidth="1"/>
    <col min="28" max="28" width="9.7109375" customWidth="1"/>
    <col min="29" max="29" width="10.28515625" customWidth="1"/>
    <col min="30" max="30" width="7.7109375" customWidth="1"/>
    <col min="31" max="31" width="35" bestFit="1" customWidth="1"/>
    <col min="32" max="32" width="16.85546875" bestFit="1" customWidth="1"/>
    <col min="33" max="33" width="18.28515625" bestFit="1" customWidth="1"/>
    <col min="34" max="34" width="18.140625" bestFit="1" customWidth="1"/>
    <col min="35" max="35" width="11.28515625" bestFit="1" customWidth="1"/>
    <col min="36" max="36" width="12.140625" bestFit="1" customWidth="1"/>
    <col min="37" max="37" width="12" bestFit="1" customWidth="1"/>
    <col min="38" max="38" width="11.85546875" bestFit="1" customWidth="1"/>
    <col min="39" max="39" width="12.7109375" bestFit="1" customWidth="1"/>
    <col min="40" max="40" width="12.42578125" bestFit="1" customWidth="1"/>
    <col min="41" max="41" width="11.140625" bestFit="1" customWidth="1"/>
    <col min="42" max="42" width="12" bestFit="1" customWidth="1"/>
    <col min="43" max="43" width="11.85546875" bestFit="1" customWidth="1"/>
  </cols>
  <sheetData>
    <row r="1" spans="1:44" ht="19.5" thickBot="1" x14ac:dyDescent="0.35">
      <c r="A1" s="216"/>
      <c r="B1" s="127" t="s">
        <v>70</v>
      </c>
      <c r="C1" s="128" t="s">
        <v>68</v>
      </c>
      <c r="D1" s="128" t="s">
        <v>635</v>
      </c>
      <c r="E1" s="216"/>
      <c r="F1" s="68" t="s">
        <v>69</v>
      </c>
      <c r="G1" s="1869" t="s">
        <v>122</v>
      </c>
      <c r="H1" s="1870"/>
      <c r="I1" s="216"/>
      <c r="J1" s="216"/>
      <c r="K1" s="216"/>
      <c r="L1" s="216"/>
      <c r="M1" s="216"/>
      <c r="N1" s="216"/>
      <c r="O1" s="216"/>
      <c r="P1" s="216"/>
      <c r="Q1" s="216"/>
      <c r="R1" s="216"/>
      <c r="S1" s="216"/>
      <c r="T1" s="216"/>
      <c r="U1" s="216"/>
      <c r="W1" s="62" t="s">
        <v>207</v>
      </c>
      <c r="X1" s="62"/>
      <c r="AE1" s="82" t="s">
        <v>77</v>
      </c>
      <c r="AF1" s="82" t="s">
        <v>540</v>
      </c>
      <c r="AG1" s="82" t="s">
        <v>541</v>
      </c>
      <c r="AH1" s="82" t="s">
        <v>542</v>
      </c>
      <c r="AI1" s="82" t="s">
        <v>543</v>
      </c>
      <c r="AJ1" s="82" t="s">
        <v>544</v>
      </c>
      <c r="AK1" s="82" t="s">
        <v>545</v>
      </c>
      <c r="AL1" s="82" t="s">
        <v>546</v>
      </c>
      <c r="AM1" s="82" t="s">
        <v>547</v>
      </c>
      <c r="AN1" s="82" t="s">
        <v>548</v>
      </c>
      <c r="AO1" s="82" t="s">
        <v>625</v>
      </c>
      <c r="AP1" s="82" t="s">
        <v>626</v>
      </c>
      <c r="AQ1" s="82" t="s">
        <v>627</v>
      </c>
    </row>
    <row r="2" spans="1:44" ht="15.75" thickBot="1" x14ac:dyDescent="0.3">
      <c r="A2" s="216"/>
      <c r="B2" s="289" t="s">
        <v>63</v>
      </c>
      <c r="C2" s="288"/>
      <c r="D2" s="881" t="s">
        <v>636</v>
      </c>
      <c r="E2" s="216"/>
      <c r="F2" s="209" t="str">
        <f>W5</f>
        <v>ТРП</v>
      </c>
      <c r="G2" s="1646" t="s">
        <v>1668</v>
      </c>
      <c r="H2" s="1648">
        <v>666</v>
      </c>
      <c r="I2" s="216" t="s">
        <v>1674</v>
      </c>
      <c r="J2" s="216"/>
      <c r="K2" s="216"/>
      <c r="L2" s="216"/>
      <c r="M2" s="216"/>
      <c r="N2" s="216"/>
      <c r="O2" s="216"/>
      <c r="P2" s="216"/>
      <c r="Q2" s="216"/>
      <c r="R2" s="216"/>
      <c r="S2" s="216"/>
      <c r="T2" s="216"/>
      <c r="U2" s="216"/>
      <c r="V2">
        <v>2</v>
      </c>
      <c r="W2" s="181">
        <v>2</v>
      </c>
      <c r="X2" s="62"/>
      <c r="AE2" s="83">
        <f>IF(A11,MATCH(C11,'Документы АСУТП'!$E$3:$CI$3,0),"") + 4</f>
        <v>5</v>
      </c>
      <c r="AF2">
        <f ca="1">INDIRECT(ADDRESS(107,AE2,1,1,"Документы АСУТП"))</f>
        <v>5</v>
      </c>
      <c r="AG2">
        <f ca="1">INDIRECT(ADDRESS(108,AE2,1,1,"Документы АСУТП"))</f>
        <v>1</v>
      </c>
      <c r="AH2">
        <f ca="1">INDIRECT(ADDRESS(109,AE2,1,1,"Документы АСУТП"))</f>
        <v>1</v>
      </c>
      <c r="AI2">
        <f ca="1">INDIRECT(ADDRESS(110,$AE2,1,1,"Документы АСУТП"))</f>
        <v>3.5</v>
      </c>
      <c r="AJ2">
        <f ca="1">INDIRECT(ADDRESS(111,$AE2,1,1,"Документы АСУТП"))</f>
        <v>2</v>
      </c>
      <c r="AK2">
        <f ca="1">INDIRECT(ADDRESS(112,$AE2,1,1,"Документы АСУТП"))</f>
        <v>2.5</v>
      </c>
      <c r="AL2">
        <f ca="1">INDIRECT(ADDRESS(113,$AE2,1,1,"Документы АСУТП"))</f>
        <v>44.25</v>
      </c>
      <c r="AM2">
        <f ca="1">INDIRECT(ADDRESS(114,$AE2,1,1,"Документы АСУТП"))</f>
        <v>17.5</v>
      </c>
      <c r="AN2">
        <f ca="1">INDIRECT(ADDRESS(115,$AE2,1,1,"Документы АСУТП"))</f>
        <v>28</v>
      </c>
      <c r="AO2">
        <f ca="1">INDIRECT(ADDRESS(116,$AE2,1,1,"Документы АСУТП"))</f>
        <v>11.25</v>
      </c>
      <c r="AP2">
        <f ca="1">INDIRECT(ADDRESS(117,$AE2,1,1,"Документы АСУТП"))</f>
        <v>10</v>
      </c>
      <c r="AQ2">
        <f ca="1">INDIRECT(ADDRESS(118,$AE2,1,1,"Документы АСУТП"))</f>
        <v>15.5</v>
      </c>
    </row>
    <row r="3" spans="1:44" x14ac:dyDescent="0.25">
      <c r="A3" s="216"/>
      <c r="B3" s="868" t="s">
        <v>1552</v>
      </c>
      <c r="C3" s="290"/>
      <c r="D3" s="882" t="s">
        <v>637</v>
      </c>
      <c r="E3" s="216"/>
      <c r="F3" s="210">
        <f>W42</f>
        <v>1</v>
      </c>
      <c r="G3" s="1647" t="s">
        <v>1669</v>
      </c>
      <c r="H3" s="1649" t="s">
        <v>107</v>
      </c>
      <c r="I3" s="216" t="s">
        <v>1673</v>
      </c>
      <c r="J3" s="216"/>
      <c r="K3" s="216"/>
      <c r="L3" s="216"/>
      <c r="M3" s="216"/>
      <c r="N3" s="216"/>
      <c r="O3" s="216"/>
      <c r="P3" s="216"/>
      <c r="Q3" s="216"/>
      <c r="R3" s="216"/>
      <c r="S3" s="216"/>
      <c r="T3" s="216"/>
      <c r="U3" s="216"/>
      <c r="W3" s="181"/>
      <c r="X3" s="62"/>
      <c r="AE3" s="83"/>
    </row>
    <row r="4" spans="1:44" ht="15.75" customHeight="1" x14ac:dyDescent="0.25">
      <c r="A4" s="216"/>
      <c r="B4" s="867" t="s">
        <v>1553</v>
      </c>
      <c r="C4" s="287"/>
      <c r="D4" s="882" t="s">
        <v>638</v>
      </c>
      <c r="E4" s="216"/>
      <c r="F4" s="210">
        <f>W41</f>
        <v>1</v>
      </c>
      <c r="G4" s="1647" t="s">
        <v>1670</v>
      </c>
      <c r="H4" s="1649">
        <v>3</v>
      </c>
      <c r="I4" s="216" t="s">
        <v>1674</v>
      </c>
      <c r="J4" s="216"/>
      <c r="K4" s="216"/>
      <c r="L4" s="216"/>
      <c r="M4" s="216"/>
      <c r="N4" s="216"/>
      <c r="O4" s="216"/>
      <c r="P4" s="216"/>
      <c r="Q4" s="216"/>
      <c r="R4" s="216"/>
      <c r="S4" s="216"/>
      <c r="T4" s="216"/>
      <c r="U4" s="216"/>
      <c r="W4" s="181"/>
      <c r="X4" s="62"/>
      <c r="AE4" s="83"/>
    </row>
    <row r="5" spans="1:44" ht="17.25" customHeight="1" thickBot="1" x14ac:dyDescent="0.3">
      <c r="A5" s="216"/>
      <c r="B5" s="867" t="s">
        <v>633</v>
      </c>
      <c r="C5" s="287"/>
      <c r="D5" s="882" t="s">
        <v>639</v>
      </c>
      <c r="E5" s="216"/>
      <c r="F5" s="210">
        <f>W13</f>
        <v>1</v>
      </c>
      <c r="G5" s="1647" t="s">
        <v>1671</v>
      </c>
      <c r="H5" s="1649" t="s">
        <v>1679</v>
      </c>
      <c r="I5" s="216" t="s">
        <v>1675</v>
      </c>
      <c r="J5" s="216"/>
      <c r="K5" s="216"/>
      <c r="L5" s="216"/>
      <c r="M5" s="216"/>
      <c r="N5" s="216"/>
      <c r="O5" s="216"/>
      <c r="P5" s="216"/>
      <c r="Q5" s="216"/>
      <c r="R5" s="216"/>
      <c r="S5" s="216"/>
      <c r="T5" s="216"/>
      <c r="U5" s="216"/>
      <c r="W5" s="182" t="str">
        <f>INDEX('Служебный АСУТП'!C12:C19,MATCH(W2,'Служебный АСУТП'!D12:D19,0))</f>
        <v>ТРП</v>
      </c>
      <c r="X5" s="62"/>
      <c r="AE5" s="83">
        <f>IF(A12,MATCH(C12,'Документы АСУТП'!$E$3:$CU$3,0),"") + 4</f>
        <v>14</v>
      </c>
      <c r="AF5">
        <f ca="1">INDIRECT(ADDRESS(107,AE5,1,1,"Документы АСУТП"))</f>
        <v>3</v>
      </c>
      <c r="AG5">
        <f ca="1">INDIRECT(ADDRESS(108,AE5,1,1,"Документы АСУТП"))</f>
        <v>2</v>
      </c>
      <c r="AH5">
        <f ca="1">INDIRECT(ADDRESS(109,AE5,1,1,"Документы АСУТП"))</f>
        <v>2</v>
      </c>
      <c r="AI5">
        <f ca="1">INDIRECT(ADDRESS(110,$AE5,1,1,"Документы АСУТП"))</f>
        <v>3.5</v>
      </c>
      <c r="AJ5">
        <f ca="1">INDIRECT(ADDRESS(111,$AE5,1,1,"Документы АСУТП"))</f>
        <v>3</v>
      </c>
      <c r="AK5">
        <f ca="1">INDIRECT(ADDRESS(112,$AE5,1,1,"Документы АСУТП"))</f>
        <v>5</v>
      </c>
      <c r="AL5">
        <f ca="1">INDIRECT(ADDRESS(113,$AE5,1,1,"Документы АСУТП"))</f>
        <v>57.25</v>
      </c>
      <c r="AM5">
        <f ca="1">INDIRECT(ADDRESS(114,$AE5,1,1,"Документы АСУТП"))</f>
        <v>25.5</v>
      </c>
      <c r="AN5">
        <f ca="1">INDIRECT(ADDRESS(115,$AE5,1,1,"Документы АСУТП"))</f>
        <v>43.5</v>
      </c>
      <c r="AO5">
        <f ca="1">INDIRECT(ADDRESS(116,$AE5,1,1,"Документы АСУТП"))</f>
        <v>16.75</v>
      </c>
      <c r="AP5">
        <f ca="1">INDIRECT(ADDRESS(117,$AE5,1,1,"Документы АСУТП"))</f>
        <v>12.5</v>
      </c>
      <c r="AQ5">
        <f ca="1">INDIRECT(ADDRESS(118,$AE5,1,1,"Документы АСУТП"))</f>
        <v>20.5</v>
      </c>
    </row>
    <row r="6" spans="1:44" ht="15.75" thickBot="1" x14ac:dyDescent="0.3">
      <c r="A6" s="216"/>
      <c r="B6" s="870" t="s">
        <v>62</v>
      </c>
      <c r="C6" s="869" t="str">
        <f>INDEX('Служебный АСУТП'!C23:C25,MATCH(W7,'Служебный АСУТП'!D23:D25,0))</f>
        <v>Обычный</v>
      </c>
      <c r="D6" s="883"/>
      <c r="E6" s="216"/>
      <c r="F6" s="916">
        <f>W7</f>
        <v>2</v>
      </c>
      <c r="G6" s="1642" t="s">
        <v>1672</v>
      </c>
      <c r="H6" s="1642" t="s">
        <v>1</v>
      </c>
      <c r="I6" s="216" t="s">
        <v>1680</v>
      </c>
      <c r="J6" s="216"/>
      <c r="K6" s="216"/>
      <c r="L6" s="216"/>
      <c r="M6" s="216"/>
      <c r="N6" s="216"/>
      <c r="O6" s="216"/>
      <c r="P6" s="216"/>
      <c r="Q6" s="216"/>
      <c r="R6" s="216"/>
      <c r="S6" s="216"/>
      <c r="T6" s="216"/>
      <c r="U6" s="216"/>
      <c r="W6" s="183" t="s">
        <v>79</v>
      </c>
      <c r="AE6" s="83" t="e">
        <f>IF(A13,MATCH(C13,'Документы АСУТП'!$E$3:$CU$3,0),"") + 4</f>
        <v>#VALUE!</v>
      </c>
      <c r="AF6" t="e">
        <f t="shared" ref="AF6:AF11" ca="1" si="0">INDIRECT(ADDRESS(107,AE6,1,1,"Документы АСУТП"))</f>
        <v>#VALUE!</v>
      </c>
      <c r="AG6" t="e">
        <f t="shared" ref="AG6:AG11" ca="1" si="1">INDIRECT(ADDRESS(108,AE6,1,1,"Документы АСУТП"))</f>
        <v>#VALUE!</v>
      </c>
      <c r="AH6" t="e">
        <f t="shared" ref="AH6:AH11" ca="1" si="2">INDIRECT(ADDRESS(109,AE6,1,1,"Документы АСУТП"))</f>
        <v>#VALUE!</v>
      </c>
      <c r="AI6" t="e">
        <f ca="1">INDIRECT(ADDRESS(110,$AE6,1,1,"Документы АСУТП"))</f>
        <v>#VALUE!</v>
      </c>
      <c r="AJ6" t="e">
        <f ca="1">INDIRECT(ADDRESS(111,$AE6,1,1,"Документы АСУТП"))</f>
        <v>#VALUE!</v>
      </c>
      <c r="AK6" t="e">
        <f ca="1">INDIRECT(ADDRESS(112,$AE6,1,1,"Документы АСУТП"))</f>
        <v>#VALUE!</v>
      </c>
      <c r="AL6" t="e">
        <f ca="1">INDIRECT(ADDRESS(113,$AE6,1,1,"Документы АСУТП"))</f>
        <v>#VALUE!</v>
      </c>
      <c r="AM6" t="e">
        <f ca="1">INDIRECT(ADDRESS(114,$AE6,1,1,"Документы АСУТП"))</f>
        <v>#VALUE!</v>
      </c>
      <c r="AN6" t="e">
        <f ca="1">INDIRECT(ADDRESS(115,$AE6,1,1,"Документы АСУТП"))</f>
        <v>#VALUE!</v>
      </c>
      <c r="AO6" t="e">
        <f t="shared" ref="AO6:AO11" ca="1" si="3">INDIRECT(ADDRESS(116,$AE6,1,1,"Документы АСУТП"))</f>
        <v>#VALUE!</v>
      </c>
      <c r="AP6" t="e">
        <f t="shared" ref="AP6:AP11" ca="1" si="4">INDIRECT(ADDRESS(117,$AE6,1,1,"Документы АСУТП"))</f>
        <v>#VALUE!</v>
      </c>
      <c r="AQ6" t="e">
        <f t="shared" ref="AQ6:AQ11" ca="1" si="5">INDIRECT(ADDRESS(118,$AE6,1,1,"Документы АСУТП"))</f>
        <v>#VALUE!</v>
      </c>
    </row>
    <row r="7" spans="1:44" x14ac:dyDescent="0.25">
      <c r="A7" s="216"/>
      <c r="B7" s="1559" t="s">
        <v>1555</v>
      </c>
      <c r="C7" s="216"/>
      <c r="D7" s="216"/>
      <c r="E7" s="216"/>
      <c r="F7" s="216"/>
      <c r="G7" s="216"/>
      <c r="H7" s="216"/>
      <c r="I7" s="216"/>
      <c r="J7" s="216"/>
      <c r="K7" s="216"/>
      <c r="L7" s="216"/>
      <c r="M7" s="216"/>
      <c r="N7" s="216"/>
      <c r="O7" s="216"/>
      <c r="P7" s="216"/>
      <c r="Q7" s="216"/>
      <c r="R7" s="216"/>
      <c r="S7" s="216"/>
      <c r="T7" s="216"/>
      <c r="U7" s="216"/>
      <c r="W7" s="181">
        <v>2</v>
      </c>
      <c r="AE7" s="83" t="e">
        <f>IF(A14,MATCH(C14,'Документы АСУТП'!$E$3:$CU$3,0),"") + 4</f>
        <v>#VALUE!</v>
      </c>
      <c r="AF7" t="e">
        <f t="shared" ca="1" si="0"/>
        <v>#VALUE!</v>
      </c>
      <c r="AG7" t="e">
        <f t="shared" ca="1" si="1"/>
        <v>#VALUE!</v>
      </c>
      <c r="AH7" t="e">
        <f t="shared" ca="1" si="2"/>
        <v>#VALUE!</v>
      </c>
      <c r="AI7" t="e">
        <f ca="1">INDIRECT(ADDRESS(110,$AE7,1,1,"Документы АСУТП"))</f>
        <v>#VALUE!</v>
      </c>
      <c r="AJ7" t="e">
        <f ca="1">INDIRECT(ADDRESS(111,$AE7,1,1,"Документы АСУТП"))</f>
        <v>#VALUE!</v>
      </c>
      <c r="AK7" t="e">
        <f ca="1">INDIRECT(ADDRESS(112,$AE7,1,1,"Документы АСУТП"))</f>
        <v>#VALUE!</v>
      </c>
      <c r="AL7" t="e">
        <f ca="1">INDIRECT(ADDRESS(113,$AE7,1,1,"Документы АСУТП"))</f>
        <v>#VALUE!</v>
      </c>
      <c r="AM7" t="e">
        <f ca="1">INDIRECT(ADDRESS(114,$AE7,1,1,"Документы АСУТП"))</f>
        <v>#VALUE!</v>
      </c>
      <c r="AN7" t="e">
        <f ca="1">INDIRECT(ADDRESS(115,$AE7,1,1,"Документы АСУТП"))</f>
        <v>#VALUE!</v>
      </c>
      <c r="AO7" t="e">
        <f t="shared" ca="1" si="3"/>
        <v>#VALUE!</v>
      </c>
      <c r="AP7" t="e">
        <f t="shared" ca="1" si="4"/>
        <v>#VALUE!</v>
      </c>
      <c r="AQ7" t="e">
        <f t="shared" ca="1" si="5"/>
        <v>#VALUE!</v>
      </c>
    </row>
    <row r="8" spans="1:44" x14ac:dyDescent="0.25">
      <c r="A8" s="216"/>
      <c r="B8" s="1559" t="s">
        <v>1554</v>
      </c>
      <c r="C8" s="216"/>
      <c r="D8" s="216"/>
      <c r="E8" s="216"/>
      <c r="F8" s="216"/>
      <c r="G8" s="216"/>
      <c r="H8" s="216"/>
      <c r="I8" s="216"/>
      <c r="J8" s="216"/>
      <c r="K8" s="216"/>
      <c r="L8" s="216"/>
      <c r="M8" s="216"/>
      <c r="N8" s="216"/>
      <c r="O8" s="216"/>
      <c r="P8" s="216"/>
      <c r="Q8" s="216"/>
      <c r="R8" s="216"/>
      <c r="S8" s="216"/>
      <c r="T8" s="216"/>
      <c r="U8" s="216"/>
      <c r="W8" s="182" t="str">
        <f>INDEX('Служебный АСУТП'!C23:C25,MATCH(W7,'Служебный АСУТП'!D23:D25,0))</f>
        <v>Обычный</v>
      </c>
      <c r="AE8" s="83" t="e">
        <f>IF(A15,MATCH(C15,'Документы АСУТП'!$E$3:$CU$3,0),"") + 4</f>
        <v>#VALUE!</v>
      </c>
      <c r="AF8" t="e">
        <f t="shared" ca="1" si="0"/>
        <v>#VALUE!</v>
      </c>
      <c r="AG8" t="e">
        <f t="shared" ca="1" si="1"/>
        <v>#VALUE!</v>
      </c>
      <c r="AH8" t="e">
        <f t="shared" ca="1" si="2"/>
        <v>#VALUE!</v>
      </c>
      <c r="AI8" t="e">
        <f ca="1">INDIRECT(ADDRESS(110,$AE8,1,1,"Документы АСУТП"))</f>
        <v>#VALUE!</v>
      </c>
      <c r="AJ8" t="e">
        <f ca="1">INDIRECT(ADDRESS(111,$AE8,1,1,"Документы АСУТП"))</f>
        <v>#VALUE!</v>
      </c>
      <c r="AK8" t="e">
        <f ca="1">INDIRECT(ADDRESS(112,$AE8,1,1,"Документы АСУТП"))</f>
        <v>#VALUE!</v>
      </c>
      <c r="AL8" t="e">
        <f ca="1">INDIRECT(ADDRESS(113,$AE8,1,1,"Документы АСУТП"))</f>
        <v>#VALUE!</v>
      </c>
      <c r="AM8" t="e">
        <f ca="1">INDIRECT(ADDRESS(114,$AE8,1,1,"Документы АСУТП"))</f>
        <v>#VALUE!</v>
      </c>
      <c r="AN8" t="e">
        <f ca="1">INDIRECT(ADDRESS(115,$AE8,1,1,"Документы АСУТП"))</f>
        <v>#VALUE!</v>
      </c>
      <c r="AO8" t="e">
        <f t="shared" ca="1" si="3"/>
        <v>#VALUE!</v>
      </c>
      <c r="AP8" t="e">
        <f t="shared" ca="1" si="4"/>
        <v>#VALUE!</v>
      </c>
      <c r="AQ8" t="e">
        <f t="shared" ca="1" si="5"/>
        <v>#VALUE!</v>
      </c>
    </row>
    <row r="9" spans="1:44" ht="15.75" thickBot="1" x14ac:dyDescent="0.3">
      <c r="A9" s="216"/>
      <c r="B9" s="216"/>
      <c r="C9" s="216"/>
      <c r="D9" s="216"/>
      <c r="E9" s="216"/>
      <c r="F9" s="216"/>
      <c r="G9" s="216"/>
      <c r="H9" s="216"/>
      <c r="I9" s="216"/>
      <c r="J9" s="216"/>
      <c r="K9" s="216"/>
      <c r="L9" s="216"/>
      <c r="M9" s="216"/>
      <c r="N9" s="216"/>
      <c r="O9" s="216"/>
      <c r="P9" s="216"/>
      <c r="Q9" s="216"/>
      <c r="R9" s="216"/>
      <c r="S9" s="216"/>
      <c r="T9" s="216"/>
      <c r="U9" s="216"/>
      <c r="AA9">
        <v>1</v>
      </c>
      <c r="AE9" s="83" t="e">
        <f>IF(A16,MATCH(C16,'Документы АСУТП'!$E$3:$CU$3,0),"") + 4</f>
        <v>#VALUE!</v>
      </c>
      <c r="AF9" t="e">
        <f t="shared" ca="1" si="0"/>
        <v>#VALUE!</v>
      </c>
      <c r="AG9" t="e">
        <f t="shared" ca="1" si="1"/>
        <v>#VALUE!</v>
      </c>
      <c r="AH9" t="e">
        <f t="shared" ca="1" si="2"/>
        <v>#VALUE!</v>
      </c>
      <c r="AI9" t="e">
        <f ca="1">INDIRECT(ADDRESS(110,$AE9,1,1,"Документы АСУТП"))</f>
        <v>#VALUE!</v>
      </c>
      <c r="AJ9" t="e">
        <f ca="1">INDIRECT(ADDRESS(111,$AE9,1,1,"Документы АСУТП"))</f>
        <v>#VALUE!</v>
      </c>
      <c r="AK9" t="e">
        <f ca="1">INDIRECT(ADDRESS(112,$AE9,1,1,"Документы АСУТП"))</f>
        <v>#VALUE!</v>
      </c>
      <c r="AL9" t="e">
        <f ca="1">INDIRECT(ADDRESS(113,$AE9,1,1,"Документы АСУТП"))</f>
        <v>#VALUE!</v>
      </c>
      <c r="AM9" t="e">
        <f ca="1">INDIRECT(ADDRESS(114,$AE9,1,1,"Документы АСУТП"))</f>
        <v>#VALUE!</v>
      </c>
      <c r="AN9" t="e">
        <f ca="1">INDIRECT(ADDRESS(115,$AE9,1,1,"Документы АСУТП"))</f>
        <v>#VALUE!</v>
      </c>
      <c r="AO9" t="e">
        <f t="shared" ca="1" si="3"/>
        <v>#VALUE!</v>
      </c>
      <c r="AP9" t="e">
        <f t="shared" ca="1" si="4"/>
        <v>#VALUE!</v>
      </c>
      <c r="AQ9" t="e">
        <f t="shared" ca="1" si="5"/>
        <v>#VALUE!</v>
      </c>
    </row>
    <row r="10" spans="1:44" ht="15.75" thickBot="1" x14ac:dyDescent="0.3">
      <c r="A10" s="839"/>
      <c r="B10" s="770" t="s">
        <v>67</v>
      </c>
      <c r="C10" s="114"/>
      <c r="D10" s="114" t="s">
        <v>66</v>
      </c>
      <c r="E10" s="114" t="s">
        <v>36</v>
      </c>
      <c r="F10" s="114" t="s">
        <v>65</v>
      </c>
      <c r="G10" s="114"/>
      <c r="H10" s="114" t="s">
        <v>64</v>
      </c>
      <c r="I10" s="117" t="s">
        <v>36</v>
      </c>
      <c r="J10" s="292" t="s">
        <v>447</v>
      </c>
      <c r="K10" s="292" t="s">
        <v>1</v>
      </c>
      <c r="L10" s="292" t="s">
        <v>11</v>
      </c>
      <c r="M10" s="389" t="s">
        <v>3</v>
      </c>
      <c r="N10" s="534" t="s">
        <v>1557</v>
      </c>
      <c r="O10" s="219" t="s">
        <v>180</v>
      </c>
      <c r="P10" s="218" t="s">
        <v>69</v>
      </c>
      <c r="Q10" s="216"/>
      <c r="R10" s="1871"/>
      <c r="S10" s="1872"/>
      <c r="T10" s="69" t="s">
        <v>101</v>
      </c>
      <c r="U10" s="216"/>
      <c r="W10" t="s">
        <v>36</v>
      </c>
      <c r="Y10" t="s">
        <v>36</v>
      </c>
      <c r="AA10">
        <v>1</v>
      </c>
      <c r="AE10" s="83" t="e">
        <f>IF(A17,MATCH(C17,'Документы АСУТП'!$E$3:$CU$3,0),"") + 4</f>
        <v>#VALUE!</v>
      </c>
      <c r="AF10" t="e">
        <f t="shared" ca="1" si="0"/>
        <v>#VALUE!</v>
      </c>
      <c r="AG10" t="e">
        <f t="shared" ca="1" si="1"/>
        <v>#VALUE!</v>
      </c>
      <c r="AH10" t="e">
        <f t="shared" ca="1" si="2"/>
        <v>#VALUE!</v>
      </c>
      <c r="AI10" t="e">
        <f t="shared" ref="AI10:AI11" ca="1" si="6">INDIRECT(ADDRESS(110,$AE10,1,1,"Документы АСУТП"))</f>
        <v>#VALUE!</v>
      </c>
      <c r="AJ10" t="e">
        <f t="shared" ref="AJ10:AJ11" ca="1" si="7">INDIRECT(ADDRESS(111,$AE10,1,1,"Документы АСУТП"))</f>
        <v>#VALUE!</v>
      </c>
      <c r="AK10" t="e">
        <f t="shared" ref="AK10:AK11" ca="1" si="8">INDIRECT(ADDRESS(112,$AE10,1,1,"Документы АСУТП"))</f>
        <v>#VALUE!</v>
      </c>
      <c r="AL10" t="e">
        <f t="shared" ref="AL10:AL11" ca="1" si="9">INDIRECT(ADDRESS(113,$AE10,1,1,"Документы АСУТП"))</f>
        <v>#VALUE!</v>
      </c>
      <c r="AM10" t="e">
        <f t="shared" ref="AM10:AM11" ca="1" si="10">INDIRECT(ADDRESS(114,$AE10,1,1,"Документы АСУТП"))</f>
        <v>#VALUE!</v>
      </c>
      <c r="AN10" t="e">
        <f t="shared" ref="AN10:AN11" ca="1" si="11">INDIRECT(ADDRESS(115,$AE10,1,1,"Документы АСУТП"))</f>
        <v>#VALUE!</v>
      </c>
      <c r="AO10" t="e">
        <f t="shared" ca="1" si="3"/>
        <v>#VALUE!</v>
      </c>
      <c r="AP10" t="e">
        <f t="shared" ca="1" si="4"/>
        <v>#VALUE!</v>
      </c>
      <c r="AQ10" t="e">
        <f t="shared" ca="1" si="5"/>
        <v>#VALUE!</v>
      </c>
    </row>
    <row r="11" spans="1:44" ht="15.75" customHeight="1" x14ac:dyDescent="0.25">
      <c r="A11" s="840" t="b">
        <v>1</v>
      </c>
      <c r="B11" s="72" t="str">
        <f>IF(A11, "АВЗ","")</f>
        <v>АВЗ</v>
      </c>
      <c r="C11" s="73" t="s">
        <v>349</v>
      </c>
      <c r="D11" s="110" t="str">
        <f ca="1">IF(A11,INDIRECT(ADDRESS(2,MATCH(C11,'АВЗ АСУТП'!1:1),1,1,"АВЗ АСУТП")),"")</f>
        <v>АВЗ Кол-во серверов управления</v>
      </c>
      <c r="E11" s="73">
        <v>2</v>
      </c>
      <c r="F11" s="115" t="str">
        <f ca="1">IF(A11,INDIRECT(ADDRESS(2,MATCH(C11,'АВЗ АСУТП'!1:1)+1,1,1,"АВЗ АСУТП")),"")</f>
        <v>АВЗ Кол-во смежных систем для интеграции</v>
      </c>
      <c r="G11" s="73">
        <v>1</v>
      </c>
      <c r="H11" s="112" t="str">
        <f ca="1">IF(A11,INDIRECT(ADDRESS(2,MATCH(C11,'АВЗ АСУТП'!1:1)+2,1,1,"АВЗ АСУТП")),"")</f>
        <v>АВЗ Проектируется только АВЗ (нет=0; да=1)</v>
      </c>
      <c r="I11" s="92"/>
      <c r="J11" s="1568" t="e">
        <f>IF(AND(A11=TRUE,'Тип разраб-ой док-ции'!$J$4=1),ROUNDUP(IF($F$5 =1,AF2,IF($F$5=2,AG2,IF($F$5 =3,AH2,"-")))/8,2),"-")</f>
        <v>#REF!</v>
      </c>
      <c r="K11" s="1569" t="e">
        <f>IF(AND(A11=TRUE,'Тип разраб-ой док-ции'!$J$3=1),ROUNDUP(IF($F$5 =1,AI2,IF($F$5=2,AJ2,IF($F$5 =3,AK2,"-")))/8,2),"-")</f>
        <v>#REF!</v>
      </c>
      <c r="L11" s="1570" t="e">
        <f>IF(AND(A11=TRUE,'Тип разраб-ой док-ции'!$J$2=1),ROUNDUP(IF($F$5 =1,AL2,IF($F$5=2,AM2,IF($F$5 =3,AN2,"-")))/8,2),"-")</f>
        <v>#REF!</v>
      </c>
      <c r="M11" s="1571" t="e">
        <f>IF(AND(A11=TRUE,'Тип разраб-ой док-ции'!$J$5=1),ROUNDUP(IF($F$5 =1,AO2,IF($F$5=2,AP2,IF($F$5 =3,AQ2,"-")))/8,2),"-")</f>
        <v>#REF!</v>
      </c>
      <c r="N11" s="535">
        <f>SUM('Итоговый расчет АСУТП'!CO4:CO41)</f>
        <v>17.5</v>
      </c>
      <c r="O11" s="787" t="str">
        <f>'АВЗ АСУТП'!$D$2</f>
        <v>АВЗ Кол-во серверов управления</v>
      </c>
      <c r="P11" s="296">
        <f>E11</f>
        <v>2</v>
      </c>
      <c r="Q11" s="216"/>
      <c r="R11" s="89"/>
      <c r="S11" s="71" t="s">
        <v>0</v>
      </c>
      <c r="T11" s="70"/>
      <c r="U11" s="216"/>
      <c r="AA11">
        <v>0</v>
      </c>
      <c r="AE11" s="83" t="e">
        <f>IF(A18,MATCH(C18,'Документы АСУТП'!$E$3:$CU$3,0),"") + 4</f>
        <v>#VALUE!</v>
      </c>
      <c r="AF11" t="e">
        <f t="shared" ca="1" si="0"/>
        <v>#VALUE!</v>
      </c>
      <c r="AG11" t="e">
        <f t="shared" ca="1" si="1"/>
        <v>#VALUE!</v>
      </c>
      <c r="AH11" t="e">
        <f t="shared" ca="1" si="2"/>
        <v>#VALUE!</v>
      </c>
      <c r="AI11" t="e">
        <f t="shared" ca="1" si="6"/>
        <v>#VALUE!</v>
      </c>
      <c r="AJ11" t="e">
        <f t="shared" ca="1" si="7"/>
        <v>#VALUE!</v>
      </c>
      <c r="AK11" t="e">
        <f t="shared" ca="1" si="8"/>
        <v>#VALUE!</v>
      </c>
      <c r="AL11" t="e">
        <f t="shared" ca="1" si="9"/>
        <v>#VALUE!</v>
      </c>
      <c r="AM11" t="e">
        <f t="shared" ca="1" si="10"/>
        <v>#VALUE!</v>
      </c>
      <c r="AN11" t="e">
        <f t="shared" ca="1" si="11"/>
        <v>#VALUE!</v>
      </c>
      <c r="AO11" t="e">
        <f t="shared" ca="1" si="3"/>
        <v>#VALUE!</v>
      </c>
      <c r="AP11" t="e">
        <f t="shared" ca="1" si="4"/>
        <v>#VALUE!</v>
      </c>
      <c r="AQ11" t="e">
        <f t="shared" ca="1" si="5"/>
        <v>#VALUE!</v>
      </c>
    </row>
    <row r="12" spans="1:44" x14ac:dyDescent="0.25">
      <c r="A12" s="840" t="b">
        <v>1</v>
      </c>
      <c r="B12" s="67" t="str">
        <f>IF(A12, "SIEM","")</f>
        <v>SIEM</v>
      </c>
      <c r="C12" s="65" t="s">
        <v>355</v>
      </c>
      <c r="D12" s="111" t="str">
        <f ca="1">IF(A12,INDIRECT(ADDRESS(2,MATCH(C12,'SIEM АСУТП'!1:1),1,1,"SIEM АСУТП")),"")</f>
        <v>SIEM Кол-во площадок с компонентами подсистемы</v>
      </c>
      <c r="E12" s="64">
        <v>1</v>
      </c>
      <c r="F12" s="116" t="str">
        <f ca="1">IF(A12,INDIRECT(ADDRESS(2,MATCH(C12,'SIEM АСУТП'!1:1)+1,1,1,"SIEM АСУТП")),"")</f>
        <v>SIEM Кол-во типов источников</v>
      </c>
      <c r="G12" s="64">
        <v>1</v>
      </c>
      <c r="H12" s="113" t="str">
        <f ca="1">IF(A12,INDIRECT(ADDRESS(2,MATCH(C12,'SIEM АСУТП'!1:1)+2,1,1,"SIEM АСУТП")),"")</f>
        <v>SIEM Проектируется только SIEM (нет=0; да=1)</v>
      </c>
      <c r="I12" s="92"/>
      <c r="J12" s="1572" t="e">
        <f>IF(AND(A12=TRUE,'Тип разраб-ой док-ции'!$J$4=1),ROUNDUP(IF($F$5 =1,AF5,IF($F$5=2,AG5,IF($F$5 =3,AH5,"-")))/8,2),"-")</f>
        <v>#REF!</v>
      </c>
      <c r="K12" s="1573" t="e">
        <f>IF(AND(A12=TRUE,'Тип разраб-ой док-ции'!$J$3=1),ROUNDUP(IF($F$5 =1,AI5,IF($F$5=2,AJ5,IF($F$5 =3,AK5,"-")))/8,2),"-")</f>
        <v>#REF!</v>
      </c>
      <c r="L12" s="1574" t="e">
        <f>IF(AND(A12=TRUE,'Тип разраб-ой док-ции'!$J$2=1),ROUNDUP(IF($F$5 =1,AL5,IF($F$5=2,AM5,IF($F$5 =3,AN5,"-")))/8,2),"-")</f>
        <v>#REF!</v>
      </c>
      <c r="M12" s="1575" t="e">
        <f>IF(AND(A12=TRUE,'Тип разраб-ой док-ции'!$J$5=1),ROUNDUP(IF($F$5 =1,AO5,IF($F$5=2,AP5,IF($F$5 =3,AQ5,"-")))/8,2),"-")</f>
        <v>#REF!</v>
      </c>
      <c r="N12" s="536">
        <f>SUM('Итоговый расчет АСУТП'!CQ4:CQ41)</f>
        <v>25.5</v>
      </c>
      <c r="O12" s="297" t="str">
        <f>'АВЗ АСУТП'!$E$2</f>
        <v>АВЗ Кол-во смежных систем для интеграции</v>
      </c>
      <c r="P12" s="298">
        <f>G11</f>
        <v>1</v>
      </c>
      <c r="Q12" s="216"/>
      <c r="R12" s="75" t="s">
        <v>75</v>
      </c>
      <c r="S12" s="63" t="s">
        <v>0</v>
      </c>
      <c r="T12" s="391">
        <f>ROUNDUP('Итоговый расчет АСУТП'!EZ5/8,2)</f>
        <v>0</v>
      </c>
      <c r="U12" s="216"/>
      <c r="W12" s="183"/>
      <c r="AA12">
        <v>0</v>
      </c>
      <c r="AE12" s="83" t="e">
        <f>IF(A20,MATCH(C20,'Документы АСУТП'!$E$3:$CU$3,0),"") + 4</f>
        <v>#VALUE!</v>
      </c>
      <c r="AF12" t="e">
        <f t="shared" ref="AF12:AF33" ca="1" si="12">INDIRECT(ADDRESS(107,AE12,1,1,"Документы АСУТП"))</f>
        <v>#VALUE!</v>
      </c>
      <c r="AG12" t="e">
        <f t="shared" ref="AG12:AG33" ca="1" si="13">INDIRECT(ADDRESS(108,AE12,1,1,"Документы АСУТП"))</f>
        <v>#VALUE!</v>
      </c>
      <c r="AH12" t="e">
        <f t="shared" ref="AH12:AH33" ca="1" si="14">INDIRECT(ADDRESS(109,AE12,1,1,"Документы АСУТП"))</f>
        <v>#VALUE!</v>
      </c>
      <c r="AI12" t="e">
        <f t="shared" ref="AI12:AI33" ca="1" si="15">INDIRECT(ADDRESS(110,$AE12,1,1,"Документы АСУТП"))</f>
        <v>#VALUE!</v>
      </c>
      <c r="AJ12" t="e">
        <f t="shared" ref="AJ12:AJ33" ca="1" si="16">INDIRECT(ADDRESS(111,$AE12,1,1,"Документы АСУТП"))</f>
        <v>#VALUE!</v>
      </c>
      <c r="AK12" t="e">
        <f t="shared" ref="AK12:AK33" ca="1" si="17">INDIRECT(ADDRESS(112,$AE12,1,1,"Документы АСУТП"))</f>
        <v>#VALUE!</v>
      </c>
      <c r="AL12" t="e">
        <f t="shared" ref="AL12:AL33" ca="1" si="18">INDIRECT(ADDRESS(113,$AE12,1,1,"Документы АСУТП"))</f>
        <v>#VALUE!</v>
      </c>
      <c r="AM12" t="e">
        <f t="shared" ref="AM12:AM33" ca="1" si="19">INDIRECT(ADDRESS(114,$AE12,1,1,"Документы АСУТП"))</f>
        <v>#VALUE!</v>
      </c>
      <c r="AN12" t="e">
        <f t="shared" ref="AN12:AN33" ca="1" si="20">INDIRECT(ADDRESS(115,$AE12,1,1,"Документы АСУТП"))</f>
        <v>#VALUE!</v>
      </c>
      <c r="AO12" t="e">
        <f t="shared" ref="AO12:AO33" ca="1" si="21">INDIRECT(ADDRESS(116,$AE12,1,1,"Документы АСУТП"))</f>
        <v>#VALUE!</v>
      </c>
      <c r="AP12" t="e">
        <f t="shared" ref="AP12:AP33" ca="1" si="22">INDIRECT(ADDRESS(117,$AE12,1,1,"Документы АСУТП"))</f>
        <v>#VALUE!</v>
      </c>
      <c r="AQ12" t="e">
        <f t="shared" ref="AQ12:AQ33" ca="1" si="23">INDIRECT(ADDRESS(118,$AE12,1,1,"Документы АСУТП"))</f>
        <v>#VALUE!</v>
      </c>
    </row>
    <row r="13" spans="1:44" x14ac:dyDescent="0.25">
      <c r="A13" s="841" t="b">
        <v>0</v>
      </c>
      <c r="B13" s="67" t="str">
        <f>IF(A13, "МСЭ","")</f>
        <v/>
      </c>
      <c r="C13" s="65"/>
      <c r="D13" s="111" t="str">
        <f ca="1">IF(A13,INDIRECT(ADDRESS(2,MATCH(C13,'МСЭ АСУТП'!1:1),1,1,"МСЭ АСУТП")),"")</f>
        <v/>
      </c>
      <c r="E13" s="64"/>
      <c r="F13" s="116" t="str">
        <f ca="1">IF(A13,INDIRECT(ADDRESS(2,MATCH(C13,'МСЭ АСУТП'!1:1)+1,1,1,"МСЭ АСУТП")),"")</f>
        <v/>
      </c>
      <c r="G13" s="64"/>
      <c r="H13" s="113" t="str">
        <f ca="1">IF(A13,INDIRECT(ADDRESS(2,MATCH(C13,'МСЭ АСУТП'!1:1)+2,1,1,"МСЭ АСУТП")),"")</f>
        <v/>
      </c>
      <c r="I13" s="92"/>
      <c r="J13" s="1572" t="e">
        <f>IF(AND(A13=TRUE,'Тип разраб-ой док-ции'!$J$4=1),ROUNDUP(IF($F$5 =1,AF6,IF($F$5=2,AG6,IF($F$5 =3,AH6,"-")))/8,2),"-")</f>
        <v>#REF!</v>
      </c>
      <c r="K13" s="1573" t="e">
        <f>IF(AND(A13=TRUE,'Тип разраб-ой док-ции'!$J$3=1),ROUNDUP(IF($F$5 =1,AI6,IF($F$5=2,AJ6,IF($F$5 =3,AK6,"-")))/8,2),"-")</f>
        <v>#REF!</v>
      </c>
      <c r="L13" s="1574" t="e">
        <f>IF(AND(A13=TRUE,'Тип разраб-ой док-ции'!$J$2=1),ROUNDUP(IF($F$5 =1,AL6,IF($F$5=2,AM6,IF($F$5 =3,AN6,"-")))/8,2),"-")</f>
        <v>#REF!</v>
      </c>
      <c r="M13" s="1575" t="e">
        <f>IF(AND(A13=TRUE,'Тип разраб-ой док-ции'!$J$5=1),ROUNDUP(IF($F$5 =1,AO6,IF($F$5=2,AP6,IF($F$5 =3,AQ6,"-")))/8,2),"-")</f>
        <v>#REF!</v>
      </c>
      <c r="N13" s="536">
        <f>SUM('Итоговый расчет АСУТП'!CS4:CS41)</f>
        <v>0</v>
      </c>
      <c r="O13" s="297" t="str">
        <f>'АВЗ АСУТП'!$F$2</f>
        <v>АВЗ Проектируется только АВЗ (нет=0; да=1)</v>
      </c>
      <c r="P13" s="298">
        <f>I11</f>
        <v>0</v>
      </c>
      <c r="Q13" s="216"/>
      <c r="R13" s="75">
        <v>0</v>
      </c>
      <c r="S13" s="63" t="s">
        <v>449</v>
      </c>
      <c r="T13" s="391">
        <f>ROUNDUP('Итоговый расчет АСУТП'!EZ6/8,2)</f>
        <v>0</v>
      </c>
      <c r="U13" s="216"/>
      <c r="V13">
        <v>2</v>
      </c>
      <c r="W13" s="181">
        <v>1</v>
      </c>
      <c r="AA13">
        <v>1</v>
      </c>
      <c r="AE13" s="83" t="e">
        <f>IF(A21,MATCH(C21,'Документы АСУТП'!$E$3:$CU$3,0),"") + 4</f>
        <v>#VALUE!</v>
      </c>
      <c r="AF13" t="e">
        <f t="shared" ca="1" si="12"/>
        <v>#VALUE!</v>
      </c>
      <c r="AG13" t="e">
        <f t="shared" ca="1" si="13"/>
        <v>#VALUE!</v>
      </c>
      <c r="AH13" t="e">
        <f t="shared" ca="1" si="14"/>
        <v>#VALUE!</v>
      </c>
      <c r="AI13" t="e">
        <f t="shared" ca="1" si="15"/>
        <v>#VALUE!</v>
      </c>
      <c r="AJ13" t="e">
        <f t="shared" ca="1" si="16"/>
        <v>#VALUE!</v>
      </c>
      <c r="AK13" t="e">
        <f t="shared" ca="1" si="17"/>
        <v>#VALUE!</v>
      </c>
      <c r="AL13" t="e">
        <f t="shared" ca="1" si="18"/>
        <v>#VALUE!</v>
      </c>
      <c r="AM13" t="e">
        <f t="shared" ca="1" si="19"/>
        <v>#VALUE!</v>
      </c>
      <c r="AN13" t="e">
        <f t="shared" ca="1" si="20"/>
        <v>#VALUE!</v>
      </c>
      <c r="AO13" t="e">
        <f t="shared" ca="1" si="21"/>
        <v>#VALUE!</v>
      </c>
      <c r="AP13" t="e">
        <f t="shared" ca="1" si="22"/>
        <v>#VALUE!</v>
      </c>
      <c r="AQ13" t="e">
        <f t="shared" ca="1" si="23"/>
        <v>#VALUE!</v>
      </c>
    </row>
    <row r="14" spans="1:44" x14ac:dyDescent="0.25">
      <c r="A14" s="841" t="b">
        <v>0</v>
      </c>
      <c r="B14" s="67" t="str">
        <f>IF(A14, "PIM / PAM / PUM ","")</f>
        <v/>
      </c>
      <c r="C14" s="65"/>
      <c r="D14" s="111" t="str">
        <f ca="1">IF(A14,INDIRECT(ADDRESS(2,MATCH(C14,'PAM АСУТП'!1:1),1,1,"PAM АСУТП")),"")</f>
        <v/>
      </c>
      <c r="E14" s="64"/>
      <c r="F14" s="116" t="str">
        <f ca="1">IF(A14,INDIRECT(ADDRESS(2,MATCH(C14,'PAM АСУТП'!1:1)+1,1,1,"PAM АСУТП")),"")</f>
        <v/>
      </c>
      <c r="G14" s="64"/>
      <c r="H14" s="113" t="str">
        <f ca="1">IF(A14,INDIRECT(ADDRESS(2,MATCH(C14,'PAM АСУТП'!1:1)+2,1,1,"PAM АСУТП")),"")</f>
        <v/>
      </c>
      <c r="I14" s="92"/>
      <c r="J14" s="1572" t="e">
        <f>IF(AND(A14=TRUE,'Тип разраб-ой док-ции'!$J$4=1),ROUNDUP(IF($F$5 =1,AF7,IF($F$5=2,AG7,IF($F$5 =3,AH7,"-")))/8,2),"-")</f>
        <v>#REF!</v>
      </c>
      <c r="K14" s="1573" t="e">
        <f>IF(AND(A14=TRUE,'Тип разраб-ой док-ции'!$J$3=1),ROUNDUP(IF($F$5 =1,AI7,IF($F$5=2,AJ7,IF($F$5 =3,AK7,"-")))/8,2),"-")</f>
        <v>#REF!</v>
      </c>
      <c r="L14" s="1574" t="e">
        <f>IF(AND(A14=TRUE,'Тип разраб-ой док-ции'!$J$2=1),ROUNDUP(IF($F$5 =1,AL7,IF($F$5=2,AM7,IF($F$5 =3,AN7,"-")))/8,2),"-")</f>
        <v>#REF!</v>
      </c>
      <c r="M14" s="1575" t="e">
        <f>IF(AND(A14=TRUE,'Тип разраб-ой док-ции'!$J$5=1),ROUNDUP(IF($F$5 =1,AO7,IF($F$5=2,AP7,IF($F$5 =3,AQ7,"-")))/8,2),"-")</f>
        <v>#REF!</v>
      </c>
      <c r="N14" s="536">
        <f>SUM('Итоговый расчет АСУТП'!CU4:CU41)</f>
        <v>0</v>
      </c>
      <c r="O14" s="297" t="str">
        <f>'SIEM АСУТП'!$D$2</f>
        <v>SIEM Кол-во площадок с компонентами подсистемы</v>
      </c>
      <c r="P14" s="298">
        <f>E12</f>
        <v>1</v>
      </c>
      <c r="Q14" s="216"/>
      <c r="R14" s="89"/>
      <c r="S14" s="71" t="s">
        <v>1</v>
      </c>
      <c r="T14" s="70"/>
      <c r="U14" s="216"/>
      <c r="W14" s="182"/>
      <c r="AA14">
        <v>1</v>
      </c>
      <c r="AE14" s="83" t="e">
        <f>IF(A22,MATCH(C22,'Документы АСУТП'!$E$3:$CU$3,0),"") + 4</f>
        <v>#VALUE!</v>
      </c>
      <c r="AF14" t="e">
        <f t="shared" ca="1" si="12"/>
        <v>#VALUE!</v>
      </c>
      <c r="AG14" t="e">
        <f t="shared" ca="1" si="13"/>
        <v>#VALUE!</v>
      </c>
      <c r="AH14" t="e">
        <f t="shared" ca="1" si="14"/>
        <v>#VALUE!</v>
      </c>
      <c r="AI14" t="e">
        <f t="shared" ca="1" si="15"/>
        <v>#VALUE!</v>
      </c>
      <c r="AJ14" t="e">
        <f t="shared" ca="1" si="16"/>
        <v>#VALUE!</v>
      </c>
      <c r="AK14" t="e">
        <f t="shared" ca="1" si="17"/>
        <v>#VALUE!</v>
      </c>
      <c r="AL14" t="e">
        <f t="shared" ca="1" si="18"/>
        <v>#VALUE!</v>
      </c>
      <c r="AM14" t="e">
        <f t="shared" ca="1" si="19"/>
        <v>#VALUE!</v>
      </c>
      <c r="AN14" t="e">
        <f t="shared" ca="1" si="20"/>
        <v>#VALUE!</v>
      </c>
      <c r="AO14" t="e">
        <f t="shared" ca="1" si="21"/>
        <v>#VALUE!</v>
      </c>
      <c r="AP14" t="e">
        <f t="shared" ca="1" si="22"/>
        <v>#VALUE!</v>
      </c>
      <c r="AQ14" t="e">
        <f t="shared" ca="1" si="23"/>
        <v>#VALUE!</v>
      </c>
      <c r="AR14" s="78" t="s">
        <v>82</v>
      </c>
    </row>
    <row r="15" spans="1:44" x14ac:dyDescent="0.25">
      <c r="A15" s="841" t="b">
        <v>0</v>
      </c>
      <c r="B15" s="67" t="str">
        <f>IF(A15, "СКЗИ","")</f>
        <v/>
      </c>
      <c r="C15" s="263"/>
      <c r="D15" s="111" t="str">
        <f ca="1">IF(A15,INDIRECT(ADDRESS(2,MATCH(C15,'СКЗИ АСУТП'!1:1,0),1,1,"СКЗИ АСУТП")),"")</f>
        <v/>
      </c>
      <c r="E15" s="64"/>
      <c r="F15" s="116" t="str">
        <f ca="1">IF(A15,INDIRECT(ADDRESS(2,MATCH(C15,'СКЗИ АСУТП'!1:1,0)+1,1,1,"СКЗИ АСУТП")),"")</f>
        <v/>
      </c>
      <c r="G15" s="64"/>
      <c r="H15" s="113" t="str">
        <f ca="1">IF(A15,INDIRECT(ADDRESS(2,MATCH(C15,'СКЗИ АСУТП'!1:1,0)+2,1,1,"СКЗИ АСУТП")),"")</f>
        <v/>
      </c>
      <c r="I15" s="92"/>
      <c r="J15" s="1572" t="e">
        <f>IF(AND(A15=TRUE,'Тип разраб-ой док-ции'!$J$4=1),ROUNDUP(IF($F$5 =1,AF8,IF($F$5=2,AG8,IF($F$5 =3,AH8,"-")))/8,2),"-")</f>
        <v>#REF!</v>
      </c>
      <c r="K15" s="1573" t="e">
        <f>IF(AND(A15=TRUE,'Тип разраб-ой док-ции'!$J$3=1),ROUNDUP(IF($F$5 =1,AI8,IF($F$5=2,AJ8,IF($F$5 =3,AK8,"-")))/8,2),"-")</f>
        <v>#REF!</v>
      </c>
      <c r="L15" s="1574" t="e">
        <f>IF(AND(A15=TRUE,'Тип разраб-ой док-ции'!$J$2=1),ROUNDUP(IF($F$5 =1,AL8,IF($F$5=2,AM8,IF($F$5 =3,AN8,"-")))/8,2),"-")</f>
        <v>#REF!</v>
      </c>
      <c r="M15" s="1575" t="e">
        <f>IF(AND(A15=TRUE,'Тип разраб-ой док-ции'!$J$5=1),ROUNDUP(IF($F$5 =1,AO8,IF($F$5=2,AP8,IF($F$5 =3,AQ8,"-")))/8,2),"-")</f>
        <v>#REF!</v>
      </c>
      <c r="N15" s="536">
        <f>SUM('Итоговый расчет АСУТП'!CW4:CW41)</f>
        <v>0</v>
      </c>
      <c r="O15" s="297" t="str">
        <f>'SIEM АСУТП'!$E$2</f>
        <v>SIEM Кол-во типов источников</v>
      </c>
      <c r="P15" s="298">
        <f>G12</f>
        <v>1</v>
      </c>
      <c r="Q15" s="216"/>
      <c r="R15" s="75">
        <v>0</v>
      </c>
      <c r="S15" s="63" t="s">
        <v>2</v>
      </c>
      <c r="T15" s="391">
        <f>ROUNDUP('Итоговый расчет АСУТП'!EZ8/8,2)</f>
        <v>0</v>
      </c>
      <c r="U15" s="216"/>
      <c r="AA15">
        <v>0</v>
      </c>
      <c r="AE15" s="83" t="e">
        <f>IF(A23,MATCH(C23,'Документы АСУТП'!$E$3:$CU$3,0),"") + 4</f>
        <v>#VALUE!</v>
      </c>
      <c r="AF15" t="e">
        <f t="shared" ca="1" si="12"/>
        <v>#VALUE!</v>
      </c>
      <c r="AG15" t="e">
        <f t="shared" ca="1" si="13"/>
        <v>#VALUE!</v>
      </c>
      <c r="AH15" t="e">
        <f t="shared" ca="1" si="14"/>
        <v>#VALUE!</v>
      </c>
      <c r="AI15" t="e">
        <f t="shared" ca="1" si="15"/>
        <v>#VALUE!</v>
      </c>
      <c r="AJ15" t="e">
        <f t="shared" ca="1" si="16"/>
        <v>#VALUE!</v>
      </c>
      <c r="AK15" t="e">
        <f t="shared" ca="1" si="17"/>
        <v>#VALUE!</v>
      </c>
      <c r="AL15" t="e">
        <f t="shared" ca="1" si="18"/>
        <v>#VALUE!</v>
      </c>
      <c r="AM15" t="e">
        <f t="shared" ca="1" si="19"/>
        <v>#VALUE!</v>
      </c>
      <c r="AN15" t="e">
        <f t="shared" ca="1" si="20"/>
        <v>#VALUE!</v>
      </c>
      <c r="AO15" t="e">
        <f t="shared" ca="1" si="21"/>
        <v>#VALUE!</v>
      </c>
      <c r="AP15" t="e">
        <f t="shared" ca="1" si="22"/>
        <v>#VALUE!</v>
      </c>
      <c r="AQ15" t="e">
        <f t="shared" ca="1" si="23"/>
        <v>#VALUE!</v>
      </c>
    </row>
    <row r="16" spans="1:44" x14ac:dyDescent="0.25">
      <c r="A16" s="841" t="b">
        <v>0</v>
      </c>
      <c r="B16" s="67" t="str">
        <f>IF(A16, "АЗ","")</f>
        <v/>
      </c>
      <c r="C16" s="65"/>
      <c r="D16" s="111" t="str">
        <f ca="1">IF(A16,INDIRECT(ADDRESS(2,MATCH(C16,'АЗ АСУТП'!1:1,0),1,1,"АЗ АСУТП")),"")</f>
        <v/>
      </c>
      <c r="E16" s="64"/>
      <c r="F16" s="116" t="str">
        <f ca="1">IF(A16,INDIRECT(ADDRESS(2,MATCH(C16,'АЗ АСУТП'!1:1,0)+1,1,1,"АЗ АСУТП")),"")</f>
        <v/>
      </c>
      <c r="G16" s="64"/>
      <c r="H16" s="113" t="str">
        <f ca="1">IF(A16,INDIRECT(ADDRESS(2,MATCH(C16,'АЗ АСУТП'!1:1,0)+2,1,1,"АЗ АСУТП")),"")</f>
        <v/>
      </c>
      <c r="I16" s="92"/>
      <c r="J16" s="1572" t="e">
        <f>IF(AND(A16=TRUE,'Тип разраб-ой док-ции'!$J$4=1),ROUNDUP(IF($F$5 =1,AF9,IF($F$5=2,AG9,IF($F$5 =3,AH9,"-")))/8,2),"-")</f>
        <v>#REF!</v>
      </c>
      <c r="K16" s="1573" t="e">
        <f>IF(AND(A16=TRUE,'Тип разраб-ой док-ции'!$J$3=1),ROUNDUP(IF($F$5 =1,AI9,IF($F$5=2,AJ9,IF($F$5 =3,AK9,"-")))/8,2),"-")</f>
        <v>#REF!</v>
      </c>
      <c r="L16" s="1574" t="e">
        <f>IF(AND(A16=TRUE,'Тип разраб-ой док-ции'!$J$2=1),ROUNDUP(IF($F$5 =1,AL9,IF($F$5=2,AM9,IF($F$5 =3,AN9,"-")))/8,2),"-")</f>
        <v>#REF!</v>
      </c>
      <c r="M16" s="1575" t="e">
        <f>IF(AND(A16=TRUE,'Тип разраб-ой док-ции'!$J$5=1),ROUNDUP(IF($F$5 =1,AO9,IF($F$5=2,AP9,IF($F$5 =3,AQ9,"-")))/8,2),"-")</f>
        <v>#REF!</v>
      </c>
      <c r="N16" s="536">
        <f>SUM('Итоговый расчет АСУТП'!CY4:CY41)</f>
        <v>0</v>
      </c>
      <c r="O16" s="297" t="str">
        <f>'SIEM АСУТП'!$F$2</f>
        <v>SIEM Проектируется только SIEM (нет=0; да=1)</v>
      </c>
      <c r="P16" s="298">
        <f>I12</f>
        <v>0</v>
      </c>
      <c r="Q16" s="216"/>
      <c r="R16" s="89"/>
      <c r="S16" s="71" t="s">
        <v>3</v>
      </c>
      <c r="T16" s="70"/>
      <c r="U16" s="216"/>
      <c r="AA16">
        <v>0</v>
      </c>
      <c r="AE16" s="83" t="e">
        <f>IF(A24,MATCH(C24,'Документы АСУТП'!$E$3:$CU$3,0),"") + 4</f>
        <v>#VALUE!</v>
      </c>
      <c r="AF16" t="e">
        <f t="shared" ca="1" si="12"/>
        <v>#VALUE!</v>
      </c>
      <c r="AG16" t="e">
        <f t="shared" ca="1" si="13"/>
        <v>#VALUE!</v>
      </c>
      <c r="AH16" t="e">
        <f t="shared" ca="1" si="14"/>
        <v>#VALUE!</v>
      </c>
      <c r="AI16" t="e">
        <f t="shared" ca="1" si="15"/>
        <v>#VALUE!</v>
      </c>
      <c r="AJ16" t="e">
        <f t="shared" ca="1" si="16"/>
        <v>#VALUE!</v>
      </c>
      <c r="AK16" t="e">
        <f t="shared" ca="1" si="17"/>
        <v>#VALUE!</v>
      </c>
      <c r="AL16" t="e">
        <f t="shared" ca="1" si="18"/>
        <v>#VALUE!</v>
      </c>
      <c r="AM16" t="e">
        <f t="shared" ca="1" si="19"/>
        <v>#VALUE!</v>
      </c>
      <c r="AN16" t="e">
        <f t="shared" ca="1" si="20"/>
        <v>#VALUE!</v>
      </c>
      <c r="AO16" t="e">
        <f t="shared" ca="1" si="21"/>
        <v>#VALUE!</v>
      </c>
      <c r="AP16" t="e">
        <f t="shared" ca="1" si="22"/>
        <v>#VALUE!</v>
      </c>
      <c r="AQ16" t="e">
        <f t="shared" ca="1" si="23"/>
        <v>#VALUE!</v>
      </c>
    </row>
    <row r="17" spans="1:43" x14ac:dyDescent="0.25">
      <c r="A17" s="841" t="b">
        <v>0</v>
      </c>
      <c r="B17" s="67" t="str">
        <f>IF(A17, "СРК","")</f>
        <v/>
      </c>
      <c r="C17" s="65"/>
      <c r="D17" s="111" t="str">
        <f ca="1">IF(A17,INDIRECT(ADDRESS(2,MATCH(C17,'РК АСУТП'!1:1),1,1,"РК АСУТП")),"")</f>
        <v/>
      </c>
      <c r="E17" s="64"/>
      <c r="F17" s="116" t="str">
        <f ca="1">IF(A17,INDIRECT(ADDRESS(2,MATCH(C17,'РК АСУТП'!1:1)+1,1,1,"РК АСУТП")),"")</f>
        <v/>
      </c>
      <c r="G17" s="64"/>
      <c r="H17" s="113" t="str">
        <f ca="1">IF(A17,INDIRECT(ADDRESS(2,MATCH(C17,'РК АСУТП'!1:1)+2,1,1,"РК АСУТП")),"")</f>
        <v/>
      </c>
      <c r="I17" s="92"/>
      <c r="J17" s="1572" t="e">
        <f>IF(AND(A17=TRUE,'Тип разраб-ой док-ции'!$J$4=1),ROUNDUP(IF($F$5 =1,AF10,IF($F$5=2,AG10,IF($F$5 =3,AH10,"-")))/8,2),"-")</f>
        <v>#REF!</v>
      </c>
      <c r="K17" s="1573" t="e">
        <f>IF(AND(A17=TRUE,'Тип разраб-ой док-ции'!$J$3=1),ROUNDUP(IF($F$5 =1,AI10,IF($F$5=2,AJ10,IF($F$5 =3,AK10,"-")))/8,2),"-")</f>
        <v>#REF!</v>
      </c>
      <c r="L17" s="1574" t="e">
        <f>IF(AND(A17=TRUE,'Тип разраб-ой док-ции'!$J$2=1),ROUNDUP(IF($F$5 =1,AL10,IF($F$5=2,AM10,IF($F$5 =3,AN10,"-")))/8,2),"-")</f>
        <v>#REF!</v>
      </c>
      <c r="M17" s="1575" t="e">
        <f>IF(AND(A17=TRUE,'Тип разраб-ой док-ции'!$J$5=1),ROUNDUP(IF($F$5 =1,AO10,IF($F$5=2,AP10,IF($F$5 =3,AQ10,"-")))/8,2),"-")</f>
        <v>#REF!</v>
      </c>
      <c r="N17" s="536">
        <f>SUM('Итоговый расчет АСУТП'!DA4:DA41)</f>
        <v>0</v>
      </c>
      <c r="O17" s="297" t="str">
        <f>'МСЭ АСУТП'!$D$2</f>
        <v>МЭ Кол-во площадок</v>
      </c>
      <c r="P17" s="298">
        <f>E13</f>
        <v>0</v>
      </c>
      <c r="Q17" s="216"/>
      <c r="R17" s="75">
        <v>1</v>
      </c>
      <c r="S17" s="63" t="s">
        <v>4</v>
      </c>
      <c r="T17" s="391" t="e">
        <f>ROUNDUP('Итоговый расчет АСУТП'!EZ10/8,2)</f>
        <v>#REF!</v>
      </c>
      <c r="U17" s="216"/>
      <c r="AA17">
        <v>1</v>
      </c>
      <c r="AE17" s="83" t="e">
        <f>IF(A25,MATCH(C25,'Документы АСУТП'!$E$3:$CU$3,0),"") + 4</f>
        <v>#VALUE!</v>
      </c>
      <c r="AF17" t="e">
        <f t="shared" ca="1" si="12"/>
        <v>#VALUE!</v>
      </c>
      <c r="AG17" t="e">
        <f t="shared" ca="1" si="13"/>
        <v>#VALUE!</v>
      </c>
      <c r="AH17" t="e">
        <f t="shared" ca="1" si="14"/>
        <v>#VALUE!</v>
      </c>
      <c r="AI17" t="e">
        <f t="shared" ca="1" si="15"/>
        <v>#VALUE!</v>
      </c>
      <c r="AJ17" t="e">
        <f t="shared" ca="1" si="16"/>
        <v>#VALUE!</v>
      </c>
      <c r="AK17" t="e">
        <f t="shared" ca="1" si="17"/>
        <v>#VALUE!</v>
      </c>
      <c r="AL17" t="e">
        <f t="shared" ca="1" si="18"/>
        <v>#VALUE!</v>
      </c>
      <c r="AM17" t="e">
        <f t="shared" ca="1" si="19"/>
        <v>#VALUE!</v>
      </c>
      <c r="AN17" t="e">
        <f t="shared" ca="1" si="20"/>
        <v>#VALUE!</v>
      </c>
      <c r="AO17" t="e">
        <f t="shared" ca="1" si="21"/>
        <v>#VALUE!</v>
      </c>
      <c r="AP17" t="e">
        <f t="shared" ca="1" si="22"/>
        <v>#VALUE!</v>
      </c>
      <c r="AQ17" t="e">
        <f t="shared" ca="1" si="23"/>
        <v>#VALUE!</v>
      </c>
    </row>
    <row r="18" spans="1:43" x14ac:dyDescent="0.25">
      <c r="A18" s="841" t="b">
        <v>0</v>
      </c>
      <c r="B18" s="67" t="str">
        <f>IF(A18, "Обнаружение вторжений (IDS/IPS)","")</f>
        <v/>
      </c>
      <c r="C18" s="65"/>
      <c r="D18" s="111" t="str">
        <f ca="1">IF(A18,INDIRECT(ADDRESS(2,MATCH(C18,'IDS АСУТП'!1:1),1,1,"IDS АСУТП")),"")</f>
        <v/>
      </c>
      <c r="E18" s="64"/>
      <c r="F18" s="116" t="str">
        <f ca="1">IF(A18,INDIRECT(ADDRESS(2,MATCH(C18,'IDS АСУТП'!1:1)+1,1,1,"IDS АСУТП")),"")</f>
        <v/>
      </c>
      <c r="G18" s="64"/>
      <c r="H18" s="113" t="str">
        <f ca="1">IF(A18,INDIRECT(ADDRESS(2,MATCH(C18,'IDS АСУТП'!1:1)+2,1,1,"IDS АСУТП")),"")</f>
        <v/>
      </c>
      <c r="I18" s="92"/>
      <c r="J18" s="1572" t="e">
        <f>IF(AND(A18=TRUE,'Тип разраб-ой док-ции'!$J$4=1),ROUNDUP(IF($F$5 =1,AF11,IF($F$5=2,AG11,IF($F$5 =3,AH11,"-")))/8,2),"-")</f>
        <v>#REF!</v>
      </c>
      <c r="K18" s="1573" t="e">
        <f>IF(AND(A18=TRUE,'Тип разраб-ой док-ции'!$J$3=1),ROUNDUP(IF($F$5 =1,AI11,IF($F$5=2,AJ11,IF($F$5 =3,AK11,"-")))/8,2),"-")</f>
        <v>#REF!</v>
      </c>
      <c r="L18" s="1574" t="e">
        <f>IF(AND(A18=TRUE,'Тип разраб-ой док-ции'!$J$2=1),ROUNDUP(IF($F$5 =1,AL11,IF($F$5=2,AM11,IF($F$5 =3,AN11,"-")))/8,2),"-")</f>
        <v>#REF!</v>
      </c>
      <c r="M18" s="1575" t="e">
        <f>IF(AND(A18=TRUE,'Тип разраб-ой док-ции'!$J$5=1),ROUNDUP(IF($F$5 =1,AO11,IF($F$5=2,AP11,IF($F$5 =3,AQ11,"-")))/8,2),"-")</f>
        <v>#REF!</v>
      </c>
      <c r="N18" s="536">
        <f>SUM('Итоговый расчет АСУТП'!DC4:DC41)</f>
        <v>0</v>
      </c>
      <c r="O18" s="297" t="str">
        <f>'МСЭ АСУТП'!$E$2</f>
        <v>МЭ Кол-во серверов управления</v>
      </c>
      <c r="P18" s="298">
        <f>G13</f>
        <v>0</v>
      </c>
      <c r="Q18" s="216"/>
      <c r="R18" s="75" t="s">
        <v>75</v>
      </c>
      <c r="S18" s="63" t="s">
        <v>5</v>
      </c>
      <c r="T18" s="391">
        <f>ROUNDUP('Итоговый расчет АСУТП'!EZ11/8,2)</f>
        <v>0</v>
      </c>
      <c r="U18" s="216"/>
      <c r="AA18">
        <v>1</v>
      </c>
      <c r="AE18" s="83" t="e">
        <f>IF(A26,MATCH(C26,'Документы АСУТП'!$E$3:$CU$3,0),"") + 4</f>
        <v>#VALUE!</v>
      </c>
      <c r="AF18" t="e">
        <f t="shared" ca="1" si="12"/>
        <v>#VALUE!</v>
      </c>
      <c r="AG18" t="e">
        <f t="shared" ca="1" si="13"/>
        <v>#VALUE!</v>
      </c>
      <c r="AH18" t="e">
        <f t="shared" ca="1" si="14"/>
        <v>#VALUE!</v>
      </c>
      <c r="AI18" t="e">
        <f t="shared" ca="1" si="15"/>
        <v>#VALUE!</v>
      </c>
      <c r="AJ18" t="e">
        <f t="shared" ca="1" si="16"/>
        <v>#VALUE!</v>
      </c>
      <c r="AK18" t="e">
        <f t="shared" ca="1" si="17"/>
        <v>#VALUE!</v>
      </c>
      <c r="AL18" t="e">
        <f t="shared" ca="1" si="18"/>
        <v>#VALUE!</v>
      </c>
      <c r="AM18" t="e">
        <f t="shared" ca="1" si="19"/>
        <v>#VALUE!</v>
      </c>
      <c r="AN18" t="e">
        <f t="shared" ca="1" si="20"/>
        <v>#VALUE!</v>
      </c>
      <c r="AO18" t="e">
        <f t="shared" ca="1" si="21"/>
        <v>#VALUE!</v>
      </c>
      <c r="AP18" t="e">
        <f t="shared" ca="1" si="22"/>
        <v>#VALUE!</v>
      </c>
      <c r="AQ18" t="e">
        <f t="shared" ca="1" si="23"/>
        <v>#VALUE!</v>
      </c>
    </row>
    <row r="19" spans="1:43" x14ac:dyDescent="0.25">
      <c r="A19" s="841" t="b">
        <v>0</v>
      </c>
      <c r="B19" s="67" t="str">
        <f>IF(A19, "НСД","")</f>
        <v/>
      </c>
      <c r="C19" s="65"/>
      <c r="D19" s="111" t="str">
        <f ca="1">IF(A19,INDIRECT(ADDRESS(2,MATCH(C19,'НСД АСУТП'!1:1),1,1,"НСД АСУТП")),"")</f>
        <v/>
      </c>
      <c r="E19" s="64"/>
      <c r="F19" s="116" t="str">
        <f ca="1">IF(A19,INDIRECT(ADDRESS(2,MATCH(C19,'НСД АСУТП'!1:1)+1,1,1,"НСД АСУТП")),"")</f>
        <v/>
      </c>
      <c r="G19" s="64"/>
      <c r="H19" s="113" t="str">
        <f ca="1">IF(A19,INDIRECT(ADDRESS(2,MATCH(C19,'НСД АСУТП'!1:1)+2,1,1,"НСД АСУТП")),"")</f>
        <v/>
      </c>
      <c r="I19" s="92"/>
      <c r="J19" s="1572" t="e">
        <f>IF(AND(A19=TRUE,'Тип разраб-ой док-ции'!$J$4=1),ROUNDUP(IF($F$5 =1,AF33,IF($F$5=2,AG33,IF($F$5 =3,AH33,"-")))/8,2),"-")</f>
        <v>#REF!</v>
      </c>
      <c r="K19" s="1573" t="e">
        <f>IF(AND(A19=TRUE,'Тип разраб-ой док-ции'!$J$3=1),ROUNDUP(IF($F$5 =1,AI33,IF($F$5=2,AJ33,IF($F$5 =3,AK33,"-")))/8,2),"-")</f>
        <v>#REF!</v>
      </c>
      <c r="L19" s="1574" t="e">
        <f>IF(AND(A19=TRUE,'Тип разраб-ой док-ции'!$J$2=1),ROUNDUP(IF($F$5 =1,AL33,IF($F$5=2,AM33,IF($F$5 =3,AN33,"-")))/8,2),"-")</f>
        <v>#REF!</v>
      </c>
      <c r="M19" s="1575" t="e">
        <f>IF(AND(A19=TRUE,'Тип разраб-ой док-ции'!$J$5=1),ROUNDUP(IF($F$5 =1,AO33,IF($F$5=2,AP33,IF($F$5 =3,AQ33,"-")))/8,2),"-")</f>
        <v>#REF!</v>
      </c>
      <c r="N19" s="536">
        <f>SUM('Итоговый расчет АСУТП'!DE3:DE40)</f>
        <v>0</v>
      </c>
      <c r="O19" s="297" t="str">
        <f>'МСЭ АСУТП'!$F$2</f>
        <v>МЭ Кол-во модулей</v>
      </c>
      <c r="P19" s="298">
        <f>I13</f>
        <v>0</v>
      </c>
      <c r="Q19" s="216"/>
      <c r="R19" s="75">
        <v>1</v>
      </c>
      <c r="S19" s="63" t="s">
        <v>6</v>
      </c>
      <c r="T19" s="391" t="e">
        <f>ROUNDUP('Итоговый расчет АСУТП'!EZ12/8,2)</f>
        <v>#REF!</v>
      </c>
      <c r="U19" s="216"/>
      <c r="AA19">
        <v>0</v>
      </c>
      <c r="AE19" s="83" t="e">
        <f>IF(A27,MATCH(C27,'Документы АСУТП'!$E$3:$CU$3,0),"") + 4</f>
        <v>#VALUE!</v>
      </c>
      <c r="AF19" t="e">
        <f t="shared" ca="1" si="12"/>
        <v>#VALUE!</v>
      </c>
      <c r="AG19" t="e">
        <f t="shared" ca="1" si="13"/>
        <v>#VALUE!</v>
      </c>
      <c r="AH19" t="e">
        <f t="shared" ca="1" si="14"/>
        <v>#VALUE!</v>
      </c>
      <c r="AI19" t="e">
        <f t="shared" ca="1" si="15"/>
        <v>#VALUE!</v>
      </c>
      <c r="AJ19" t="e">
        <f t="shared" ca="1" si="16"/>
        <v>#VALUE!</v>
      </c>
      <c r="AK19" t="e">
        <f t="shared" ca="1" si="17"/>
        <v>#VALUE!</v>
      </c>
      <c r="AL19" t="e">
        <f t="shared" ca="1" si="18"/>
        <v>#VALUE!</v>
      </c>
      <c r="AM19" t="e">
        <f t="shared" ca="1" si="19"/>
        <v>#VALUE!</v>
      </c>
      <c r="AN19" t="e">
        <f t="shared" ca="1" si="20"/>
        <v>#VALUE!</v>
      </c>
      <c r="AO19" t="e">
        <f t="shared" ca="1" si="21"/>
        <v>#VALUE!</v>
      </c>
      <c r="AP19" t="e">
        <f t="shared" ca="1" si="22"/>
        <v>#VALUE!</v>
      </c>
      <c r="AQ19" t="e">
        <f t="shared" ca="1" si="23"/>
        <v>#VALUE!</v>
      </c>
    </row>
    <row r="20" spans="1:43" x14ac:dyDescent="0.25">
      <c r="A20" s="841" t="b">
        <v>0</v>
      </c>
      <c r="B20" s="67" t="str">
        <f>IF(A20, "АПДМЗ","")</f>
        <v/>
      </c>
      <c r="C20" s="65"/>
      <c r="D20" s="111" t="str">
        <f ca="1">IF(A20,INDIRECT(ADDRESS(2,MATCH(C20,'АПМДЗ АСУТП'!1:1),1,1,"АПМДЗ АСУТП")),"")</f>
        <v/>
      </c>
      <c r="E20" s="64"/>
      <c r="F20" s="116" t="str">
        <f ca="1">IF(A20,INDIRECT(ADDRESS(2,MATCH(C20,'АПМДЗ АСУТП'!1:1)+1,1,1,"АПМДЗ АСУТП")),"")</f>
        <v/>
      </c>
      <c r="G20" s="64"/>
      <c r="H20" s="113" t="str">
        <f ca="1">IF(A20,INDIRECT(ADDRESS(2,MATCH(C20,'АПМДЗ АСУТП'!1:1)+2,1,1,"АПМДЗ АСУТП")),"")</f>
        <v/>
      </c>
      <c r="I20" s="92"/>
      <c r="J20" s="1572" t="e">
        <f>IF(AND(A20=TRUE,'Тип разраб-ой док-ции'!$J$4=1),ROUNDUP(IF($F$5 =1,AF12,IF($F$5=2,AG12,IF($F$5 =3,AH12,"-")))/8,2),"-")</f>
        <v>#REF!</v>
      </c>
      <c r="K20" s="1573" t="e">
        <f>IF(AND(A20=TRUE,'Тип разраб-ой док-ции'!$J$3=1),ROUNDUP(IF($F$5 =1,AI12,IF($F$5=2,AJ12,IF($F$5 =3,AK12,"-")))/8,2),"-")</f>
        <v>#REF!</v>
      </c>
      <c r="L20" s="1574" t="e">
        <f>IF(AND(A20=TRUE,'Тип разраб-ой док-ции'!$J$2=1),ROUNDUP(IF($F$5 =1,AL12,IF($F$5=2,AM12,IF($F$5 =3,AN12,"-")))/8,2),"-")</f>
        <v>#REF!</v>
      </c>
      <c r="M20" s="1575" t="e">
        <f>IF(AND(A20=TRUE,'Тип разраб-ой док-ции'!$J$5=1),ROUNDUP(IF($F$5 =1,AO12,IF($F$5=2,AP12,IF($F$5 =3,AQ12,"-")))/8,2),"-")</f>
        <v>#REF!</v>
      </c>
      <c r="N20" s="536">
        <f>SUM('Итоговый расчет АСУТП'!DG3:DG40)</f>
        <v>0</v>
      </c>
      <c r="O20" s="297" t="str">
        <f>'PAM АСУТП'!$D$2</f>
        <v>PAM Кол-во инсталляций</v>
      </c>
      <c r="P20" s="298">
        <f>E14</f>
        <v>0</v>
      </c>
      <c r="Q20" s="216"/>
      <c r="R20" s="75">
        <v>1</v>
      </c>
      <c r="S20" s="63" t="s">
        <v>7</v>
      </c>
      <c r="T20" s="391" t="e">
        <f>ROUNDUP('Итоговый расчет АСУТП'!EZ13/8,2)</f>
        <v>#REF!</v>
      </c>
      <c r="U20" s="216"/>
      <c r="AA20">
        <v>1</v>
      </c>
      <c r="AE20" s="83" t="e">
        <f>IF(A28,MATCH(C28,'Документы АСУТП'!$E$3:$CU$3,0),"") + 4</f>
        <v>#VALUE!</v>
      </c>
      <c r="AF20" t="e">
        <f t="shared" ca="1" si="12"/>
        <v>#VALUE!</v>
      </c>
      <c r="AG20" t="e">
        <f t="shared" ca="1" si="13"/>
        <v>#VALUE!</v>
      </c>
      <c r="AH20" t="e">
        <f t="shared" ca="1" si="14"/>
        <v>#VALUE!</v>
      </c>
      <c r="AI20" t="e">
        <f t="shared" ca="1" si="15"/>
        <v>#VALUE!</v>
      </c>
      <c r="AJ20" t="e">
        <f t="shared" ca="1" si="16"/>
        <v>#VALUE!</v>
      </c>
      <c r="AK20" t="e">
        <f t="shared" ca="1" si="17"/>
        <v>#VALUE!</v>
      </c>
      <c r="AL20" t="e">
        <f t="shared" ca="1" si="18"/>
        <v>#VALUE!</v>
      </c>
      <c r="AM20" t="e">
        <f t="shared" ca="1" si="19"/>
        <v>#VALUE!</v>
      </c>
      <c r="AN20" t="e">
        <f t="shared" ca="1" si="20"/>
        <v>#VALUE!</v>
      </c>
      <c r="AO20" t="e">
        <f t="shared" ca="1" si="21"/>
        <v>#VALUE!</v>
      </c>
      <c r="AP20" t="e">
        <f t="shared" ca="1" si="22"/>
        <v>#VALUE!</v>
      </c>
      <c r="AQ20" t="e">
        <f t="shared" ca="1" si="23"/>
        <v>#VALUE!</v>
      </c>
    </row>
    <row r="21" spans="1:43" x14ac:dyDescent="0.25">
      <c r="A21" s="841" t="b">
        <v>0</v>
      </c>
      <c r="B21" s="67" t="str">
        <f>IF(A21, "MFA","")</f>
        <v/>
      </c>
      <c r="C21" s="65"/>
      <c r="D21" s="111" t="str">
        <f ca="1">IF(A21,INDIRECT(ADDRESS(2,MATCH(C21,'MFA АСУТП'!1:1,0),1,1,"MFA АСУТП")),"")</f>
        <v/>
      </c>
      <c r="E21" s="64"/>
      <c r="F21" s="116" t="str">
        <f ca="1">IF(A21,INDIRECT(ADDRESS(2,MATCH(C21,'MFA АСУТП'!1:1,0)+1,1,1,"MFA АСУТП")),"")</f>
        <v/>
      </c>
      <c r="G21" s="64"/>
      <c r="H21" s="113" t="str">
        <f ca="1">IF(A21,INDIRECT(ADDRESS(2,MATCH(C21,'MFA АСУТП'!1:1,0)+2,1,1,"MFA АСУТП")),"")</f>
        <v/>
      </c>
      <c r="I21" s="92"/>
      <c r="J21" s="1572" t="e">
        <f>IF(AND(A21=TRUE,'Тип разраб-ой док-ции'!$J$4=1),ROUNDUP(IF($F$5 =1,AF13,IF($F$5=2,AG13,IF($F$5 =3,AH13,"-")))/8,2),"-")</f>
        <v>#REF!</v>
      </c>
      <c r="K21" s="1573" t="e">
        <f>IF(AND(A21=TRUE,'Тип разраб-ой док-ции'!$J$3=1),ROUNDUP(IF($F$5 =1,AI13,IF($F$5=2,AJ13,IF($F$5 =3,AK13,"-")))/8,2),"-")</f>
        <v>#REF!</v>
      </c>
      <c r="L21" s="1574" t="e">
        <f>IF(AND(A21=TRUE,'Тип разраб-ой док-ции'!$J$2=1),ROUNDUP(IF($F$5 =1,AL13,IF($F$5=2,AM13,IF($F$5 =3,AN13,"-")))/8,2),"-")</f>
        <v>#REF!</v>
      </c>
      <c r="M21" s="1575" t="e">
        <f>IF(AND(A21=TRUE,'Тип разраб-ой док-ции'!$J$5=1),ROUNDUP(IF($F$5 =1,AO13,IF($F$5=2,AP13,IF($F$5 =3,AQ13,"-")))/8,2),"-")</f>
        <v>#REF!</v>
      </c>
      <c r="N21" s="536">
        <f>SUM('Итоговый расчет АСУТП'!DI4:DI41)</f>
        <v>0</v>
      </c>
      <c r="O21" s="297" t="str">
        <f>'PAM АСУТП'!$E$2</f>
        <v>PAM Кол-во типов протоколов подключения</v>
      </c>
      <c r="P21" s="298">
        <f>G14</f>
        <v>0</v>
      </c>
      <c r="Q21" s="216"/>
      <c r="R21" s="75">
        <v>1</v>
      </c>
      <c r="S21" s="63" t="s">
        <v>8</v>
      </c>
      <c r="T21" s="391" t="e">
        <f>ROUNDUP('Итоговый расчет АСУТП'!EZ14/8,2)</f>
        <v>#REF!</v>
      </c>
      <c r="U21" s="216"/>
      <c r="AA21">
        <v>0</v>
      </c>
      <c r="AE21" s="83" t="e">
        <f>IF(A29,MATCH(C29,'Документы АСУТП'!$E$3:$CU$3,0),"") + 4</f>
        <v>#VALUE!</v>
      </c>
      <c r="AF21" t="e">
        <f t="shared" ca="1" si="12"/>
        <v>#VALUE!</v>
      </c>
      <c r="AG21" t="e">
        <f t="shared" ca="1" si="13"/>
        <v>#VALUE!</v>
      </c>
      <c r="AH21" t="e">
        <f t="shared" ca="1" si="14"/>
        <v>#VALUE!</v>
      </c>
      <c r="AI21" t="e">
        <f t="shared" ca="1" si="15"/>
        <v>#VALUE!</v>
      </c>
      <c r="AJ21" t="e">
        <f t="shared" ca="1" si="16"/>
        <v>#VALUE!</v>
      </c>
      <c r="AK21" t="e">
        <f t="shared" ca="1" si="17"/>
        <v>#VALUE!</v>
      </c>
      <c r="AL21" t="e">
        <f t="shared" ca="1" si="18"/>
        <v>#VALUE!</v>
      </c>
      <c r="AM21" t="e">
        <f t="shared" ca="1" si="19"/>
        <v>#VALUE!</v>
      </c>
      <c r="AN21" t="e">
        <f t="shared" ca="1" si="20"/>
        <v>#VALUE!</v>
      </c>
      <c r="AO21" t="e">
        <f t="shared" ca="1" si="21"/>
        <v>#VALUE!</v>
      </c>
      <c r="AP21" t="e">
        <f t="shared" ca="1" si="22"/>
        <v>#VALUE!</v>
      </c>
      <c r="AQ21" t="e">
        <f t="shared" ca="1" si="23"/>
        <v>#VALUE!</v>
      </c>
    </row>
    <row r="22" spans="1:43" x14ac:dyDescent="0.25">
      <c r="A22" s="841" t="b">
        <v>0</v>
      </c>
      <c r="B22" s="67" t="str">
        <f>IF(A22, "ДИОД","")</f>
        <v/>
      </c>
      <c r="C22" s="263"/>
      <c r="D22" s="111" t="str">
        <f ca="1">IF(A22,INDIRECT(ADDRESS(2,MATCH(C22,'ДИОД АСУТП'!1:1,0),1,1,"ДИОД АСУТП")),"")</f>
        <v/>
      </c>
      <c r="E22" s="64"/>
      <c r="F22" s="116" t="str">
        <f ca="1">IF(A22,INDIRECT(ADDRESS(2,MATCH(C22,'ДИОД АСУТП'!1:1,0)+1,1,1,"ДИОД АСУТП")),"")</f>
        <v/>
      </c>
      <c r="G22" s="64"/>
      <c r="H22" s="113" t="str">
        <f ca="1">IF(A22,INDIRECT(ADDRESS(2,MATCH(C22,'ДИОД АСУТП'!1:1,0)+2,1,1,"ДИОД АСУТП")),"")</f>
        <v/>
      </c>
      <c r="I22" s="92"/>
      <c r="J22" s="1572" t="e">
        <f>IF(AND(A22=TRUE,'Тип разраб-ой док-ции'!$J$4=1),ROUNDUP(IF($F$5 =1,AF14,IF($F$5=2,AG14,IF($F$5 =3,AH14,"-")))/8,2),"-")</f>
        <v>#REF!</v>
      </c>
      <c r="K22" s="1573" t="e">
        <f>IF(AND(A22=TRUE,'Тип разраб-ой док-ции'!$J$3=1),ROUNDUP(IF($F$5 =1,AI14,IF($F$5=2,AJ14,IF($F$5 =3,AK14,"-")))/8,2),"-")</f>
        <v>#REF!</v>
      </c>
      <c r="L22" s="1574" t="e">
        <f>IF(AND(A22=TRUE,'Тип разраб-ой док-ции'!$J$2=1),ROUNDUP(IF($F$5 =1,AL14,IF($F$5=2,AM14,IF($F$5 =3,AN14,"-")))/8,2),"-")</f>
        <v>#REF!</v>
      </c>
      <c r="M22" s="1575" t="e">
        <f>IF(AND(A22=TRUE,'Тип разраб-ой док-ции'!$J$5=1),ROUNDUP(IF($F$5 =1,AO14,IF($F$5=2,AP14,IF($F$5 =3,AQ14,"-")))/8,2),"-")</f>
        <v>#REF!</v>
      </c>
      <c r="N22" s="536">
        <f>SUM('Итоговый расчет АСУТП'!DK4:DK41)</f>
        <v>0</v>
      </c>
      <c r="O22" s="297" t="str">
        <f>'PAM АСУТП'!$F$2</f>
        <v>PAM Неиспользуемый параметр</v>
      </c>
      <c r="P22" s="298">
        <f>I14</f>
        <v>0</v>
      </c>
      <c r="Q22" s="216"/>
      <c r="R22" s="75">
        <v>1</v>
      </c>
      <c r="S22" s="63" t="s">
        <v>9</v>
      </c>
      <c r="T22" s="391" t="e">
        <f>ROUNDUP('Итоговый расчет АСУТП'!EZ15/8,2)</f>
        <v>#REF!</v>
      </c>
      <c r="U22" s="216"/>
      <c r="AA22">
        <v>1</v>
      </c>
      <c r="AE22" s="83" t="e">
        <f>IF(A30,MATCH(C30,'Документы АСУТП'!$E$3:$CU$3,0),"") + 4</f>
        <v>#VALUE!</v>
      </c>
      <c r="AF22" t="e">
        <f t="shared" ca="1" si="12"/>
        <v>#VALUE!</v>
      </c>
      <c r="AG22" t="e">
        <f t="shared" ca="1" si="13"/>
        <v>#VALUE!</v>
      </c>
      <c r="AH22" t="e">
        <f t="shared" ca="1" si="14"/>
        <v>#VALUE!</v>
      </c>
      <c r="AI22" t="e">
        <f t="shared" ca="1" si="15"/>
        <v>#VALUE!</v>
      </c>
      <c r="AJ22" t="e">
        <f t="shared" ca="1" si="16"/>
        <v>#VALUE!</v>
      </c>
      <c r="AK22" t="e">
        <f t="shared" ca="1" si="17"/>
        <v>#VALUE!</v>
      </c>
      <c r="AL22" t="e">
        <f t="shared" ca="1" si="18"/>
        <v>#VALUE!</v>
      </c>
      <c r="AM22" t="e">
        <f t="shared" ca="1" si="19"/>
        <v>#VALUE!</v>
      </c>
      <c r="AN22" t="e">
        <f t="shared" ca="1" si="20"/>
        <v>#VALUE!</v>
      </c>
      <c r="AO22" t="e">
        <f t="shared" ca="1" si="21"/>
        <v>#VALUE!</v>
      </c>
      <c r="AP22" t="e">
        <f t="shared" ca="1" si="22"/>
        <v>#VALUE!</v>
      </c>
      <c r="AQ22" t="e">
        <f t="shared" ca="1" si="23"/>
        <v>#VALUE!</v>
      </c>
    </row>
    <row r="23" spans="1:43" x14ac:dyDescent="0.25">
      <c r="A23" s="841" t="b">
        <v>0</v>
      </c>
      <c r="B23" s="67" t="str">
        <f>IF(A23, "СЗВ","")</f>
        <v/>
      </c>
      <c r="C23" s="65"/>
      <c r="D23" s="111" t="str">
        <f ca="1">IF(A23,INDIRECT(ADDRESS(2,MATCH(C23,'СЗВ АСУТП'!1:1),1,1,"СЗВ АСУТП")),"")</f>
        <v/>
      </c>
      <c r="E23" s="64"/>
      <c r="F23" s="116" t="str">
        <f ca="1">IF(A23,INDIRECT(ADDRESS(2,MATCH(C23,'СЗВ АСУТП'!1:1)+1,1,1,"СЗВ АСУТП")),"")</f>
        <v/>
      </c>
      <c r="G23" s="64"/>
      <c r="H23" s="113" t="str">
        <f ca="1">IF(A23,INDIRECT(ADDRESS(2,MATCH(C23,'СЗВ АСУТП'!1:1)+2,1,1,"СЗВ АСУТП")),"")</f>
        <v/>
      </c>
      <c r="I23" s="92"/>
      <c r="J23" s="1572" t="e">
        <f>IF(AND(A23=TRUE,'Тип разраб-ой док-ции'!$J$4=1),ROUNDUP(IF($F$5 =1,AF15,IF($F$5=2,AG15,IF($F$5 =3,AH15,"-")))/8,2),"-")</f>
        <v>#REF!</v>
      </c>
      <c r="K23" s="1573" t="e">
        <f>IF(AND(A23=TRUE,'Тип разраб-ой док-ции'!$J$3=1),ROUNDUP(IF($F$5 =1,AI15,IF($F$5=2,AJ15,IF($F$5 =3,AK15,"-")))/8,2),"-")</f>
        <v>#REF!</v>
      </c>
      <c r="L23" s="1574" t="e">
        <f>IF(AND(A23=TRUE,'Тип разраб-ой док-ции'!$J$2=1),ROUNDUP(IF($F$5 =1,AL15,IF($F$5=2,AM15,IF($F$5 =3,AN15,"-")))/8,2),"-")</f>
        <v>#REF!</v>
      </c>
      <c r="M23" s="1575" t="e">
        <f>IF(AND(A23=TRUE,'Тип разраб-ой док-ции'!$J$5=1),ROUNDUP(IF($F$5 =1,AO15,IF($F$5=2,AP15,IF($F$5 =3,AQ15,"-")))/8,2),"-")</f>
        <v>#REF!</v>
      </c>
      <c r="N23" s="536">
        <f>SUM('Итоговый расчет АСУТП'!DM4:DM41)</f>
        <v>0</v>
      </c>
      <c r="O23" s="297" t="str">
        <f>'СКЗИ АСУТП'!D$2</f>
        <v>СКЗИ Количество площадок</v>
      </c>
      <c r="P23" s="298">
        <f>E15</f>
        <v>0</v>
      </c>
      <c r="Q23" s="216"/>
      <c r="R23" s="75">
        <v>1</v>
      </c>
      <c r="S23" s="63" t="s">
        <v>10</v>
      </c>
      <c r="T23" s="391" t="e">
        <f>ROUNDUP('Итоговый расчет АСУТП'!EZ16/8,2)</f>
        <v>#REF!</v>
      </c>
      <c r="U23" s="216"/>
      <c r="AA23">
        <v>0</v>
      </c>
      <c r="AE23" s="83" t="e">
        <f>IF(A31,MATCH(C31,'Документы АСУТП'!$E$3:$CU$3,0),"") + 4</f>
        <v>#VALUE!</v>
      </c>
      <c r="AF23" t="e">
        <f t="shared" ca="1" si="12"/>
        <v>#VALUE!</v>
      </c>
      <c r="AG23" t="e">
        <f t="shared" ca="1" si="13"/>
        <v>#VALUE!</v>
      </c>
      <c r="AH23" t="e">
        <f t="shared" ca="1" si="14"/>
        <v>#VALUE!</v>
      </c>
      <c r="AI23" t="e">
        <f t="shared" ca="1" si="15"/>
        <v>#VALUE!</v>
      </c>
      <c r="AJ23" t="e">
        <f t="shared" ca="1" si="16"/>
        <v>#VALUE!</v>
      </c>
      <c r="AK23" t="e">
        <f t="shared" ca="1" si="17"/>
        <v>#VALUE!</v>
      </c>
      <c r="AL23" t="e">
        <f t="shared" ca="1" si="18"/>
        <v>#VALUE!</v>
      </c>
      <c r="AM23" t="e">
        <f t="shared" ca="1" si="19"/>
        <v>#VALUE!</v>
      </c>
      <c r="AN23" t="e">
        <f t="shared" ca="1" si="20"/>
        <v>#VALUE!</v>
      </c>
      <c r="AO23" t="e">
        <f t="shared" ca="1" si="21"/>
        <v>#VALUE!</v>
      </c>
      <c r="AP23" t="e">
        <f t="shared" ca="1" si="22"/>
        <v>#VALUE!</v>
      </c>
      <c r="AQ23" t="e">
        <f t="shared" ca="1" si="23"/>
        <v>#VALUE!</v>
      </c>
    </row>
    <row r="24" spans="1:43" x14ac:dyDescent="0.25">
      <c r="A24" s="841" t="b">
        <v>0</v>
      </c>
      <c r="B24" s="67" t="str">
        <f>IF(A24, "SOAR/IRP+SGRC","")</f>
        <v/>
      </c>
      <c r="C24" s="65"/>
      <c r="D24" s="111" t="str">
        <f ca="1">IF(A24,INDIRECT(ADDRESS(2,MATCH(C24,'SOAR АСУТП'!1:1),1,1,"SOAR АСУТП")),"")</f>
        <v/>
      </c>
      <c r="E24" s="64"/>
      <c r="F24" s="116" t="str">
        <f ca="1">IF(A24,INDIRECT(ADDRESS(2,MATCH(C24,'SOAR АСУТП'!1:1)+1,1,1,"SOAR АСУТП")),"")</f>
        <v/>
      </c>
      <c r="G24" s="64"/>
      <c r="H24" s="113" t="str">
        <f ca="1">IF(A24,INDIRECT(ADDRESS(2,MATCH(C24,'SOAR АСУТП'!1:1)+2,1,1,"SOAR АСУТП")),"")</f>
        <v/>
      </c>
      <c r="I24" s="92"/>
      <c r="J24" s="1572" t="e">
        <f>IF(AND(A24=TRUE,'Тип разраб-ой док-ции'!$J$4=1),ROUNDUP(IF($F$5 =1,AF16,IF($F$5=2,AG16,IF($F$5 =3,AH16,"-")))/8,2),"-")</f>
        <v>#REF!</v>
      </c>
      <c r="K24" s="1573" t="e">
        <f>IF(AND(A24=TRUE,'Тип разраб-ой док-ции'!$J$3=1),ROUNDUP(IF($F$5 =1,AI16,IF($F$5=2,AJ16,IF($F$5 =3,AK16,"-")))/8,2),"-")</f>
        <v>#REF!</v>
      </c>
      <c r="L24" s="1574" t="e">
        <f>IF(AND(A24=TRUE,'Тип разраб-ой док-ции'!$J$2=1),ROUNDUP(IF($F$5 =1,AL16,IF($F$5=2,AM16,IF($F$5 =3,AN16,"-")))/8,2),"-")</f>
        <v>#REF!</v>
      </c>
      <c r="M24" s="1575" t="e">
        <f>IF(AND(A24=TRUE,'Тип разраб-ой док-ции'!$J$5=1),ROUNDUP(IF($F$5 =1,AO16,IF($F$5=2,AP16,IF($F$5 =3,AQ16,"-")))/8,2),"-")</f>
        <v>#REF!</v>
      </c>
      <c r="N24" s="536" t="e">
        <f>SUM('Итоговый расчет АСУТП'!DO4:DO41)</f>
        <v>#REF!</v>
      </c>
      <c r="O24" s="297" t="str">
        <f>'СКЗИ АСУТП'!E$2</f>
        <v>СКЗИ Кол-во ЦУС</v>
      </c>
      <c r="P24" s="298">
        <f>G15</f>
        <v>0</v>
      </c>
      <c r="Q24" s="216"/>
      <c r="R24" s="89"/>
      <c r="S24" s="71" t="s">
        <v>105</v>
      </c>
      <c r="T24" s="70"/>
      <c r="U24" s="216"/>
      <c r="AA24">
        <v>0</v>
      </c>
      <c r="AE24" s="83" t="e">
        <f>IF(A32,MATCH(C32,'Документы АСУТП'!$E$3:$CU$3,0),"") + 4</f>
        <v>#VALUE!</v>
      </c>
      <c r="AF24" t="e">
        <f t="shared" ca="1" si="12"/>
        <v>#VALUE!</v>
      </c>
      <c r="AG24" t="e">
        <f t="shared" ca="1" si="13"/>
        <v>#VALUE!</v>
      </c>
      <c r="AH24" t="e">
        <f t="shared" ca="1" si="14"/>
        <v>#VALUE!</v>
      </c>
      <c r="AI24" t="e">
        <f t="shared" ca="1" si="15"/>
        <v>#VALUE!</v>
      </c>
      <c r="AJ24" t="e">
        <f t="shared" ca="1" si="16"/>
        <v>#VALUE!</v>
      </c>
      <c r="AK24" t="e">
        <f t="shared" ca="1" si="17"/>
        <v>#VALUE!</v>
      </c>
      <c r="AL24" t="e">
        <f t="shared" ca="1" si="18"/>
        <v>#VALUE!</v>
      </c>
      <c r="AM24" t="e">
        <f t="shared" ca="1" si="19"/>
        <v>#VALUE!</v>
      </c>
      <c r="AN24" t="e">
        <f t="shared" ca="1" si="20"/>
        <v>#VALUE!</v>
      </c>
      <c r="AO24" t="e">
        <f t="shared" ca="1" si="21"/>
        <v>#VALUE!</v>
      </c>
      <c r="AP24" t="e">
        <f t="shared" ca="1" si="22"/>
        <v>#VALUE!</v>
      </c>
      <c r="AQ24" t="e">
        <f t="shared" ca="1" si="23"/>
        <v>#VALUE!</v>
      </c>
    </row>
    <row r="25" spans="1:43" x14ac:dyDescent="0.25">
      <c r="A25" s="841" t="b">
        <v>0</v>
      </c>
      <c r="B25" s="67" t="str">
        <f>IF(A25, "Виртуализация рабочих мест (VDI)","")</f>
        <v/>
      </c>
      <c r="C25" s="65"/>
      <c r="D25" s="111" t="str">
        <f ca="1">IF(A25,INDIRECT(ADDRESS(2,MATCH(C25,'VDI АСУТП'!1:1,0),1,1,"VDI АСУТП")),"")</f>
        <v/>
      </c>
      <c r="E25" s="64"/>
      <c r="F25" s="116" t="str">
        <f ca="1">IF(A25,INDIRECT(ADDRESS(2,MATCH(C25,'VDI АСУТП'!1:1,0)+1,1,1,"VDI АСУТП")),"")</f>
        <v/>
      </c>
      <c r="G25" s="64"/>
      <c r="H25" s="113" t="str">
        <f ca="1">IF(A25,INDIRECT(ADDRESS(2,MATCH(C25,'VDI АСУТП'!1:1,0)+2,1,1,"VDI АСУТП")),"")</f>
        <v/>
      </c>
      <c r="I25" s="92"/>
      <c r="J25" s="1572" t="e">
        <f>IF(AND(A25=TRUE,'Тип разраб-ой док-ции'!$J$4=1),ROUNDUP(IF($F$5 =1,AF17,IF($F$5=2,AG17,IF($F$5 =3,AH17,"-")))/8,2),"-")</f>
        <v>#REF!</v>
      </c>
      <c r="K25" s="1573" t="e">
        <f>IF(AND(A25=TRUE,'Тип разраб-ой док-ции'!$J$3=1),ROUNDUP(IF($F$5 =1,AI17,IF($F$5=2,AJ17,IF($F$5 =3,AK17,"-")))/8,2),"-")</f>
        <v>#REF!</v>
      </c>
      <c r="L25" s="1574" t="e">
        <f>IF(AND(A25=TRUE,'Тип разраб-ой док-ции'!$J$2=1),ROUNDUP(IF($F$5 =1,AL17,IF($F$5=2,AM17,IF($F$5 =3,AN17,"-")))/8,2),"-")</f>
        <v>#REF!</v>
      </c>
      <c r="M25" s="1575" t="e">
        <f>IF(AND(A25=TRUE,'Тип разраб-ой док-ции'!$J$5=1),ROUNDUP(IF($F$5 =1,AO17,IF($F$5=2,AP17,IF($F$5 =3,AQ17,"-")))/8,2),"-")</f>
        <v>#REF!</v>
      </c>
      <c r="N25" s="536">
        <f>SUM('Итоговый расчет АСУТП'!DQ4:DQ41)</f>
        <v>0</v>
      </c>
      <c r="O25" s="297" t="str">
        <f>'СКЗИ АСУТП'!F$2</f>
        <v>СКЗИ Количество пользователей</v>
      </c>
      <c r="P25" s="298">
        <f>I15</f>
        <v>0</v>
      </c>
      <c r="Q25" s="216"/>
      <c r="R25" s="75" t="s">
        <v>75</v>
      </c>
      <c r="S25" s="63" t="s">
        <v>6</v>
      </c>
      <c r="T25" s="391">
        <f>ROUNDUP('Итоговый расчет АСУТП'!EZ18/8,2)</f>
        <v>0</v>
      </c>
      <c r="U25" s="216"/>
      <c r="AA25">
        <v>1</v>
      </c>
      <c r="AE25" s="83" t="e">
        <f>IF(A33,MATCH(C33,'Документы АСУТП'!$E$3:$CU$3,0),"") + 4</f>
        <v>#VALUE!</v>
      </c>
      <c r="AF25" t="e">
        <f t="shared" ca="1" si="12"/>
        <v>#VALUE!</v>
      </c>
      <c r="AG25" t="e">
        <f t="shared" ca="1" si="13"/>
        <v>#VALUE!</v>
      </c>
      <c r="AH25" t="e">
        <f t="shared" ca="1" si="14"/>
        <v>#VALUE!</v>
      </c>
      <c r="AI25" t="e">
        <f t="shared" ca="1" si="15"/>
        <v>#VALUE!</v>
      </c>
      <c r="AJ25" t="e">
        <f t="shared" ca="1" si="16"/>
        <v>#VALUE!</v>
      </c>
      <c r="AK25" t="e">
        <f t="shared" ca="1" si="17"/>
        <v>#VALUE!</v>
      </c>
      <c r="AL25" t="e">
        <f t="shared" ca="1" si="18"/>
        <v>#VALUE!</v>
      </c>
      <c r="AM25" t="e">
        <f t="shared" ca="1" si="19"/>
        <v>#VALUE!</v>
      </c>
      <c r="AN25" t="e">
        <f t="shared" ca="1" si="20"/>
        <v>#VALUE!</v>
      </c>
      <c r="AO25" t="e">
        <f t="shared" ca="1" si="21"/>
        <v>#VALUE!</v>
      </c>
      <c r="AP25" t="e">
        <f t="shared" ca="1" si="22"/>
        <v>#VALUE!</v>
      </c>
      <c r="AQ25" t="e">
        <f t="shared" ca="1" si="23"/>
        <v>#VALUE!</v>
      </c>
    </row>
    <row r="26" spans="1:43" x14ac:dyDescent="0.25">
      <c r="A26" s="841" t="b">
        <v>0</v>
      </c>
      <c r="B26" s="67" t="str">
        <f>IF(A26, "СУБД","")</f>
        <v/>
      </c>
      <c r="C26" s="65"/>
      <c r="D26" s="111" t="str">
        <f ca="1">IF(A26,INDIRECT(ADDRESS(2,MATCH(C26,'СУБД АСУТП'!1:1,0),1,1,"СУБД АСУТП")),"")</f>
        <v/>
      </c>
      <c r="E26" s="64"/>
      <c r="F26" s="116" t="str">
        <f ca="1">IF(A26,INDIRECT(ADDRESS(2,MATCH(C26,'СУБД АСУТП'!1:1,0)+1,1,1,"СУБД АСУТП")),"")</f>
        <v/>
      </c>
      <c r="G26" s="64"/>
      <c r="H26" s="113" t="str">
        <f ca="1">IF(A26,INDIRECT(ADDRESS(2,MATCH(C26,'СУБД АСУТП'!1:1,0)+2,1,1,"СУБД АСУТП")),"")</f>
        <v/>
      </c>
      <c r="I26" s="92"/>
      <c r="J26" s="1572" t="e">
        <f>IF(AND(A26=TRUE,'Тип разраб-ой док-ции'!$J$4=1),ROUNDUP(IF($F$5 =1,AF18,IF($F$5=2,AG18,IF($F$5 =3,AH18,"-")))/8,2),"-")</f>
        <v>#REF!</v>
      </c>
      <c r="K26" s="1573" t="e">
        <f>IF(AND(A26=TRUE,'Тип разраб-ой док-ции'!$J$3=1),ROUNDUP(IF($F$5 =1,AI18,IF($F$5=2,AJ18,IF($F$5 =3,AK18,"-")))/8,2),"-")</f>
        <v>#REF!</v>
      </c>
      <c r="L26" s="1574" t="e">
        <f>IF(AND(A26=TRUE,'Тип разраб-ой док-ции'!$J$2=1),ROUNDUP(IF($F$5 =1,AL18,IF($F$5=2,AM18,IF($F$5 =3,AN18,"-")))/8,2),"-")</f>
        <v>#REF!</v>
      </c>
      <c r="M26" s="1575" t="e">
        <f>IF(AND(A26=TRUE,'Тип разраб-ой док-ции'!$J$5=1),ROUNDUP(IF($F$5 =1,AO18,IF($F$5=2,AP18,IF($F$5 =3,AQ18,"-")))/8,2),"-")</f>
        <v>#REF!</v>
      </c>
      <c r="N26" s="536">
        <f>SUM('Итоговый расчет АСУТП'!DS4:DS41)</f>
        <v>0</v>
      </c>
      <c r="O26" s="297" t="str">
        <f>'АЗ АСУТП'!D$2</f>
        <v>АЗ Кол-во серверных компонентов</v>
      </c>
      <c r="P26" s="298">
        <f>E16</f>
        <v>0</v>
      </c>
      <c r="Q26" s="216"/>
      <c r="R26" s="89"/>
      <c r="S26" s="71" t="s">
        <v>13</v>
      </c>
      <c r="T26" s="70"/>
      <c r="U26" s="216"/>
      <c r="AA26">
        <v>1</v>
      </c>
      <c r="AE26" s="83" t="e">
        <f>IF(A34,MATCH(C34,'Документы АСУТП'!$E$3:$CU$3,0),"") + 4</f>
        <v>#VALUE!</v>
      </c>
      <c r="AF26" t="e">
        <f t="shared" ca="1" si="12"/>
        <v>#VALUE!</v>
      </c>
      <c r="AG26" t="e">
        <f t="shared" ca="1" si="13"/>
        <v>#VALUE!</v>
      </c>
      <c r="AH26" t="e">
        <f t="shared" ca="1" si="14"/>
        <v>#VALUE!</v>
      </c>
      <c r="AI26" t="e">
        <f t="shared" ca="1" si="15"/>
        <v>#VALUE!</v>
      </c>
      <c r="AJ26" t="e">
        <f t="shared" ca="1" si="16"/>
        <v>#VALUE!</v>
      </c>
      <c r="AK26" t="e">
        <f t="shared" ca="1" si="17"/>
        <v>#VALUE!</v>
      </c>
      <c r="AL26" t="e">
        <f t="shared" ca="1" si="18"/>
        <v>#VALUE!</v>
      </c>
      <c r="AM26" t="e">
        <f t="shared" ca="1" si="19"/>
        <v>#VALUE!</v>
      </c>
      <c r="AN26" t="e">
        <f t="shared" ca="1" si="20"/>
        <v>#VALUE!</v>
      </c>
      <c r="AO26" t="e">
        <f t="shared" ca="1" si="21"/>
        <v>#VALUE!</v>
      </c>
      <c r="AP26" t="e">
        <f t="shared" ca="1" si="22"/>
        <v>#VALUE!</v>
      </c>
      <c r="AQ26" t="e">
        <f t="shared" ca="1" si="23"/>
        <v>#VALUE!</v>
      </c>
    </row>
    <row r="27" spans="1:43" x14ac:dyDescent="0.25">
      <c r="A27" s="841" t="b">
        <v>0</v>
      </c>
      <c r="B27" s="67" t="str">
        <f>IF(A27, "Платформа взаимодействия с главным центром ГосСОПКА","")</f>
        <v/>
      </c>
      <c r="C27" s="65"/>
      <c r="D27" s="111" t="str">
        <f ca="1">IF(A27,INDIRECT(ADDRESS(2,MATCH(C27,'ГОССОПКА АСУТП'!1:1),1,1,"ГОССОПКА АСУТП")),"")</f>
        <v/>
      </c>
      <c r="E27" s="64"/>
      <c r="F27" s="116" t="str">
        <f ca="1">IF(A27,INDIRECT(ADDRESS(2,MATCH(C27,'ГОССОПКА АСУТП'!1:1)+1,1,1,"ГОССОПКА АСУТП")),"")</f>
        <v/>
      </c>
      <c r="G27" s="64"/>
      <c r="H27" s="113" t="str">
        <f ca="1">IF(A27,INDIRECT(ADDRESS(2,MATCH(C27,'ГОССОПКА АСУТП'!1:1)+2,1,1,"ГОССОПКА АСУТП")),"")</f>
        <v/>
      </c>
      <c r="I27" s="92"/>
      <c r="J27" s="1572" t="e">
        <f>IF(AND(A27=TRUE,'Тип разраб-ой док-ции'!$J$4=1),ROUNDUP(IF($F$5 =1,AF19,IF($F$5=2,AG19,IF($F$5 =3,AH19,"-")))/8,2),"-")</f>
        <v>#REF!</v>
      </c>
      <c r="K27" s="1573" t="e">
        <f>IF(AND(A27=TRUE,'Тип разраб-ой док-ции'!$J$3=1),ROUNDUP(IF($F$5 =1,AI19,IF($F$5=2,AJ19,IF($F$5 =3,AK19,"-")))/8,2),"-")</f>
        <v>#REF!</v>
      </c>
      <c r="L27" s="1574" t="e">
        <f>IF(AND(A27=TRUE,'Тип разраб-ой док-ции'!$J$2=1),ROUNDUP(IF($F$5 =1,AL19,IF($F$5=2,AM19,IF($F$5 =3,AN19,"-")))/8,2),"-")</f>
        <v>#REF!</v>
      </c>
      <c r="M27" s="1575" t="e">
        <f>IF(AND(A27=TRUE,'Тип разраб-ой док-ции'!$J$5=1),ROUNDUP(IF($F$5 =1,AO19,IF($F$5=2,AP19,IF($F$5 =3,AQ19,"-")))/8,2),"-")</f>
        <v>#REF!</v>
      </c>
      <c r="N27" s="536">
        <f>SUM('Итоговый расчет АСУТП'!DU4:DU41)</f>
        <v>0</v>
      </c>
      <c r="O27" s="297" t="str">
        <f>'АЗ АСУТП'!E$2</f>
        <v>АЗ Кол-во профилей</v>
      </c>
      <c r="P27" s="298">
        <f>G16</f>
        <v>0</v>
      </c>
      <c r="Q27" s="216"/>
      <c r="R27" s="75">
        <v>1</v>
      </c>
      <c r="S27" s="63" t="s">
        <v>14</v>
      </c>
      <c r="T27" s="391" t="e">
        <f>ROUNDUP('Итоговый расчет АСУТП'!EZ20/8,2)</f>
        <v>#REF!</v>
      </c>
      <c r="U27" s="216"/>
      <c r="AA27">
        <v>1</v>
      </c>
      <c r="AE27" s="83" t="e">
        <f>IF(A35,MATCH(C35,'Документы АСУТП'!$E$3:$CU$3,0),"") + 4</f>
        <v>#VALUE!</v>
      </c>
      <c r="AF27" t="e">
        <f t="shared" ca="1" si="12"/>
        <v>#VALUE!</v>
      </c>
      <c r="AG27" t="e">
        <f t="shared" ca="1" si="13"/>
        <v>#VALUE!</v>
      </c>
      <c r="AH27" t="e">
        <f t="shared" ca="1" si="14"/>
        <v>#VALUE!</v>
      </c>
      <c r="AI27" t="e">
        <f t="shared" ca="1" si="15"/>
        <v>#VALUE!</v>
      </c>
      <c r="AJ27" t="e">
        <f t="shared" ca="1" si="16"/>
        <v>#VALUE!</v>
      </c>
      <c r="AK27" t="e">
        <f t="shared" ca="1" si="17"/>
        <v>#VALUE!</v>
      </c>
      <c r="AL27" t="e">
        <f t="shared" ca="1" si="18"/>
        <v>#VALUE!</v>
      </c>
      <c r="AM27" t="e">
        <f t="shared" ca="1" si="19"/>
        <v>#VALUE!</v>
      </c>
      <c r="AN27" t="e">
        <f t="shared" ca="1" si="20"/>
        <v>#VALUE!</v>
      </c>
      <c r="AO27" t="e">
        <f t="shared" ca="1" si="21"/>
        <v>#VALUE!</v>
      </c>
      <c r="AP27" t="e">
        <f t="shared" ca="1" si="22"/>
        <v>#VALUE!</v>
      </c>
      <c r="AQ27" t="e">
        <f t="shared" ca="1" si="23"/>
        <v>#VALUE!</v>
      </c>
    </row>
    <row r="28" spans="1:43" x14ac:dyDescent="0.25">
      <c r="A28" s="841" t="b">
        <v>0</v>
      </c>
      <c r="B28" s="67" t="str">
        <f>IF(A28, "TLS шлюз","")</f>
        <v/>
      </c>
      <c r="C28" s="65"/>
      <c r="D28" s="111" t="str">
        <f ca="1">IF(A28,INDIRECT(ADDRESS(2,MATCH(C28,'TLS АСУТП'!1:1),1,1,"TLS АСУТП")),"")</f>
        <v/>
      </c>
      <c r="E28" s="64"/>
      <c r="F28" s="116" t="str">
        <f ca="1">IF(A28,INDIRECT(ADDRESS(2,MATCH(C28,'TLS АСУТП'!1:1,0)+1,1,1,"TLS АСУТП")),"")</f>
        <v/>
      </c>
      <c r="G28" s="64"/>
      <c r="H28" s="113" t="str">
        <f ca="1">IF(A28,INDIRECT(ADDRESS(2,MATCH(C28,'TLS АСУТП'!1:1)+2,1,1,"TLS АСУТП")),"")</f>
        <v/>
      </c>
      <c r="I28" s="92"/>
      <c r="J28" s="1572" t="e">
        <f>IF(AND(A28=TRUE,'Тип разраб-ой док-ции'!$J$4=1),ROUNDUP(IF($F$5 =1,AF20,IF($F$5=2,AG20,IF($F$5 =3,AH20,"-")))/8,2),"-")</f>
        <v>#REF!</v>
      </c>
      <c r="K28" s="1573" t="e">
        <f>IF(AND(A28=TRUE,'Тип разраб-ой док-ции'!$J$3=1),ROUNDUP(IF($F$5 =1,AI20,IF($F$5=2,AJ20,IF($F$5 =3,AK20,"-")))/8,2),"-")</f>
        <v>#REF!</v>
      </c>
      <c r="L28" s="1574" t="e">
        <f>IF(AND(A28=TRUE,'Тип разраб-ой док-ции'!$J$2=1),ROUNDUP(IF($F$5 =1,AL20,IF($F$5=2,AM20,IF($F$5 =3,AN20,"-")))/8,2),"-")</f>
        <v>#REF!</v>
      </c>
      <c r="M28" s="1575" t="e">
        <f>IF(AND(A28=TRUE,'Тип разраб-ой док-ции'!$J$5=1),ROUNDUP(IF($F$5 =1,AO20,IF($F$5=2,AP20,IF($F$5 =3,AQ20,"-")))/8,2),"-")</f>
        <v>#REF!</v>
      </c>
      <c r="N28" s="536">
        <f>SUM('Итоговый расчет АСУТП'!DW4:DW41)</f>
        <v>0</v>
      </c>
      <c r="O28" s="297" t="str">
        <f>'АЗ АСУТП'!F$2</f>
        <v>АЗ Кол-во сканируемых узлов</v>
      </c>
      <c r="P28" s="298">
        <f>I16</f>
        <v>0</v>
      </c>
      <c r="Q28" s="216"/>
      <c r="R28" s="75">
        <v>1</v>
      </c>
      <c r="S28" s="63" t="s">
        <v>15</v>
      </c>
      <c r="T28" s="391" t="e">
        <f>ROUNDUP('Итоговый расчет АСУТП'!EZ21/8,2)</f>
        <v>#REF!</v>
      </c>
      <c r="U28" s="216"/>
      <c r="AA28">
        <v>0</v>
      </c>
      <c r="AE28" s="83" t="e">
        <f>IF(A36,MATCH(C36,'Документы АСУТП'!$E$3:$CU$3,0),"") + 4</f>
        <v>#VALUE!</v>
      </c>
      <c r="AF28" t="e">
        <f t="shared" ca="1" si="12"/>
        <v>#VALUE!</v>
      </c>
      <c r="AG28" t="e">
        <f t="shared" ca="1" si="13"/>
        <v>#VALUE!</v>
      </c>
      <c r="AH28" t="e">
        <f t="shared" ca="1" si="14"/>
        <v>#VALUE!</v>
      </c>
      <c r="AI28" t="e">
        <f t="shared" ca="1" si="15"/>
        <v>#VALUE!</v>
      </c>
      <c r="AJ28" t="e">
        <f t="shared" ca="1" si="16"/>
        <v>#VALUE!</v>
      </c>
      <c r="AK28" t="e">
        <f t="shared" ca="1" si="17"/>
        <v>#VALUE!</v>
      </c>
      <c r="AL28" t="e">
        <f t="shared" ca="1" si="18"/>
        <v>#VALUE!</v>
      </c>
      <c r="AM28" t="e">
        <f t="shared" ca="1" si="19"/>
        <v>#VALUE!</v>
      </c>
      <c r="AN28" t="e">
        <f t="shared" ca="1" si="20"/>
        <v>#VALUE!</v>
      </c>
      <c r="AO28" t="e">
        <f t="shared" ca="1" si="21"/>
        <v>#VALUE!</v>
      </c>
      <c r="AP28" t="e">
        <f t="shared" ca="1" si="22"/>
        <v>#VALUE!</v>
      </c>
      <c r="AQ28" t="e">
        <f t="shared" ca="1" si="23"/>
        <v>#VALUE!</v>
      </c>
    </row>
    <row r="29" spans="1:43" x14ac:dyDescent="0.25">
      <c r="A29" s="841" t="b">
        <v>0</v>
      </c>
      <c r="B29" s="67" t="str">
        <f>IF(A29, "DCAP / DAG","")</f>
        <v/>
      </c>
      <c r="C29" s="65"/>
      <c r="D29" s="111" t="str">
        <f ca="1">IF(A29,INDIRECT(ADDRESS(2,MATCH(C29,'DCAP АСУТП'!1:1),1,1,"DCAP АСУТП")),"")</f>
        <v/>
      </c>
      <c r="E29" s="64"/>
      <c r="F29" s="116" t="str">
        <f ca="1">IF(A29,INDIRECT(ADDRESS(2,MATCH(C29,'DCAP АСУТП'!1:1)+1,1,1,"DCAP АСУТП")),"")</f>
        <v/>
      </c>
      <c r="G29" s="64"/>
      <c r="H29" s="113" t="str">
        <f ca="1">IF(A29,INDIRECT(ADDRESS(2,MATCH(C29,'DCAP АСУТП'!1:1)+2,1,1,"DCAP АСУТП")),"")</f>
        <v/>
      </c>
      <c r="I29" s="92"/>
      <c r="J29" s="1572" t="e">
        <f>IF(AND(A29=TRUE,'Тип разраб-ой док-ции'!$J$4=1),ROUNDUP(IF($F$5 =1,AF21,IF($F$5=2,AG21,IF($F$5 =3,AH21,"-")))/8,2),"-")</f>
        <v>#REF!</v>
      </c>
      <c r="K29" s="1573" t="e">
        <f>IF(AND(A29=TRUE,'Тип разраб-ой док-ции'!$J$3=1),ROUNDUP(IF($F$5 =1,AI21,IF($F$5=2,AJ21,IF($F$5 =3,AK21,"-")))/8,2),"-")</f>
        <v>#REF!</v>
      </c>
      <c r="L29" s="1574" t="e">
        <f>IF(AND(A29=TRUE,'Тип разраб-ой док-ции'!$J$2=1),ROUNDUP(IF($F$5 =1,AL21,IF($F$5=2,AM21,IF($F$5 =3,AN21,"-")))/8,2),"-")</f>
        <v>#REF!</v>
      </c>
      <c r="M29" s="1575" t="e">
        <f>IF(AND(A29=TRUE,'Тип разраб-ой док-ции'!$J$5=1),ROUNDUP(IF($F$5 =1,AO21,IF($F$5=2,AP21,IF($F$5 =3,AQ21,"-")))/8,2),"-")</f>
        <v>#REF!</v>
      </c>
      <c r="N29" s="536">
        <f>SUM('Итоговый расчет АСУТП'!DY4:DY41)</f>
        <v>0</v>
      </c>
      <c r="O29" s="297" t="str">
        <f>'РК АСУТП'!D$2</f>
        <v>РК Кол-во площадок с серверными компонентами</v>
      </c>
      <c r="P29" s="298">
        <f>E17</f>
        <v>0</v>
      </c>
      <c r="Q29" s="216"/>
      <c r="R29" s="75" t="s">
        <v>75</v>
      </c>
      <c r="S29" s="63" t="s">
        <v>16</v>
      </c>
      <c r="T29" s="391">
        <f>ROUNDUP('Итоговый расчет АСУТП'!EZ22/8,2)</f>
        <v>0</v>
      </c>
      <c r="U29" s="216"/>
      <c r="AA29">
        <v>1</v>
      </c>
      <c r="AE29" s="83" t="e">
        <f>IF(A37,MATCH(C37,'Документы АСУТП'!$E$3:$CU$3,0),"") + 4</f>
        <v>#VALUE!</v>
      </c>
      <c r="AF29" t="e">
        <f t="shared" ca="1" si="12"/>
        <v>#VALUE!</v>
      </c>
      <c r="AG29" t="e">
        <f t="shared" ca="1" si="13"/>
        <v>#VALUE!</v>
      </c>
      <c r="AH29" t="e">
        <f t="shared" ca="1" si="14"/>
        <v>#VALUE!</v>
      </c>
      <c r="AI29" t="e">
        <f t="shared" ca="1" si="15"/>
        <v>#VALUE!</v>
      </c>
      <c r="AJ29" t="e">
        <f t="shared" ca="1" si="16"/>
        <v>#VALUE!</v>
      </c>
      <c r="AK29" t="e">
        <f t="shared" ca="1" si="17"/>
        <v>#VALUE!</v>
      </c>
      <c r="AL29" t="e">
        <f t="shared" ca="1" si="18"/>
        <v>#VALUE!</v>
      </c>
      <c r="AM29" t="e">
        <f t="shared" ca="1" si="19"/>
        <v>#VALUE!</v>
      </c>
      <c r="AN29" t="e">
        <f t="shared" ca="1" si="20"/>
        <v>#VALUE!</v>
      </c>
      <c r="AO29" t="e">
        <f t="shared" ca="1" si="21"/>
        <v>#VALUE!</v>
      </c>
      <c r="AP29" t="e">
        <f t="shared" ca="1" si="22"/>
        <v>#VALUE!</v>
      </c>
      <c r="AQ29" t="e">
        <f t="shared" ca="1" si="23"/>
        <v>#VALUE!</v>
      </c>
    </row>
    <row r="30" spans="1:43" x14ac:dyDescent="0.25">
      <c r="A30" s="841" t="b">
        <v>0</v>
      </c>
      <c r="B30" s="67" t="str">
        <f>IF(A30, "Контроль конфигураций","")</f>
        <v/>
      </c>
      <c r="C30" s="65"/>
      <c r="D30" s="111" t="str">
        <f ca="1">IF(A30,INDIRECT(ADDRESS(2,MATCH(C30,'DO АСУТП'!1:1),1,1,"КОНФИГ АСУТП")),"")</f>
        <v/>
      </c>
      <c r="E30" s="64"/>
      <c r="F30" s="116" t="str">
        <f ca="1">IF(A30,INDIRECT(ADDRESS(2,MATCH(C30,'DO АСУТП'!1:1)+1,1,1,"КОНФИГ АСУТП")),"")</f>
        <v/>
      </c>
      <c r="G30" s="64"/>
      <c r="H30" s="113" t="str">
        <f ca="1">IF(A30,INDIRECT(ADDRESS(2,MATCH(C30,'DO АСУТП'!1:1)+2,1,1,"КОНФИГ АСУТП")),"")</f>
        <v/>
      </c>
      <c r="I30" s="92"/>
      <c r="J30" s="1572" t="e">
        <f>IF(AND(A30=TRUE,'Тип разраб-ой док-ции'!$J$4=1),ROUNDUP(IF($F$5 =1,AF22,IF($F$5=2,AG22,IF($F$5 =3,AH22,"-")))/8,2),"-")</f>
        <v>#REF!</v>
      </c>
      <c r="K30" s="1573" t="e">
        <f>IF(AND(A30=TRUE,'Тип разраб-ой док-ции'!$J$3=1),ROUNDUP(IF($F$5 =1,AI22,IF($F$5=2,AJ22,IF($F$5 =3,AK22,"-")))/8,2),"-")</f>
        <v>#REF!</v>
      </c>
      <c r="L30" s="1574" t="e">
        <f>IF(AND(A30=TRUE,'Тип разраб-ой док-ции'!$J$2=1),ROUNDUP(IF($F$5 =1,AL22,IF($F$5=2,AM22,IF($F$5 =3,AN22,"-")))/8,2),"-")</f>
        <v>#REF!</v>
      </c>
      <c r="M30" s="1575" t="e">
        <f>IF(AND(A30=TRUE,'Тип разраб-ой док-ции'!$J$5=1),ROUNDUP(IF($F$5 =1,AO22,IF($F$5=2,AP22,IF($F$5 =3,AQ22,"-")))/8,2),"-")</f>
        <v>#REF!</v>
      </c>
      <c r="N30" s="536">
        <f>SUM('Итоговый расчет АСУТП'!EA4:EA41)</f>
        <v>0</v>
      </c>
      <c r="O30" s="297" t="str">
        <f>'РК АСУТП'!E$2</f>
        <v>РК Кол-во типов целевых систем для РК</v>
      </c>
      <c r="P30" s="298">
        <f>G17</f>
        <v>0</v>
      </c>
      <c r="Q30" s="216"/>
      <c r="R30" s="75" t="s">
        <v>75</v>
      </c>
      <c r="S30" s="63" t="s">
        <v>17</v>
      </c>
      <c r="T30" s="391">
        <f>ROUNDUP('Итоговый расчет АСУТП'!EZ23/8,2)</f>
        <v>0</v>
      </c>
      <c r="U30" s="216"/>
      <c r="AA30">
        <v>1</v>
      </c>
      <c r="AE30" s="83" t="e">
        <f>IF(A38,MATCH(C38,'Документы АСУТП'!$E$3:$CU$3,0),"") + 4</f>
        <v>#VALUE!</v>
      </c>
      <c r="AF30" t="e">
        <f t="shared" ca="1" si="12"/>
        <v>#VALUE!</v>
      </c>
      <c r="AG30" t="e">
        <f t="shared" ca="1" si="13"/>
        <v>#VALUE!</v>
      </c>
      <c r="AH30" t="e">
        <f t="shared" ca="1" si="14"/>
        <v>#VALUE!</v>
      </c>
      <c r="AI30" t="e">
        <f t="shared" ca="1" si="15"/>
        <v>#VALUE!</v>
      </c>
      <c r="AJ30" t="e">
        <f t="shared" ca="1" si="16"/>
        <v>#VALUE!</v>
      </c>
      <c r="AK30" t="e">
        <f t="shared" ca="1" si="17"/>
        <v>#VALUE!</v>
      </c>
      <c r="AL30" t="e">
        <f t="shared" ca="1" si="18"/>
        <v>#VALUE!</v>
      </c>
      <c r="AM30" t="e">
        <f t="shared" ca="1" si="19"/>
        <v>#VALUE!</v>
      </c>
      <c r="AN30" t="e">
        <f t="shared" ca="1" si="20"/>
        <v>#VALUE!</v>
      </c>
      <c r="AO30" t="e">
        <f t="shared" ca="1" si="21"/>
        <v>#VALUE!</v>
      </c>
      <c r="AP30" t="e">
        <f t="shared" ca="1" si="22"/>
        <v>#VALUE!</v>
      </c>
      <c r="AQ30" t="e">
        <f t="shared" ca="1" si="23"/>
        <v>#VALUE!</v>
      </c>
    </row>
    <row r="31" spans="1:43" x14ac:dyDescent="0.25">
      <c r="A31" s="841" t="b">
        <v>0</v>
      </c>
      <c r="B31" s="67" t="str">
        <f>IF(A31, "NTA","")</f>
        <v/>
      </c>
      <c r="C31" s="65"/>
      <c r="D31" s="111" t="str">
        <f ca="1">IF(A31,INDIRECT(ADDRESS(2,MATCH(C31,'NTA АСУТП'!1:1),1,1,"NTA АСУТП")),"")</f>
        <v/>
      </c>
      <c r="E31" s="64"/>
      <c r="F31" s="116" t="str">
        <f ca="1">IF(A31,INDIRECT(ADDRESS(2,MATCH(C31,'NTA АСУТП'!1:1)+1,1,1,"NTA АСУТП")),"")</f>
        <v/>
      </c>
      <c r="G31" s="64"/>
      <c r="H31" s="113" t="str">
        <f ca="1">IF(A31,INDIRECT(ADDRESS(2,MATCH(C31,'NTA АСУТП'!1:1)+2,1,1,"NTA АСУТП")),"")</f>
        <v/>
      </c>
      <c r="I31" s="92"/>
      <c r="J31" s="1572" t="e">
        <f>IF(AND(A31=TRUE,'Тип разраб-ой док-ции'!$J$4=1),ROUNDUP(IF($F$5 =1,AF23,IF($F$5=2,AG23,IF($F$5 =3,AH23,"-")))/8,2),"-")</f>
        <v>#REF!</v>
      </c>
      <c r="K31" s="1573" t="e">
        <f>IF(AND(A31=TRUE,'Тип разраб-ой док-ции'!$J$3=1),ROUNDUP(IF($F$5 =1,AI23,IF($F$5=2,AJ23,IF($F$5 =3,AK23,"-")))/8,2),"-")</f>
        <v>#REF!</v>
      </c>
      <c r="L31" s="1574" t="e">
        <f>IF(AND(A31=TRUE,'Тип разраб-ой док-ции'!$J$2=1),ROUNDUP(IF($F$5 =1,AL23,IF($F$5=2,AM23,IF($F$5 =3,AN23,"-")))/8,2),"-")</f>
        <v>#REF!</v>
      </c>
      <c r="M31" s="1575" t="e">
        <f>IF(AND(A31=TRUE,'Тип разраб-ой док-ции'!$J$5=1),ROUNDUP(IF($F$5 =1,AO23,IF($F$5=2,AP23,IF($F$5 =3,AQ23,"-")))/8,2),"-")</f>
        <v>#REF!</v>
      </c>
      <c r="N31" s="536">
        <f>SUM('Итоговый расчет АСУТП'!EC4:EC41)</f>
        <v>0</v>
      </c>
      <c r="O31" s="297" t="str">
        <f>'РК АСУТП'!F$2</f>
        <v>Количество мест хранения РК</v>
      </c>
      <c r="P31" s="298">
        <f>I17</f>
        <v>0</v>
      </c>
      <c r="Q31" s="216"/>
      <c r="R31" s="75" t="s">
        <v>75</v>
      </c>
      <c r="S31" s="63" t="s">
        <v>18</v>
      </c>
      <c r="T31" s="391">
        <f>ROUNDUP('Итоговый расчет АСУТП'!EZ24/8,2)</f>
        <v>0</v>
      </c>
      <c r="U31" s="216"/>
      <c r="AA31">
        <v>0</v>
      </c>
      <c r="AE31" s="83" t="e">
        <f>IF(A39,MATCH(C39,'Документы АСУТП'!$E$3:$CU$3,0),"") + 4</f>
        <v>#VALUE!</v>
      </c>
      <c r="AF31" t="e">
        <f t="shared" ca="1" si="12"/>
        <v>#VALUE!</v>
      </c>
      <c r="AG31" t="e">
        <f t="shared" ca="1" si="13"/>
        <v>#VALUE!</v>
      </c>
      <c r="AH31" t="e">
        <f t="shared" ca="1" si="14"/>
        <v>#VALUE!</v>
      </c>
      <c r="AI31" t="e">
        <f t="shared" ca="1" si="15"/>
        <v>#VALUE!</v>
      </c>
      <c r="AJ31" t="e">
        <f t="shared" ca="1" si="16"/>
        <v>#VALUE!</v>
      </c>
      <c r="AK31" t="e">
        <f t="shared" ca="1" si="17"/>
        <v>#VALUE!</v>
      </c>
      <c r="AL31" t="e">
        <f t="shared" ca="1" si="18"/>
        <v>#VALUE!</v>
      </c>
      <c r="AM31" t="e">
        <f t="shared" ca="1" si="19"/>
        <v>#VALUE!</v>
      </c>
      <c r="AN31" t="e">
        <f t="shared" ca="1" si="20"/>
        <v>#VALUE!</v>
      </c>
      <c r="AO31" t="e">
        <f t="shared" ca="1" si="21"/>
        <v>#VALUE!</v>
      </c>
      <c r="AP31" t="e">
        <f t="shared" ca="1" si="22"/>
        <v>#VALUE!</v>
      </c>
      <c r="AQ31" t="e">
        <f t="shared" ca="1" si="23"/>
        <v>#VALUE!</v>
      </c>
    </row>
    <row r="32" spans="1:43" x14ac:dyDescent="0.25">
      <c r="A32" s="841" t="b">
        <v>0</v>
      </c>
      <c r="B32" s="67" t="str">
        <f>IF(A32, "SEG","")</f>
        <v/>
      </c>
      <c r="C32" s="65"/>
      <c r="D32" s="111" t="str">
        <f ca="1">IF(A32,INDIRECT(ADDRESS(2,MATCH(C32,'SEG АСУТП'!1:1),1,1,"SEG АСУТП")),"")</f>
        <v/>
      </c>
      <c r="E32" s="64"/>
      <c r="F32" s="116" t="str">
        <f ca="1">IF(A32,INDIRECT(ADDRESS(2,MATCH(C32,'SEG АСУТП'!1:1)+1,1,1,"SEG АСУТП")),"")</f>
        <v/>
      </c>
      <c r="G32" s="64"/>
      <c r="H32" s="113" t="str">
        <f ca="1">IF(A32,INDIRECT(ADDRESS(2,MATCH(C32,'SEG АСУТП'!1:1)+2,1,1,"SEG АСУТП")),"")</f>
        <v/>
      </c>
      <c r="I32" s="92"/>
      <c r="J32" s="1572" t="e">
        <f>IF(AND(A32=TRUE,'Тип разраб-ой док-ции'!$J$4=1),ROUNDUP(IF($F$5 =1,AF24,IF($F$5=2,AG24,IF($F$5 =3,AH24,"-")))/8,2),"-")</f>
        <v>#REF!</v>
      </c>
      <c r="K32" s="1573" t="e">
        <f>IF(AND(A32=TRUE,'Тип разраб-ой док-ции'!$J$3=1),ROUNDUP(IF($F$5 =1,AI24,IF($F$5=2,AJ24,IF($F$5 =3,AK24,"-")))/8,2),"-")</f>
        <v>#REF!</v>
      </c>
      <c r="L32" s="1574" t="e">
        <f>IF(AND(A32=TRUE,'Тип разраб-ой док-ции'!$J$2=1),ROUNDUP(IF($F$5 =1,AL24,IF($F$5=2,AM24,IF($F$5 =3,AN24,"-")))/8,2),"-")</f>
        <v>#REF!</v>
      </c>
      <c r="M32" s="1575" t="e">
        <f>IF(AND(A32=TRUE,'Тип разраб-ой док-ции'!$J$5=1),ROUNDUP(IF($F$5 =1,AO24,IF($F$5=2,AP24,IF($F$5 =3,AQ24,"-")))/8,2),"-")</f>
        <v>#REF!</v>
      </c>
      <c r="N32" s="536">
        <f>SUM('Итоговый расчет АСУТП'!EE4:EE41)</f>
        <v>0</v>
      </c>
      <c r="O32" s="297" t="str">
        <f>'IDS АСУТП'!D$2</f>
        <v>IDS Кол-во центров управления</v>
      </c>
      <c r="P32" s="298">
        <f>E18</f>
        <v>0</v>
      </c>
      <c r="Q32" s="216"/>
      <c r="R32" s="75" t="s">
        <v>75</v>
      </c>
      <c r="S32" s="63" t="s">
        <v>19</v>
      </c>
      <c r="T32" s="391">
        <f>ROUNDUP('Итоговый расчет АСУТП'!EZ25/8,2)</f>
        <v>0</v>
      </c>
      <c r="U32" s="216"/>
      <c r="AA32">
        <v>1</v>
      </c>
      <c r="AE32" s="83" t="e">
        <f>IF(A40,MATCH(C40,'Документы АСУТП'!$E$3:$CU$3,0),"") + 4</f>
        <v>#VALUE!</v>
      </c>
      <c r="AF32" t="e">
        <f t="shared" ca="1" si="12"/>
        <v>#VALUE!</v>
      </c>
      <c r="AG32" t="e">
        <f t="shared" ca="1" si="13"/>
        <v>#VALUE!</v>
      </c>
      <c r="AH32" t="e">
        <f t="shared" ca="1" si="14"/>
        <v>#VALUE!</v>
      </c>
      <c r="AI32" t="e">
        <f t="shared" ca="1" si="15"/>
        <v>#VALUE!</v>
      </c>
      <c r="AJ32" t="e">
        <f t="shared" ca="1" si="16"/>
        <v>#VALUE!</v>
      </c>
      <c r="AK32" t="e">
        <f t="shared" ca="1" si="17"/>
        <v>#VALUE!</v>
      </c>
      <c r="AL32" t="e">
        <f t="shared" ca="1" si="18"/>
        <v>#VALUE!</v>
      </c>
      <c r="AM32" t="e">
        <f t="shared" ca="1" si="19"/>
        <v>#VALUE!</v>
      </c>
      <c r="AN32" t="e">
        <f t="shared" ca="1" si="20"/>
        <v>#VALUE!</v>
      </c>
      <c r="AO32" t="e">
        <f t="shared" ca="1" si="21"/>
        <v>#VALUE!</v>
      </c>
      <c r="AP32" t="e">
        <f t="shared" ca="1" si="22"/>
        <v>#VALUE!</v>
      </c>
      <c r="AQ32" t="e">
        <f t="shared" ca="1" si="23"/>
        <v>#VALUE!</v>
      </c>
    </row>
    <row r="33" spans="1:43" x14ac:dyDescent="0.25">
      <c r="A33" s="841" t="b">
        <v>0</v>
      </c>
      <c r="B33" s="67" t="str">
        <f>IF(A33, "APT","")</f>
        <v/>
      </c>
      <c r="C33" s="65"/>
      <c r="D33" s="111" t="str">
        <f ca="1">IF(A33,INDIRECT(ADDRESS(2,MATCH(C33,'APT АСУТП'!1:1),1,1,"APT АСУТП")),"")</f>
        <v/>
      </c>
      <c r="E33" s="64"/>
      <c r="F33" s="116" t="str">
        <f ca="1">IF(A33,INDIRECT(ADDRESS(2,MATCH(C33,'APT АСУТП'!1:1)+1,1,1,"APT АСУТП")),"")</f>
        <v/>
      </c>
      <c r="G33" s="64"/>
      <c r="H33" s="113" t="str">
        <f ca="1">IF(A33,INDIRECT(ADDRESS(2,MATCH(C33,'APT АСУТП'!1:1)+2,1,1,"APT АСУТП")),"")</f>
        <v/>
      </c>
      <c r="I33" s="92"/>
      <c r="J33" s="1572" t="e">
        <f>IF(AND(A33=TRUE,'Тип разраб-ой док-ции'!$J$4=1),ROUNDUP(IF($F$5 =1,AF25,IF($F$5=2,AG25,IF($F$5 =3,AH25,"-")))/8,2),"-")</f>
        <v>#REF!</v>
      </c>
      <c r="K33" s="1573" t="e">
        <f>IF(AND(A33=TRUE,'Тип разраб-ой док-ции'!$J$3=1),ROUNDUP(IF($F$5 =1,AI25,IF($F$5=2,AJ25,IF($F$5 =3,AK25,"-")))/8,2),"-")</f>
        <v>#REF!</v>
      </c>
      <c r="L33" s="1574" t="e">
        <f>IF(AND(A33=TRUE,'Тип разраб-ой док-ции'!$J$2=1),ROUNDUP(IF($F$5 =1,AL25,IF($F$5=2,AM25,IF($F$5 =3,AN25,"-")))/8,2),"-")</f>
        <v>#REF!</v>
      </c>
      <c r="M33" s="1575" t="e">
        <f>IF(AND(A33=TRUE,'Тип разраб-ой док-ции'!$J$5=1),ROUNDUP(IF($F$5 =1,AO25,IF($F$5=2,AP25,IF($F$5 =3,AQ25,"-")))/8,2),"-")</f>
        <v>#REF!</v>
      </c>
      <c r="N33" s="536">
        <f>SUM('Итоговый расчет АСУТП'!EG4:EG41)</f>
        <v>0</v>
      </c>
      <c r="O33" s="297" t="str">
        <f>'IDS АСУТП'!E$2</f>
        <v>IDS Кол-во сенсоров</v>
      </c>
      <c r="P33" s="298">
        <f>G18</f>
        <v>0</v>
      </c>
      <c r="Q33" s="216"/>
      <c r="R33" s="75">
        <v>1</v>
      </c>
      <c r="S33" s="63" t="s">
        <v>20</v>
      </c>
      <c r="T33" s="391" t="e">
        <f>ROUNDUP('Итоговый расчет АСУТП'!EZ26/8,2)</f>
        <v>#REF!</v>
      </c>
      <c r="U33" s="216"/>
      <c r="AA33">
        <v>1</v>
      </c>
      <c r="AD33" t="s">
        <v>98</v>
      </c>
      <c r="AE33" s="83" t="e">
        <f>IF(A19,MATCH(C19,'Документы АСУТП'!$E$3:$CU$3,0),"") + 4</f>
        <v>#VALUE!</v>
      </c>
      <c r="AF33" t="e">
        <f t="shared" ca="1" si="12"/>
        <v>#VALUE!</v>
      </c>
      <c r="AG33" t="e">
        <f t="shared" ca="1" si="13"/>
        <v>#VALUE!</v>
      </c>
      <c r="AH33" t="e">
        <f t="shared" ca="1" si="14"/>
        <v>#VALUE!</v>
      </c>
      <c r="AI33" t="e">
        <f t="shared" ca="1" si="15"/>
        <v>#VALUE!</v>
      </c>
      <c r="AJ33" t="e">
        <f t="shared" ca="1" si="16"/>
        <v>#VALUE!</v>
      </c>
      <c r="AK33" t="e">
        <f t="shared" ca="1" si="17"/>
        <v>#VALUE!</v>
      </c>
      <c r="AL33" t="e">
        <f t="shared" ca="1" si="18"/>
        <v>#VALUE!</v>
      </c>
      <c r="AM33" t="e">
        <f t="shared" ca="1" si="19"/>
        <v>#VALUE!</v>
      </c>
      <c r="AN33" t="e">
        <f t="shared" ca="1" si="20"/>
        <v>#VALUE!</v>
      </c>
      <c r="AO33" t="e">
        <f t="shared" ca="1" si="21"/>
        <v>#VALUE!</v>
      </c>
      <c r="AP33" t="e">
        <f t="shared" ca="1" si="22"/>
        <v>#VALUE!</v>
      </c>
      <c r="AQ33" t="e">
        <f t="shared" ca="1" si="23"/>
        <v>#VALUE!</v>
      </c>
    </row>
    <row r="34" spans="1:43" x14ac:dyDescent="0.25">
      <c r="A34" s="841" t="b">
        <v>0</v>
      </c>
      <c r="B34" s="67" t="str">
        <f>IF(A34, "NAC","")</f>
        <v/>
      </c>
      <c r="C34" s="65"/>
      <c r="D34" s="111" t="str">
        <f ca="1">IF(A34,INDIRECT(ADDRESS(2,MATCH(C34,'NAC АСУТП'!1:1),1,1,"NAC АСУТП")),"")</f>
        <v/>
      </c>
      <c r="E34" s="64"/>
      <c r="F34" s="116" t="str">
        <f ca="1">IF(A34,INDIRECT(ADDRESS(2,MATCH(C34,'NAC АСУТП'!1:1)+1,1,1,"NAC АСУТП")),"")</f>
        <v/>
      </c>
      <c r="G34" s="64"/>
      <c r="H34" s="113" t="str">
        <f ca="1">IF(A34,INDIRECT(ADDRESS(2,MATCH(C34,'NAC АСУТП'!1:1)+2,1,1,"NAC АСУТП")),"")</f>
        <v/>
      </c>
      <c r="I34" s="92"/>
      <c r="J34" s="1572" t="e">
        <f>IF(AND(A34=TRUE,'Тип разраб-ой док-ции'!$J$4=1),ROUNDUP(IF($F$5 =1,AF26,IF($F$5=2,AG26,IF($F$5 =3,AH26,"-")))/8,2),"-")</f>
        <v>#REF!</v>
      </c>
      <c r="K34" s="1573" t="e">
        <f>IF(AND(A34=TRUE,'Тип разраб-ой док-ции'!$J$3=1),ROUNDUP(IF($F$5 =1,AI26,IF($F$5=2,AJ26,IF($F$5 =3,AK26,"-")))/8,2),"-")</f>
        <v>#REF!</v>
      </c>
      <c r="L34" s="1574" t="e">
        <f>IF(AND(A34=TRUE,'Тип разраб-ой док-ции'!$J$2=1),ROUNDUP(IF($F$5 =1,AL26,IF($F$5=2,AM26,IF($F$5 =3,AN26,"-")))/8,2),"-")</f>
        <v>#REF!</v>
      </c>
      <c r="M34" s="1575" t="e">
        <f>IF(AND(A34=TRUE,'Тип разраб-ой док-ции'!$J$5=1),ROUNDUP(IF($F$5 =1,AO26,IF($F$5=2,AP26,IF($F$5 =3,AQ26,"-")))/8,2),"-")</f>
        <v>#REF!</v>
      </c>
      <c r="N34" s="536">
        <f>SUM('Итоговый расчет АСУТП'!EI4:EI41)</f>
        <v>0</v>
      </c>
      <c r="O34" s="297" t="str">
        <f>'IDS АСУТП'!F$2</f>
        <v>IDS Кол-во точек мониторинга</v>
      </c>
      <c r="P34" s="298">
        <f>I18</f>
        <v>0</v>
      </c>
      <c r="Q34" s="216"/>
      <c r="R34" s="75">
        <v>1</v>
      </c>
      <c r="S34" s="63" t="s">
        <v>451</v>
      </c>
      <c r="T34" s="391" t="e">
        <f>ROUNDUP('Итоговый расчет АСУТП'!EZ27/8,2)</f>
        <v>#REF!</v>
      </c>
      <c r="U34" s="216"/>
      <c r="AA34">
        <v>0</v>
      </c>
    </row>
    <row r="35" spans="1:43" x14ac:dyDescent="0.25">
      <c r="A35" s="841" t="b">
        <v>0</v>
      </c>
      <c r="B35" s="67" t="str">
        <f>IF(A35, "Sandbox","")</f>
        <v/>
      </c>
      <c r="C35" s="65"/>
      <c r="D35" s="111" t="str">
        <f ca="1">IF(A35,INDIRECT(ADDRESS(2,MATCH(C35,'SANDBOX АСУТП'!1:1),1,1,"SANDBOX АСУТП")),"")</f>
        <v/>
      </c>
      <c r="E35" s="64"/>
      <c r="F35" s="116" t="str">
        <f ca="1">IF(A35,INDIRECT(ADDRESS(2,MATCH(C35,'SANDBOX АСУТП'!1:1)+1,1,1,"SANDBOX АСУТП")),"")</f>
        <v/>
      </c>
      <c r="G35" s="64"/>
      <c r="H35" s="113" t="str">
        <f ca="1">IF(A35,INDIRECT(ADDRESS(2,MATCH(C35,'SANDBOX АСУТП'!1:1)+2,1,1,"SANDBOX АСУТП")),"")</f>
        <v/>
      </c>
      <c r="I35" s="92"/>
      <c r="J35" s="1572" t="e">
        <f>IF(AND(A35=TRUE,'Тип разраб-ой док-ции'!$J$4=1),ROUNDUP(IF($F$5 =1,AF27,IF($F$5=2,AG27,IF($F$5 =3,AH27,"-")))/8,2),"-")</f>
        <v>#REF!</v>
      </c>
      <c r="K35" s="1573" t="e">
        <f>IF(AND(A35=TRUE,'Тип разраб-ой док-ции'!$J$3=1),ROUNDUP(IF($F$5 =1,AI27,IF($F$5=2,AJ27,IF($F$5 =3,AK27,"-")))/8,2),"-")</f>
        <v>#REF!</v>
      </c>
      <c r="L35" s="1574" t="e">
        <f>IF(AND(A35=TRUE,'Тип разраб-ой док-ции'!$J$2=1),ROUNDUP(IF($F$5 =1,AL27,IF($F$5=2,AM27,IF($F$5 =3,AN27,"-")))/8,2),"-")</f>
        <v>#REF!</v>
      </c>
      <c r="M35" s="1575" t="e">
        <f>IF(AND(A35=TRUE,'Тип разраб-ой док-ции'!$J$5=1),ROUNDUP(IF($F$5 =1,AO27,IF($F$5=2,AP27,IF($F$5 =3,AQ27,"-")))/8,2),"-")</f>
        <v>#REF!</v>
      </c>
      <c r="N35" s="536">
        <f>SUM('Итоговый расчет АСУТП'!EK4:EK41)</f>
        <v>0</v>
      </c>
      <c r="O35" s="297" t="str">
        <f>'НСД АСУТП'!$D$2</f>
        <v>НСД Количество площадок с серверными компонентами подсистемы</v>
      </c>
      <c r="P35" s="298">
        <f>E19</f>
        <v>0</v>
      </c>
      <c r="Q35" s="216"/>
      <c r="R35" s="75">
        <v>1</v>
      </c>
      <c r="S35" s="63" t="s">
        <v>452</v>
      </c>
      <c r="T35" s="391" t="e">
        <f>ROUNDUP('Итоговый расчет АСУТП'!EZ28/8,2)</f>
        <v>#REF!</v>
      </c>
      <c r="U35" s="216"/>
      <c r="AA35">
        <v>1</v>
      </c>
    </row>
    <row r="36" spans="1:43" x14ac:dyDescent="0.25">
      <c r="A36" s="841" t="b">
        <v>0</v>
      </c>
      <c r="B36" s="385" t="str">
        <f>IF(A36, "EDR","")</f>
        <v/>
      </c>
      <c r="C36" s="64"/>
      <c r="D36" s="386" t="str">
        <f ca="1">IF(A36,INDIRECT(ADDRESS(2,MATCH(C36,'EDR АСУТП'!1:1),1,1,"EDR АСУТП")),"")</f>
        <v/>
      </c>
      <c r="E36" s="64"/>
      <c r="F36" s="387" t="str">
        <f ca="1">IF(A36,INDIRECT(ADDRESS(2,MATCH(C36,'EDR АСУТП'!1:1)+1,1,1,"EDR АСУТП")),"")</f>
        <v/>
      </c>
      <c r="G36" s="64"/>
      <c r="H36" s="388" t="str">
        <f ca="1">IF(A36,INDIRECT(ADDRESS(2,MATCH(C36,'EDR АСУТП'!1:1)+2,1,1,"EDR АСУТП")),"")</f>
        <v/>
      </c>
      <c r="I36" s="92"/>
      <c r="J36" s="1572" t="e">
        <f>IF(AND(A36=TRUE,'Тип разраб-ой док-ции'!$J$4=1),ROUNDUP(IF($F$5 =1,AF28,IF($F$5=2,AG28,IF($F$5 =3,AH28,"-")))/8,2),"-")</f>
        <v>#REF!</v>
      </c>
      <c r="K36" s="1573" t="e">
        <f>IF(AND(A36=TRUE,'Тип разраб-ой док-ции'!$J$3=1),ROUNDUP(IF($F$5 =1,AI28,IF($F$5=2,AJ28,IF($F$5 =3,AK28,"-")))/8,2),"-")</f>
        <v>#REF!</v>
      </c>
      <c r="L36" s="1574" t="e">
        <f>IF(AND(A36=TRUE,'Тип разраб-ой док-ции'!$J$2=1),ROUNDUP(IF($F$5 =1,AL28,IF($F$5=2,AM28,IF($F$5 =3,AN28,"-")))/8,2),"-")</f>
        <v>#REF!</v>
      </c>
      <c r="M36" s="1575" t="e">
        <f>IF(AND(A36=TRUE,'Тип разраб-ой док-ции'!$J$5=1),ROUNDUP(IF($F$5 =1,AO28,IF($F$5=2,AP28,IF($F$5 =3,AQ28,"-")))/8,2),"-")</f>
        <v>#REF!</v>
      </c>
      <c r="N36" s="537">
        <f>SUM('Итоговый расчет АСУТП'!EM4:EM41)</f>
        <v>0</v>
      </c>
      <c r="O36" s="297" t="str">
        <f>'НСД АСУТП'!$E$2</f>
        <v>НСД Кол-во типов агентов</v>
      </c>
      <c r="P36" s="298">
        <f>G19</f>
        <v>0</v>
      </c>
      <c r="Q36" s="216"/>
      <c r="R36" s="75">
        <v>1</v>
      </c>
      <c r="S36" s="63" t="s">
        <v>533</v>
      </c>
      <c r="T36" s="391" t="e">
        <f>ROUNDUP('Итоговый расчет АСУТП'!EZ29/8,2)</f>
        <v>#REF!</v>
      </c>
      <c r="U36" s="216"/>
      <c r="AA36">
        <v>0</v>
      </c>
    </row>
    <row r="37" spans="1:43" x14ac:dyDescent="0.25">
      <c r="A37" s="841" t="b">
        <v>0</v>
      </c>
      <c r="B37" s="769" t="str">
        <f>IF(A37, "WAF","")</f>
        <v/>
      </c>
      <c r="C37" s="64"/>
      <c r="D37" s="386" t="str">
        <f ca="1">IF(A37,INDIRECT(ADDRESS(2,MATCH(C37,'WAF АСУТП'!1:1),1,1,"WAF АСУТП")),"")</f>
        <v/>
      </c>
      <c r="E37" s="64"/>
      <c r="F37" s="387" t="str">
        <f ca="1">IF(A37,INDIRECT(ADDRESS(2,MATCH(C37,'WAF АСУТП'!1:1)+1,1,1,"WAF АСУТП")),"")</f>
        <v/>
      </c>
      <c r="G37" s="64"/>
      <c r="H37" s="388" t="str">
        <f ca="1">IF(A37,INDIRECT(ADDRESS(2,MATCH(C37,'WAF АСУТП'!1:1)+2,1,1,"WAF АСУТП")),"")</f>
        <v/>
      </c>
      <c r="I37" s="92"/>
      <c r="J37" s="1572" t="e">
        <f>IF(AND(A37=TRUE,'Тип разраб-ой док-ции'!$J$4=1),ROUNDUP(IF($F$5 =1,AF29,IF($F$5=2,AG29,IF($F$5 =3,AH29,"-")))/8,2),"-")</f>
        <v>#REF!</v>
      </c>
      <c r="K37" s="1573" t="e">
        <f>IF(AND(A37=TRUE,'Тип разраб-ой док-ции'!$J$3=1),ROUNDUP(IF($F$5 =1,AI29,IF($F$5=2,AJ29,IF($F$5 =3,AK29,"-")))/8,2),"-")</f>
        <v>#REF!</v>
      </c>
      <c r="L37" s="1574" t="e">
        <f>IF(AND(A37=TRUE,'Тип разраб-ой док-ции'!$J$2=1),ROUNDUP(IF($F$5 =1,AL29,IF($F$5=2,AM29,IF($F$5 =3,AN29,"-")))/8,2),"-")</f>
        <v>#REF!</v>
      </c>
      <c r="M37" s="1575" t="e">
        <f>IF(AND(A37=TRUE,'Тип разраб-ой док-ции'!$J$5=1),ROUNDUP(IF($F$5 =1,AO29,IF($F$5=2,AP29,IF($F$5 =3,AQ29,"-")))/8,2),"-")</f>
        <v>#REF!</v>
      </c>
      <c r="N37" s="537">
        <f>SUM('Итоговый расчет АСУТП'!EO4:EO41)</f>
        <v>0</v>
      </c>
      <c r="O37" s="297" t="str">
        <f>'НСД АСУТП'!$F$2</f>
        <v>НСД Кол-во серверов безопасности</v>
      </c>
      <c r="P37" s="298">
        <f>I19</f>
        <v>0</v>
      </c>
      <c r="Q37" s="216"/>
      <c r="R37" s="75">
        <v>1</v>
      </c>
      <c r="S37" s="63" t="s">
        <v>534</v>
      </c>
      <c r="T37" s="391" t="e">
        <f>ROUNDUP('Итоговый расчет АСУТП'!EZ30/8,2)</f>
        <v>#REF!</v>
      </c>
      <c r="U37" s="216"/>
      <c r="AA37">
        <v>1</v>
      </c>
    </row>
    <row r="38" spans="1:43" x14ac:dyDescent="0.25">
      <c r="A38" s="841" t="b">
        <v>0</v>
      </c>
      <c r="B38" s="66" t="str">
        <f>IF(A38, "ВМ ЗСВ","")</f>
        <v/>
      </c>
      <c r="C38" s="64"/>
      <c r="D38" s="386" t="str">
        <f ca="1">IF(A38,INDIRECT(ADDRESS(2,MATCH(C38,'ВМ ЗСВ'!1:1,0),1,1,"ВМ ЗСВ")),"")</f>
        <v/>
      </c>
      <c r="E38" s="64"/>
      <c r="F38" s="387" t="str">
        <f ca="1">IF(A38,INDIRECT(ADDRESS(2,MATCH(C38,'ВМ ЗСВ'!1:1,0)+1,1,1,"ВМ ЗСВ")),"")</f>
        <v/>
      </c>
      <c r="G38" s="64"/>
      <c r="H38" s="388" t="str">
        <f ca="1">IF(A38,INDIRECT(ADDRESS(2,MATCH(C38,'ВМ ЗСВ'!1:1,0)+2,1,1,"ВМ ЗСВ")),"")</f>
        <v/>
      </c>
      <c r="I38" s="92"/>
      <c r="J38" s="1572" t="e">
        <f>IF(AND(A38=TRUE,'Тип разраб-ой док-ции'!$J$4=1),ROUNDUP(IF($F$5 =1,AF30,IF($F$5=2,AG30,IF($F$5 =3,AH30,"-")))/8,2),"-")</f>
        <v>#REF!</v>
      </c>
      <c r="K38" s="1573" t="e">
        <f>IF(AND(A38=TRUE,'Тип разраб-ой док-ции'!$J$3=1),ROUNDUP(IF($F$5 =1,AI30,IF($F$5=2,AJ30,IF($F$5 =3,AK30,"-")))/8,2),"-")</f>
        <v>#REF!</v>
      </c>
      <c r="L38" s="1574" t="e">
        <f>IF(AND(A38=TRUE,'Тип разраб-ой док-ции'!$J$2=1),ROUNDUP(IF($F$5 =1,AL30,IF($F$5=2,AM30,IF($F$5 =3,AN30,"-")))/8,2),"-")</f>
        <v>#REF!</v>
      </c>
      <c r="M38" s="1575" t="e">
        <f>IF(AND(A38=TRUE,'Тип разраб-ой док-ции'!$J$5=1),ROUNDUP(IF($F$5 =1,AO30,IF($F$5=2,AP30,IF($F$5 =3,AQ30,"-")))/8,2),"-")</f>
        <v>#REF!</v>
      </c>
      <c r="N38" s="537">
        <f>SUM('Итоговый расчет АСУТП'!EQ4:EQ41)</f>
        <v>0</v>
      </c>
      <c r="O38" s="297" t="str">
        <f>'MFA АСУТП'!$D$2</f>
        <v>MFA Кол-во серверных компонентов</v>
      </c>
      <c r="P38" s="298">
        <f>E21</f>
        <v>0</v>
      </c>
      <c r="Q38" s="216"/>
      <c r="R38" s="75" t="s">
        <v>75</v>
      </c>
      <c r="S38" s="63" t="s">
        <v>21</v>
      </c>
      <c r="T38" s="391">
        <f>ROUNDUP('Итоговый расчет АСУТП'!EZ31/8,2)</f>
        <v>0</v>
      </c>
      <c r="U38" s="216"/>
      <c r="AA38">
        <v>0</v>
      </c>
    </row>
    <row r="39" spans="1:43" x14ac:dyDescent="0.25">
      <c r="A39" s="842" t="b">
        <v>0</v>
      </c>
      <c r="B39" s="66" t="str">
        <f>IF(A39, "ВМ СПО","")</f>
        <v/>
      </c>
      <c r="C39" s="64"/>
      <c r="D39" s="386" t="str">
        <f ca="1">IF(A39,INDIRECT(ADDRESS(2,MATCH(C39,'ВМ СПО'!1:1,0),1,1,"ВМ СПО")),"")</f>
        <v/>
      </c>
      <c r="E39" s="64"/>
      <c r="F39" s="387" t="str">
        <f ca="1">IF(A39,INDIRECT(ADDRESS(2,MATCH(C39,'ВМ СПО'!1:1,0)+1,1,1,"ВМ СПО")),"")</f>
        <v/>
      </c>
      <c r="G39" s="64"/>
      <c r="H39" s="388" t="str">
        <f ca="1">IF(A39,INDIRECT(ADDRESS(2,MATCH(C39,'ВМ СПО'!1:1,0)+2,1,1,"ВМ СПО")),"")</f>
        <v/>
      </c>
      <c r="I39" s="92"/>
      <c r="J39" s="1572" t="e">
        <f>IF(AND(A39=TRUE,'Тип разраб-ой док-ции'!$J$4=1),ROUNDUP(IF($F$5 =1,AF31,IF($F$5=2,AG31,IF($F$5 =3,AH31,"-")))/8,2),"-")</f>
        <v>#REF!</v>
      </c>
      <c r="K39" s="1573" t="e">
        <f>IF(AND(A39=TRUE,'Тип разраб-ой док-ции'!$J$3=1),ROUNDUP(IF($F$5 =1,AI31,IF($F$5=2,AJ31,IF($F$5 =3,AK31,"-")))/8,2),"-")</f>
        <v>#REF!</v>
      </c>
      <c r="L39" s="1574" t="e">
        <f>IF(AND(A39=TRUE,'Тип разраб-ой док-ции'!$J$2=1),ROUNDUP(IF($F$5 =1,AL31,IF($F$5=2,AM31,IF($F$5 =3,AN31,"-")))/8,2),"-")</f>
        <v>#REF!</v>
      </c>
      <c r="M39" s="1575" t="e">
        <f>IF(AND(A39=TRUE,'Тип разраб-ой док-ции'!$J$5=1),ROUNDUP(IF($F$5 =1,AO31,IF($F$5=2,AP31,IF($F$5 =3,AQ31,"-")))/8,2),"-")</f>
        <v>#REF!</v>
      </c>
      <c r="N39" s="537">
        <f>SUM('Итоговый расчет АСУТП'!ES4:ES41)</f>
        <v>0</v>
      </c>
      <c r="O39" s="297" t="str">
        <f>'MFA АСУТП'!$E$2</f>
        <v>MFA Количество используемых типов агентов аутентификации</v>
      </c>
      <c r="P39" s="298">
        <f>G21</f>
        <v>0</v>
      </c>
      <c r="Q39" s="216"/>
      <c r="R39" s="75" t="s">
        <v>75</v>
      </c>
      <c r="S39" s="63" t="s">
        <v>208</v>
      </c>
      <c r="T39" s="391">
        <f>ROUNDUP('Итоговый расчет АСУТП'!EZ32/8,2)</f>
        <v>0</v>
      </c>
      <c r="U39" s="216"/>
      <c r="AA39">
        <v>0</v>
      </c>
    </row>
    <row r="40" spans="1:43" ht="15.75" thickBot="1" x14ac:dyDescent="0.3">
      <c r="A40" s="843" t="b">
        <v>0</v>
      </c>
      <c r="B40" s="385" t="str">
        <f>IF(A40, "ВМ АСО","")</f>
        <v/>
      </c>
      <c r="C40" s="856"/>
      <c r="D40" s="386" t="str">
        <f ca="1">IF(A40,INDIRECT(ADDRESS(2,MATCH(C40,'ВМ АСО'!1:1),1,1,"ВМ АСО")),"")</f>
        <v/>
      </c>
      <c r="E40" s="64"/>
      <c r="F40" s="387" t="str">
        <f ca="1">IF(A40,INDIRECT(ADDRESS(2,MATCH(C40,'ВМ АСО'!1:1)+1,1,1,"ВМ АСО")),"")</f>
        <v/>
      </c>
      <c r="G40" s="64"/>
      <c r="H40" s="388" t="str">
        <f ca="1">IF(A40,INDIRECT(ADDRESS(2,MATCH(C40,'ВМ АСО'!1:1)+2,1,1,"ВМ АСО")),"")</f>
        <v/>
      </c>
      <c r="I40" s="92"/>
      <c r="J40" s="1572" t="e">
        <f>IF(AND(A40=TRUE,'Тип разраб-ой док-ции'!$J$4=1),ROUNDUP(IF($F$5 =1,AF32,IF($F$5=2,AG32,IF($F$5 =3,AH32,"-")))/8,2),"-")</f>
        <v>#REF!</v>
      </c>
      <c r="K40" s="1573" t="e">
        <f>IF(AND(A40=TRUE,'Тип разраб-ой док-ции'!$J$3=1),ROUNDUP(IF($F$5 =1,AI32,IF($F$5=2,AJ32,IF($F$5 =3,AK32,"-")))/8,2),"-")</f>
        <v>#REF!</v>
      </c>
      <c r="L40" s="1574" t="e">
        <f>IF(AND(A40=TRUE,'Тип разраб-ой док-ции'!$J$2=1),ROUNDUP(IF($F$5 =1,AL32,IF($F$5=2,AM32,IF($F$5 =3,AN32,"-")))/8,2),"-")</f>
        <v>#REF!</v>
      </c>
      <c r="M40" s="1575" t="e">
        <f>IF(AND(A40=TRUE,'Тип разраб-ой док-ции'!$J$5=1),ROUNDUP(IF($F$5 =1,AO32,IF($F$5=2,AP32,IF($F$5 =3,AQ32,"-")))/8,2),"-")</f>
        <v>#REF!</v>
      </c>
      <c r="N40" s="790">
        <f>SUM('Итоговый расчет АСУТП'!EU4:EU41)</f>
        <v>0</v>
      </c>
      <c r="O40" s="297" t="str">
        <f>'MFA АСУТП'!$F$2</f>
        <v>MFA неиспользуемый параметр</v>
      </c>
      <c r="P40" s="298">
        <f>I21</f>
        <v>0</v>
      </c>
      <c r="Q40" s="216"/>
      <c r="R40" s="75" t="s">
        <v>75</v>
      </c>
      <c r="S40" s="63" t="s">
        <v>209</v>
      </c>
      <c r="T40" s="391">
        <f>ROUNDUP('Итоговый расчет АСУТП'!EZ33/8,2)</f>
        <v>0</v>
      </c>
      <c r="U40" s="216"/>
      <c r="AA40">
        <v>1</v>
      </c>
      <c r="AE40" s="83"/>
    </row>
    <row r="41" spans="1:43" x14ac:dyDescent="0.25">
      <c r="A41" s="843"/>
      <c r="B41" s="1873" t="s">
        <v>60</v>
      </c>
      <c r="C41" s="1874"/>
      <c r="D41" s="1874"/>
      <c r="E41" s="1874"/>
      <c r="F41" s="1874"/>
      <c r="G41" s="1874"/>
      <c r="H41" s="1874"/>
      <c r="I41" s="1874"/>
      <c r="J41" s="1874"/>
      <c r="K41" s="1874"/>
      <c r="L41" s="1874"/>
      <c r="M41" s="1875"/>
      <c r="N41" s="785" t="e">
        <f>SUM('Итоговый расчет АСУТП'!EY4:EY41)/8</f>
        <v>#REF!</v>
      </c>
      <c r="O41" s="297" t="str">
        <f>'ДИОД АСУТП'!$D$2</f>
        <v>ДИОД Кол-во диодов/брокеров</v>
      </c>
      <c r="P41" s="298">
        <f>E22</f>
        <v>0</v>
      </c>
      <c r="Q41" s="216"/>
      <c r="R41" s="75" t="s">
        <v>75</v>
      </c>
      <c r="S41" s="63" t="s">
        <v>210</v>
      </c>
      <c r="T41" s="391">
        <f>ROUNDUP('Итоговый расчет АСУТП'!EZ34/8,2)</f>
        <v>0</v>
      </c>
      <c r="U41" s="216"/>
      <c r="V41">
        <v>1</v>
      </c>
      <c r="W41">
        <v>1</v>
      </c>
      <c r="AA41">
        <v>0</v>
      </c>
      <c r="AE41" s="83"/>
    </row>
    <row r="42" spans="1:43" x14ac:dyDescent="0.25">
      <c r="A42" s="216"/>
      <c r="B42" s="1876" t="s">
        <v>104</v>
      </c>
      <c r="C42" s="1877"/>
      <c r="D42" s="1877"/>
      <c r="E42" s="1877"/>
      <c r="F42" s="1877"/>
      <c r="G42" s="1877"/>
      <c r="H42" s="1877"/>
      <c r="I42" s="1877"/>
      <c r="J42" s="1877"/>
      <c r="K42" s="1877"/>
      <c r="L42" s="1877"/>
      <c r="M42" s="1878"/>
      <c r="N42" s="784" t="e">
        <f>SUM(N11:N40)</f>
        <v>#REF!</v>
      </c>
      <c r="O42" s="297" t="str">
        <f>'ДИОД АСУТП'!$E$2</f>
        <v>ДИОД Кол-во типов источников</v>
      </c>
      <c r="P42" s="298">
        <f>G22</f>
        <v>0</v>
      </c>
      <c r="Q42" s="216"/>
      <c r="R42" s="89"/>
      <c r="S42" s="71" t="s">
        <v>22</v>
      </c>
      <c r="T42" s="70"/>
      <c r="U42" s="216"/>
      <c r="V42">
        <v>1</v>
      </c>
      <c r="W42">
        <v>1</v>
      </c>
      <c r="AA42">
        <v>0</v>
      </c>
      <c r="AE42" s="83"/>
    </row>
    <row r="43" spans="1:43" ht="15.75" thickBot="1" x14ac:dyDescent="0.3">
      <c r="A43" s="216"/>
      <c r="B43" s="1879" t="s">
        <v>564</v>
      </c>
      <c r="C43" s="1880"/>
      <c r="D43" s="1880"/>
      <c r="E43" s="1880"/>
      <c r="F43" s="1880"/>
      <c r="G43" s="1880"/>
      <c r="H43" s="1880"/>
      <c r="I43" s="1880"/>
      <c r="J43" s="1880"/>
      <c r="K43" s="1880"/>
      <c r="L43" s="1880"/>
      <c r="M43" s="1881"/>
      <c r="N43" s="786" t="e">
        <f>SUM(N41:N42)</f>
        <v>#REF!</v>
      </c>
      <c r="O43" s="297" t="str">
        <f>'ДИОД АСУТП'!$F$2</f>
        <v>ДИОД Кол-во систем назначения</v>
      </c>
      <c r="P43" s="298">
        <f>I22</f>
        <v>0</v>
      </c>
      <c r="Q43" s="216"/>
      <c r="R43" s="75" t="s">
        <v>75</v>
      </c>
      <c r="S43" s="63" t="s">
        <v>23</v>
      </c>
      <c r="T43" s="391">
        <f>ROUNDUP('Итоговый расчет АСУТП'!EZ36/8,2)</f>
        <v>0</v>
      </c>
      <c r="U43" s="216"/>
      <c r="AA43">
        <v>0</v>
      </c>
      <c r="AE43" s="83"/>
    </row>
    <row r="44" spans="1:43" ht="15" customHeight="1" x14ac:dyDescent="0.25">
      <c r="A44" s="216"/>
      <c r="B44" s="216"/>
      <c r="C44" s="216"/>
      <c r="D44" s="216"/>
      <c r="E44" s="216"/>
      <c r="F44" s="216"/>
      <c r="G44" s="216"/>
      <c r="H44" s="216"/>
      <c r="I44" s="216"/>
      <c r="J44" s="216"/>
      <c r="K44" s="216"/>
      <c r="L44" s="216"/>
      <c r="M44" s="216"/>
      <c r="N44" s="216"/>
      <c r="O44" s="297" t="str">
        <f>'СЗВ АСУТП'!$D$2</f>
        <v>СЗВ Количество площадок с серверными компонентами подсистемы</v>
      </c>
      <c r="P44" s="298">
        <f>E23</f>
        <v>0</v>
      </c>
      <c r="Q44" s="216"/>
      <c r="R44" s="75">
        <v>1</v>
      </c>
      <c r="S44" s="63" t="s">
        <v>24</v>
      </c>
      <c r="T44" s="391" t="e">
        <f>ROUNDUP('Итоговый расчет АСУТП'!EZ37/8,2)</f>
        <v>#REF!</v>
      </c>
      <c r="U44" s="216"/>
      <c r="AA44">
        <v>0</v>
      </c>
      <c r="AE44" s="83"/>
    </row>
    <row r="45" spans="1:43" ht="15.75" thickBot="1" x14ac:dyDescent="0.3">
      <c r="A45" s="216"/>
      <c r="B45" s="1530" t="s">
        <v>1510</v>
      </c>
      <c r="C45" s="1530"/>
      <c r="D45" s="216"/>
      <c r="E45" s="216"/>
      <c r="F45" s="216"/>
      <c r="G45" s="216"/>
      <c r="H45" s="216"/>
      <c r="I45" s="216"/>
      <c r="J45" s="216"/>
      <c r="K45" s="216"/>
      <c r="L45" s="216"/>
      <c r="M45" s="216"/>
      <c r="N45" s="1562" t="e">
        <f>G131+G132+G133</f>
        <v>#REF!</v>
      </c>
      <c r="O45" s="297" t="str">
        <f>'СЗВ АСУТП'!$E$2</f>
        <v>СЗВ Кол-во серверов в кластере</v>
      </c>
      <c r="P45" s="298">
        <f>G23</f>
        <v>0</v>
      </c>
      <c r="Q45" s="216"/>
      <c r="R45" s="75">
        <v>1</v>
      </c>
      <c r="S45" s="63" t="s">
        <v>25</v>
      </c>
      <c r="T45" s="391" t="e">
        <f>ROUNDUP('Итоговый расчет АСУТП'!EZ38/8,2)</f>
        <v>#REF!</v>
      </c>
      <c r="U45" s="216"/>
      <c r="AA45">
        <v>0</v>
      </c>
      <c r="AE45" s="83"/>
    </row>
    <row r="46" spans="1:43" ht="15.75" thickBot="1" x14ac:dyDescent="0.3">
      <c r="A46" s="216"/>
      <c r="B46" s="94" t="s">
        <v>85</v>
      </c>
      <c r="C46" s="94" t="s">
        <v>84</v>
      </c>
      <c r="D46" s="94" t="s">
        <v>1548</v>
      </c>
      <c r="E46" s="94" t="s">
        <v>1549</v>
      </c>
      <c r="F46" s="94" t="s">
        <v>1550</v>
      </c>
      <c r="G46" s="94" t="s">
        <v>1551</v>
      </c>
      <c r="H46" s="216"/>
      <c r="I46" s="216"/>
      <c r="J46" s="216"/>
      <c r="K46" s="216"/>
      <c r="L46" s="216"/>
      <c r="M46" s="216"/>
      <c r="N46" s="216"/>
      <c r="O46" s="297" t="str">
        <f>'СЗВ АСУТП'!$F$2</f>
        <v>СЗВ Кол-во виртуальных машин</v>
      </c>
      <c r="P46" s="298">
        <f>I23</f>
        <v>0</v>
      </c>
      <c r="Q46" s="216"/>
      <c r="R46" s="75" t="s">
        <v>75</v>
      </c>
      <c r="S46" s="63" t="s">
        <v>26</v>
      </c>
      <c r="T46" s="391">
        <f>ROUNDUP('Итоговый расчет АСУТП'!EZ39/8,2)</f>
        <v>0</v>
      </c>
      <c r="U46" s="216"/>
      <c r="AA46">
        <v>0</v>
      </c>
      <c r="AE46" s="83"/>
    </row>
    <row r="47" spans="1:43" x14ac:dyDescent="0.25">
      <c r="A47" s="216"/>
      <c r="B47" s="822"/>
      <c r="C47" s="103"/>
      <c r="D47" s="99"/>
      <c r="E47" s="100"/>
      <c r="F47" s="100"/>
      <c r="G47" s="100"/>
      <c r="H47" s="216"/>
      <c r="I47" s="216"/>
      <c r="J47" s="216"/>
      <c r="K47" s="216"/>
      <c r="L47" s="216"/>
      <c r="M47" s="216"/>
      <c r="N47" s="216"/>
      <c r="O47" s="297" t="str">
        <f>'SOAR АСУТП'!$D$2</f>
        <v>SOAR Кол-во используемых дополнительных модулей</v>
      </c>
      <c r="P47" s="298">
        <f>E24</f>
        <v>0</v>
      </c>
      <c r="Q47" s="216"/>
      <c r="R47" s="75" t="s">
        <v>75</v>
      </c>
      <c r="S47" s="63" t="s">
        <v>27</v>
      </c>
      <c r="T47" s="391">
        <f>ROUNDUP('Итоговый расчет АСУТП'!EZ40/8,2)</f>
        <v>0</v>
      </c>
      <c r="U47" s="216"/>
      <c r="AA47">
        <v>0</v>
      </c>
      <c r="AE47" s="83"/>
    </row>
    <row r="48" spans="1:43" x14ac:dyDescent="0.25">
      <c r="A48" s="216"/>
      <c r="B48" s="817"/>
      <c r="C48" s="103"/>
      <c r="D48" s="98"/>
      <c r="E48" s="101"/>
      <c r="F48" s="101"/>
      <c r="G48" s="101"/>
      <c r="H48" s="216"/>
      <c r="I48" s="216"/>
      <c r="J48" s="216"/>
      <c r="K48" s="216"/>
      <c r="L48" s="216"/>
      <c r="M48" s="216"/>
      <c r="N48" s="216"/>
      <c r="O48" s="297" t="str">
        <f>'SOAR АСУТП'!$E$2</f>
        <v>SOAR Кол-во коллекторов/серверов оркестрации</v>
      </c>
      <c r="P48" s="298">
        <f>G24</f>
        <v>0</v>
      </c>
      <c r="Q48" s="216"/>
      <c r="R48" s="75" t="s">
        <v>75</v>
      </c>
      <c r="S48" s="63" t="s">
        <v>28</v>
      </c>
      <c r="T48" s="391">
        <f>ROUNDUP('Итоговый расчет АСУТП'!EZ41/8,2)</f>
        <v>0</v>
      </c>
      <c r="U48" s="216"/>
      <c r="AA48">
        <v>0</v>
      </c>
      <c r="AE48" s="83"/>
    </row>
    <row r="49" spans="1:32" x14ac:dyDescent="0.25">
      <c r="A49" s="216"/>
      <c r="B49" s="817"/>
      <c r="C49" s="103"/>
      <c r="D49" s="98"/>
      <c r="E49" s="101"/>
      <c r="F49" s="101"/>
      <c r="G49" s="101"/>
      <c r="H49" s="216"/>
      <c r="I49" s="216"/>
      <c r="J49" s="216"/>
      <c r="K49" s="216"/>
      <c r="L49" s="216"/>
      <c r="M49" s="216"/>
      <c r="N49" s="216"/>
      <c r="O49" s="297" t="str">
        <f>'SOAR АСУТП'!$F$2</f>
        <v>SOAR Проектируется только SOAR (нет=0; да=1)</v>
      </c>
      <c r="P49" s="298">
        <f>I24</f>
        <v>0</v>
      </c>
      <c r="Q49" s="216"/>
      <c r="R49" s="216"/>
      <c r="S49" s="216"/>
      <c r="T49" s="216"/>
      <c r="U49" s="216"/>
      <c r="AA49">
        <v>0</v>
      </c>
      <c r="AE49" s="83"/>
    </row>
    <row r="50" spans="1:32" x14ac:dyDescent="0.25">
      <c r="A50" s="216"/>
      <c r="B50" s="817"/>
      <c r="C50" s="103"/>
      <c r="D50" s="98"/>
      <c r="E50" s="101"/>
      <c r="F50" s="101"/>
      <c r="G50" s="101"/>
      <c r="H50" s="216"/>
      <c r="I50" s="216"/>
      <c r="J50" s="216"/>
      <c r="K50" s="216"/>
      <c r="L50" s="216"/>
      <c r="M50" s="216"/>
      <c r="N50" s="216"/>
      <c r="O50" s="297" t="str">
        <f>'VDI АСУТП'!$E$2</f>
        <v>VDI Кол-во протоколов подключения</v>
      </c>
      <c r="P50" s="298">
        <f>E25</f>
        <v>0</v>
      </c>
      <c r="Q50" s="216"/>
      <c r="R50" s="216"/>
      <c r="S50" s="216"/>
      <c r="T50" s="216"/>
      <c r="U50" s="216"/>
      <c r="AA50">
        <v>0</v>
      </c>
      <c r="AE50" s="83"/>
    </row>
    <row r="51" spans="1:32" x14ac:dyDescent="0.25">
      <c r="A51" s="216"/>
      <c r="B51" s="817"/>
      <c r="C51" s="103"/>
      <c r="D51" s="98"/>
      <c r="E51" s="101"/>
      <c r="F51" s="101"/>
      <c r="G51" s="101"/>
      <c r="H51" s="216"/>
      <c r="I51" s="216"/>
      <c r="J51" s="216"/>
      <c r="K51" s="216"/>
      <c r="L51" s="216"/>
      <c r="M51" s="216"/>
      <c r="N51" s="216"/>
      <c r="O51" s="297" t="str">
        <f>'VDI АСУТП'!$D$2</f>
        <v>VDI Количество площадок с серверными компонентами</v>
      </c>
      <c r="P51" s="298">
        <f>G25</f>
        <v>0</v>
      </c>
      <c r="Q51" s="216"/>
      <c r="R51" s="216"/>
      <c r="S51" s="216"/>
      <c r="T51" s="216"/>
      <c r="U51" s="216"/>
      <c r="AE51" s="83"/>
    </row>
    <row r="52" spans="1:32" x14ac:dyDescent="0.25">
      <c r="A52" s="216"/>
      <c r="B52" s="817"/>
      <c r="C52" s="103"/>
      <c r="D52" s="98"/>
      <c r="E52" s="101"/>
      <c r="F52" s="101"/>
      <c r="G52" s="101"/>
      <c r="H52" s="216"/>
      <c r="I52" s="216"/>
      <c r="J52" s="216"/>
      <c r="K52" s="216"/>
      <c r="L52" s="216"/>
      <c r="M52" s="216"/>
      <c r="N52" s="216"/>
      <c r="O52" s="297" t="str">
        <f>'VDI АСУТП'!$F$2</f>
        <v>VDI Кол-во пулов виртуальных машин</v>
      </c>
      <c r="P52" s="298">
        <f>I25</f>
        <v>0</v>
      </c>
      <c r="Q52" s="216"/>
      <c r="R52" s="216"/>
      <c r="S52" s="216"/>
      <c r="T52" s="216"/>
      <c r="U52" s="216"/>
    </row>
    <row r="53" spans="1:32" x14ac:dyDescent="0.25">
      <c r="A53" s="216"/>
      <c r="B53" s="817"/>
      <c r="C53" s="103"/>
      <c r="D53" s="98"/>
      <c r="E53" s="101"/>
      <c r="F53" s="101"/>
      <c r="G53" s="101"/>
      <c r="H53" s="216"/>
      <c r="I53" s="216"/>
      <c r="J53" s="216"/>
      <c r="K53" s="216"/>
      <c r="L53" s="216"/>
      <c r="M53" s="216"/>
      <c r="N53" s="216"/>
      <c r="O53" s="297" t="str">
        <f>'СУБД АСУТП'!D2</f>
        <v>СУБД Неиспользуемый параметр</v>
      </c>
      <c r="P53" s="298">
        <f>E26</f>
        <v>0</v>
      </c>
      <c r="Q53" s="216"/>
      <c r="R53" s="216"/>
      <c r="S53" s="216"/>
      <c r="T53" s="216"/>
      <c r="U53" s="216"/>
      <c r="AA53">
        <v>0</v>
      </c>
      <c r="AF53" s="126">
        <f>SUM(J62:J72)</f>
        <v>0</v>
      </c>
    </row>
    <row r="54" spans="1:32" x14ac:dyDescent="0.25">
      <c r="A54" s="216"/>
      <c r="B54" s="817"/>
      <c r="C54" s="103"/>
      <c r="D54" s="98"/>
      <c r="E54" s="101"/>
      <c r="F54" s="101"/>
      <c r="G54" s="101"/>
      <c r="H54" s="216"/>
      <c r="I54" s="216"/>
      <c r="J54" s="216"/>
      <c r="K54" s="216"/>
      <c r="L54" s="216"/>
      <c r="M54" s="216"/>
      <c r="N54" s="216"/>
      <c r="O54" s="297" t="str">
        <f>'СУБД АСУТП'!E2</f>
        <v>СУБД Неиспользуемый параметр</v>
      </c>
      <c r="P54" s="298">
        <f>G26</f>
        <v>0</v>
      </c>
      <c r="Q54" s="216"/>
      <c r="R54" s="216"/>
      <c r="S54" s="216"/>
      <c r="T54" s="216"/>
      <c r="U54" s="216"/>
    </row>
    <row r="55" spans="1:32" x14ac:dyDescent="0.25">
      <c r="A55" s="216"/>
      <c r="B55" s="817"/>
      <c r="C55" s="103"/>
      <c r="D55" s="98"/>
      <c r="E55" s="101"/>
      <c r="F55" s="101"/>
      <c r="G55" s="101"/>
      <c r="H55" s="216"/>
      <c r="I55" s="216"/>
      <c r="J55" s="216"/>
      <c r="K55" s="216"/>
      <c r="L55" s="216"/>
      <c r="M55" s="216"/>
      <c r="N55" s="216"/>
      <c r="O55" s="297" t="str">
        <f>'СУБД АСУТП'!F2</f>
        <v>СУБД Неиспользуемый параметр</v>
      </c>
      <c r="P55" s="298">
        <f>I26</f>
        <v>0</v>
      </c>
      <c r="Q55" s="216"/>
      <c r="R55" s="216"/>
      <c r="S55" s="216"/>
      <c r="T55" s="216"/>
      <c r="U55" s="216"/>
    </row>
    <row r="56" spans="1:32" x14ac:dyDescent="0.25">
      <c r="A56" s="216"/>
      <c r="B56" s="817"/>
      <c r="C56" s="103"/>
      <c r="D56" s="98"/>
      <c r="E56" s="101"/>
      <c r="F56" s="101"/>
      <c r="G56" s="101"/>
      <c r="H56" s="216"/>
      <c r="I56" s="216"/>
      <c r="J56" s="216"/>
      <c r="K56" s="216"/>
      <c r="L56" s="216"/>
      <c r="M56" s="216"/>
      <c r="N56" s="216"/>
      <c r="O56" s="297" t="str">
        <f>'ГОССОПКА АСУТП'!D$2</f>
        <v>ГосСопка количество серверных компонентов</v>
      </c>
      <c r="P56" s="298">
        <f>E27</f>
        <v>0</v>
      </c>
      <c r="Q56" s="216"/>
      <c r="R56" s="216"/>
      <c r="S56" s="216"/>
      <c r="T56" s="216"/>
      <c r="U56" s="216"/>
    </row>
    <row r="57" spans="1:32" ht="15" customHeight="1" x14ac:dyDescent="0.25">
      <c r="A57" s="216"/>
      <c r="B57" s="817"/>
      <c r="C57" s="103"/>
      <c r="D57" s="98"/>
      <c r="E57" s="101"/>
      <c r="F57" s="101"/>
      <c r="G57" s="101"/>
      <c r="H57" s="216"/>
      <c r="I57" s="216"/>
      <c r="J57" s="216"/>
      <c r="K57" s="216"/>
      <c r="L57" s="216"/>
      <c r="M57" s="216"/>
      <c r="N57" s="216"/>
      <c r="O57" s="297" t="str">
        <f>'ГОССОПКА АСУТП'!E$2</f>
        <v>ГосСопка кол-во используемых компонент</v>
      </c>
      <c r="P57" s="298">
        <f>G27</f>
        <v>0</v>
      </c>
      <c r="Q57" s="216"/>
      <c r="R57" s="216">
        <v>1</v>
      </c>
      <c r="S57" s="216"/>
      <c r="T57" s="216"/>
      <c r="U57" s="216"/>
      <c r="AE57" t="s">
        <v>83</v>
      </c>
    </row>
    <row r="58" spans="1:32" x14ac:dyDescent="0.25">
      <c r="A58" s="216"/>
      <c r="B58" s="817"/>
      <c r="C58" s="103"/>
      <c r="D58" s="98"/>
      <c r="E58" s="101"/>
      <c r="F58" s="101"/>
      <c r="G58" s="101"/>
      <c r="H58" s="216"/>
      <c r="I58" s="216"/>
      <c r="J58" s="216"/>
      <c r="K58" s="216"/>
      <c r="L58" s="216"/>
      <c r="M58" s="216"/>
      <c r="N58" s="216"/>
      <c r="O58" s="297" t="str">
        <f>'ГОССОПКА АСУТП'!F$2</f>
        <v>ГосСопка неиспользуемый параметр</v>
      </c>
      <c r="P58" s="298">
        <f>I27</f>
        <v>0</v>
      </c>
      <c r="Q58" s="216"/>
      <c r="R58" s="216">
        <v>0</v>
      </c>
      <c r="S58" s="216"/>
      <c r="T58" s="216"/>
      <c r="U58" s="216"/>
    </row>
    <row r="59" spans="1:32" x14ac:dyDescent="0.25">
      <c r="A59" s="216"/>
      <c r="B59" s="817"/>
      <c r="C59" s="103"/>
      <c r="D59" s="98"/>
      <c r="E59" s="101"/>
      <c r="F59" s="101"/>
      <c r="G59" s="101"/>
      <c r="H59" s="216"/>
      <c r="I59" s="216"/>
      <c r="J59" s="216"/>
      <c r="K59" s="216"/>
      <c r="L59" s="216"/>
      <c r="M59" s="216"/>
      <c r="N59" s="216"/>
      <c r="O59" s="297" t="str">
        <f>'TLS АСУТП'!D$2</f>
        <v>TLS Кол-во площадок</v>
      </c>
      <c r="P59" s="298">
        <f>E28</f>
        <v>0</v>
      </c>
      <c r="Q59" s="216"/>
      <c r="R59" s="216" t="b">
        <v>0</v>
      </c>
      <c r="S59" s="216"/>
      <c r="T59" s="216"/>
      <c r="U59" s="216"/>
      <c r="AA59">
        <v>1</v>
      </c>
    </row>
    <row r="60" spans="1:32" x14ac:dyDescent="0.25">
      <c r="A60" s="216"/>
      <c r="B60" s="817"/>
      <c r="C60" s="103"/>
      <c r="D60" s="98"/>
      <c r="E60" s="101"/>
      <c r="F60" s="101"/>
      <c r="G60" s="101"/>
      <c r="H60" s="216"/>
      <c r="I60" s="216"/>
      <c r="J60" s="216"/>
      <c r="K60" s="216"/>
      <c r="L60" s="216"/>
      <c r="M60" s="216"/>
      <c r="N60" s="216"/>
      <c r="O60" s="297" t="str">
        <f>'TLS АСУТП'!E$2</f>
        <v>TLC Кол-во типов агентов</v>
      </c>
      <c r="P60" s="298">
        <f>G28</f>
        <v>0</v>
      </c>
      <c r="Q60" s="216"/>
      <c r="R60" s="216" t="b">
        <v>0</v>
      </c>
      <c r="S60" s="216"/>
      <c r="T60" s="216"/>
      <c r="U60" s="216"/>
      <c r="AA60">
        <v>1</v>
      </c>
      <c r="AE60" t="s">
        <v>86</v>
      </c>
      <c r="AF60" t="s">
        <v>87</v>
      </c>
    </row>
    <row r="61" spans="1:32" x14ac:dyDescent="0.25">
      <c r="A61" s="216"/>
      <c r="B61" s="817"/>
      <c r="C61" s="103"/>
      <c r="D61" s="98"/>
      <c r="E61" s="101"/>
      <c r="F61" s="101"/>
      <c r="G61" s="101"/>
      <c r="H61" s="216"/>
      <c r="I61" s="216"/>
      <c r="J61" s="216"/>
      <c r="K61" s="216"/>
      <c r="L61" s="216"/>
      <c r="M61" s="216"/>
      <c r="N61" s="216"/>
      <c r="O61" s="297" t="str">
        <f>'TLS АСУТП'!F$2</f>
        <v>TLC Неиспользуемый параметр</v>
      </c>
      <c r="P61" s="298">
        <f>I28</f>
        <v>0</v>
      </c>
      <c r="Q61" s="216"/>
      <c r="R61" s="216" t="b">
        <v>0</v>
      </c>
      <c r="S61" s="216"/>
      <c r="T61" s="216"/>
      <c r="U61" s="216"/>
      <c r="AA61">
        <v>1</v>
      </c>
      <c r="AE61">
        <f>IF(C72 = "АСУТП",1,0)</f>
        <v>0</v>
      </c>
      <c r="AF61">
        <f>IF(C72= "ОП",1,0)</f>
        <v>0</v>
      </c>
    </row>
    <row r="62" spans="1:32" x14ac:dyDescent="0.25">
      <c r="A62" s="216"/>
      <c r="B62" s="817"/>
      <c r="C62" s="103"/>
      <c r="D62" s="98"/>
      <c r="E62" s="101"/>
      <c r="F62" s="101"/>
      <c r="G62" s="101"/>
      <c r="H62" s="216"/>
      <c r="I62" s="216"/>
      <c r="J62" s="216"/>
      <c r="K62" s="216"/>
      <c r="L62" s="216"/>
      <c r="M62" s="216"/>
      <c r="N62" s="216"/>
      <c r="O62" s="297" t="str">
        <f>'DCAP АСУТП'!D$2</f>
        <v>DCAP Количество площадок с серверными компонентами подсистемы</v>
      </c>
      <c r="P62" s="298">
        <f>E29</f>
        <v>0</v>
      </c>
      <c r="Q62" s="216"/>
      <c r="R62" s="216">
        <v>1</v>
      </c>
      <c r="S62" s="216"/>
      <c r="T62" s="216"/>
      <c r="U62" s="216"/>
      <c r="AA62">
        <v>1</v>
      </c>
      <c r="AE62">
        <f t="shared" ref="AE62:AE76" si="24">IF(C73 = "АСУТП",1,0)</f>
        <v>0</v>
      </c>
      <c r="AF62">
        <f t="shared" ref="AF62:AF76" si="25">IF(C73= "ОП",1,0)</f>
        <v>0</v>
      </c>
    </row>
    <row r="63" spans="1:32" x14ac:dyDescent="0.25">
      <c r="A63" s="216"/>
      <c r="B63" s="817"/>
      <c r="C63" s="103"/>
      <c r="D63" s="98"/>
      <c r="E63" s="101"/>
      <c r="F63" s="101"/>
      <c r="G63" s="101"/>
      <c r="H63" s="216"/>
      <c r="I63" s="216"/>
      <c r="J63" s="216"/>
      <c r="K63" s="216"/>
      <c r="L63" s="216"/>
      <c r="M63" s="216"/>
      <c r="N63" s="216"/>
      <c r="O63" s="297" t="str">
        <f>'DCAP АСУТП'!E$2</f>
        <v>DCAP Кол-во типов хранилищ</v>
      </c>
      <c r="P63" s="298">
        <f>G29</f>
        <v>0</v>
      </c>
      <c r="Q63" s="216"/>
      <c r="R63" s="216">
        <v>0</v>
      </c>
      <c r="S63" s="216"/>
      <c r="T63" s="216"/>
      <c r="U63" s="216"/>
      <c r="AA63">
        <v>1</v>
      </c>
      <c r="AE63">
        <f t="shared" si="24"/>
        <v>0</v>
      </c>
      <c r="AF63">
        <f t="shared" si="25"/>
        <v>0</v>
      </c>
    </row>
    <row r="64" spans="1:32" x14ac:dyDescent="0.25">
      <c r="A64" s="216"/>
      <c r="B64" s="817"/>
      <c r="C64" s="103"/>
      <c r="D64" s="98"/>
      <c r="E64" s="101"/>
      <c r="F64" s="101"/>
      <c r="G64" s="101"/>
      <c r="H64" s="216"/>
      <c r="I64" s="216"/>
      <c r="J64" s="216"/>
      <c r="K64" s="216"/>
      <c r="L64" s="216"/>
      <c r="M64" s="216"/>
      <c r="N64" s="216"/>
      <c r="O64" s="297" t="str">
        <f>'DCAP АСУТП'!F$2</f>
        <v>DCAP Неиспользуемый параметр</v>
      </c>
      <c r="P64" s="298">
        <f>I29</f>
        <v>0</v>
      </c>
      <c r="Q64" s="216"/>
      <c r="R64" s="216" t="b">
        <v>0</v>
      </c>
      <c r="S64" s="216"/>
      <c r="T64" s="216"/>
      <c r="U64" s="216"/>
      <c r="AA64">
        <v>1</v>
      </c>
      <c r="AE64">
        <f t="shared" si="24"/>
        <v>0</v>
      </c>
      <c r="AF64">
        <f t="shared" si="25"/>
        <v>0</v>
      </c>
    </row>
    <row r="65" spans="1:32" x14ac:dyDescent="0.25">
      <c r="A65" s="216"/>
      <c r="B65" s="817"/>
      <c r="C65" s="103"/>
      <c r="D65" s="98"/>
      <c r="E65" s="101"/>
      <c r="F65" s="101"/>
      <c r="G65" s="101"/>
      <c r="H65" s="216"/>
      <c r="I65" s="216"/>
      <c r="J65" s="216"/>
      <c r="K65" s="216"/>
      <c r="L65" s="216"/>
      <c r="M65" s="216"/>
      <c r="N65" s="216"/>
      <c r="O65" s="297" t="str">
        <f>'DO АСУТП'!D$2</f>
        <v>DO Количество серверных компонентов</v>
      </c>
      <c r="P65" s="298">
        <f>E30</f>
        <v>0</v>
      </c>
      <c r="Q65" s="216"/>
      <c r="R65" s="216" t="b">
        <v>0</v>
      </c>
      <c r="S65" s="216"/>
      <c r="T65" s="216"/>
      <c r="U65" s="216"/>
      <c r="AA65">
        <v>1</v>
      </c>
      <c r="AE65">
        <f t="shared" si="24"/>
        <v>0</v>
      </c>
      <c r="AF65">
        <f t="shared" si="25"/>
        <v>0</v>
      </c>
    </row>
    <row r="66" spans="1:32" x14ac:dyDescent="0.25">
      <c r="A66" s="216"/>
      <c r="B66" s="817"/>
      <c r="C66" s="103"/>
      <c r="D66" s="98"/>
      <c r="E66" s="101"/>
      <c r="F66" s="101"/>
      <c r="G66" s="101"/>
      <c r="H66" s="216"/>
      <c r="I66" s="216"/>
      <c r="J66" s="216"/>
      <c r="K66" s="216"/>
      <c r="L66" s="216"/>
      <c r="M66" s="216"/>
      <c r="N66" s="216"/>
      <c r="O66" s="297" t="str">
        <f>'DO АСУТП'!E$2</f>
        <v>DO Кол-во используемых модулей</v>
      </c>
      <c r="P66" s="298">
        <f>G30</f>
        <v>0</v>
      </c>
      <c r="Q66" s="216"/>
      <c r="R66" s="216" t="b">
        <v>0</v>
      </c>
      <c r="S66" s="216"/>
      <c r="T66" s="216"/>
      <c r="U66" s="216"/>
      <c r="AA66">
        <v>0</v>
      </c>
      <c r="AE66">
        <f t="shared" si="24"/>
        <v>0</v>
      </c>
      <c r="AF66">
        <f t="shared" si="25"/>
        <v>0</v>
      </c>
    </row>
    <row r="67" spans="1:32" x14ac:dyDescent="0.25">
      <c r="A67" s="216"/>
      <c r="B67" s="817"/>
      <c r="C67" s="103"/>
      <c r="D67" s="98"/>
      <c r="E67" s="101"/>
      <c r="F67" s="101"/>
      <c r="G67" s="101"/>
      <c r="H67" s="216"/>
      <c r="I67" s="216"/>
      <c r="J67" s="216"/>
      <c r="K67" s="216"/>
      <c r="L67" s="216"/>
      <c r="M67" s="216"/>
      <c r="N67" s="216"/>
      <c r="O67" s="297" t="str">
        <f>'DO АСУТП'!F$2</f>
        <v>DO Проектируется только DO (нет=0; да=1)</v>
      </c>
      <c r="P67" s="298">
        <f>I30</f>
        <v>0</v>
      </c>
      <c r="Q67" s="216"/>
      <c r="R67" s="216" t="b">
        <v>0</v>
      </c>
      <c r="S67" s="216"/>
      <c r="T67" s="216"/>
      <c r="U67" s="216"/>
      <c r="AA67">
        <v>1</v>
      </c>
      <c r="AE67">
        <f t="shared" si="24"/>
        <v>0</v>
      </c>
      <c r="AF67">
        <f t="shared" si="25"/>
        <v>0</v>
      </c>
    </row>
    <row r="68" spans="1:32" ht="15.75" thickBot="1" x14ac:dyDescent="0.3">
      <c r="A68" s="216"/>
      <c r="B68" s="818"/>
      <c r="C68" s="103"/>
      <c r="D68" s="1261"/>
      <c r="E68" s="1262"/>
      <c r="F68" s="1262"/>
      <c r="G68" s="1262"/>
      <c r="H68" s="216"/>
      <c r="I68" s="216"/>
      <c r="J68" s="216"/>
      <c r="K68" s="216"/>
      <c r="L68" s="216"/>
      <c r="M68" s="216"/>
      <c r="N68" s="216"/>
      <c r="O68" s="297" t="str">
        <f>'NTA АСУТП'!D$2</f>
        <v>NTA Количество площадок с серверными компонентами</v>
      </c>
      <c r="P68" s="298">
        <f>E31</f>
        <v>0</v>
      </c>
      <c r="Q68" s="216"/>
      <c r="R68" s="216">
        <v>0</v>
      </c>
      <c r="S68" s="216"/>
      <c r="T68" s="216"/>
      <c r="U68" s="216"/>
      <c r="AA68">
        <v>1</v>
      </c>
      <c r="AE68">
        <f t="shared" si="24"/>
        <v>0</v>
      </c>
      <c r="AF68">
        <f t="shared" si="25"/>
        <v>0</v>
      </c>
    </row>
    <row r="69" spans="1:32" x14ac:dyDescent="0.25">
      <c r="A69" s="216"/>
      <c r="B69" s="216"/>
      <c r="C69" s="216"/>
      <c r="D69" s="216"/>
      <c r="E69" s="216"/>
      <c r="F69" s="216"/>
      <c r="G69" s="216"/>
      <c r="H69" s="216"/>
      <c r="I69" s="216"/>
      <c r="J69" s="216"/>
      <c r="K69" s="216"/>
      <c r="L69" s="216"/>
      <c r="M69" s="216"/>
      <c r="N69" s="216"/>
      <c r="O69" s="297" t="str">
        <f>'NTA АСУТП'!E$2</f>
        <v>NTA Кол-во точек мониторинга</v>
      </c>
      <c r="P69" s="298">
        <f>G31</f>
        <v>0</v>
      </c>
      <c r="Q69" s="216"/>
      <c r="R69" s="216">
        <v>0</v>
      </c>
      <c r="S69" s="216"/>
      <c r="T69" s="216"/>
      <c r="U69" s="216"/>
      <c r="AA69">
        <v>1</v>
      </c>
      <c r="AE69">
        <f t="shared" si="24"/>
        <v>0</v>
      </c>
      <c r="AF69">
        <f t="shared" si="25"/>
        <v>0</v>
      </c>
    </row>
    <row r="70" spans="1:32" ht="15.75" thickBot="1" x14ac:dyDescent="0.3">
      <c r="A70" s="216"/>
      <c r="B70" s="1530" t="s">
        <v>1511</v>
      </c>
      <c r="C70" s="216"/>
      <c r="D70" s="216"/>
      <c r="E70" s="216"/>
      <c r="F70" s="216"/>
      <c r="G70" s="216"/>
      <c r="H70" s="216"/>
      <c r="I70" s="216"/>
      <c r="J70" s="216"/>
      <c r="K70" s="216"/>
      <c r="L70" s="216"/>
      <c r="M70" s="216"/>
      <c r="N70" s="216"/>
      <c r="O70" s="297" t="str">
        <f>'NTA АСУТП'!F$2</f>
        <v>NTA Неиспользуемый параметр</v>
      </c>
      <c r="P70" s="298">
        <f>I31</f>
        <v>0</v>
      </c>
      <c r="Q70" s="216"/>
      <c r="R70" s="216">
        <v>0</v>
      </c>
      <c r="S70" s="216"/>
      <c r="T70" s="216"/>
      <c r="U70" s="216"/>
      <c r="AA70">
        <v>0</v>
      </c>
      <c r="AE70">
        <f t="shared" si="24"/>
        <v>0</v>
      </c>
      <c r="AF70">
        <f t="shared" si="25"/>
        <v>0</v>
      </c>
    </row>
    <row r="71" spans="1:32" ht="15.75" thickBot="1" x14ac:dyDescent="0.3">
      <c r="A71" s="216"/>
      <c r="B71" s="94" t="s">
        <v>85</v>
      </c>
      <c r="C71" s="94" t="s">
        <v>84</v>
      </c>
      <c r="D71" s="94" t="s">
        <v>1548</v>
      </c>
      <c r="E71" s="94" t="s">
        <v>1549</v>
      </c>
      <c r="F71" s="94" t="s">
        <v>1550</v>
      </c>
      <c r="G71" s="94" t="s">
        <v>1551</v>
      </c>
      <c r="H71" s="216"/>
      <c r="I71" s="216"/>
      <c r="J71" s="216"/>
      <c r="K71" s="216"/>
      <c r="L71" s="216"/>
      <c r="M71" s="216"/>
      <c r="N71" s="216"/>
      <c r="O71" s="297" t="str">
        <f>'SEG АСУТП'!D$2</f>
        <v>SEG Количество площадок с серверными компонентами подсистемы</v>
      </c>
      <c r="P71" s="298">
        <f>E32</f>
        <v>0</v>
      </c>
      <c r="Q71" s="216"/>
      <c r="R71" s="216" t="b">
        <v>0</v>
      </c>
      <c r="S71" s="216"/>
      <c r="T71" s="216"/>
      <c r="U71" s="216"/>
      <c r="W71">
        <v>1</v>
      </c>
      <c r="X71">
        <v>4</v>
      </c>
      <c r="Y71">
        <v>1</v>
      </c>
      <c r="AA71">
        <v>0</v>
      </c>
      <c r="AE71">
        <f t="shared" si="24"/>
        <v>0</v>
      </c>
      <c r="AF71">
        <f t="shared" si="25"/>
        <v>0</v>
      </c>
    </row>
    <row r="72" spans="1:32" x14ac:dyDescent="0.25">
      <c r="A72" s="216"/>
      <c r="B72" s="106"/>
      <c r="C72" s="103"/>
      <c r="D72" s="99"/>
      <c r="E72" s="100"/>
      <c r="F72" s="100"/>
      <c r="G72" s="100"/>
      <c r="H72" s="216"/>
      <c r="I72" s="216"/>
      <c r="J72" s="216"/>
      <c r="K72" s="216"/>
      <c r="L72" s="216"/>
      <c r="M72" s="216"/>
      <c r="N72" s="216"/>
      <c r="O72" s="297" t="str">
        <f>'SEG АСУТП'!E$2</f>
        <v>SEG Кол-во почтовых серверов</v>
      </c>
      <c r="P72" s="298">
        <f>G32</f>
        <v>0</v>
      </c>
      <c r="Q72" s="216"/>
      <c r="R72" s="216" t="b">
        <v>0</v>
      </c>
      <c r="S72" s="216"/>
      <c r="T72" s="216"/>
      <c r="U72" s="216"/>
      <c r="W72">
        <v>1</v>
      </c>
      <c r="X72">
        <v>1</v>
      </c>
      <c r="Y72">
        <v>3</v>
      </c>
      <c r="AA72">
        <v>0</v>
      </c>
      <c r="AE72">
        <f t="shared" si="24"/>
        <v>0</v>
      </c>
      <c r="AF72">
        <f t="shared" si="25"/>
        <v>0</v>
      </c>
    </row>
    <row r="73" spans="1:32" x14ac:dyDescent="0.25">
      <c r="A73" s="216"/>
      <c r="B73" s="22"/>
      <c r="C73" s="103"/>
      <c r="D73" s="98"/>
      <c r="E73" s="101"/>
      <c r="F73" s="101"/>
      <c r="G73" s="101"/>
      <c r="H73" s="216"/>
      <c r="I73" s="216"/>
      <c r="J73" s="216"/>
      <c r="K73" s="216"/>
      <c r="L73" s="216"/>
      <c r="M73" s="216"/>
      <c r="N73" s="216"/>
      <c r="O73" s="297" t="str">
        <f>'SEG АСУТП'!F$2</f>
        <v>SEG Неиспользуемый параметр</v>
      </c>
      <c r="P73" s="298">
        <f>I32</f>
        <v>0</v>
      </c>
      <c r="Q73" s="216"/>
      <c r="R73" s="216" t="b">
        <v>0</v>
      </c>
      <c r="S73" s="216"/>
      <c r="T73" s="216"/>
      <c r="U73" s="216"/>
      <c r="AE73">
        <f t="shared" si="24"/>
        <v>0</v>
      </c>
      <c r="AF73">
        <f t="shared" si="25"/>
        <v>0</v>
      </c>
    </row>
    <row r="74" spans="1:32" x14ac:dyDescent="0.25">
      <c r="A74" s="216"/>
      <c r="B74" s="22"/>
      <c r="C74" s="103"/>
      <c r="D74" s="98"/>
      <c r="E74" s="101"/>
      <c r="F74" s="101"/>
      <c r="G74" s="101"/>
      <c r="H74" s="216"/>
      <c r="I74" s="216"/>
      <c r="J74" s="216"/>
      <c r="K74" s="216"/>
      <c r="L74" s="216"/>
      <c r="M74" s="216"/>
      <c r="N74" s="216"/>
      <c r="O74" s="297" t="str">
        <f>'APT АСУТП'!D$2</f>
        <v>APT Количество типовых площадок</v>
      </c>
      <c r="P74" s="298">
        <f>E33</f>
        <v>0</v>
      </c>
      <c r="Q74" s="216"/>
      <c r="R74" s="216" t="b">
        <v>0</v>
      </c>
      <c r="S74" s="216"/>
      <c r="T74" s="216"/>
      <c r="U74" s="216"/>
      <c r="AE74">
        <f t="shared" si="24"/>
        <v>0</v>
      </c>
      <c r="AF74">
        <f t="shared" si="25"/>
        <v>0</v>
      </c>
    </row>
    <row r="75" spans="1:32" x14ac:dyDescent="0.25">
      <c r="A75" s="216"/>
      <c r="B75" s="22"/>
      <c r="C75" s="103"/>
      <c r="D75" s="98"/>
      <c r="E75" s="101"/>
      <c r="F75" s="101"/>
      <c r="G75" s="101"/>
      <c r="H75" s="216"/>
      <c r="I75" s="216"/>
      <c r="J75" s="216"/>
      <c r="K75" s="216"/>
      <c r="L75" s="216"/>
      <c r="M75" s="216"/>
      <c r="N75" s="216"/>
      <c r="O75" s="297" t="str">
        <f>'APT АСУТП'!E$2</f>
        <v>APT Количество сенсоров</v>
      </c>
      <c r="P75" s="298">
        <f>G33</f>
        <v>0</v>
      </c>
      <c r="Q75" s="216"/>
      <c r="R75" s="216" t="b">
        <v>0</v>
      </c>
      <c r="S75" s="216"/>
      <c r="T75" s="216"/>
      <c r="U75" s="216"/>
      <c r="AE75">
        <f t="shared" si="24"/>
        <v>0</v>
      </c>
      <c r="AF75">
        <f t="shared" si="25"/>
        <v>0</v>
      </c>
    </row>
    <row r="76" spans="1:32" x14ac:dyDescent="0.25">
      <c r="A76" s="216"/>
      <c r="B76" s="22"/>
      <c r="C76" s="103"/>
      <c r="D76" s="98"/>
      <c r="E76" s="101"/>
      <c r="F76" s="101"/>
      <c r="G76" s="101"/>
      <c r="H76" s="216"/>
      <c r="I76" s="216"/>
      <c r="J76" s="216"/>
      <c r="K76" s="216"/>
      <c r="L76" s="216"/>
      <c r="M76" s="216"/>
      <c r="N76" s="216"/>
      <c r="O76" s="297" t="str">
        <f>'APT АСУТП'!F$2</f>
        <v>APT Количество Sandbox</v>
      </c>
      <c r="P76" s="298">
        <f>I33</f>
        <v>0</v>
      </c>
      <c r="Q76" s="216"/>
      <c r="R76" s="216" t="b">
        <v>0</v>
      </c>
      <c r="S76" s="216"/>
      <c r="T76" s="216"/>
      <c r="U76" s="216"/>
      <c r="AE76">
        <f t="shared" si="24"/>
        <v>0</v>
      </c>
      <c r="AF76">
        <f t="shared" si="25"/>
        <v>0</v>
      </c>
    </row>
    <row r="77" spans="1:32" x14ac:dyDescent="0.25">
      <c r="A77" s="216"/>
      <c r="B77" s="22"/>
      <c r="C77" s="103"/>
      <c r="D77" s="98"/>
      <c r="E77" s="101"/>
      <c r="F77" s="101"/>
      <c r="G77" s="101"/>
      <c r="H77" s="216"/>
      <c r="I77" s="216"/>
      <c r="J77" s="216"/>
      <c r="K77" s="216"/>
      <c r="L77" s="216"/>
      <c r="M77" s="216"/>
      <c r="N77" s="216"/>
      <c r="O77" s="297" t="str">
        <f>'NAC АСУТП'!D$2</f>
        <v>NAC Количество площадок с серверными компонентами</v>
      </c>
      <c r="P77" s="298">
        <f>E34</f>
        <v>0</v>
      </c>
      <c r="Q77" s="216"/>
      <c r="R77" s="216">
        <v>0</v>
      </c>
      <c r="S77" s="216"/>
      <c r="T77" s="216"/>
      <c r="U77" s="216"/>
    </row>
    <row r="78" spans="1:32" x14ac:dyDescent="0.25">
      <c r="A78" s="216"/>
      <c r="B78" s="22"/>
      <c r="C78" s="103"/>
      <c r="D78" s="98"/>
      <c r="E78" s="101"/>
      <c r="F78" s="101"/>
      <c r="G78" s="101"/>
      <c r="H78" s="216"/>
      <c r="I78" s="216"/>
      <c r="J78" s="216"/>
      <c r="K78" s="216"/>
      <c r="L78" s="216"/>
      <c r="M78" s="216"/>
      <c r="N78" s="216"/>
      <c r="O78" s="297" t="str">
        <f>'NAC АСУТП'!E$2</f>
        <v>NAC Кол-во типов устройств</v>
      </c>
      <c r="P78" s="298">
        <f>G34</f>
        <v>0</v>
      </c>
      <c r="Q78" s="216"/>
      <c r="R78" s="216">
        <v>0</v>
      </c>
      <c r="S78" s="216"/>
      <c r="T78" s="216"/>
      <c r="U78" s="216"/>
    </row>
    <row r="79" spans="1:32" x14ac:dyDescent="0.25">
      <c r="A79" s="216"/>
      <c r="B79" s="22"/>
      <c r="C79" s="103"/>
      <c r="D79" s="98"/>
      <c r="E79" s="101"/>
      <c r="F79" s="101"/>
      <c r="G79" s="101"/>
      <c r="H79" s="216"/>
      <c r="I79" s="216"/>
      <c r="J79" s="216"/>
      <c r="K79" s="216"/>
      <c r="L79" s="216"/>
      <c r="M79" s="216"/>
      <c r="N79" s="216"/>
      <c r="O79" s="297" t="str">
        <f>'NAC АСУТП'!F$2</f>
        <v>NAC Кол-во систем для интеграции</v>
      </c>
      <c r="P79" s="298">
        <f>I34</f>
        <v>0</v>
      </c>
      <c r="Q79" s="216"/>
      <c r="R79" s="216" t="b">
        <v>0</v>
      </c>
      <c r="S79" s="216"/>
      <c r="T79" s="216"/>
      <c r="U79" s="216"/>
    </row>
    <row r="80" spans="1:32" x14ac:dyDescent="0.25">
      <c r="A80" s="216"/>
      <c r="B80" s="22"/>
      <c r="C80" s="103"/>
      <c r="D80" s="98"/>
      <c r="E80" s="101"/>
      <c r="F80" s="101"/>
      <c r="G80" s="101"/>
      <c r="H80" s="216"/>
      <c r="I80" s="216"/>
      <c r="J80" s="216"/>
      <c r="K80" s="216"/>
      <c r="L80" s="216"/>
      <c r="M80" s="216"/>
      <c r="N80" s="216"/>
      <c r="O80" s="297" t="str">
        <f>'SANDBOX АСУТП'!D$2</f>
        <v>SANDBOX Кол-во серверных компонентов</v>
      </c>
      <c r="P80" s="298">
        <f>E35</f>
        <v>0</v>
      </c>
      <c r="Q80" s="216"/>
      <c r="R80" s="216"/>
      <c r="S80" s="216"/>
      <c r="T80" s="216"/>
      <c r="U80" s="216"/>
    </row>
    <row r="81" spans="1:21" x14ac:dyDescent="0.25">
      <c r="A81" s="216"/>
      <c r="B81" s="22"/>
      <c r="C81" s="103"/>
      <c r="D81" s="98"/>
      <c r="E81" s="101"/>
      <c r="F81" s="101"/>
      <c r="G81" s="101"/>
      <c r="H81" s="216"/>
      <c r="I81" s="216"/>
      <c r="J81" s="216"/>
      <c r="K81" s="216"/>
      <c r="L81" s="216"/>
      <c r="M81" s="216"/>
      <c r="N81" s="216"/>
      <c r="O81" s="297" t="str">
        <f>'SANDBOX АСУТП'!E$2</f>
        <v>SANDBOX Кол-во типов ОС</v>
      </c>
      <c r="P81" s="298">
        <f>G35</f>
        <v>0</v>
      </c>
      <c r="Q81" s="216"/>
      <c r="R81" s="216"/>
      <c r="S81" s="216"/>
      <c r="T81" s="216"/>
      <c r="U81" s="216"/>
    </row>
    <row r="82" spans="1:21" x14ac:dyDescent="0.25">
      <c r="A82" s="216"/>
      <c r="B82" s="22"/>
      <c r="C82" s="103"/>
      <c r="D82" s="98"/>
      <c r="E82" s="101"/>
      <c r="F82" s="101"/>
      <c r="G82" s="101"/>
      <c r="H82" s="216"/>
      <c r="I82" s="216"/>
      <c r="J82" s="216"/>
      <c r="K82" s="216"/>
      <c r="L82" s="216"/>
      <c r="M82" s="216"/>
      <c r="N82" s="216"/>
      <c r="O82" s="297" t="str">
        <f>'SANDBOX АСУТП'!F$2</f>
        <v>SANDBOX Неиспользуемый параметр</v>
      </c>
      <c r="P82" s="298">
        <f>I35</f>
        <v>0</v>
      </c>
      <c r="Q82" s="216"/>
      <c r="R82" s="216"/>
      <c r="S82" s="216"/>
      <c r="T82" s="216"/>
      <c r="U82" s="216"/>
    </row>
    <row r="83" spans="1:21" x14ac:dyDescent="0.25">
      <c r="A83" s="216"/>
      <c r="B83" s="22"/>
      <c r="C83" s="103"/>
      <c r="D83" s="98"/>
      <c r="E83" s="101"/>
      <c r="F83" s="101"/>
      <c r="G83" s="101"/>
      <c r="H83" s="216"/>
      <c r="I83" s="216"/>
      <c r="J83" s="216"/>
      <c r="K83" s="216"/>
      <c r="L83" s="216"/>
      <c r="M83" s="216"/>
      <c r="N83" s="216"/>
      <c r="O83" s="297" t="str">
        <f>'EDR АСУТП'!D$2</f>
        <v>EDR Кол-во серверов управления</v>
      </c>
      <c r="P83" s="298">
        <f>E36</f>
        <v>0</v>
      </c>
      <c r="Q83" s="216"/>
      <c r="R83" s="216"/>
      <c r="S83" s="216"/>
      <c r="T83" s="216"/>
      <c r="U83" s="216"/>
    </row>
    <row r="84" spans="1:21" x14ac:dyDescent="0.25">
      <c r="A84" s="216"/>
      <c r="B84" s="22"/>
      <c r="C84" s="103"/>
      <c r="D84" s="98"/>
      <c r="E84" s="101"/>
      <c r="F84" s="101"/>
      <c r="G84" s="101"/>
      <c r="H84" s="216"/>
      <c r="I84" s="216"/>
      <c r="J84" s="216"/>
      <c r="K84" s="216"/>
      <c r="L84" s="216"/>
      <c r="M84" s="216"/>
      <c r="N84" s="216"/>
      <c r="O84" s="297" t="str">
        <f>'EDR АСУТП'!E$2</f>
        <v>EDR Кол-во серверов Sandbox</v>
      </c>
      <c r="P84" s="298">
        <f>G36</f>
        <v>0</v>
      </c>
      <c r="Q84" s="216"/>
      <c r="R84" s="216"/>
      <c r="S84" s="216"/>
      <c r="T84" s="216"/>
      <c r="U84" s="216"/>
    </row>
    <row r="85" spans="1:21" x14ac:dyDescent="0.25">
      <c r="A85" s="216"/>
      <c r="B85" s="22"/>
      <c r="C85" s="103"/>
      <c r="D85" s="98"/>
      <c r="E85" s="101"/>
      <c r="F85" s="101"/>
      <c r="G85" s="101"/>
      <c r="H85" s="216"/>
      <c r="I85" s="216"/>
      <c r="J85" s="216"/>
      <c r="K85" s="216"/>
      <c r="L85" s="216"/>
      <c r="M85" s="216"/>
      <c r="N85" s="216"/>
      <c r="O85" s="297" t="str">
        <f>'EDR АСУТП'!F$2</f>
        <v>EDR Кол-во систем для интеграции</v>
      </c>
      <c r="P85" s="298">
        <f>I36</f>
        <v>0</v>
      </c>
      <c r="Q85" s="216"/>
      <c r="R85" s="216"/>
      <c r="S85" s="216"/>
      <c r="T85" s="216"/>
      <c r="U85" s="216"/>
    </row>
    <row r="86" spans="1:21" x14ac:dyDescent="0.25">
      <c r="A86" s="216"/>
      <c r="B86" s="22"/>
      <c r="C86" s="103"/>
      <c r="D86" s="98"/>
      <c r="E86" s="101"/>
      <c r="F86" s="101"/>
      <c r="G86" s="101"/>
      <c r="H86" s="216"/>
      <c r="I86" s="216"/>
      <c r="J86" s="216"/>
      <c r="K86" s="216"/>
      <c r="L86" s="216"/>
      <c r="M86" s="216"/>
      <c r="N86" s="216"/>
      <c r="O86" s="401" t="str">
        <f>'WAF АСУТП'!D$2</f>
        <v>WAF Кол-во площадок</v>
      </c>
      <c r="P86" s="402">
        <f>E37</f>
        <v>0</v>
      </c>
      <c r="Q86" s="216"/>
      <c r="R86" s="216"/>
      <c r="S86" s="216"/>
      <c r="T86" s="216"/>
      <c r="U86" s="216"/>
    </row>
    <row r="87" spans="1:21" ht="15.75" thickBot="1" x14ac:dyDescent="0.3">
      <c r="A87" s="216"/>
      <c r="B87" s="107"/>
      <c r="C87" s="103"/>
      <c r="D87" s="104"/>
      <c r="E87" s="105"/>
      <c r="F87" s="105"/>
      <c r="G87" s="105"/>
      <c r="H87" s="216"/>
      <c r="I87" s="216"/>
      <c r="J87" s="216"/>
      <c r="K87" s="216"/>
      <c r="L87" s="216"/>
      <c r="M87" s="216"/>
      <c r="N87" s="216"/>
      <c r="O87" s="780" t="str">
        <f>'WAF АСУТП'!E$2</f>
        <v>WAF Кол-во  защищаемых веб-ресурсов</v>
      </c>
      <c r="P87" s="781">
        <f>G37</f>
        <v>0</v>
      </c>
      <c r="Q87" s="216"/>
      <c r="R87" s="216"/>
      <c r="S87" s="216"/>
      <c r="T87" s="216"/>
      <c r="U87" s="216"/>
    </row>
    <row r="88" spans="1:21" ht="15.75" thickBot="1" x14ac:dyDescent="0.3">
      <c r="A88" s="216"/>
      <c r="B88" s="292" t="s">
        <v>29</v>
      </c>
      <c r="C88" s="48" t="s">
        <v>86</v>
      </c>
      <c r="D88" s="102">
        <f>SUM(D72:D87)+SUM(D47:D68)</f>
        <v>0</v>
      </c>
      <c r="E88" s="102">
        <f>SUM(E72:E87)+SUM(E47:E68)</f>
        <v>0</v>
      </c>
      <c r="F88" s="102">
        <f>SUM(F72:F87)+SUM(F47:F68)</f>
        <v>0</v>
      </c>
      <c r="G88" s="102">
        <f>SUM(G72:G87)+SUM(G47:G68)</f>
        <v>0</v>
      </c>
      <c r="H88" s="216"/>
      <c r="I88" s="216"/>
      <c r="J88" s="216"/>
      <c r="K88" s="216"/>
      <c r="L88" s="216"/>
      <c r="M88" s="216"/>
      <c r="N88" s="216"/>
      <c r="O88" s="297" t="str">
        <f>'WAF АСУТП'!F$2</f>
        <v>WAF Кол-во узлов</v>
      </c>
      <c r="P88" s="298">
        <f>I37</f>
        <v>0</v>
      </c>
      <c r="Q88" s="216"/>
      <c r="R88" s="216"/>
      <c r="S88" s="216"/>
      <c r="T88" s="216"/>
      <c r="U88" s="216"/>
    </row>
    <row r="89" spans="1:21" x14ac:dyDescent="0.25">
      <c r="A89" s="216"/>
      <c r="B89" s="216"/>
      <c r="C89" s="216"/>
      <c r="D89" s="216"/>
      <c r="E89" s="216"/>
      <c r="F89" s="216"/>
      <c r="G89" s="216"/>
      <c r="H89" s="216"/>
      <c r="I89" s="216"/>
      <c r="J89" s="216"/>
      <c r="K89" s="216"/>
      <c r="L89" s="216"/>
      <c r="M89" s="216"/>
      <c r="N89" s="216"/>
      <c r="O89" s="401" t="str">
        <f>'ВМ ЗСВ'!D$2</f>
        <v>ВМ ЗСВ Количество площадок с серверными компонентами подсистемы</v>
      </c>
      <c r="P89" s="402">
        <f>E38</f>
        <v>0</v>
      </c>
      <c r="Q89" s="216"/>
      <c r="R89" s="216"/>
      <c r="S89" s="216"/>
      <c r="T89" s="216"/>
      <c r="U89" s="216"/>
    </row>
    <row r="90" spans="1:21" ht="15.75" thickBot="1" x14ac:dyDescent="0.3">
      <c r="A90" s="1651"/>
      <c r="B90" s="1656" t="s">
        <v>1693</v>
      </c>
      <c r="C90" s="216"/>
      <c r="D90" s="216"/>
      <c r="E90" s="216"/>
      <c r="F90" s="216"/>
      <c r="G90" s="216"/>
      <c r="H90" s="216"/>
      <c r="I90" s="216"/>
      <c r="J90" s="216"/>
      <c r="K90" s="216"/>
      <c r="L90" s="216"/>
      <c r="M90" s="216"/>
      <c r="N90" s="216"/>
      <c r="O90" s="297" t="str">
        <f>'ВМ ЗСВ'!E$2</f>
        <v>ВМ ЗСВ Кол-во серверов в кластере</v>
      </c>
      <c r="P90" s="298">
        <f>G38</f>
        <v>0</v>
      </c>
      <c r="Q90" s="216"/>
      <c r="R90" s="216"/>
      <c r="S90" s="216"/>
      <c r="T90" s="216"/>
      <c r="U90" s="216"/>
    </row>
    <row r="91" spans="1:21" ht="24.75" thickBot="1" x14ac:dyDescent="0.3">
      <c r="A91" s="1652" t="s">
        <v>1465</v>
      </c>
      <c r="B91" s="1652" t="s">
        <v>1467</v>
      </c>
      <c r="C91" s="1657" t="s">
        <v>1700</v>
      </c>
      <c r="D91" s="1672" t="s">
        <v>1699</v>
      </c>
      <c r="E91" s="1672" t="s">
        <v>1698</v>
      </c>
      <c r="F91" s="1673" t="s">
        <v>1696</v>
      </c>
      <c r="G91" s="1672" t="s">
        <v>1697</v>
      </c>
      <c r="H91" s="216"/>
      <c r="I91" s="216"/>
      <c r="J91" s="216"/>
      <c r="K91" s="216"/>
      <c r="L91" s="216"/>
      <c r="M91" s="216"/>
      <c r="N91" s="216"/>
      <c r="O91" s="297" t="str">
        <f>'ВМ ЗСВ'!F$2</f>
        <v>ВМ ЗСВ Кол-во виртуальных машин</v>
      </c>
      <c r="P91" s="298">
        <f>I38</f>
        <v>0</v>
      </c>
      <c r="Q91" s="216"/>
      <c r="R91" s="216"/>
      <c r="S91" s="216"/>
      <c r="T91" s="216"/>
      <c r="U91" s="216"/>
    </row>
    <row r="92" spans="1:21" ht="13.5" customHeight="1" x14ac:dyDescent="0.25">
      <c r="A92" s="1667">
        <v>0</v>
      </c>
      <c r="B92" s="1653" t="s">
        <v>1695</v>
      </c>
      <c r="C92" s="1661" t="str">
        <f>IF($A92=1,IF($C$6="Обычный",Командировки_ОП!K9,Командировки_ОП!K10),"-")</f>
        <v>-</v>
      </c>
      <c r="D92" s="1664" t="str">
        <f>IF($A92=1,IF($C$6="Обычный",Командировки_ОП!L8,Командировки_ОП!L9),"-")</f>
        <v>-</v>
      </c>
      <c r="E92" s="1666" t="str">
        <f>IF($A92=1,IF($C$6="Обычный",Командировки_ОП!M8,Командировки_ОП!M9),"-")</f>
        <v>-</v>
      </c>
      <c r="F92" s="1659">
        <f>SUM(C92:E92)</f>
        <v>0</v>
      </c>
      <c r="G92" s="1670">
        <f>ROUNDUP((SUM(D92:F92))/8,0)</f>
        <v>0</v>
      </c>
      <c r="H92" s="216"/>
      <c r="I92" s="216"/>
      <c r="J92" s="216"/>
      <c r="K92" s="216"/>
      <c r="L92" s="216"/>
      <c r="M92" s="216"/>
      <c r="N92" s="216"/>
      <c r="O92" s="401" t="str">
        <f>'ВМ СПО'!D$2</f>
        <v>ВМ СПО Неиспользуемый параметр</v>
      </c>
      <c r="P92" s="402">
        <f>E39</f>
        <v>0</v>
      </c>
      <c r="Q92" s="216"/>
      <c r="R92" s="216"/>
      <c r="S92" s="216"/>
      <c r="T92" s="216"/>
      <c r="U92" s="216"/>
    </row>
    <row r="93" spans="1:21" s="1650" customFormat="1" x14ac:dyDescent="0.25">
      <c r="A93" s="1668">
        <v>0</v>
      </c>
      <c r="B93" s="1655" t="s">
        <v>1694</v>
      </c>
      <c r="C93" s="1661" t="str">
        <f>IF($A93=1,IF($C$6="Обычный",Командировки_ОП!K9,Командировки_ОП!K10),"-")</f>
        <v>-</v>
      </c>
      <c r="D93" s="1661" t="str">
        <f>IF($A93=1,IF($C$6="Обычный",Командировки_ОП!L9,Командировки_ОП!L10),"-")</f>
        <v>-</v>
      </c>
      <c r="E93" s="1664" t="str">
        <f>IF($A93=1,IF($C$6="Обычный",Командировки_ОП!M9,Командировки_ОП!M10),"-")</f>
        <v>-</v>
      </c>
      <c r="F93" s="1658">
        <f>SUM(C93:E93)</f>
        <v>0</v>
      </c>
      <c r="G93" s="1670">
        <f t="shared" ref="G93:G95" si="26">ROUNDUP((SUM(D93:F93))/8,0)</f>
        <v>0</v>
      </c>
      <c r="H93" s="216"/>
      <c r="I93" s="216"/>
      <c r="J93" s="216"/>
      <c r="K93" s="216"/>
      <c r="L93" s="216"/>
      <c r="M93" s="216"/>
      <c r="N93" s="216"/>
      <c r="O93" s="401"/>
      <c r="P93" s="402"/>
      <c r="Q93" s="216"/>
      <c r="R93" s="216"/>
      <c r="S93" s="216"/>
      <c r="T93" s="216"/>
      <c r="U93" s="216"/>
    </row>
    <row r="94" spans="1:21" s="1650" customFormat="1" x14ac:dyDescent="0.25">
      <c r="A94" s="1668">
        <v>0</v>
      </c>
      <c r="B94" s="1655" t="s">
        <v>55</v>
      </c>
      <c r="C94" s="1662" t="str">
        <f>IF($A94=1,IF($C$6="Обычный",Командировки_ОП!K9,Командировки_ОП!K10),"-")</f>
        <v>-</v>
      </c>
      <c r="D94" s="1664" t="str">
        <f>IF($A94=1,IF($C$6="Обычный",Командировки_ОП!L9,Командировки_ОП!L10),"-")</f>
        <v>-</v>
      </c>
      <c r="E94" s="1664" t="str">
        <f>IF($A94=1,IF($C$6="Обычный",Командировки_ОП!M9,Командировки_ОП!M10),"-")</f>
        <v>-</v>
      </c>
      <c r="F94" s="1658">
        <f>SUM(C94:E94)</f>
        <v>0</v>
      </c>
      <c r="G94" s="1670">
        <f t="shared" si="26"/>
        <v>0</v>
      </c>
      <c r="H94" s="216"/>
      <c r="I94" s="216"/>
      <c r="J94" s="216"/>
      <c r="K94" s="216"/>
      <c r="L94" s="216"/>
      <c r="M94" s="216"/>
      <c r="N94" s="216"/>
      <c r="O94" s="401"/>
      <c r="P94" s="402"/>
      <c r="Q94" s="216"/>
      <c r="R94" s="216"/>
      <c r="S94" s="216"/>
      <c r="T94" s="216"/>
      <c r="U94" s="216"/>
    </row>
    <row r="95" spans="1:21" ht="15.75" thickBot="1" x14ac:dyDescent="0.3">
      <c r="A95" s="1669">
        <v>0</v>
      </c>
      <c r="B95" s="1654" t="s">
        <v>1365</v>
      </c>
      <c r="C95" s="1663" t="str">
        <f>IF($A95=1,IF($C$6="Обычный",Командировки_ОП!K10,Командировки_ОП!K11),"-")</f>
        <v>-</v>
      </c>
      <c r="D95" s="1665" t="str">
        <f>IF($A95=1,IF($C$6="Обычный",Командировки_ОП!L10,Командировки_ОП!L11),"-")</f>
        <v>-</v>
      </c>
      <c r="E95" s="1663" t="str">
        <f>IF($A95=1,IF($C$6="Обычный",Командировки_ОП!M10,Командировки_ОП!M11),"-")</f>
        <v>-</v>
      </c>
      <c r="F95" s="1660">
        <f>SUM(C95:E95)</f>
        <v>0</v>
      </c>
      <c r="G95" s="1671">
        <f t="shared" si="26"/>
        <v>0</v>
      </c>
      <c r="H95" s="216"/>
      <c r="I95" s="216"/>
      <c r="J95" s="216"/>
      <c r="K95" s="216"/>
      <c r="L95" s="216"/>
      <c r="M95" s="216"/>
      <c r="N95" s="216"/>
      <c r="O95" s="297" t="str">
        <f>'ВМ СПО'!E$2</f>
        <v>ВМ СПО Неиспользуемый параметр</v>
      </c>
      <c r="P95" s="298">
        <f>G39</f>
        <v>0</v>
      </c>
      <c r="Q95" s="216"/>
      <c r="R95" s="216"/>
      <c r="S95" s="216"/>
      <c r="T95" s="216"/>
      <c r="U95" s="216"/>
    </row>
    <row r="96" spans="1:21" ht="15" customHeight="1" x14ac:dyDescent="0.25">
      <c r="A96" s="216"/>
      <c r="B96" s="216"/>
      <c r="C96" s="216"/>
      <c r="D96" s="216"/>
      <c r="E96" s="216"/>
      <c r="F96" s="216"/>
      <c r="G96" s="216"/>
      <c r="H96" s="216"/>
      <c r="I96" s="216"/>
      <c r="J96" s="216"/>
      <c r="K96" s="216"/>
      <c r="L96" s="216"/>
      <c r="M96" s="216"/>
      <c r="N96" s="216"/>
      <c r="O96" s="297" t="str">
        <f>'ВМ СПО'!F$2</f>
        <v>ВМ СПО Неиспользуемый параметр</v>
      </c>
      <c r="P96" s="298">
        <f>I39</f>
        <v>0</v>
      </c>
      <c r="Q96" s="216"/>
      <c r="R96" s="216"/>
      <c r="S96" s="216"/>
      <c r="T96" s="216"/>
      <c r="U96" s="216"/>
    </row>
    <row r="97" spans="1:21" x14ac:dyDescent="0.25">
      <c r="A97" s="216"/>
      <c r="B97" s="216"/>
      <c r="C97" s="216"/>
      <c r="D97" s="216"/>
      <c r="E97" s="216"/>
      <c r="F97" s="216"/>
      <c r="G97" s="216"/>
      <c r="H97" s="216"/>
      <c r="I97" s="216"/>
      <c r="J97" s="216"/>
      <c r="K97" s="216"/>
      <c r="L97" s="216"/>
      <c r="M97" s="216"/>
      <c r="N97" s="216"/>
      <c r="O97" s="401" t="str">
        <f>'ВМ АСО'!D$2</f>
        <v>ВМ АСО Количество вендоров (типов)</v>
      </c>
      <c r="P97" s="402">
        <f>E40</f>
        <v>0</v>
      </c>
      <c r="Q97" s="216"/>
      <c r="R97" s="216"/>
      <c r="S97" s="216"/>
      <c r="T97" s="216"/>
      <c r="U97" s="216"/>
    </row>
    <row r="98" spans="1:21" x14ac:dyDescent="0.25">
      <c r="A98" s="216"/>
      <c r="B98" s="216"/>
      <c r="C98" s="216"/>
      <c r="D98" s="216"/>
      <c r="E98" s="216"/>
      <c r="F98" s="216"/>
      <c r="G98" s="216"/>
      <c r="H98" s="216"/>
      <c r="I98" s="216"/>
      <c r="J98" s="216"/>
      <c r="K98" s="216"/>
      <c r="L98" s="216"/>
      <c r="M98" s="216"/>
      <c r="N98" s="216"/>
      <c r="O98" s="297" t="str">
        <f>'ВМ АСО'!E$2</f>
        <v>ВМ АСО Неиспользуемый параметр</v>
      </c>
      <c r="P98" s="298">
        <f>G40</f>
        <v>0</v>
      </c>
      <c r="Q98" s="216"/>
      <c r="R98" s="216"/>
      <c r="S98" s="216"/>
      <c r="T98" s="216"/>
      <c r="U98" s="216"/>
    </row>
    <row r="99" spans="1:21" x14ac:dyDescent="0.25">
      <c r="A99" s="216"/>
      <c r="B99" s="216"/>
      <c r="C99" s="216"/>
      <c r="D99" s="216"/>
      <c r="E99" s="216"/>
      <c r="F99" s="216"/>
      <c r="G99" s="216"/>
      <c r="H99" s="216"/>
      <c r="I99" s="216"/>
      <c r="J99" s="216"/>
      <c r="K99" s="216"/>
      <c r="L99" s="216"/>
      <c r="M99" s="216"/>
      <c r="N99" s="216"/>
      <c r="O99" s="297" t="str">
        <f>'ВМ АСО'!F$2</f>
        <v>ВМ АСО Неиспользуемый параметр</v>
      </c>
      <c r="P99" s="298">
        <f>I40</f>
        <v>0</v>
      </c>
      <c r="Q99" s="216"/>
      <c r="R99" s="216"/>
      <c r="S99" s="216"/>
      <c r="T99" s="216"/>
      <c r="U99" s="216"/>
    </row>
    <row r="100" spans="1:21" x14ac:dyDescent="0.25">
      <c r="A100" s="216"/>
      <c r="B100" s="216"/>
      <c r="C100" s="216"/>
      <c r="D100" s="216"/>
      <c r="E100" s="216"/>
      <c r="F100" s="216"/>
      <c r="G100" s="216"/>
      <c r="H100" s="216"/>
      <c r="I100" s="216"/>
      <c r="J100" s="216"/>
      <c r="K100" s="216"/>
      <c r="L100" s="216"/>
      <c r="M100" s="216"/>
      <c r="N100" s="216"/>
      <c r="O100" s="401" t="str">
        <f>'АПМДЗ АСУТП'!D$2</f>
        <v>АПМДЗ Количество площадок с серверными компонентами подсистемы</v>
      </c>
      <c r="P100" s="402">
        <f>E20</f>
        <v>0</v>
      </c>
      <c r="Q100" s="216"/>
      <c r="R100" s="216"/>
      <c r="S100" s="216"/>
      <c r="T100" s="216"/>
      <c r="U100" s="216"/>
    </row>
    <row r="101" spans="1:21" x14ac:dyDescent="0.25">
      <c r="A101" s="216"/>
      <c r="B101" s="216"/>
      <c r="C101" s="216"/>
      <c r="D101" s="216"/>
      <c r="E101" s="216"/>
      <c r="F101" s="216"/>
      <c r="G101" s="216"/>
      <c r="H101" s="216"/>
      <c r="I101" s="216"/>
      <c r="J101" s="216"/>
      <c r="K101" s="216"/>
      <c r="L101" s="216"/>
      <c r="M101" s="216"/>
      <c r="N101" s="216"/>
      <c r="O101" s="297" t="str">
        <f>'АПМДЗ АСУТП'!E$2</f>
        <v>АПМДЗ Кол-во типов агентов</v>
      </c>
      <c r="P101" s="298">
        <f>G20</f>
        <v>0</v>
      </c>
      <c r="Q101" s="216"/>
      <c r="R101" s="216"/>
      <c r="S101" s="216"/>
      <c r="T101" s="216"/>
      <c r="U101" s="216"/>
    </row>
    <row r="102" spans="1:21" ht="15.75" thickBot="1" x14ac:dyDescent="0.3">
      <c r="A102" s="216"/>
      <c r="B102" s="216"/>
      <c r="C102" s="216"/>
      <c r="D102" s="216"/>
      <c r="E102" s="216"/>
      <c r="F102" s="216"/>
      <c r="G102" s="216"/>
      <c r="H102" s="216"/>
      <c r="I102" s="216"/>
      <c r="J102" s="216"/>
      <c r="K102" s="216"/>
      <c r="L102" s="216"/>
      <c r="M102" s="216"/>
      <c r="N102" s="216"/>
      <c r="O102" s="299" t="str">
        <f>'АПМДЗ АСУТП'!F$2</f>
        <v>АПМДЗ Кол-во серверов безопасности</v>
      </c>
      <c r="P102" s="300">
        <f>I20</f>
        <v>0</v>
      </c>
      <c r="Q102" s="216"/>
      <c r="R102" s="216"/>
      <c r="S102" s="216"/>
      <c r="T102" s="216"/>
      <c r="U102" s="216"/>
    </row>
    <row r="103" spans="1:21" x14ac:dyDescent="0.25">
      <c r="A103" s="216"/>
      <c r="B103" s="216"/>
      <c r="C103" s="216"/>
      <c r="D103" s="216"/>
      <c r="E103" s="216"/>
      <c r="F103" s="216"/>
      <c r="G103" s="216"/>
      <c r="H103" s="216"/>
      <c r="I103" s="216"/>
      <c r="J103" s="216"/>
      <c r="K103" s="216"/>
      <c r="L103" s="216"/>
      <c r="M103" s="216"/>
      <c r="N103" s="216"/>
      <c r="O103" s="216"/>
      <c r="P103" s="216"/>
      <c r="Q103" s="216"/>
      <c r="R103" s="216"/>
      <c r="S103" s="216"/>
      <c r="T103" s="216"/>
      <c r="U103" s="216"/>
    </row>
    <row r="104" spans="1:21" x14ac:dyDescent="0.25">
      <c r="A104" s="216"/>
      <c r="B104" s="216"/>
      <c r="C104" s="216"/>
      <c r="D104" s="216"/>
      <c r="E104" s="216"/>
      <c r="F104" s="216"/>
      <c r="G104" s="216"/>
      <c r="H104" s="216"/>
      <c r="I104" s="216"/>
      <c r="J104" s="216"/>
      <c r="K104" s="216"/>
      <c r="L104" s="216"/>
      <c r="M104" s="216"/>
      <c r="N104" s="216"/>
      <c r="O104" s="216"/>
      <c r="P104" s="216"/>
      <c r="Q104" s="216"/>
      <c r="R104" s="216"/>
      <c r="S104" s="216"/>
      <c r="T104" s="216"/>
      <c r="U104" s="216"/>
    </row>
    <row r="105" spans="1:21" ht="15.75" thickBot="1" x14ac:dyDescent="0.3">
      <c r="A105" s="216"/>
      <c r="B105" s="216"/>
      <c r="C105" s="216"/>
      <c r="D105" s="216"/>
      <c r="E105" s="216"/>
      <c r="F105" s="216"/>
      <c r="G105" s="216"/>
      <c r="H105" s="216"/>
      <c r="I105" s="216"/>
      <c r="J105" s="216"/>
      <c r="K105" s="216"/>
      <c r="L105" s="216"/>
      <c r="M105" s="216"/>
      <c r="N105" s="216"/>
      <c r="O105" s="216"/>
      <c r="P105" s="216"/>
      <c r="Q105" s="216"/>
      <c r="R105" s="216"/>
      <c r="S105" s="216"/>
      <c r="T105" s="216"/>
      <c r="U105" s="216"/>
    </row>
    <row r="106" spans="1:21" ht="45" x14ac:dyDescent="0.25">
      <c r="A106" s="216"/>
      <c r="B106" s="211" t="s">
        <v>59</v>
      </c>
      <c r="C106" s="95" t="s">
        <v>1570</v>
      </c>
      <c r="D106" s="95" t="s">
        <v>58</v>
      </c>
      <c r="E106" s="95"/>
      <c r="F106" s="95" t="s">
        <v>57</v>
      </c>
      <c r="G106" s="212" t="s">
        <v>1547</v>
      </c>
      <c r="H106" s="213" t="s">
        <v>1546</v>
      </c>
      <c r="I106" s="213" t="s">
        <v>3</v>
      </c>
      <c r="J106" s="213" t="s">
        <v>13</v>
      </c>
      <c r="K106" s="213" t="s">
        <v>22</v>
      </c>
      <c r="L106" s="213"/>
      <c r="M106" s="213"/>
      <c r="N106" s="213"/>
      <c r="O106" s="214" t="s">
        <v>56</v>
      </c>
      <c r="P106" s="216"/>
      <c r="Q106" s="216"/>
      <c r="R106" s="216"/>
      <c r="S106" s="216"/>
      <c r="T106" s="216"/>
      <c r="U106" s="216"/>
    </row>
    <row r="107" spans="1:21" x14ac:dyDescent="0.25">
      <c r="A107" s="216"/>
      <c r="B107" s="1857" t="s">
        <v>447</v>
      </c>
      <c r="C107" s="1853"/>
      <c r="D107" s="1846"/>
      <c r="E107" s="1851" t="str">
        <f>IF(O107&gt;0,"","")</f>
        <v/>
      </c>
      <c r="F107" s="96" t="s">
        <v>508</v>
      </c>
      <c r="G107" s="844" t="str">
        <f>IF(AND('Тип разраб-ой док-ции'!$F$2="Пресейл"),SUM('Итоговый расчет АСУТП'!$EV$4:$EV$41),"0")</f>
        <v>0</v>
      </c>
      <c r="H107" s="844">
        <f>G107/8</f>
        <v>0</v>
      </c>
      <c r="I107" s="59"/>
      <c r="J107" s="59"/>
      <c r="K107" s="59"/>
      <c r="L107" s="59"/>
      <c r="M107" s="59"/>
      <c r="N107" s="58"/>
      <c r="O107" s="919">
        <f>ROUNDUP(SUM(G107:G110)*1.4,2)</f>
        <v>0</v>
      </c>
      <c r="P107" s="216"/>
      <c r="Q107" s="216"/>
      <c r="R107" s="216"/>
      <c r="S107" s="216"/>
      <c r="T107" s="216"/>
      <c r="U107" s="216"/>
    </row>
    <row r="108" spans="1:21" x14ac:dyDescent="0.25">
      <c r="A108" s="216"/>
      <c r="B108" s="1858"/>
      <c r="C108" s="1854"/>
      <c r="D108" s="1847"/>
      <c r="E108" s="1852"/>
      <c r="F108" s="97" t="s">
        <v>509</v>
      </c>
      <c r="G108" s="845" t="str">
        <f>IF(AND('Тип разраб-ой док-ции'!$F$2="Пресейл"),SUM('Итоговый расчет АСУТП'!$EW$4:$EW$41),"0")</f>
        <v>0</v>
      </c>
      <c r="H108" s="845">
        <f t="shared" ref="H108:H136" si="27">G108/8</f>
        <v>0</v>
      </c>
      <c r="I108" s="538"/>
      <c r="J108" s="538"/>
      <c r="K108" s="538"/>
      <c r="L108" s="538"/>
      <c r="M108" s="538"/>
      <c r="N108" s="55"/>
      <c r="O108" s="920"/>
      <c r="P108" s="216"/>
      <c r="Q108" s="216"/>
      <c r="R108" s="216"/>
      <c r="S108" s="216"/>
      <c r="T108" s="216"/>
      <c r="U108" s="216"/>
    </row>
    <row r="109" spans="1:21" x14ac:dyDescent="0.25">
      <c r="A109" s="216"/>
      <c r="B109" s="1858"/>
      <c r="C109" s="1854"/>
      <c r="D109" s="1847"/>
      <c r="E109" s="1852"/>
      <c r="F109" s="97" t="s">
        <v>510</v>
      </c>
      <c r="G109" s="845" t="str">
        <f>IF(AND('Тип разраб-ой док-ции'!$F$2="Пресейл"),SUM('Итоговый расчет АСУТП'!$EX$4:$EX$41),"0")</f>
        <v>0</v>
      </c>
      <c r="H109" s="845">
        <f t="shared" si="27"/>
        <v>0</v>
      </c>
      <c r="I109" s="538"/>
      <c r="J109" s="538"/>
      <c r="K109" s="538"/>
      <c r="L109" s="538"/>
      <c r="M109" s="538"/>
      <c r="N109" s="55"/>
      <c r="O109" s="920"/>
      <c r="P109" s="216"/>
      <c r="Q109" s="216"/>
      <c r="R109" s="216"/>
      <c r="S109" s="216"/>
      <c r="T109" s="216"/>
      <c r="U109" s="216"/>
    </row>
    <row r="110" spans="1:21" ht="14.25" customHeight="1" x14ac:dyDescent="0.25">
      <c r="A110" s="216"/>
      <c r="B110" s="1858"/>
      <c r="C110" s="1854"/>
      <c r="D110" s="1848"/>
      <c r="E110" s="1852"/>
      <c r="F110" s="109" t="s">
        <v>48</v>
      </c>
      <c r="G110" s="846" t="str">
        <f>IF(AND('Тип разраб-ой док-ции'!$F$2="Пресейл"),SUM('Итоговый расчет АСУТП'!$EY$4:$EY$41),"0")</f>
        <v>0</v>
      </c>
      <c r="H110" s="846">
        <f t="shared" si="27"/>
        <v>0</v>
      </c>
      <c r="I110" s="57"/>
      <c r="J110" s="57"/>
      <c r="K110" s="57"/>
      <c r="L110" s="57"/>
      <c r="M110" s="57"/>
      <c r="N110" s="56"/>
      <c r="O110" s="921"/>
      <c r="P110" s="216"/>
      <c r="Q110" s="216"/>
      <c r="R110" s="216"/>
      <c r="S110" s="216"/>
      <c r="T110" s="216"/>
      <c r="U110" s="216"/>
    </row>
    <row r="111" spans="1:21" x14ac:dyDescent="0.25">
      <c r="A111" s="216"/>
      <c r="B111" s="1857" t="s">
        <v>1506</v>
      </c>
      <c r="C111" s="1853"/>
      <c r="D111" s="1846"/>
      <c r="E111" s="1851" t="str">
        <f>IF(O111&gt;0,"","")</f>
        <v/>
      </c>
      <c r="F111" s="96" t="s">
        <v>508</v>
      </c>
      <c r="G111" s="845" t="str">
        <f>IF(AND('Тип разраб-ой док-ции'!$F$2="ЭП"),SUM('Итоговый расчет АСУТП'!$EV$4:$EV$41),"0")</f>
        <v>0</v>
      </c>
      <c r="H111" s="844">
        <f t="shared" si="27"/>
        <v>0</v>
      </c>
      <c r="I111" s="538"/>
      <c r="J111" s="538"/>
      <c r="K111" s="538"/>
      <c r="L111" s="538"/>
      <c r="M111" s="538"/>
      <c r="N111" s="55"/>
      <c r="O111" s="919">
        <f>ROUNDUP(SUM(G111:G114)*1.4,2)</f>
        <v>0</v>
      </c>
      <c r="P111" s="216"/>
      <c r="Q111" s="216"/>
      <c r="R111" s="216"/>
      <c r="S111" s="216"/>
      <c r="T111" s="216"/>
      <c r="U111" s="216"/>
    </row>
    <row r="112" spans="1:21" x14ac:dyDescent="0.25">
      <c r="A112" s="216"/>
      <c r="B112" s="1858"/>
      <c r="C112" s="1854"/>
      <c r="D112" s="1847"/>
      <c r="E112" s="1852"/>
      <c r="F112" s="97" t="s">
        <v>509</v>
      </c>
      <c r="G112" s="845" t="str">
        <f>IF(AND('Тип разраб-ой док-ции'!$F$2="ЭП"),SUM('Итоговый расчет АСУТП'!$EW$4:$EW$41),"0")</f>
        <v>0</v>
      </c>
      <c r="H112" s="845">
        <f t="shared" si="27"/>
        <v>0</v>
      </c>
      <c r="I112" s="538"/>
      <c r="J112" s="538"/>
      <c r="K112" s="538"/>
      <c r="L112" s="538"/>
      <c r="M112" s="538"/>
      <c r="N112" s="55"/>
      <c r="O112" s="920"/>
      <c r="P112" s="216"/>
      <c r="Q112" s="216"/>
      <c r="R112" s="216"/>
      <c r="S112" s="216"/>
      <c r="T112" s="216"/>
      <c r="U112" s="216"/>
    </row>
    <row r="113" spans="1:21" x14ac:dyDescent="0.25">
      <c r="A113" s="216"/>
      <c r="B113" s="1858"/>
      <c r="C113" s="1854"/>
      <c r="D113" s="1847"/>
      <c r="E113" s="1852"/>
      <c r="F113" s="97" t="s">
        <v>510</v>
      </c>
      <c r="G113" s="845" t="str">
        <f>IF(AND('Тип разраб-ой док-ции'!$F$2="ЭП"),SUM('Итоговый расчет АСУТП'!$EX$4:$EX$41),"0")</f>
        <v>0</v>
      </c>
      <c r="H113" s="845">
        <f t="shared" si="27"/>
        <v>0</v>
      </c>
      <c r="I113" s="538"/>
      <c r="J113" s="538"/>
      <c r="K113" s="538"/>
      <c r="L113" s="538"/>
      <c r="M113" s="538"/>
      <c r="N113" s="55"/>
      <c r="O113" s="920"/>
      <c r="P113" s="216"/>
      <c r="Q113" s="216"/>
      <c r="R113" s="216"/>
      <c r="S113" s="216"/>
      <c r="T113" s="216"/>
      <c r="U113" s="216"/>
    </row>
    <row r="114" spans="1:21" x14ac:dyDescent="0.25">
      <c r="A114" s="216"/>
      <c r="B114" s="1858"/>
      <c r="C114" s="1854"/>
      <c r="D114" s="1848"/>
      <c r="E114" s="1852"/>
      <c r="F114" s="97" t="s">
        <v>48</v>
      </c>
      <c r="G114" s="846" t="str">
        <f>IF(AND('Тип разраб-ой док-ции'!$F$2="ЭП"),SUM('Итоговый расчет АСУТП'!$EY$4:$EY$41),"0")</f>
        <v>0</v>
      </c>
      <c r="H114" s="846">
        <f t="shared" si="27"/>
        <v>0</v>
      </c>
      <c r="I114" s="538"/>
      <c r="J114" s="538"/>
      <c r="K114" s="538"/>
      <c r="L114" s="538"/>
      <c r="M114" s="538"/>
      <c r="N114" s="55"/>
      <c r="O114" s="921"/>
      <c r="P114" s="216"/>
      <c r="Q114" s="216"/>
      <c r="R114" s="216"/>
      <c r="S114" s="216"/>
      <c r="T114" s="216"/>
      <c r="U114" s="216"/>
    </row>
    <row r="115" spans="1:21" x14ac:dyDescent="0.25">
      <c r="A115" s="216"/>
      <c r="B115" s="1857" t="s">
        <v>1509</v>
      </c>
      <c r="C115" s="1853" t="s">
        <v>1686</v>
      </c>
      <c r="D115" s="1846"/>
      <c r="E115" s="1859" t="e">
        <f>IF(O115&gt;0,"","")</f>
        <v>#REF!</v>
      </c>
      <c r="F115" s="96" t="s">
        <v>508</v>
      </c>
      <c r="G115" s="845" t="e">
        <f>IF(OR('Тип разраб-ой док-ции'!$F$2="ТРП",'Тип разраб-ой док-ции'!$F$2="ТП"),SUM('Итоговый расчет АСУТП'!$EV$10:$EV$18),"0")</f>
        <v>#REF!</v>
      </c>
      <c r="H115" s="845" t="e">
        <f t="shared" si="27"/>
        <v>#REF!</v>
      </c>
      <c r="I115" s="59"/>
      <c r="J115" s="59"/>
      <c r="K115" s="59"/>
      <c r="L115" s="59"/>
      <c r="M115" s="59"/>
      <c r="N115" s="58"/>
      <c r="O115" s="919" t="e">
        <f>ROUNDUP(SUM(G115:G118)*1.4,2)</f>
        <v>#REF!</v>
      </c>
      <c r="P115" s="216"/>
      <c r="Q115" s="216"/>
      <c r="R115" s="216"/>
      <c r="S115" s="216"/>
      <c r="T115" s="216"/>
      <c r="U115" s="216"/>
    </row>
    <row r="116" spans="1:21" x14ac:dyDescent="0.25">
      <c r="A116" s="216"/>
      <c r="B116" s="1858"/>
      <c r="C116" s="1854"/>
      <c r="D116" s="1847"/>
      <c r="E116" s="1860"/>
      <c r="F116" s="97" t="s">
        <v>509</v>
      </c>
      <c r="G116" s="845" t="e">
        <f>IF(OR('Тип разраб-ой док-ции'!$F$2="ТРП",'Тип разраб-ой док-ции'!$F$2="ТП"),SUM('Итоговый расчет АСУТП'!$EW$10:$EW$18),"0")</f>
        <v>#REF!</v>
      </c>
      <c r="H116" s="845" t="e">
        <f t="shared" si="27"/>
        <v>#REF!</v>
      </c>
      <c r="I116" s="538"/>
      <c r="J116" s="538"/>
      <c r="K116" s="538"/>
      <c r="L116" s="538"/>
      <c r="M116" s="538"/>
      <c r="N116" s="55"/>
      <c r="O116" s="920"/>
      <c r="P116" s="216"/>
      <c r="Q116" s="216"/>
      <c r="R116" s="216"/>
      <c r="S116" s="216"/>
      <c r="T116" s="216"/>
      <c r="U116" s="216"/>
    </row>
    <row r="117" spans="1:21" x14ac:dyDescent="0.25">
      <c r="A117" s="216"/>
      <c r="B117" s="1858"/>
      <c r="C117" s="1854"/>
      <c r="D117" s="1847"/>
      <c r="E117" s="1860"/>
      <c r="F117" s="97" t="s">
        <v>510</v>
      </c>
      <c r="G117" s="845" t="e">
        <f>IF(OR('Тип разраб-ой док-ции'!$F$2="ТРП",'Тип разраб-ой док-ции'!$F$2="ТП"),SUM('Итоговый расчет АСУТП'!$EX$10:$EX$18),"0")</f>
        <v>#REF!</v>
      </c>
      <c r="H117" s="845" t="e">
        <f t="shared" si="27"/>
        <v>#REF!</v>
      </c>
      <c r="I117" s="538"/>
      <c r="J117" s="538"/>
      <c r="K117" s="538"/>
      <c r="L117" s="538"/>
      <c r="M117" s="538"/>
      <c r="N117" s="55"/>
      <c r="O117" s="920"/>
      <c r="P117" s="216"/>
      <c r="Q117" s="216"/>
      <c r="R117" s="216"/>
      <c r="S117" s="216"/>
      <c r="T117" s="216"/>
      <c r="U117" s="216"/>
    </row>
    <row r="118" spans="1:21" ht="18" customHeight="1" x14ac:dyDescent="0.25">
      <c r="A118" s="216"/>
      <c r="B118" s="1858"/>
      <c r="C118" s="1854"/>
      <c r="D118" s="1848"/>
      <c r="E118" s="1861"/>
      <c r="F118" s="97" t="s">
        <v>48</v>
      </c>
      <c r="G118" s="845" t="e">
        <f>IF(OR('Тип разраб-ой док-ции'!$F$2="ТРП",'Тип разраб-ой док-ции'!$F$2="ТП"),SUM('Итоговый расчет АСУТП'!$EY$10:$EY$18),"0")</f>
        <v>#REF!</v>
      </c>
      <c r="H118" s="845" t="e">
        <f t="shared" si="27"/>
        <v>#REF!</v>
      </c>
      <c r="I118" s="538"/>
      <c r="J118" s="538"/>
      <c r="K118" s="538"/>
      <c r="L118" s="538"/>
      <c r="M118" s="538"/>
      <c r="N118" s="55"/>
      <c r="O118" s="920"/>
      <c r="P118" s="216"/>
      <c r="Q118" s="216"/>
      <c r="R118" s="216"/>
      <c r="S118" s="216"/>
      <c r="T118" s="216"/>
      <c r="U118" s="216"/>
    </row>
    <row r="119" spans="1:21" x14ac:dyDescent="0.25">
      <c r="A119" s="216"/>
      <c r="B119" s="1862" t="s">
        <v>1507</v>
      </c>
      <c r="C119" s="1854"/>
      <c r="D119" s="1846"/>
      <c r="E119" s="853"/>
      <c r="F119" s="96" t="s">
        <v>508</v>
      </c>
      <c r="G119" s="844" t="e">
        <f>IF(OR('Тип разраб-ой док-ции'!$F$2="ТРП",'Тип разраб-ой док-ции'!$F$2="ТП"),SUM('Итоговый расчет АСУТП'!$EV$20:$EV$34),"0")</f>
        <v>#REF!</v>
      </c>
      <c r="H119" s="844" t="e">
        <f t="shared" si="27"/>
        <v>#REF!</v>
      </c>
      <c r="I119" s="59"/>
      <c r="J119" s="59"/>
      <c r="K119" s="59"/>
      <c r="L119" s="59"/>
      <c r="M119" s="59"/>
      <c r="N119" s="58"/>
      <c r="O119" s="919" t="e">
        <f>ROUNDUP(SUM(G119:G122)*1.4,2)</f>
        <v>#REF!</v>
      </c>
      <c r="P119" s="216"/>
      <c r="Q119" s="216"/>
      <c r="R119" s="216"/>
      <c r="S119" s="216"/>
      <c r="T119" s="216"/>
      <c r="U119" s="216"/>
    </row>
    <row r="120" spans="1:21" x14ac:dyDescent="0.25">
      <c r="A120" s="216"/>
      <c r="B120" s="1862"/>
      <c r="C120" s="1854"/>
      <c r="D120" s="1847"/>
      <c r="E120" s="853"/>
      <c r="F120" s="97" t="s">
        <v>509</v>
      </c>
      <c r="G120" s="845" t="e">
        <f>IF(OR('Тип разраб-ой док-ции'!$F$2="ТРП",'Тип разраб-ой док-ции'!$F$2="ТП"),SUM('Итоговый расчет АСУТП'!$EW$20:$EW$34),"0")</f>
        <v>#REF!</v>
      </c>
      <c r="H120" s="845" t="e">
        <f t="shared" si="27"/>
        <v>#REF!</v>
      </c>
      <c r="I120" s="538"/>
      <c r="J120" s="538"/>
      <c r="K120" s="538"/>
      <c r="L120" s="538"/>
      <c r="M120" s="538"/>
      <c r="N120" s="55"/>
      <c r="O120" s="920"/>
      <c r="P120" s="216"/>
      <c r="Q120" s="216"/>
      <c r="R120" s="216"/>
      <c r="S120" s="216"/>
      <c r="T120" s="216"/>
      <c r="U120" s="216"/>
    </row>
    <row r="121" spans="1:21" x14ac:dyDescent="0.25">
      <c r="A121" s="216"/>
      <c r="B121" s="1862"/>
      <c r="C121" s="1854"/>
      <c r="D121" s="1847"/>
      <c r="E121" s="853"/>
      <c r="F121" s="97" t="s">
        <v>510</v>
      </c>
      <c r="G121" s="845" t="e">
        <f>IF(OR('Тип разраб-ой док-ции'!$F$2="ТРП",'Тип разраб-ой док-ции'!$F$2="ТП"),SUM('Итоговый расчет АСУТП'!$EX$20:$EX$34),"0")</f>
        <v>#REF!</v>
      </c>
      <c r="H121" s="845" t="e">
        <f t="shared" si="27"/>
        <v>#REF!</v>
      </c>
      <c r="I121" s="538"/>
      <c r="J121" s="538"/>
      <c r="K121" s="538"/>
      <c r="L121" s="538"/>
      <c r="M121" s="538"/>
      <c r="N121" s="55"/>
      <c r="O121" s="920"/>
      <c r="P121" s="216"/>
      <c r="Q121" s="216"/>
      <c r="R121" s="216"/>
      <c r="S121" s="216"/>
      <c r="T121" s="216"/>
      <c r="U121" s="216"/>
    </row>
    <row r="122" spans="1:21" x14ac:dyDescent="0.25">
      <c r="A122" s="216"/>
      <c r="B122" s="1862"/>
      <c r="C122" s="1854"/>
      <c r="D122" s="1848"/>
      <c r="E122" s="1576"/>
      <c r="F122" s="97" t="s">
        <v>48</v>
      </c>
      <c r="G122" s="846" t="e">
        <f>IF(OR('Тип разраб-ой док-ции'!$F$2="ТРП",'Тип разраб-ой док-ции'!$F$2="ТП"),SUM('Итоговый расчет АСУТП'!$EY$20:$EY$34),"0")</f>
        <v>#REF!</v>
      </c>
      <c r="H122" s="846" t="e">
        <f t="shared" si="27"/>
        <v>#REF!</v>
      </c>
      <c r="I122" s="57"/>
      <c r="J122" s="57"/>
      <c r="K122" s="57"/>
      <c r="L122" s="57"/>
      <c r="M122" s="57"/>
      <c r="N122" s="56"/>
      <c r="O122" s="921"/>
      <c r="P122" s="216"/>
      <c r="Q122" s="216"/>
      <c r="R122" s="216"/>
      <c r="S122" s="216"/>
      <c r="T122" s="216"/>
      <c r="U122" s="216"/>
    </row>
    <row r="123" spans="1:21" s="1528" customFormat="1" x14ac:dyDescent="0.25">
      <c r="A123" s="216"/>
      <c r="B123" s="1862" t="s">
        <v>1508</v>
      </c>
      <c r="C123" s="1854"/>
      <c r="D123" s="1846"/>
      <c r="E123" s="1529"/>
      <c r="F123" s="96" t="s">
        <v>508</v>
      </c>
      <c r="G123" s="844" t="e">
        <f>IF(OR('Тип разраб-ой док-ции'!$F$2="ТРП",'Тип разраб-ой док-ции'!$F$2="ТП"),SUM('Итоговый расчет АСУТП'!$EV$36:$EV$41),"0")</f>
        <v>#REF!</v>
      </c>
      <c r="H123" s="844" t="e">
        <f t="shared" si="27"/>
        <v>#REF!</v>
      </c>
      <c r="I123" s="59"/>
      <c r="J123" s="59"/>
      <c r="K123" s="59"/>
      <c r="L123" s="59"/>
      <c r="M123" s="59"/>
      <c r="N123" s="58"/>
      <c r="O123" s="919" t="e">
        <f>ROUNDUP(SUM(G123:G126)*1.4,2)</f>
        <v>#REF!</v>
      </c>
      <c r="P123" s="216"/>
      <c r="Q123" s="216"/>
      <c r="R123" s="216"/>
      <c r="S123" s="216"/>
      <c r="T123" s="216"/>
      <c r="U123" s="216"/>
    </row>
    <row r="124" spans="1:21" s="1528" customFormat="1" x14ac:dyDescent="0.25">
      <c r="A124" s="216"/>
      <c r="B124" s="1862"/>
      <c r="C124" s="1854"/>
      <c r="D124" s="1847"/>
      <c r="E124" s="1529"/>
      <c r="F124" s="97" t="s">
        <v>509</v>
      </c>
      <c r="G124" s="845" t="e">
        <f>IF(OR('Тип разраб-ой док-ции'!$F$2="ТРП",'Тип разраб-ой док-ции'!$F$2="ТП"),SUM('Итоговый расчет АСУТП'!$EW$36:$EW$41),"0")</f>
        <v>#REF!</v>
      </c>
      <c r="H124" s="845" t="e">
        <f t="shared" si="27"/>
        <v>#REF!</v>
      </c>
      <c r="I124" s="538"/>
      <c r="J124" s="538"/>
      <c r="K124" s="538"/>
      <c r="L124" s="538"/>
      <c r="M124" s="538"/>
      <c r="N124" s="55"/>
      <c r="O124" s="920"/>
      <c r="P124" s="216"/>
      <c r="Q124" s="216"/>
      <c r="R124" s="216"/>
      <c r="S124" s="216"/>
      <c r="T124" s="216"/>
      <c r="U124" s="216"/>
    </row>
    <row r="125" spans="1:21" s="1528" customFormat="1" x14ac:dyDescent="0.25">
      <c r="A125" s="216"/>
      <c r="B125" s="1862"/>
      <c r="C125" s="1854"/>
      <c r="D125" s="1847"/>
      <c r="E125" s="1529"/>
      <c r="F125" s="97" t="s">
        <v>510</v>
      </c>
      <c r="G125" s="845" t="e">
        <f>IF(OR('Тип разраб-ой док-ции'!$F$2="ТРП",'Тип разраб-ой док-ции'!$F$2="ТП"),SUM('Итоговый расчет АСУТП'!$EX$36:$EX$41),"0")</f>
        <v>#REF!</v>
      </c>
      <c r="H125" s="845" t="e">
        <f t="shared" si="27"/>
        <v>#REF!</v>
      </c>
      <c r="I125" s="538"/>
      <c r="J125" s="538"/>
      <c r="K125" s="538"/>
      <c r="L125" s="538"/>
      <c r="M125" s="538"/>
      <c r="N125" s="55"/>
      <c r="O125" s="920"/>
      <c r="P125" s="216"/>
      <c r="Q125" s="216"/>
      <c r="R125" s="216"/>
      <c r="S125" s="216"/>
      <c r="T125" s="216"/>
      <c r="U125" s="216"/>
    </row>
    <row r="126" spans="1:21" s="1528" customFormat="1" x14ac:dyDescent="0.25">
      <c r="A126" s="216"/>
      <c r="B126" s="1862"/>
      <c r="C126" s="1865"/>
      <c r="D126" s="1848"/>
      <c r="E126" s="1529"/>
      <c r="F126" s="97" t="s">
        <v>48</v>
      </c>
      <c r="G126" s="846" t="e">
        <f>IF(OR('Тип разраб-ой док-ции'!$F$2="ТРП",'Тип разраб-ой док-ции'!$F$2="ТП"),SUM('Итоговый расчет АСУТП'!$EY$36:$EY$41),"0")</f>
        <v>#REF!</v>
      </c>
      <c r="H126" s="846" t="e">
        <f t="shared" si="27"/>
        <v>#REF!</v>
      </c>
      <c r="I126" s="57"/>
      <c r="J126" s="57"/>
      <c r="K126" s="57"/>
      <c r="L126" s="57"/>
      <c r="M126" s="57"/>
      <c r="N126" s="56"/>
      <c r="O126" s="921"/>
      <c r="P126" s="216"/>
      <c r="Q126" s="216"/>
      <c r="R126" s="216"/>
      <c r="S126" s="216"/>
      <c r="T126" s="216"/>
      <c r="U126" s="216"/>
    </row>
    <row r="127" spans="1:21" x14ac:dyDescent="0.25">
      <c r="A127" s="216"/>
      <c r="B127" s="1857" t="s">
        <v>88</v>
      </c>
      <c r="C127" s="1864" t="s">
        <v>1685</v>
      </c>
      <c r="D127" s="1846" t="s">
        <v>1572</v>
      </c>
      <c r="E127" s="858" t="str">
        <f>IF(O127&gt;0,"","")</f>
        <v/>
      </c>
      <c r="F127" s="386" t="s">
        <v>508</v>
      </c>
      <c r="G127" s="844" t="str">
        <f>IF($D$88&gt;0,$D$88,"0")</f>
        <v>0</v>
      </c>
      <c r="H127" s="844">
        <f t="shared" si="27"/>
        <v>0</v>
      </c>
      <c r="I127" s="1843">
        <v>0.3</v>
      </c>
      <c r="J127" s="1843">
        <v>0.5</v>
      </c>
      <c r="K127" s="1843">
        <v>0.2</v>
      </c>
      <c r="L127" s="59"/>
      <c r="M127" s="59"/>
      <c r="N127" s="58"/>
      <c r="O127" s="919">
        <f>ROUNDUP(SUM(G127:G129)*1.4,2)</f>
        <v>0</v>
      </c>
      <c r="P127" s="216"/>
      <c r="Q127" s="216"/>
      <c r="R127" s="216"/>
      <c r="S127" s="216"/>
      <c r="T127" s="216"/>
      <c r="U127" s="216"/>
    </row>
    <row r="128" spans="1:21" x14ac:dyDescent="0.25">
      <c r="A128" s="216"/>
      <c r="B128" s="1858"/>
      <c r="C128" s="1854"/>
      <c r="D128" s="1847"/>
      <c r="E128" s="859"/>
      <c r="F128" s="861" t="s">
        <v>509</v>
      </c>
      <c r="G128" s="845" t="str">
        <f>IF($E$88&gt;0,$E$88,"0")</f>
        <v>0</v>
      </c>
      <c r="H128" s="845">
        <f t="shared" si="27"/>
        <v>0</v>
      </c>
      <c r="I128" s="1844"/>
      <c r="J128" s="1844"/>
      <c r="K128" s="1844"/>
      <c r="L128" s="538"/>
      <c r="M128" s="538"/>
      <c r="N128" s="55"/>
      <c r="O128" s="920"/>
      <c r="P128" s="216"/>
      <c r="Q128" s="216"/>
      <c r="R128" s="216"/>
      <c r="S128" s="216"/>
      <c r="T128" s="216"/>
      <c r="U128" s="216"/>
    </row>
    <row r="129" spans="1:21" x14ac:dyDescent="0.25">
      <c r="A129" s="216"/>
      <c r="B129" s="1858"/>
      <c r="C129" s="1854"/>
      <c r="D129" s="1847"/>
      <c r="E129" s="859"/>
      <c r="F129" s="861" t="s">
        <v>510</v>
      </c>
      <c r="G129" s="845" t="str">
        <f>IF($F$88&gt;0,$F$88,"0")</f>
        <v>0</v>
      </c>
      <c r="H129" s="845">
        <f t="shared" si="27"/>
        <v>0</v>
      </c>
      <c r="I129" s="1844"/>
      <c r="J129" s="1844"/>
      <c r="K129" s="1844"/>
      <c r="L129" s="538"/>
      <c r="M129" s="538"/>
      <c r="N129" s="55"/>
      <c r="O129" s="920"/>
      <c r="P129" s="216"/>
      <c r="Q129" s="216"/>
      <c r="R129" s="216"/>
      <c r="S129" s="216"/>
      <c r="T129" s="216"/>
      <c r="U129" s="216"/>
    </row>
    <row r="130" spans="1:21" x14ac:dyDescent="0.25">
      <c r="A130" s="216"/>
      <c r="B130" s="1863"/>
      <c r="C130" s="1865"/>
      <c r="D130" s="1848"/>
      <c r="E130" s="860"/>
      <c r="F130" s="861" t="s">
        <v>48</v>
      </c>
      <c r="G130" s="846" t="str">
        <f>IF($G$88&gt;0,$G$88,"0")</f>
        <v>0</v>
      </c>
      <c r="H130" s="846">
        <f t="shared" si="27"/>
        <v>0</v>
      </c>
      <c r="I130" s="1845"/>
      <c r="J130" s="1845"/>
      <c r="K130" s="1845"/>
      <c r="L130" s="57"/>
      <c r="M130" s="57"/>
      <c r="N130" s="56"/>
      <c r="O130" s="921"/>
      <c r="P130" s="216"/>
      <c r="Q130" s="216"/>
      <c r="R130" s="216"/>
      <c r="S130" s="216"/>
      <c r="T130" s="216"/>
      <c r="U130" s="216"/>
    </row>
    <row r="131" spans="1:21" x14ac:dyDescent="0.25">
      <c r="A131" s="216"/>
      <c r="B131" s="1849" t="s">
        <v>52</v>
      </c>
      <c r="C131" s="1855"/>
      <c r="D131" s="1866"/>
      <c r="E131" s="543"/>
      <c r="F131" s="96" t="s">
        <v>508</v>
      </c>
      <c r="G131" s="1561" t="e">
        <f>G107+G111+G115+G119+G123+G127</f>
        <v>#REF!</v>
      </c>
      <c r="H131" s="845" t="e">
        <f>G131/8</f>
        <v>#REF!</v>
      </c>
      <c r="I131" s="857"/>
      <c r="J131" s="857"/>
      <c r="K131" s="857"/>
      <c r="L131" s="857"/>
      <c r="M131" s="857"/>
      <c r="N131" s="53"/>
      <c r="O131" s="920">
        <f>ROUNDUP(SUM(O127:O129),0)</f>
        <v>0</v>
      </c>
      <c r="P131" s="216"/>
      <c r="Q131" s="216"/>
      <c r="R131" s="216"/>
      <c r="S131" s="216"/>
      <c r="T131" s="216"/>
      <c r="U131" s="216"/>
    </row>
    <row r="132" spans="1:21" x14ac:dyDescent="0.25">
      <c r="A132" s="216"/>
      <c r="B132" s="1849"/>
      <c r="C132" s="1855"/>
      <c r="D132" s="1867"/>
      <c r="E132" s="543"/>
      <c r="F132" s="97" t="s">
        <v>509</v>
      </c>
      <c r="G132" s="1561" t="e">
        <f t="shared" ref="G132:G134" si="28">G108+G112+G116+G120+G124+G128</f>
        <v>#REF!</v>
      </c>
      <c r="H132" s="845" t="e">
        <f t="shared" si="27"/>
        <v>#REF!</v>
      </c>
      <c r="I132" s="857"/>
      <c r="J132" s="857"/>
      <c r="K132" s="857"/>
      <c r="L132" s="857"/>
      <c r="M132" s="857"/>
      <c r="N132" s="53"/>
      <c r="O132" s="920"/>
      <c r="P132" s="216"/>
      <c r="Q132" s="216"/>
      <c r="R132" s="216"/>
      <c r="S132" s="216"/>
      <c r="T132" s="216"/>
      <c r="U132" s="216"/>
    </row>
    <row r="133" spans="1:21" x14ac:dyDescent="0.25">
      <c r="A133" s="216"/>
      <c r="B133" s="1849"/>
      <c r="C133" s="1855"/>
      <c r="D133" s="1867"/>
      <c r="E133" s="543"/>
      <c r="F133" s="97" t="s">
        <v>510</v>
      </c>
      <c r="G133" s="1561" t="e">
        <f t="shared" si="28"/>
        <v>#REF!</v>
      </c>
      <c r="H133" s="845" t="e">
        <f t="shared" si="27"/>
        <v>#REF!</v>
      </c>
      <c r="I133" s="857"/>
      <c r="J133" s="857"/>
      <c r="K133" s="857"/>
      <c r="L133" s="857"/>
      <c r="M133" s="857"/>
      <c r="N133" s="53"/>
      <c r="O133" s="920"/>
      <c r="P133" s="216"/>
      <c r="Q133" s="216"/>
      <c r="R133" s="216"/>
      <c r="S133" s="216"/>
      <c r="T133" s="216"/>
      <c r="U133" s="216"/>
    </row>
    <row r="134" spans="1:21" x14ac:dyDescent="0.25">
      <c r="A134" s="216"/>
      <c r="B134" s="1849"/>
      <c r="C134" s="1855"/>
      <c r="D134" s="1867"/>
      <c r="E134" s="543"/>
      <c r="F134" s="97" t="s">
        <v>48</v>
      </c>
      <c r="G134" s="845" t="e">
        <f t="shared" si="28"/>
        <v>#REF!</v>
      </c>
      <c r="H134" s="845" t="e">
        <f t="shared" si="27"/>
        <v>#REF!</v>
      </c>
      <c r="I134" s="857"/>
      <c r="J134" s="857"/>
      <c r="K134" s="857"/>
      <c r="L134" s="857"/>
      <c r="M134" s="857"/>
      <c r="N134" s="53"/>
      <c r="O134" s="920"/>
      <c r="P134" s="216"/>
      <c r="Q134" s="216"/>
      <c r="R134" s="216"/>
      <c r="S134" s="216"/>
      <c r="T134" s="216"/>
      <c r="U134" s="216"/>
    </row>
    <row r="135" spans="1:21" x14ac:dyDescent="0.25">
      <c r="A135" s="216"/>
      <c r="B135" s="1849"/>
      <c r="C135" s="1855"/>
      <c r="D135" s="1867"/>
      <c r="E135" s="543"/>
      <c r="F135" s="97" t="s">
        <v>53</v>
      </c>
      <c r="G135" s="845" t="e">
        <f>SUM(G131:G134)*0.1</f>
        <v>#REF!</v>
      </c>
      <c r="H135" s="845" t="e">
        <f t="shared" si="27"/>
        <v>#REF!</v>
      </c>
      <c r="I135" s="857"/>
      <c r="J135" s="857"/>
      <c r="K135" s="857"/>
      <c r="L135" s="857"/>
      <c r="M135" s="857"/>
      <c r="N135" s="53"/>
      <c r="O135" s="920"/>
      <c r="P135" s="216"/>
      <c r="Q135" s="216"/>
      <c r="R135" s="216"/>
      <c r="S135" s="216"/>
      <c r="T135" s="216"/>
      <c r="U135" s="216"/>
    </row>
    <row r="136" spans="1:21" ht="15.75" thickBot="1" x14ac:dyDescent="0.3">
      <c r="A136" s="216"/>
      <c r="B136" s="1850"/>
      <c r="C136" s="1856"/>
      <c r="D136" s="1868"/>
      <c r="E136" s="544"/>
      <c r="F136" s="215" t="s">
        <v>120</v>
      </c>
      <c r="G136" s="847" t="e">
        <f>SUM(G131:G134)*0.2</f>
        <v>#REF!</v>
      </c>
      <c r="H136" s="847" t="e">
        <f t="shared" si="27"/>
        <v>#REF!</v>
      </c>
      <c r="I136" s="52"/>
      <c r="J136" s="52"/>
      <c r="K136" s="52"/>
      <c r="L136" s="52"/>
      <c r="M136" s="52"/>
      <c r="N136" s="51"/>
      <c r="O136" s="923"/>
      <c r="P136" s="216"/>
      <c r="Q136" s="216"/>
      <c r="R136" s="216"/>
      <c r="S136" s="216"/>
      <c r="T136" s="216"/>
      <c r="U136" s="216"/>
    </row>
    <row r="137" spans="1:21" x14ac:dyDescent="0.25">
      <c r="A137" s="216"/>
      <c r="B137" s="216"/>
      <c r="C137" s="216"/>
      <c r="D137" s="216"/>
      <c r="E137" s="216"/>
      <c r="F137" s="216"/>
      <c r="G137" s="216"/>
      <c r="H137" s="216"/>
      <c r="I137" s="216"/>
      <c r="J137" s="216"/>
      <c r="K137" s="216"/>
      <c r="L137" s="216"/>
      <c r="M137" s="216"/>
      <c r="N137" s="216"/>
      <c r="O137" s="216"/>
      <c r="P137" s="216"/>
      <c r="Q137" s="216"/>
      <c r="R137" s="216"/>
      <c r="S137" s="216"/>
      <c r="T137" s="216"/>
      <c r="U137" s="216"/>
    </row>
    <row r="138" spans="1:21" x14ac:dyDescent="0.25">
      <c r="A138" s="216"/>
      <c r="B138" s="216"/>
      <c r="C138" s="216"/>
      <c r="D138" s="216"/>
      <c r="E138" s="216"/>
      <c r="F138" s="216"/>
      <c r="G138" s="216"/>
      <c r="H138" s="216"/>
      <c r="I138" s="216"/>
      <c r="J138" s="216"/>
      <c r="K138" s="216"/>
      <c r="L138" s="216"/>
      <c r="M138" s="216"/>
      <c r="N138" s="216"/>
      <c r="O138" s="216"/>
      <c r="P138" s="216"/>
      <c r="Q138" s="216"/>
      <c r="R138" s="216"/>
      <c r="S138" s="216"/>
      <c r="T138" s="216"/>
      <c r="U138" s="216"/>
    </row>
    <row r="139" spans="1:21" x14ac:dyDescent="0.25">
      <c r="A139" s="216"/>
      <c r="B139" s="216"/>
      <c r="C139" s="216"/>
      <c r="D139" s="216"/>
      <c r="E139" s="216"/>
      <c r="F139" s="216"/>
      <c r="G139" s="216"/>
      <c r="H139" s="216"/>
      <c r="I139" s="216"/>
      <c r="J139" s="216"/>
      <c r="K139" s="216"/>
      <c r="L139" s="216"/>
      <c r="M139" s="216"/>
      <c r="N139" s="216"/>
      <c r="O139" s="216"/>
      <c r="P139" s="216"/>
      <c r="Q139" s="216"/>
      <c r="R139" s="216"/>
      <c r="S139" s="216"/>
      <c r="T139" s="216"/>
      <c r="U139" s="216"/>
    </row>
    <row r="140" spans="1:21" x14ac:dyDescent="0.25">
      <c r="A140" s="216"/>
      <c r="B140" s="216"/>
      <c r="C140" s="216"/>
      <c r="D140" s="216"/>
      <c r="E140" s="216"/>
      <c r="F140" s="216"/>
      <c r="G140" s="216"/>
      <c r="H140" s="216"/>
      <c r="I140" s="216"/>
      <c r="J140" s="216"/>
      <c r="K140" s="216"/>
      <c r="L140" s="216"/>
      <c r="M140" s="216"/>
      <c r="N140" s="216"/>
      <c r="O140" s="216"/>
      <c r="P140" s="216"/>
      <c r="Q140" s="216"/>
      <c r="R140" s="216"/>
      <c r="S140" s="216"/>
      <c r="T140" s="216"/>
      <c r="U140" s="216"/>
    </row>
    <row r="141" spans="1:21" x14ac:dyDescent="0.25">
      <c r="A141" s="216"/>
      <c r="B141" s="216"/>
      <c r="C141" s="216"/>
      <c r="D141" s="216"/>
      <c r="E141" s="216"/>
      <c r="F141" s="216"/>
      <c r="G141" s="216"/>
      <c r="H141" s="216"/>
      <c r="I141" s="216"/>
      <c r="J141" s="216"/>
      <c r="K141" s="216"/>
      <c r="L141" s="216"/>
      <c r="M141" s="216"/>
      <c r="N141" s="216"/>
      <c r="O141" s="216"/>
      <c r="P141" s="216"/>
      <c r="Q141" s="216"/>
      <c r="R141" s="216"/>
      <c r="S141" s="216"/>
      <c r="T141" s="216"/>
      <c r="U141" s="216"/>
    </row>
    <row r="142" spans="1:21" x14ac:dyDescent="0.25">
      <c r="A142" s="216"/>
      <c r="B142" s="216"/>
      <c r="C142" s="216"/>
      <c r="D142" s="216"/>
      <c r="E142" s="216"/>
      <c r="F142" s="216"/>
      <c r="G142" s="216"/>
      <c r="H142" s="216"/>
      <c r="I142" s="216"/>
      <c r="J142" s="216"/>
      <c r="K142" s="216"/>
      <c r="L142" s="216"/>
      <c r="M142" s="216"/>
      <c r="N142" s="216"/>
      <c r="O142" s="216"/>
      <c r="P142" s="216"/>
      <c r="Q142" s="216"/>
      <c r="R142" s="216"/>
      <c r="S142" s="216"/>
      <c r="T142" s="216"/>
      <c r="U142" s="216"/>
    </row>
    <row r="143" spans="1:21" x14ac:dyDescent="0.25">
      <c r="A143" s="216"/>
      <c r="B143" s="216"/>
      <c r="C143" s="216"/>
      <c r="D143" s="216"/>
      <c r="E143" s="216"/>
      <c r="F143" s="216"/>
      <c r="G143" s="216"/>
      <c r="H143" s="216"/>
      <c r="I143" s="216"/>
      <c r="J143" s="216"/>
      <c r="K143" s="216"/>
      <c r="L143" s="216"/>
      <c r="M143" s="216"/>
      <c r="N143" s="216"/>
      <c r="O143" s="216"/>
      <c r="P143" s="216"/>
      <c r="Q143" s="216"/>
      <c r="R143" s="216"/>
      <c r="S143" s="216"/>
      <c r="T143" s="216"/>
      <c r="U143" s="216"/>
    </row>
    <row r="144" spans="1:21" x14ac:dyDescent="0.25">
      <c r="A144" s="216"/>
      <c r="B144" s="216"/>
      <c r="C144" s="216"/>
      <c r="D144" s="216"/>
      <c r="E144" s="216"/>
      <c r="F144" s="216"/>
      <c r="G144" s="216"/>
      <c r="H144" s="216"/>
      <c r="I144" s="216"/>
      <c r="J144" s="216"/>
      <c r="K144" s="216"/>
      <c r="L144" s="216"/>
      <c r="M144" s="216"/>
      <c r="N144" s="216"/>
      <c r="O144" s="216"/>
      <c r="P144" s="216"/>
      <c r="Q144" s="216"/>
      <c r="R144" s="216"/>
      <c r="S144" s="216"/>
      <c r="T144" s="216"/>
      <c r="U144" s="216"/>
    </row>
    <row r="145" spans="1:23" x14ac:dyDescent="0.25">
      <c r="A145" s="216"/>
      <c r="B145" s="216"/>
      <c r="C145" s="216"/>
      <c r="D145" s="216"/>
      <c r="E145" s="216"/>
      <c r="F145" s="216"/>
      <c r="G145" s="216"/>
      <c r="H145" s="216"/>
      <c r="I145" s="216"/>
      <c r="J145" s="216"/>
      <c r="K145" s="216"/>
      <c r="L145" s="216"/>
      <c r="M145" s="216"/>
      <c r="N145" s="216"/>
      <c r="O145" s="216"/>
      <c r="P145" s="216"/>
      <c r="Q145" s="216"/>
      <c r="R145" s="216"/>
      <c r="S145" s="216"/>
      <c r="T145" s="216"/>
      <c r="U145" s="216"/>
    </row>
    <row r="146" spans="1:23" x14ac:dyDescent="0.25">
      <c r="A146" s="216"/>
      <c r="B146" s="216"/>
      <c r="C146" s="216"/>
      <c r="D146" s="216"/>
      <c r="E146" s="216"/>
      <c r="F146" s="216"/>
      <c r="G146" s="216"/>
      <c r="H146" s="216"/>
      <c r="I146" s="216"/>
      <c r="J146" s="216"/>
      <c r="K146" s="216"/>
      <c r="L146" s="216"/>
      <c r="M146" s="216"/>
      <c r="N146" s="216"/>
      <c r="O146" s="216"/>
      <c r="P146" s="216"/>
      <c r="Q146" s="216"/>
      <c r="R146" s="216"/>
      <c r="S146" s="216"/>
      <c r="T146" s="216"/>
      <c r="U146" s="216"/>
    </row>
    <row r="147" spans="1:23" x14ac:dyDescent="0.25">
      <c r="A147" s="216"/>
      <c r="B147" s="216"/>
      <c r="C147" s="216"/>
      <c r="D147" s="216"/>
      <c r="E147" s="216"/>
      <c r="F147" s="216"/>
      <c r="G147" s="216"/>
      <c r="H147" s="216"/>
      <c r="I147" s="216"/>
      <c r="J147" s="216"/>
      <c r="K147" s="216"/>
      <c r="L147" s="216"/>
      <c r="M147" s="216"/>
      <c r="N147" s="216"/>
      <c r="O147" s="216"/>
      <c r="P147" s="216"/>
      <c r="Q147" s="216"/>
      <c r="R147" s="216"/>
      <c r="S147" s="216"/>
      <c r="T147" s="216"/>
      <c r="U147" s="216"/>
      <c r="W147" s="93"/>
    </row>
    <row r="148" spans="1:23" x14ac:dyDescent="0.25">
      <c r="A148" s="216"/>
      <c r="B148" s="216"/>
      <c r="C148" s="216"/>
      <c r="D148" s="216"/>
      <c r="E148" s="216"/>
      <c r="F148" s="216"/>
      <c r="G148" s="216"/>
      <c r="H148" s="216"/>
      <c r="I148" s="216"/>
      <c r="J148" s="216"/>
      <c r="K148" s="216"/>
      <c r="L148" s="216"/>
      <c r="M148" s="216"/>
      <c r="N148" s="216"/>
      <c r="O148" s="216"/>
      <c r="P148" s="216"/>
      <c r="Q148" s="216"/>
      <c r="R148" s="216"/>
      <c r="S148" s="216"/>
      <c r="T148" s="216"/>
      <c r="U148" s="216"/>
    </row>
    <row r="149" spans="1:23" x14ac:dyDescent="0.25">
      <c r="A149" s="216"/>
      <c r="B149" s="216"/>
      <c r="C149" s="216"/>
      <c r="D149" s="216"/>
      <c r="E149" s="216"/>
      <c r="F149" s="216"/>
      <c r="G149" s="216"/>
      <c r="H149" s="216"/>
      <c r="I149" s="216"/>
      <c r="J149" s="216"/>
      <c r="K149" s="216"/>
      <c r="L149" s="216"/>
      <c r="M149" s="216"/>
      <c r="N149" s="216"/>
      <c r="O149" s="216"/>
      <c r="P149" s="216"/>
      <c r="Q149" s="216"/>
      <c r="R149" s="216"/>
      <c r="S149" s="216"/>
      <c r="T149" s="216"/>
      <c r="U149" s="216"/>
    </row>
    <row r="150" spans="1:23" x14ac:dyDescent="0.25">
      <c r="A150" s="216"/>
      <c r="B150" s="216"/>
      <c r="C150" s="216"/>
      <c r="D150" s="216"/>
      <c r="E150" s="216"/>
      <c r="F150" s="216"/>
      <c r="G150" s="216"/>
      <c r="H150" s="216"/>
      <c r="I150" s="216"/>
      <c r="J150" s="216"/>
      <c r="K150" s="216"/>
      <c r="L150" s="216"/>
      <c r="M150" s="216"/>
      <c r="N150" s="216"/>
      <c r="O150" s="216"/>
      <c r="P150" s="216"/>
      <c r="Q150" s="216"/>
      <c r="R150" s="216"/>
      <c r="S150" s="216"/>
      <c r="T150" s="216"/>
      <c r="U150" s="216"/>
    </row>
    <row r="151" spans="1:23" x14ac:dyDescent="0.25">
      <c r="A151" s="216"/>
      <c r="B151" s="216"/>
      <c r="C151" s="216"/>
      <c r="D151" s="216"/>
      <c r="E151" s="216"/>
      <c r="F151" s="216"/>
      <c r="G151" s="216"/>
      <c r="H151" s="216"/>
      <c r="I151" s="216"/>
      <c r="J151" s="216"/>
      <c r="K151" s="216"/>
      <c r="L151" s="216"/>
      <c r="M151" s="216"/>
      <c r="N151" s="216"/>
      <c r="O151" s="216"/>
      <c r="P151" s="216"/>
      <c r="Q151" s="216"/>
      <c r="R151" s="216"/>
      <c r="S151" s="216"/>
      <c r="T151" s="216"/>
      <c r="U151" s="216"/>
    </row>
    <row r="152" spans="1:23" x14ac:dyDescent="0.25">
      <c r="A152" s="216"/>
      <c r="B152" s="216"/>
      <c r="C152" s="216"/>
      <c r="D152" s="216"/>
      <c r="E152" s="216"/>
      <c r="F152" s="216"/>
      <c r="G152" s="216"/>
      <c r="H152" s="216"/>
      <c r="I152" s="216"/>
      <c r="J152" s="216"/>
      <c r="K152" s="216"/>
      <c r="L152" s="216"/>
      <c r="M152" s="216"/>
      <c r="N152" s="216"/>
      <c r="O152" s="216"/>
      <c r="P152" s="216"/>
      <c r="Q152" s="216"/>
      <c r="R152" s="216"/>
      <c r="S152" s="216"/>
      <c r="T152" s="216"/>
      <c r="U152" s="216"/>
    </row>
    <row r="153" spans="1:23" x14ac:dyDescent="0.25">
      <c r="A153" s="216"/>
      <c r="B153" s="216"/>
      <c r="C153" s="216"/>
      <c r="D153" s="216"/>
      <c r="E153" s="216"/>
      <c r="F153" s="216"/>
      <c r="G153" s="216"/>
      <c r="H153" s="216"/>
      <c r="I153" s="216"/>
      <c r="J153" s="216"/>
      <c r="K153" s="216"/>
      <c r="L153" s="216"/>
      <c r="M153" s="216"/>
      <c r="N153" s="216"/>
      <c r="O153" s="216"/>
      <c r="P153" s="216"/>
      <c r="Q153" s="216"/>
      <c r="R153" s="216"/>
      <c r="S153" s="216"/>
      <c r="T153" s="216"/>
      <c r="U153" s="216"/>
    </row>
    <row r="154" spans="1:23" x14ac:dyDescent="0.25">
      <c r="A154" s="216"/>
      <c r="B154" s="216"/>
      <c r="C154" s="216"/>
      <c r="D154" s="216"/>
      <c r="E154" s="216"/>
      <c r="F154" s="216"/>
      <c r="G154" s="216"/>
      <c r="H154" s="216"/>
      <c r="I154" s="216"/>
      <c r="J154" s="216"/>
      <c r="K154" s="216"/>
      <c r="L154" s="216"/>
      <c r="M154" s="216"/>
      <c r="N154" s="216"/>
      <c r="O154" s="216"/>
      <c r="P154" s="216"/>
      <c r="Q154" s="216"/>
      <c r="R154" s="216"/>
      <c r="S154" s="216"/>
      <c r="T154" s="216"/>
      <c r="U154" s="216"/>
    </row>
    <row r="155" spans="1:23" x14ac:dyDescent="0.25">
      <c r="A155" s="216"/>
      <c r="B155" s="216"/>
      <c r="C155" s="216"/>
      <c r="D155" s="216"/>
      <c r="E155" s="216"/>
      <c r="F155" s="216"/>
      <c r="G155" s="216"/>
      <c r="H155" s="216"/>
      <c r="I155" s="216"/>
      <c r="J155" s="216"/>
      <c r="K155" s="216"/>
      <c r="L155" s="216"/>
      <c r="M155" s="216"/>
      <c r="N155" s="216"/>
      <c r="O155" s="216"/>
      <c r="P155" s="216"/>
      <c r="Q155" s="216"/>
      <c r="R155" s="216"/>
      <c r="S155" s="216"/>
      <c r="T155" s="216"/>
      <c r="U155" s="216"/>
    </row>
    <row r="156" spans="1:23" x14ac:dyDescent="0.25">
      <c r="A156" s="216"/>
      <c r="B156" s="216"/>
      <c r="C156" s="216"/>
      <c r="D156" s="216"/>
      <c r="E156" s="216"/>
      <c r="F156" s="216"/>
      <c r="G156" s="216"/>
      <c r="H156" s="216"/>
      <c r="I156" s="216"/>
      <c r="J156" s="216"/>
      <c r="K156" s="216"/>
      <c r="L156" s="216"/>
      <c r="M156" s="216"/>
      <c r="N156" s="216"/>
      <c r="O156" s="216"/>
      <c r="P156" s="216"/>
      <c r="Q156" s="216"/>
      <c r="R156" s="216"/>
      <c r="S156" s="216"/>
      <c r="T156" s="216"/>
      <c r="U156" s="216"/>
    </row>
    <row r="157" spans="1:23" x14ac:dyDescent="0.25">
      <c r="A157" s="216"/>
      <c r="B157" s="216"/>
      <c r="C157" s="216"/>
      <c r="D157" s="216"/>
      <c r="E157" s="216"/>
      <c r="F157" s="216"/>
      <c r="G157" s="216"/>
      <c r="H157" s="216"/>
      <c r="I157" s="216"/>
      <c r="J157" s="216"/>
      <c r="K157" s="216"/>
      <c r="L157" s="216"/>
      <c r="M157" s="216"/>
      <c r="N157" s="216"/>
      <c r="O157" s="216"/>
      <c r="P157" s="216"/>
      <c r="Q157" s="216"/>
      <c r="R157" s="216"/>
      <c r="S157" s="216"/>
      <c r="T157" s="216"/>
      <c r="U157" s="216"/>
    </row>
    <row r="158" spans="1:23" x14ac:dyDescent="0.25">
      <c r="A158" s="216"/>
      <c r="B158" s="216"/>
      <c r="C158" s="216"/>
      <c r="D158" s="216"/>
      <c r="E158" s="216"/>
      <c r="F158" s="216"/>
      <c r="G158" s="216"/>
      <c r="H158" s="216"/>
      <c r="I158" s="216"/>
      <c r="J158" s="216"/>
      <c r="K158" s="216"/>
      <c r="L158" s="216"/>
      <c r="M158" s="216"/>
      <c r="N158" s="216"/>
      <c r="O158" s="216"/>
      <c r="P158" s="216"/>
      <c r="Q158" s="216"/>
      <c r="R158" s="216"/>
      <c r="S158" s="216"/>
      <c r="T158" s="216"/>
      <c r="U158" s="216"/>
    </row>
    <row r="159" spans="1:23" x14ac:dyDescent="0.25">
      <c r="A159" s="216"/>
      <c r="B159" s="216"/>
      <c r="C159" s="216"/>
      <c r="D159" s="216"/>
      <c r="E159" s="216"/>
      <c r="F159" s="216"/>
      <c r="G159" s="216"/>
      <c r="H159" s="216"/>
      <c r="I159" s="216"/>
      <c r="J159" s="216"/>
      <c r="K159" s="216"/>
      <c r="L159" s="216"/>
      <c r="M159" s="216"/>
      <c r="N159" s="216"/>
      <c r="O159" s="216"/>
      <c r="P159" s="216"/>
      <c r="Q159" s="216"/>
      <c r="R159" s="216"/>
      <c r="S159" s="216"/>
      <c r="T159" s="216"/>
      <c r="U159" s="216"/>
    </row>
    <row r="160" spans="1:23" x14ac:dyDescent="0.25">
      <c r="A160" s="216"/>
      <c r="B160" s="216"/>
      <c r="C160" s="216"/>
      <c r="D160" s="216"/>
      <c r="E160" s="216"/>
      <c r="F160" s="216"/>
      <c r="G160" s="216"/>
      <c r="H160" s="216"/>
      <c r="I160" s="216"/>
      <c r="J160" s="216"/>
      <c r="K160" s="216"/>
      <c r="L160" s="216"/>
      <c r="M160" s="216"/>
      <c r="N160" s="216"/>
      <c r="O160" s="216"/>
      <c r="P160" s="216"/>
      <c r="Q160" s="216"/>
      <c r="R160" s="216"/>
      <c r="S160" s="216"/>
      <c r="T160" s="216"/>
      <c r="U160" s="216"/>
    </row>
    <row r="161" spans="1:14" x14ac:dyDescent="0.25">
      <c r="A161" s="216"/>
      <c r="B161" s="216"/>
      <c r="C161" s="216"/>
      <c r="D161" s="216"/>
      <c r="E161" s="216"/>
      <c r="F161" s="216"/>
      <c r="G161" s="216"/>
      <c r="H161" s="216"/>
      <c r="I161" s="216"/>
      <c r="J161" s="216"/>
      <c r="K161" s="216"/>
      <c r="L161" s="216"/>
      <c r="M161" s="216"/>
      <c r="N161" s="216"/>
    </row>
  </sheetData>
  <dataConsolidate/>
  <customSheetViews>
    <customSheetView guid="{B91A3F61-3B23-46E3-9B55-19B17EB6638A}" scale="55" hiddenColumns="1" topLeftCell="A16">
      <selection activeCell="E31" sqref="E31"/>
      <pageMargins left="0.7" right="0.7" top="0.75" bottom="0.75" header="0.3" footer="0.3"/>
      <pageSetup paperSize="9" orientation="portrait" r:id="rId1"/>
    </customSheetView>
    <customSheetView guid="{F5CB9414-DBF4-48FF-9213-FFE745451535}" scale="55" hiddenColumns="1" topLeftCell="A16">
      <selection activeCell="E31" sqref="E31"/>
      <pageMargins left="0.7" right="0.7" top="0.75" bottom="0.75" header="0.3" footer="0.3"/>
      <pageSetup paperSize="9" orientation="portrait" r:id="rId2"/>
    </customSheetView>
    <customSheetView guid="{A1A876F1-3EAA-4E5F-BD51-8B131AB8854B}" scale="55" hiddenColumns="1" topLeftCell="A16">
      <selection activeCell="E31" sqref="E31"/>
      <pageMargins left="0.7" right="0.7" top="0.75" bottom="0.75" header="0.3" footer="0.3"/>
      <pageSetup paperSize="9" orientation="portrait" r:id="rId3"/>
    </customSheetView>
    <customSheetView guid="{18A094BB-EA3E-4938-9069-21F549B37E23}" scale="55" hiddenColumns="1" topLeftCell="A16">
      <selection activeCell="E31" sqref="E31"/>
      <pageMargins left="0.7" right="0.7" top="0.75" bottom="0.75" header="0.3" footer="0.3"/>
      <pageSetup paperSize="9" orientation="portrait" r:id="rId4"/>
    </customSheetView>
  </customSheetViews>
  <mergeCells count="30">
    <mergeCell ref="G1:H1"/>
    <mergeCell ref="R10:S10"/>
    <mergeCell ref="B107:B110"/>
    <mergeCell ref="E107:E110"/>
    <mergeCell ref="B111:B114"/>
    <mergeCell ref="B41:M41"/>
    <mergeCell ref="B42:M42"/>
    <mergeCell ref="B43:M43"/>
    <mergeCell ref="D107:D110"/>
    <mergeCell ref="D111:D114"/>
    <mergeCell ref="B131:B136"/>
    <mergeCell ref="E111:E114"/>
    <mergeCell ref="C107:C110"/>
    <mergeCell ref="C111:C114"/>
    <mergeCell ref="C131:C136"/>
    <mergeCell ref="B115:B118"/>
    <mergeCell ref="E115:E118"/>
    <mergeCell ref="B119:B122"/>
    <mergeCell ref="B127:B130"/>
    <mergeCell ref="C127:C130"/>
    <mergeCell ref="B123:B126"/>
    <mergeCell ref="D131:D136"/>
    <mergeCell ref="C115:C126"/>
    <mergeCell ref="J127:J130"/>
    <mergeCell ref="K127:K130"/>
    <mergeCell ref="D115:D118"/>
    <mergeCell ref="D119:D122"/>
    <mergeCell ref="D123:D126"/>
    <mergeCell ref="D127:D130"/>
    <mergeCell ref="I127:I130"/>
  </mergeCells>
  <conditionalFormatting sqref="C6">
    <cfRule type="containsText" dxfId="612" priority="1" operator="containsText" text="Обычный">
      <formula>NOT(ISERROR(SEARCH("Обычный",C6)))</formula>
    </cfRule>
    <cfRule type="containsText" dxfId="611" priority="2" operator="containsText" text="Сложный">
      <formula>NOT(ISERROR(SEARCH("Сложный",C6)))</formula>
    </cfRule>
  </conditionalFormatting>
  <dataValidations disablePrompts="1" count="34">
    <dataValidation type="list" allowBlank="1" showInputMessage="1" showErrorMessage="1" sqref="C22" xr:uid="{00000000-0002-0000-0200-000000000000}">
      <formula1 xml:space="preserve"> IF($A$22, ASUTP_DAM, EMPTY_list)</formula1>
    </dataValidation>
    <dataValidation type="list" allowBlank="1" showInputMessage="1" showErrorMessage="1" sqref="C17" xr:uid="{00000000-0002-0000-0200-000001000000}">
      <formula1 xml:space="preserve"> IF($A$17, ASUTP_RK, EMPTY_list)</formula1>
    </dataValidation>
    <dataValidation type="list" allowBlank="1" showInputMessage="1" showErrorMessage="1" sqref="C16" xr:uid="{00000000-0002-0000-0200-000002000000}">
      <formula1>IF($A$16, ASUTP_AZ, EMPTY_list)</formula1>
    </dataValidation>
    <dataValidation type="list" allowBlank="1" showInputMessage="1" showErrorMessage="1" sqref="C15" xr:uid="{00000000-0002-0000-0200-000003000000}">
      <formula1 xml:space="preserve"> IF($A$15,ASUTP_SKZI, EMPTY_list)</formula1>
    </dataValidation>
    <dataValidation type="list" allowBlank="1" showInputMessage="1" showErrorMessage="1" sqref="C14" xr:uid="{00000000-0002-0000-0200-000004000000}">
      <formula1 xml:space="preserve"> IF($A$14, ASUTP_PAM, EMPTY_list)</formula1>
    </dataValidation>
    <dataValidation type="list" allowBlank="1" showInputMessage="1" showErrorMessage="1" sqref="C13" xr:uid="{00000000-0002-0000-0200-000005000000}">
      <formula1 xml:space="preserve"> IF($A$13, ASUTP_MSE, EMPTY_list)</formula1>
    </dataValidation>
    <dataValidation type="list" allowBlank="1" showInputMessage="1" showErrorMessage="1" sqref="C11" xr:uid="{00000000-0002-0000-0200-000006000000}">
      <formula1 xml:space="preserve"> IF($A$11, ASUTP_AVZ, EMPTY_list)</formula1>
    </dataValidation>
    <dataValidation allowBlank="1" showInputMessage="1" sqref="B12" xr:uid="{00000000-0002-0000-0200-000007000000}"/>
    <dataValidation type="list" allowBlank="1" showInputMessage="1" showErrorMessage="1" sqref="C12" xr:uid="{00000000-0002-0000-0200-000008000000}">
      <formula1 xml:space="preserve"> IF($A$12, ASUTP_SIEM, EMPTY_list)</formula1>
    </dataValidation>
    <dataValidation type="list" allowBlank="1" showInputMessage="1" showErrorMessage="1" sqref="C72:C87 C47:C68" xr:uid="{00000000-0002-0000-0200-000009000000}">
      <formula1 xml:space="preserve"> Отделы</formula1>
    </dataValidation>
    <dataValidation type="list" allowBlank="1" showInputMessage="1" showErrorMessage="1" sqref="C18" xr:uid="{00000000-0002-0000-0200-00000A000000}">
      <formula1 xml:space="preserve"> IF($A$18, ASUTP_IDS, EMPTY_list)</formula1>
    </dataValidation>
    <dataValidation type="list" allowBlank="1" showInputMessage="1" showErrorMessage="1" sqref="C20" xr:uid="{00000000-0002-0000-0200-00000B000000}">
      <formula1 xml:space="preserve"> IF($A$20, ASUTP_APMDZ, EMPTY_list)</formula1>
    </dataValidation>
    <dataValidation type="list" allowBlank="1" showInputMessage="1" showErrorMessage="1" sqref="C21" xr:uid="{00000000-0002-0000-0200-00000C000000}">
      <formula1 xml:space="preserve"> IF($A$21, ASUTP_MFA, EMPTY_list)</formula1>
    </dataValidation>
    <dataValidation type="list" allowBlank="1" showInputMessage="1" showErrorMessage="1" sqref="C23" xr:uid="{00000000-0002-0000-0200-00000D000000}">
      <formula1 xml:space="preserve"> IF($A$23, ASUTP_SZV, EMPTY_list)</formula1>
    </dataValidation>
    <dataValidation type="list" allowBlank="1" showInputMessage="1" showErrorMessage="1" sqref="C69" xr:uid="{00000000-0002-0000-0200-00000E000000}">
      <formula1 xml:space="preserve"> IF($A69, OP_IDS, EMPTY_list)</formula1>
    </dataValidation>
    <dataValidation type="list" allowBlank="1" showInputMessage="1" showErrorMessage="1" sqref="C70" xr:uid="{00000000-0002-0000-0200-00000F000000}">
      <formula1 xml:space="preserve"> IF($A70, OP_NSD, EMPTY_list)</formula1>
    </dataValidation>
    <dataValidation type="list" allowBlank="1" showInputMessage="1" showErrorMessage="1" sqref="C24" xr:uid="{00000000-0002-0000-0200-000010000000}">
      <formula1 xml:space="preserve"> IF($A$24, ASUTP_SOAR, EMPTY_list)</formula1>
    </dataValidation>
    <dataValidation type="list" allowBlank="1" showInputMessage="1" showErrorMessage="1" sqref="C25" xr:uid="{00000000-0002-0000-0200-000011000000}">
      <formula1 xml:space="preserve"> IF($A$25, ASUTP_VDI, EMPTY_list)</formula1>
    </dataValidation>
    <dataValidation type="list" allowBlank="1" showInputMessage="1" showErrorMessage="1" sqref="C26" xr:uid="{00000000-0002-0000-0200-000012000000}">
      <formula1 xml:space="preserve"> IF($A$26, ASUTP_SUBD, EMPTY_list)</formula1>
    </dataValidation>
    <dataValidation type="list" allowBlank="1" showInputMessage="1" showErrorMessage="1" sqref="C27" xr:uid="{00000000-0002-0000-0200-000013000000}">
      <formula1 xml:space="preserve"> IF($A$27, ASUTP_GOSSOPKA, EMPTY_list)</formula1>
    </dataValidation>
    <dataValidation type="list" allowBlank="1" showInputMessage="1" showErrorMessage="1" sqref="C28" xr:uid="{00000000-0002-0000-0200-000014000000}">
      <formula1 xml:space="preserve"> IF($A$28, ASUTP_TLS, EMPTY_list)</formula1>
    </dataValidation>
    <dataValidation type="list" allowBlank="1" showInputMessage="1" showErrorMessage="1" sqref="C29" xr:uid="{00000000-0002-0000-0200-000015000000}">
      <formula1 xml:space="preserve"> IF($A$29, ASUTP_DCAP, EMPTY_list)</formula1>
    </dataValidation>
    <dataValidation type="list" allowBlank="1" showInputMessage="1" showErrorMessage="1" sqref="C30" xr:uid="{00000000-0002-0000-0200-000016000000}">
      <formula1 xml:space="preserve"> IF($A$30, ASUTP_CONFIG, EMPTY_list)</formula1>
    </dataValidation>
    <dataValidation type="list" allowBlank="1" showInputMessage="1" showErrorMessage="1" sqref="C31" xr:uid="{00000000-0002-0000-0200-000017000000}">
      <formula1 xml:space="preserve"> IF($A$31, ASUTP_NTA, EMPTY_list)</formula1>
    </dataValidation>
    <dataValidation type="list" allowBlank="1" showInputMessage="1" showErrorMessage="1" sqref="C32" xr:uid="{00000000-0002-0000-0200-000018000000}">
      <formula1 xml:space="preserve"> IF($A$32, ASUTP_SEG, EMPTY_list)</formula1>
    </dataValidation>
    <dataValidation type="list" allowBlank="1" showInputMessage="1" showErrorMessage="1" sqref="C33" xr:uid="{00000000-0002-0000-0200-000019000000}">
      <formula1 xml:space="preserve"> IF($A$33, ASUTP_APT, EMPTY_list)</formula1>
    </dataValidation>
    <dataValidation type="list" allowBlank="1" showInputMessage="1" showErrorMessage="1" sqref="C34" xr:uid="{00000000-0002-0000-0200-00001A000000}">
      <formula1 xml:space="preserve"> IF($A$34, ASUTP_NAC, EMPTY_list)</formula1>
    </dataValidation>
    <dataValidation type="list" allowBlank="1" showInputMessage="1" showErrorMessage="1" sqref="C35" xr:uid="{00000000-0002-0000-0200-00001B000000}">
      <formula1 xml:space="preserve"> IF($A$35, ASUTP_SANDBOX, EMPTY_list)</formula1>
    </dataValidation>
    <dataValidation type="list" allowBlank="1" showInputMessage="1" showErrorMessage="1" sqref="C36" xr:uid="{00000000-0002-0000-0200-00001C000000}">
      <formula1 xml:space="preserve"> IF($A$36, ASUTP_EDR, EMPTY_list)</formula1>
    </dataValidation>
    <dataValidation type="list" allowBlank="1" showInputMessage="1" showErrorMessage="1" sqref="C37" xr:uid="{00000000-0002-0000-0200-00001D000000}">
      <formula1 xml:space="preserve"> IF($A$37, ASUTP_WAF, EMPTY_list)</formula1>
    </dataValidation>
    <dataValidation type="list" allowBlank="1" showInputMessage="1" showErrorMessage="1" sqref="C38" xr:uid="{00000000-0002-0000-0200-00001E000000}">
      <formula1 xml:space="preserve"> IF($A$38, VM_ZSV, EMPTY_list)</formula1>
    </dataValidation>
    <dataValidation type="list" allowBlank="1" showInputMessage="1" showErrorMessage="1" sqref="C40" xr:uid="{00000000-0002-0000-0200-00001F000000}">
      <formula1 xml:space="preserve"> IF($A$40, VM_ASO, EMPTY_list)</formula1>
    </dataValidation>
    <dataValidation type="list" allowBlank="1" showInputMessage="1" showErrorMessage="1" sqref="C39" xr:uid="{00000000-0002-0000-0200-000020000000}">
      <formula1 xml:space="preserve"> IF($A$39, VM_SPO, EMPTY_list)</formula1>
    </dataValidation>
    <dataValidation type="list" allowBlank="1" showInputMessage="1" showErrorMessage="1" sqref="C19" xr:uid="{00000000-0002-0000-0200-000021000000}">
      <formula1 xml:space="preserve"> IF($A$19, ASUTP_NSD, EMPTY_list)</formula1>
    </dataValidation>
  </dataValidations>
  <pageMargins left="0.7" right="0.7" top="0.75" bottom="0.75" header="0.3" footer="0.3"/>
  <pageSetup paperSize="9" orientation="portrait" r:id="rId5"/>
  <ignoredErrors>
    <ignoredError sqref="D37 D18 F18 D22 D21 F21 H21 H18 D13 D12 D25 D34 F28 D27 F26 D15 D14 F14 H14 F27 H27 H28 D29 F29 H29 F30 H30 D31 F31 H31 D32 F32 H32 D33 F33 H33 D36 D35 F35 H35 F34 H34 F36 H36 F37 H37 F12 H12 F13 H13 D17 D16 F16 H16 F15 H15 F17 H17 F22 H22 D24 F24 H24 F25 H25 H26" evalError="1"/>
  </ignoredErrors>
  <drawing r:id="rId6"/>
  <legacyDrawing r:id="rId7"/>
  <controls>
    <mc:AlternateContent xmlns:mc="http://schemas.openxmlformats.org/markup-compatibility/2006">
      <mc:Choice Requires="x14">
        <control shapeId="11449" r:id="rId8" name="OP_Komandirovki_1">
          <controlPr defaultSize="0" autoLine="0" r:id="rId9">
            <anchor moveWithCells="1">
              <from>
                <xdr:col>0</xdr:col>
                <xdr:colOff>228600</xdr:colOff>
                <xdr:row>91</xdr:row>
                <xdr:rowOff>9525</xdr:rowOff>
              </from>
              <to>
                <xdr:col>0</xdr:col>
                <xdr:colOff>371475</xdr:colOff>
                <xdr:row>91</xdr:row>
                <xdr:rowOff>152400</xdr:rowOff>
              </to>
            </anchor>
          </controlPr>
        </control>
      </mc:Choice>
      <mc:Fallback>
        <control shapeId="11449" r:id="rId8" name="OP_Komandirovki_1"/>
      </mc:Fallback>
    </mc:AlternateContent>
    <mc:AlternateContent xmlns:mc="http://schemas.openxmlformats.org/markup-compatibility/2006">
      <mc:Choice Requires="x14">
        <control shapeId="11453" r:id="rId10" name="OP_Komandirovki_2">
          <controlPr defaultSize="0" autoLine="0" r:id="rId11">
            <anchor moveWithCells="1">
              <from>
                <xdr:col>0</xdr:col>
                <xdr:colOff>228600</xdr:colOff>
                <xdr:row>92</xdr:row>
                <xdr:rowOff>28575</xdr:rowOff>
              </from>
              <to>
                <xdr:col>0</xdr:col>
                <xdr:colOff>371475</xdr:colOff>
                <xdr:row>92</xdr:row>
                <xdr:rowOff>171450</xdr:rowOff>
              </to>
            </anchor>
          </controlPr>
        </control>
      </mc:Choice>
      <mc:Fallback>
        <control shapeId="11453" r:id="rId10" name="OP_Komandirovki_2"/>
      </mc:Fallback>
    </mc:AlternateContent>
    <mc:AlternateContent xmlns:mc="http://schemas.openxmlformats.org/markup-compatibility/2006">
      <mc:Choice Requires="x14">
        <control shapeId="11454" r:id="rId12" name="OP_Komandirovki_3">
          <controlPr defaultSize="0" autoLine="0" r:id="rId13">
            <anchor moveWithCells="1">
              <from>
                <xdr:col>0</xdr:col>
                <xdr:colOff>228600</xdr:colOff>
                <xdr:row>93</xdr:row>
                <xdr:rowOff>28575</xdr:rowOff>
              </from>
              <to>
                <xdr:col>0</xdr:col>
                <xdr:colOff>371475</xdr:colOff>
                <xdr:row>93</xdr:row>
                <xdr:rowOff>171450</xdr:rowOff>
              </to>
            </anchor>
          </controlPr>
        </control>
      </mc:Choice>
      <mc:Fallback>
        <control shapeId="11454" r:id="rId12" name="OP_Komandirovki_3"/>
      </mc:Fallback>
    </mc:AlternateContent>
    <mc:AlternateContent xmlns:mc="http://schemas.openxmlformats.org/markup-compatibility/2006">
      <mc:Choice Requires="x14">
        <control shapeId="11455" r:id="rId14" name="OP_Komandirovki_4">
          <controlPr defaultSize="0" autoLine="0" r:id="rId15">
            <anchor moveWithCells="1">
              <from>
                <xdr:col>0</xdr:col>
                <xdr:colOff>228600</xdr:colOff>
                <xdr:row>94</xdr:row>
                <xdr:rowOff>28575</xdr:rowOff>
              </from>
              <to>
                <xdr:col>0</xdr:col>
                <xdr:colOff>371475</xdr:colOff>
                <xdr:row>94</xdr:row>
                <xdr:rowOff>171450</xdr:rowOff>
              </to>
            </anchor>
          </controlPr>
        </control>
      </mc:Choice>
      <mc:Fallback>
        <control shapeId="11455" r:id="rId14" name="OP_Komandirovki_4"/>
      </mc:Fallback>
    </mc:AlternateContent>
    <mc:AlternateContent xmlns:mc="http://schemas.openxmlformats.org/markup-compatibility/2006">
      <mc:Choice Requires="x14">
        <control shapeId="11265" r:id="rId16" name="CheckBox1">
          <controlPr defaultSize="0" autoFill="0" autoLine="0" autoPict="0" macro="[0]!CheckBox1_Щелчок">
            <anchor moveWithCells="1">
              <from>
                <xdr:col>0</xdr:col>
                <xdr:colOff>0</xdr:colOff>
                <xdr:row>10</xdr:row>
                <xdr:rowOff>9525</xdr:rowOff>
              </from>
              <to>
                <xdr:col>0</xdr:col>
                <xdr:colOff>609600</xdr:colOff>
                <xdr:row>10</xdr:row>
                <xdr:rowOff>180975</xdr:rowOff>
              </to>
            </anchor>
          </controlPr>
        </control>
      </mc:Choice>
    </mc:AlternateContent>
    <mc:AlternateContent xmlns:mc="http://schemas.openxmlformats.org/markup-compatibility/2006">
      <mc:Choice Requires="x14">
        <control shapeId="11275" r:id="rId17" name="Check Box 11">
          <controlPr defaultSize="0" autoFill="0" autoLine="0" autoPict="0" macro="[0]!Флажок5_Щелчок">
            <anchor moveWithCells="1">
              <from>
                <xdr:col>0</xdr:col>
                <xdr:colOff>0</xdr:colOff>
                <xdr:row>13</xdr:row>
                <xdr:rowOff>190500</xdr:rowOff>
              </from>
              <to>
                <xdr:col>0</xdr:col>
                <xdr:colOff>638175</xdr:colOff>
                <xdr:row>15</xdr:row>
                <xdr:rowOff>0</xdr:rowOff>
              </to>
            </anchor>
          </controlPr>
        </control>
      </mc:Choice>
    </mc:AlternateContent>
    <mc:AlternateContent xmlns:mc="http://schemas.openxmlformats.org/markup-compatibility/2006">
      <mc:Choice Requires="x14">
        <control shapeId="11277" r:id="rId18" name="Check Box 13">
          <controlPr defaultSize="0" autoFill="0" autoLine="0" autoPict="0" macro="[0]!Флажок6_Щелчок">
            <anchor moveWithCells="1">
              <from>
                <xdr:col>0</xdr:col>
                <xdr:colOff>0</xdr:colOff>
                <xdr:row>14</xdr:row>
                <xdr:rowOff>171450</xdr:rowOff>
              </from>
              <to>
                <xdr:col>0</xdr:col>
                <xdr:colOff>638175</xdr:colOff>
                <xdr:row>15</xdr:row>
                <xdr:rowOff>180975</xdr:rowOff>
              </to>
            </anchor>
          </controlPr>
        </control>
      </mc:Choice>
    </mc:AlternateContent>
    <mc:AlternateContent xmlns:mc="http://schemas.openxmlformats.org/markup-compatibility/2006">
      <mc:Choice Requires="x14">
        <control shapeId="11279" r:id="rId19" name="Check Box 15">
          <controlPr defaultSize="0" autoFill="0" autoLine="0" autoPict="0" macro="[0]!Флажок7_Щелчок">
            <anchor moveWithCells="1">
              <from>
                <xdr:col>0</xdr:col>
                <xdr:colOff>0</xdr:colOff>
                <xdr:row>16</xdr:row>
                <xdr:rowOff>0</xdr:rowOff>
              </from>
              <to>
                <xdr:col>0</xdr:col>
                <xdr:colOff>638175</xdr:colOff>
                <xdr:row>17</xdr:row>
                <xdr:rowOff>0</xdr:rowOff>
              </to>
            </anchor>
          </controlPr>
        </control>
      </mc:Choice>
    </mc:AlternateContent>
    <mc:AlternateContent xmlns:mc="http://schemas.openxmlformats.org/markup-compatibility/2006">
      <mc:Choice Requires="x14">
        <control shapeId="11280" r:id="rId20" name="Check Box 16">
          <controlPr defaultSize="0" autoFill="0" autoLine="0" autoPict="0" macro="[0]!Флажок8_Щелчок">
            <anchor moveWithCells="1">
              <from>
                <xdr:col>0</xdr:col>
                <xdr:colOff>0</xdr:colOff>
                <xdr:row>17</xdr:row>
                <xdr:rowOff>0</xdr:rowOff>
              </from>
              <to>
                <xdr:col>0</xdr:col>
                <xdr:colOff>638175</xdr:colOff>
                <xdr:row>18</xdr:row>
                <xdr:rowOff>0</xdr:rowOff>
              </to>
            </anchor>
          </controlPr>
        </control>
      </mc:Choice>
    </mc:AlternateContent>
    <mc:AlternateContent xmlns:mc="http://schemas.openxmlformats.org/markup-compatibility/2006">
      <mc:Choice Requires="x14">
        <control shapeId="11299" r:id="rId21" name="Check Box 35">
          <controlPr defaultSize="0" autoFill="0" autoLine="0" autoPict="0" macro="[0]!Флажок35_Щелчок">
            <anchor moveWithCells="1">
              <from>
                <xdr:col>0</xdr:col>
                <xdr:colOff>0</xdr:colOff>
                <xdr:row>19</xdr:row>
                <xdr:rowOff>0</xdr:rowOff>
              </from>
              <to>
                <xdr:col>0</xdr:col>
                <xdr:colOff>638175</xdr:colOff>
                <xdr:row>20</xdr:row>
                <xdr:rowOff>0</xdr:rowOff>
              </to>
            </anchor>
          </controlPr>
        </control>
      </mc:Choice>
    </mc:AlternateContent>
    <mc:AlternateContent xmlns:mc="http://schemas.openxmlformats.org/markup-compatibility/2006">
      <mc:Choice Requires="x14">
        <control shapeId="11300" r:id="rId22" name="Check Box 36">
          <controlPr defaultSize="0" autoFill="0" autoLine="0" autoPict="0" macro="[0]!Флажок10_Щелчок" altText="MFA">
            <anchor moveWithCells="1">
              <from>
                <xdr:col>0</xdr:col>
                <xdr:colOff>0</xdr:colOff>
                <xdr:row>19</xdr:row>
                <xdr:rowOff>190500</xdr:rowOff>
              </from>
              <to>
                <xdr:col>0</xdr:col>
                <xdr:colOff>638175</xdr:colOff>
                <xdr:row>20</xdr:row>
                <xdr:rowOff>180975</xdr:rowOff>
              </to>
            </anchor>
          </controlPr>
        </control>
      </mc:Choice>
    </mc:AlternateContent>
    <mc:AlternateContent xmlns:mc="http://schemas.openxmlformats.org/markup-compatibility/2006">
      <mc:Choice Requires="x14">
        <control shapeId="11301" r:id="rId23" name="Check Box 37">
          <controlPr defaultSize="0" autoFill="0" autoLine="0" autoPict="0" macro="[0]!Флажок11_Щелчок" altText="ДИОД">
            <anchor moveWithCells="1">
              <from>
                <xdr:col>0</xdr:col>
                <xdr:colOff>0</xdr:colOff>
                <xdr:row>21</xdr:row>
                <xdr:rowOff>0</xdr:rowOff>
              </from>
              <to>
                <xdr:col>0</xdr:col>
                <xdr:colOff>638175</xdr:colOff>
                <xdr:row>22</xdr:row>
                <xdr:rowOff>0</xdr:rowOff>
              </to>
            </anchor>
          </controlPr>
        </control>
      </mc:Choice>
    </mc:AlternateContent>
    <mc:AlternateContent xmlns:mc="http://schemas.openxmlformats.org/markup-compatibility/2006">
      <mc:Choice Requires="x14">
        <control shapeId="11307" r:id="rId24" name="Check Box 43">
          <controlPr defaultSize="0" autoFill="0" autoLine="0" autoPict="0" macro="[0]!Флажок12_Щелчок">
            <anchor moveWithCells="1">
              <from>
                <xdr:col>0</xdr:col>
                <xdr:colOff>0</xdr:colOff>
                <xdr:row>22</xdr:row>
                <xdr:rowOff>0</xdr:rowOff>
              </from>
              <to>
                <xdr:col>0</xdr:col>
                <xdr:colOff>638175</xdr:colOff>
                <xdr:row>23</xdr:row>
                <xdr:rowOff>0</xdr:rowOff>
              </to>
            </anchor>
          </controlPr>
        </control>
      </mc:Choice>
    </mc:AlternateContent>
    <mc:AlternateContent xmlns:mc="http://schemas.openxmlformats.org/markup-compatibility/2006">
      <mc:Choice Requires="x14">
        <control shapeId="11315" r:id="rId25" name="CheckBox5">
          <controlPr defaultSize="0" autoFill="0" autoLine="0" autoPict="0" macro="[0]!CheckBox3_Щелчок">
            <anchor moveWithCells="1">
              <from>
                <xdr:col>0</xdr:col>
                <xdr:colOff>0</xdr:colOff>
                <xdr:row>11</xdr:row>
                <xdr:rowOff>180975</xdr:rowOff>
              </from>
              <to>
                <xdr:col>0</xdr:col>
                <xdr:colOff>628650</xdr:colOff>
                <xdr:row>12</xdr:row>
                <xdr:rowOff>180975</xdr:rowOff>
              </to>
            </anchor>
          </controlPr>
        </control>
      </mc:Choice>
    </mc:AlternateContent>
    <mc:AlternateContent xmlns:mc="http://schemas.openxmlformats.org/markup-compatibility/2006">
      <mc:Choice Requires="x14">
        <control shapeId="11316" r:id="rId26" name="Check Box 52">
          <controlPr defaultSize="0" autoFill="0" autoLine="0" autoPict="0" macro="[0]!Флажок4_Щелчок">
            <anchor moveWithCells="1">
              <from>
                <xdr:col>0</xdr:col>
                <xdr:colOff>0</xdr:colOff>
                <xdr:row>12</xdr:row>
                <xdr:rowOff>180975</xdr:rowOff>
              </from>
              <to>
                <xdr:col>0</xdr:col>
                <xdr:colOff>638175</xdr:colOff>
                <xdr:row>13</xdr:row>
                <xdr:rowOff>180975</xdr:rowOff>
              </to>
            </anchor>
          </controlPr>
        </control>
      </mc:Choice>
    </mc:AlternateContent>
    <mc:AlternateContent xmlns:mc="http://schemas.openxmlformats.org/markup-compatibility/2006">
      <mc:Choice Requires="x14">
        <control shapeId="11339" r:id="rId27" name="Drop Down 75">
          <controlPr defaultSize="0" autoLine="0" autoPict="0" macro="[0]!Раскрсписок47_Изменение">
            <anchor moveWithCells="1">
              <from>
                <xdr:col>2</xdr:col>
                <xdr:colOff>19050</xdr:colOff>
                <xdr:row>1</xdr:row>
                <xdr:rowOff>19050</xdr:rowOff>
              </from>
              <to>
                <xdr:col>2</xdr:col>
                <xdr:colOff>1057275</xdr:colOff>
                <xdr:row>1</xdr:row>
                <xdr:rowOff>190500</xdr:rowOff>
              </to>
            </anchor>
          </controlPr>
        </control>
      </mc:Choice>
    </mc:AlternateContent>
    <mc:AlternateContent xmlns:mc="http://schemas.openxmlformats.org/markup-compatibility/2006">
      <mc:Choice Requires="x14">
        <control shapeId="11340" r:id="rId28" name="Drop Down 76">
          <controlPr defaultSize="0" autoLine="0" autoPict="0" macro="[0]!CheckDropdownValues">
            <anchor moveWithCells="1">
              <from>
                <xdr:col>2</xdr:col>
                <xdr:colOff>19050</xdr:colOff>
                <xdr:row>4</xdr:row>
                <xdr:rowOff>19050</xdr:rowOff>
              </from>
              <to>
                <xdr:col>2</xdr:col>
                <xdr:colOff>1057275</xdr:colOff>
                <xdr:row>4</xdr:row>
                <xdr:rowOff>190500</xdr:rowOff>
              </to>
            </anchor>
          </controlPr>
        </control>
      </mc:Choice>
    </mc:AlternateContent>
    <mc:AlternateContent xmlns:mc="http://schemas.openxmlformats.org/markup-compatibility/2006">
      <mc:Choice Requires="x14">
        <control shapeId="11345" r:id="rId29" name="Drop Down 81">
          <controlPr defaultSize="0" autoLine="0" autoPict="0" macro="[0]!CheckDropdownValues">
            <anchor moveWithCells="1">
              <from>
                <xdr:col>2</xdr:col>
                <xdr:colOff>19050</xdr:colOff>
                <xdr:row>3</xdr:row>
                <xdr:rowOff>19050</xdr:rowOff>
              </from>
              <to>
                <xdr:col>2</xdr:col>
                <xdr:colOff>1057275</xdr:colOff>
                <xdr:row>3</xdr:row>
                <xdr:rowOff>190500</xdr:rowOff>
              </to>
            </anchor>
          </controlPr>
        </control>
      </mc:Choice>
    </mc:AlternateContent>
    <mc:AlternateContent xmlns:mc="http://schemas.openxmlformats.org/markup-compatibility/2006">
      <mc:Choice Requires="x14">
        <control shapeId="11347" r:id="rId30" name="Drop Down 83">
          <controlPr defaultSize="0" autoLine="0" autoPict="0" macro="[0]!CheckDropdownValues">
            <anchor moveWithCells="1">
              <from>
                <xdr:col>2</xdr:col>
                <xdr:colOff>19050</xdr:colOff>
                <xdr:row>2</xdr:row>
                <xdr:rowOff>19050</xdr:rowOff>
              </from>
              <to>
                <xdr:col>2</xdr:col>
                <xdr:colOff>1057275</xdr:colOff>
                <xdr:row>3</xdr:row>
                <xdr:rowOff>0</xdr:rowOff>
              </to>
            </anchor>
          </controlPr>
        </control>
      </mc:Choice>
    </mc:AlternateContent>
    <mc:AlternateContent xmlns:mc="http://schemas.openxmlformats.org/markup-compatibility/2006">
      <mc:Choice Requires="x14">
        <control shapeId="11355" r:id="rId31" name="Check Box 91">
          <controlPr defaultSize="0" autoFill="0" autoLine="0" autoPict="0" macro="[0]!Флажок13_Щелчок">
            <anchor moveWithCells="1">
              <from>
                <xdr:col>0</xdr:col>
                <xdr:colOff>0</xdr:colOff>
                <xdr:row>23</xdr:row>
                <xdr:rowOff>0</xdr:rowOff>
              </from>
              <to>
                <xdr:col>0</xdr:col>
                <xdr:colOff>638175</xdr:colOff>
                <xdr:row>24</xdr:row>
                <xdr:rowOff>0</xdr:rowOff>
              </to>
            </anchor>
          </controlPr>
        </control>
      </mc:Choice>
    </mc:AlternateContent>
    <mc:AlternateContent xmlns:mc="http://schemas.openxmlformats.org/markup-compatibility/2006">
      <mc:Choice Requires="x14">
        <control shapeId="11356" r:id="rId32" name="Check Box 92">
          <controlPr defaultSize="0" autoFill="0" autoLine="0" autoPict="0" macro="[0]!Флажок14_Щелчок" altText="VDI">
            <anchor moveWithCells="1">
              <from>
                <xdr:col>0</xdr:col>
                <xdr:colOff>0</xdr:colOff>
                <xdr:row>24</xdr:row>
                <xdr:rowOff>0</xdr:rowOff>
              </from>
              <to>
                <xdr:col>0</xdr:col>
                <xdr:colOff>638175</xdr:colOff>
                <xdr:row>25</xdr:row>
                <xdr:rowOff>0</xdr:rowOff>
              </to>
            </anchor>
          </controlPr>
        </control>
      </mc:Choice>
    </mc:AlternateContent>
    <mc:AlternateContent xmlns:mc="http://schemas.openxmlformats.org/markup-compatibility/2006">
      <mc:Choice Requires="x14">
        <control shapeId="11357" r:id="rId33" name="Check Box 93">
          <controlPr defaultSize="0" autoFill="0" autoLine="0" autoPict="0" macro="[0]!Флажок15_Щелчок">
            <anchor moveWithCells="1">
              <from>
                <xdr:col>0</xdr:col>
                <xdr:colOff>0</xdr:colOff>
                <xdr:row>25</xdr:row>
                <xdr:rowOff>0</xdr:rowOff>
              </from>
              <to>
                <xdr:col>0</xdr:col>
                <xdr:colOff>638175</xdr:colOff>
                <xdr:row>26</xdr:row>
                <xdr:rowOff>0</xdr:rowOff>
              </to>
            </anchor>
          </controlPr>
        </control>
      </mc:Choice>
    </mc:AlternateContent>
    <mc:AlternateContent xmlns:mc="http://schemas.openxmlformats.org/markup-compatibility/2006">
      <mc:Choice Requires="x14">
        <control shapeId="11358" r:id="rId34" name="Check Box 94">
          <controlPr defaultSize="0" autoFill="0" autoLine="0" autoPict="0" macro="[0]!Флажок16_Щелчок">
            <anchor moveWithCells="1">
              <from>
                <xdr:col>0</xdr:col>
                <xdr:colOff>0</xdr:colOff>
                <xdr:row>26</xdr:row>
                <xdr:rowOff>0</xdr:rowOff>
              </from>
              <to>
                <xdr:col>0</xdr:col>
                <xdr:colOff>638175</xdr:colOff>
                <xdr:row>27</xdr:row>
                <xdr:rowOff>0</xdr:rowOff>
              </to>
            </anchor>
          </controlPr>
        </control>
      </mc:Choice>
    </mc:AlternateContent>
    <mc:AlternateContent xmlns:mc="http://schemas.openxmlformats.org/markup-compatibility/2006">
      <mc:Choice Requires="x14">
        <control shapeId="11359" r:id="rId35" name="Check Box 95">
          <controlPr defaultSize="0" autoFill="0" autoLine="0" autoPict="0" macro="[0]!Флажок17_Щелчок">
            <anchor moveWithCells="1">
              <from>
                <xdr:col>0</xdr:col>
                <xdr:colOff>0</xdr:colOff>
                <xdr:row>27</xdr:row>
                <xdr:rowOff>0</xdr:rowOff>
              </from>
              <to>
                <xdr:col>0</xdr:col>
                <xdr:colOff>638175</xdr:colOff>
                <xdr:row>28</xdr:row>
                <xdr:rowOff>0</xdr:rowOff>
              </to>
            </anchor>
          </controlPr>
        </control>
      </mc:Choice>
    </mc:AlternateContent>
    <mc:AlternateContent xmlns:mc="http://schemas.openxmlformats.org/markup-compatibility/2006">
      <mc:Choice Requires="x14">
        <control shapeId="11360" r:id="rId36" name="Check Box 96">
          <controlPr defaultSize="0" autoFill="0" autoLine="0" autoPict="0" macro="[0]!Флажок18_Щелчок">
            <anchor moveWithCells="1">
              <from>
                <xdr:col>0</xdr:col>
                <xdr:colOff>0</xdr:colOff>
                <xdr:row>28</xdr:row>
                <xdr:rowOff>0</xdr:rowOff>
              </from>
              <to>
                <xdr:col>0</xdr:col>
                <xdr:colOff>638175</xdr:colOff>
                <xdr:row>29</xdr:row>
                <xdr:rowOff>0</xdr:rowOff>
              </to>
            </anchor>
          </controlPr>
        </control>
      </mc:Choice>
    </mc:AlternateContent>
    <mc:AlternateContent xmlns:mc="http://schemas.openxmlformats.org/markup-compatibility/2006">
      <mc:Choice Requires="x14">
        <control shapeId="11361" r:id="rId37" name="Check Box 97">
          <controlPr defaultSize="0" autoFill="0" autoLine="0" autoPict="0" macro="[0]!Флажок19_Щелчок">
            <anchor moveWithCells="1">
              <from>
                <xdr:col>0</xdr:col>
                <xdr:colOff>0</xdr:colOff>
                <xdr:row>29</xdr:row>
                <xdr:rowOff>0</xdr:rowOff>
              </from>
              <to>
                <xdr:col>0</xdr:col>
                <xdr:colOff>638175</xdr:colOff>
                <xdr:row>30</xdr:row>
                <xdr:rowOff>0</xdr:rowOff>
              </to>
            </anchor>
          </controlPr>
        </control>
      </mc:Choice>
    </mc:AlternateContent>
    <mc:AlternateContent xmlns:mc="http://schemas.openxmlformats.org/markup-compatibility/2006">
      <mc:Choice Requires="x14">
        <control shapeId="11362" r:id="rId38" name="Check Box 98">
          <controlPr defaultSize="0" autoFill="0" autoLine="0" autoPict="0" macro="[0]!Флажок20_Щелчок">
            <anchor moveWithCells="1">
              <from>
                <xdr:col>0</xdr:col>
                <xdr:colOff>0</xdr:colOff>
                <xdr:row>30</xdr:row>
                <xdr:rowOff>0</xdr:rowOff>
              </from>
              <to>
                <xdr:col>0</xdr:col>
                <xdr:colOff>638175</xdr:colOff>
                <xdr:row>31</xdr:row>
                <xdr:rowOff>0</xdr:rowOff>
              </to>
            </anchor>
          </controlPr>
        </control>
      </mc:Choice>
    </mc:AlternateContent>
    <mc:AlternateContent xmlns:mc="http://schemas.openxmlformats.org/markup-compatibility/2006">
      <mc:Choice Requires="x14">
        <control shapeId="11364" r:id="rId39" name="Check Box 100">
          <controlPr defaultSize="0" autoFill="0" autoLine="0" autoPict="0" macro="[0]!Флажок21_Щелчок">
            <anchor moveWithCells="1">
              <from>
                <xdr:col>0</xdr:col>
                <xdr:colOff>0</xdr:colOff>
                <xdr:row>31</xdr:row>
                <xdr:rowOff>0</xdr:rowOff>
              </from>
              <to>
                <xdr:col>0</xdr:col>
                <xdr:colOff>638175</xdr:colOff>
                <xdr:row>32</xdr:row>
                <xdr:rowOff>0</xdr:rowOff>
              </to>
            </anchor>
          </controlPr>
        </control>
      </mc:Choice>
    </mc:AlternateContent>
    <mc:AlternateContent xmlns:mc="http://schemas.openxmlformats.org/markup-compatibility/2006">
      <mc:Choice Requires="x14">
        <control shapeId="11365" r:id="rId40" name="Check Box 101">
          <controlPr defaultSize="0" autoFill="0" autoLine="0" autoPict="0" macro="[0]!Флажок22_Щелчок">
            <anchor moveWithCells="1">
              <from>
                <xdr:col>0</xdr:col>
                <xdr:colOff>0</xdr:colOff>
                <xdr:row>32</xdr:row>
                <xdr:rowOff>0</xdr:rowOff>
              </from>
              <to>
                <xdr:col>0</xdr:col>
                <xdr:colOff>638175</xdr:colOff>
                <xdr:row>33</xdr:row>
                <xdr:rowOff>0</xdr:rowOff>
              </to>
            </anchor>
          </controlPr>
        </control>
      </mc:Choice>
    </mc:AlternateContent>
    <mc:AlternateContent xmlns:mc="http://schemas.openxmlformats.org/markup-compatibility/2006">
      <mc:Choice Requires="x14">
        <control shapeId="11366" r:id="rId41" name="Check Box 102">
          <controlPr defaultSize="0" autoFill="0" autoLine="0" autoPict="0" macro="[0]!Флажок23_Щелчок">
            <anchor moveWithCells="1">
              <from>
                <xdr:col>0</xdr:col>
                <xdr:colOff>0</xdr:colOff>
                <xdr:row>33</xdr:row>
                <xdr:rowOff>0</xdr:rowOff>
              </from>
              <to>
                <xdr:col>0</xdr:col>
                <xdr:colOff>638175</xdr:colOff>
                <xdr:row>34</xdr:row>
                <xdr:rowOff>0</xdr:rowOff>
              </to>
            </anchor>
          </controlPr>
        </control>
      </mc:Choice>
    </mc:AlternateContent>
    <mc:AlternateContent xmlns:mc="http://schemas.openxmlformats.org/markup-compatibility/2006">
      <mc:Choice Requires="x14">
        <control shapeId="11367" r:id="rId42" name="Check Box 103">
          <controlPr defaultSize="0" autoFill="0" autoLine="0" autoPict="0" macro="[0]!Флажок24_Щелчок">
            <anchor moveWithCells="1">
              <from>
                <xdr:col>0</xdr:col>
                <xdr:colOff>0</xdr:colOff>
                <xdr:row>34</xdr:row>
                <xdr:rowOff>0</xdr:rowOff>
              </from>
              <to>
                <xdr:col>0</xdr:col>
                <xdr:colOff>638175</xdr:colOff>
                <xdr:row>35</xdr:row>
                <xdr:rowOff>0</xdr:rowOff>
              </to>
            </anchor>
          </controlPr>
        </control>
      </mc:Choice>
    </mc:AlternateContent>
    <mc:AlternateContent xmlns:mc="http://schemas.openxmlformats.org/markup-compatibility/2006">
      <mc:Choice Requires="x14">
        <control shapeId="11368" r:id="rId43" name="Check Box 104">
          <controlPr defaultSize="0" autoFill="0" autoLine="0" autoPict="0" macro="[0]!Флажок25_Щелчок">
            <anchor moveWithCells="1">
              <from>
                <xdr:col>0</xdr:col>
                <xdr:colOff>0</xdr:colOff>
                <xdr:row>35</xdr:row>
                <xdr:rowOff>0</xdr:rowOff>
              </from>
              <to>
                <xdr:col>0</xdr:col>
                <xdr:colOff>638175</xdr:colOff>
                <xdr:row>36</xdr:row>
                <xdr:rowOff>0</xdr:rowOff>
              </to>
            </anchor>
          </controlPr>
        </control>
      </mc:Choice>
    </mc:AlternateContent>
    <mc:AlternateContent xmlns:mc="http://schemas.openxmlformats.org/markup-compatibility/2006">
      <mc:Choice Requires="x14">
        <control shapeId="11372" r:id="rId44" name="Check Box 108">
          <controlPr defaultSize="0" autoFill="0" autoLine="0" autoPict="0" macro="[0]!Флажок26_Щелчок" altText="WAF">
            <anchor moveWithCells="1">
              <from>
                <xdr:col>0</xdr:col>
                <xdr:colOff>0</xdr:colOff>
                <xdr:row>36</xdr:row>
                <xdr:rowOff>0</xdr:rowOff>
              </from>
              <to>
                <xdr:col>0</xdr:col>
                <xdr:colOff>638175</xdr:colOff>
                <xdr:row>37</xdr:row>
                <xdr:rowOff>0</xdr:rowOff>
              </to>
            </anchor>
          </controlPr>
        </control>
      </mc:Choice>
    </mc:AlternateContent>
    <mc:AlternateContent xmlns:mc="http://schemas.openxmlformats.org/markup-compatibility/2006">
      <mc:Choice Requires="x14">
        <control shapeId="11375" r:id="rId45" name="Check Box 111">
          <controlPr defaultSize="0" autoFill="0" autoLine="0" autoPict="0" macro="[0]!Флажок27_Щелчок" altText="ВМ ЗСВ">
            <anchor moveWithCells="1">
              <from>
                <xdr:col>0</xdr:col>
                <xdr:colOff>0</xdr:colOff>
                <xdr:row>37</xdr:row>
                <xdr:rowOff>0</xdr:rowOff>
              </from>
              <to>
                <xdr:col>0</xdr:col>
                <xdr:colOff>638175</xdr:colOff>
                <xdr:row>38</xdr:row>
                <xdr:rowOff>0</xdr:rowOff>
              </to>
            </anchor>
          </controlPr>
        </control>
      </mc:Choice>
    </mc:AlternateContent>
    <mc:AlternateContent xmlns:mc="http://schemas.openxmlformats.org/markup-compatibility/2006">
      <mc:Choice Requires="x14">
        <control shapeId="11376" r:id="rId46" name="Check Box 112">
          <controlPr defaultSize="0" autoFill="0" autoLine="0" autoPict="0" macro="[0]!Флажок28_Щелчок" altText="ВМ СПО">
            <anchor moveWithCells="1">
              <from>
                <xdr:col>0</xdr:col>
                <xdr:colOff>0</xdr:colOff>
                <xdr:row>37</xdr:row>
                <xdr:rowOff>180975</xdr:rowOff>
              </from>
              <to>
                <xdr:col>0</xdr:col>
                <xdr:colOff>638175</xdr:colOff>
                <xdr:row>39</xdr:row>
                <xdr:rowOff>0</xdr:rowOff>
              </to>
            </anchor>
          </controlPr>
        </control>
      </mc:Choice>
    </mc:AlternateContent>
    <mc:AlternateContent xmlns:mc="http://schemas.openxmlformats.org/markup-compatibility/2006">
      <mc:Choice Requires="x14">
        <control shapeId="11377" r:id="rId47" name="Check Box 113">
          <controlPr defaultSize="0" autoFill="0" autoLine="0" autoPict="0" macro="[0]!Флажок29_Щелчок" altText="ВМ АСО">
            <anchor moveWithCells="1">
              <from>
                <xdr:col>0</xdr:col>
                <xdr:colOff>0</xdr:colOff>
                <xdr:row>39</xdr:row>
                <xdr:rowOff>0</xdr:rowOff>
              </from>
              <to>
                <xdr:col>0</xdr:col>
                <xdr:colOff>638175</xdr:colOff>
                <xdr:row>40</xdr:row>
                <xdr:rowOff>9525</xdr:rowOff>
              </to>
            </anchor>
          </controlPr>
        </control>
      </mc:Choice>
    </mc:AlternateContent>
    <mc:AlternateContent xmlns:mc="http://schemas.openxmlformats.org/markup-compatibility/2006">
      <mc:Choice Requires="x14">
        <control shapeId="11385" r:id="rId48" name="Button 121">
          <controlPr defaultSize="0" print="0" autoFill="0" autoPict="0" macro="[0]!Кнопка121__Щелчок">
            <anchor moveWithCells="1" sizeWithCells="1">
              <from>
                <xdr:col>0</xdr:col>
                <xdr:colOff>28575</xdr:colOff>
                <xdr:row>0</xdr:row>
                <xdr:rowOff>66675</xdr:rowOff>
              </from>
              <to>
                <xdr:col>0</xdr:col>
                <xdr:colOff>609600</xdr:colOff>
                <xdr:row>5</xdr:row>
                <xdr:rowOff>171450</xdr:rowOff>
              </to>
            </anchor>
          </controlPr>
        </control>
      </mc:Choice>
    </mc:AlternateContent>
    <mc:AlternateContent xmlns:mc="http://schemas.openxmlformats.org/markup-compatibility/2006">
      <mc:Choice Requires="x14">
        <control shapeId="11390" r:id="rId49" name="CheckBox2">
          <controlPr defaultSize="0" autoFill="0" autoLine="0" autoPict="0" macro="[0]!CheckBox2_Щелчок">
            <anchor moveWithCells="1">
              <from>
                <xdr:col>0</xdr:col>
                <xdr:colOff>0</xdr:colOff>
                <xdr:row>10</xdr:row>
                <xdr:rowOff>171450</xdr:rowOff>
              </from>
              <to>
                <xdr:col>0</xdr:col>
                <xdr:colOff>581025</xdr:colOff>
                <xdr:row>11</xdr:row>
                <xdr:rowOff>152400</xdr:rowOff>
              </to>
            </anchor>
          </controlPr>
        </control>
      </mc:Choice>
    </mc:AlternateContent>
    <mc:AlternateContent xmlns:mc="http://schemas.openxmlformats.org/markup-compatibility/2006">
      <mc:Choice Requires="x14">
        <control shapeId="11427" r:id="rId50" name="Drop Down 163">
          <controlPr defaultSize="0" autoLine="0" autoPict="0" macro="[0]!GetDropDownValue">
            <anchor moveWithCells="1">
              <from>
                <xdr:col>3</xdr:col>
                <xdr:colOff>1162050</xdr:colOff>
                <xdr:row>1</xdr:row>
                <xdr:rowOff>28575</xdr:rowOff>
              </from>
              <to>
                <xdr:col>3</xdr:col>
                <xdr:colOff>2200275</xdr:colOff>
                <xdr:row>2</xdr:row>
                <xdr:rowOff>0</xdr:rowOff>
              </to>
            </anchor>
          </controlPr>
        </control>
      </mc:Choice>
    </mc:AlternateContent>
    <mc:AlternateContent xmlns:mc="http://schemas.openxmlformats.org/markup-compatibility/2006">
      <mc:Choice Requires="x14">
        <control shapeId="11437" r:id="rId51" name="Drop Down 173">
          <controlPr defaultSize="0" autoLine="0" autoPict="0" macro="[0]!Set_Protection_of_means_GIS">
            <anchor moveWithCells="1">
              <from>
                <xdr:col>3</xdr:col>
                <xdr:colOff>1162050</xdr:colOff>
                <xdr:row>2</xdr:row>
                <xdr:rowOff>19050</xdr:rowOff>
              </from>
              <to>
                <xdr:col>3</xdr:col>
                <xdr:colOff>2200275</xdr:colOff>
                <xdr:row>3</xdr:row>
                <xdr:rowOff>0</xdr:rowOff>
              </to>
            </anchor>
          </controlPr>
        </control>
      </mc:Choice>
    </mc:AlternateContent>
    <mc:AlternateContent xmlns:mc="http://schemas.openxmlformats.org/markup-compatibility/2006">
      <mc:Choice Requires="x14">
        <control shapeId="11438" r:id="rId52" name="Drop Down 174">
          <controlPr defaultSize="0" autoLine="0" autoPict="0" macro="[0]!Set_Protection_of_means_KII">
            <anchor moveWithCells="1">
              <from>
                <xdr:col>3</xdr:col>
                <xdr:colOff>1162050</xdr:colOff>
                <xdr:row>4</xdr:row>
                <xdr:rowOff>47625</xdr:rowOff>
              </from>
              <to>
                <xdr:col>3</xdr:col>
                <xdr:colOff>2200275</xdr:colOff>
                <xdr:row>5</xdr:row>
                <xdr:rowOff>0</xdr:rowOff>
              </to>
            </anchor>
          </controlPr>
        </control>
      </mc:Choice>
    </mc:AlternateContent>
    <mc:AlternateContent xmlns:mc="http://schemas.openxmlformats.org/markup-compatibility/2006">
      <mc:Choice Requires="x14">
        <control shapeId="11439" r:id="rId53" name="Drop Down 175">
          <controlPr defaultSize="0" autoLine="0" autoPict="0" macro="[0]!Set_Protection_of_means_ISPDN">
            <anchor moveWithCells="1">
              <from>
                <xdr:col>3</xdr:col>
                <xdr:colOff>1162050</xdr:colOff>
                <xdr:row>3</xdr:row>
                <xdr:rowOff>28575</xdr:rowOff>
              </from>
              <to>
                <xdr:col>3</xdr:col>
                <xdr:colOff>2200275</xdr:colOff>
                <xdr:row>4</xdr:row>
                <xdr:rowOff>0</xdr:rowOff>
              </to>
            </anchor>
          </controlPr>
        </control>
      </mc:Choice>
    </mc:AlternateContent>
    <mc:AlternateContent xmlns:mc="http://schemas.openxmlformats.org/markup-compatibility/2006">
      <mc:Choice Requires="x14">
        <control shapeId="11440" r:id="rId54" name="Check Box 176">
          <controlPr defaultSize="0" autoFill="0" autoLine="0" autoPict="0" macro="[0]!Флажок9_Щелчок">
            <anchor moveWithCells="1">
              <from>
                <xdr:col>0</xdr:col>
                <xdr:colOff>0</xdr:colOff>
                <xdr:row>18</xdr:row>
                <xdr:rowOff>0</xdr:rowOff>
              </from>
              <to>
                <xdr:col>0</xdr:col>
                <xdr:colOff>638175</xdr:colOff>
                <xdr:row>19</xdr:row>
                <xdr:rowOff>0</xdr:rowOff>
              </to>
            </anchor>
          </controlPr>
        </control>
      </mc:Choice>
    </mc:AlternateContent>
    <mc:AlternateContent xmlns:mc="http://schemas.openxmlformats.org/markup-compatibility/2006">
      <mc:Choice Requires="x14">
        <control shapeId="11446" r:id="rId55" name="Button 182">
          <controlPr defaultSize="0" print="0" autoFill="0" autoPict="0" macro="[0]!Кнопка122_Щелчок">
            <anchor moveWithCells="1" sizeWithCells="1">
              <from>
                <xdr:col>3</xdr:col>
                <xdr:colOff>781050</xdr:colOff>
                <xdr:row>103</xdr:row>
                <xdr:rowOff>28575</xdr:rowOff>
              </from>
              <to>
                <xdr:col>3</xdr:col>
                <xdr:colOff>1895475</xdr:colOff>
                <xdr:row>104</xdr:row>
                <xdr:rowOff>133350</xdr:rowOff>
              </to>
            </anchor>
          </controlPr>
        </control>
      </mc:Choice>
    </mc:AlternateContent>
    <mc:AlternateContent xmlns:mc="http://schemas.openxmlformats.org/markup-compatibility/2006">
      <mc:Choice Requires="x14">
        <control shapeId="11447" r:id="rId56" name="Button 183">
          <controlPr defaultSize="0" print="0" autoFill="0" autoPict="0" macro="[0]!Кнопка123_Щелчок">
            <anchor moveWithCells="1" sizeWithCells="1">
              <from>
                <xdr:col>2</xdr:col>
                <xdr:colOff>85725</xdr:colOff>
                <xdr:row>103</xdr:row>
                <xdr:rowOff>28575</xdr:rowOff>
              </from>
              <to>
                <xdr:col>2</xdr:col>
                <xdr:colOff>1200150</xdr:colOff>
                <xdr:row>104</xdr:row>
                <xdr:rowOff>133350</xdr:rowOff>
              </to>
            </anchor>
          </controlPr>
        </control>
      </mc:Choice>
    </mc:AlternateContent>
  </control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66383AC8-7A9A-49FB-9B6C-B98C126267CC}">
          <x14:formula1>
            <xm:f>'Служебный АСУТП'!$A$8:$A$10</xm:f>
          </x14:formula1>
          <xm:sqref>H3</xm:sqref>
        </x14:dataValidation>
        <x14:dataValidation type="list" allowBlank="1" showInputMessage="1" showErrorMessage="1" xr:uid="{2E9E68A7-B739-44D5-8B8D-605C8A1B93B0}">
          <x14:formula1>
            <xm:f>'Служебный АСУТП'!$C$66:$C$69</xm:f>
          </x14:formula1>
          <xm:sqref>H5</xm:sqref>
        </x14:dataValidation>
        <x14:dataValidation type="list" allowBlank="1" showInputMessage="1" showErrorMessage="1" xr:uid="{B8601D49-4831-49CC-936A-AF1DB4254050}">
          <x14:formula1>
            <xm:f>'Служебный АСУТП'!$C$12:$C$16</xm:f>
          </x14:formula1>
          <xm:sqref>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dimension ref="A1:FB69"/>
  <sheetViews>
    <sheetView zoomScale="70" zoomScaleNormal="70" workbookViewId="0">
      <pane xSplit="1" topLeftCell="DT1" activePane="topRight" state="frozen"/>
      <selection pane="topRight" activeCell="A33" sqref="A33"/>
    </sheetView>
  </sheetViews>
  <sheetFormatPr defaultRowHeight="15" outlineLevelCol="1" x14ac:dyDescent="0.25"/>
  <cols>
    <col min="1" max="1" width="59.7109375" bestFit="1" customWidth="1"/>
    <col min="25" max="25" width="12.7109375" customWidth="1"/>
    <col min="43" max="43" width="10.85546875" customWidth="1"/>
    <col min="49" max="49" width="14.42578125" customWidth="1"/>
    <col min="89" max="91" width="9.140625" style="1560"/>
    <col min="92" max="93" width="12.28515625" customWidth="1" outlineLevel="1"/>
    <col min="94" max="94" width="10" customWidth="1" outlineLevel="1"/>
    <col min="95" max="95" width="13.28515625" customWidth="1" outlineLevel="1"/>
    <col min="96" max="97" width="13.140625" customWidth="1" outlineLevel="1"/>
    <col min="98" max="99" width="25.28515625" customWidth="1" outlineLevel="1"/>
    <col min="100" max="101" width="13.85546875" customWidth="1" outlineLevel="1"/>
    <col min="102" max="103" width="11" customWidth="1" outlineLevel="1"/>
    <col min="104" max="104" width="12.28515625" customWidth="1" outlineLevel="1"/>
    <col min="105" max="105" width="12.42578125" customWidth="1" outlineLevel="1"/>
    <col min="106" max="106" width="11.5703125" customWidth="1" outlineLevel="1"/>
    <col min="107" max="107" width="11.7109375" customWidth="1" outlineLevel="1"/>
    <col min="108" max="108" width="12.7109375" customWidth="1" outlineLevel="1"/>
    <col min="109" max="109" width="12.85546875" customWidth="1" outlineLevel="1"/>
    <col min="110" max="110" width="12.7109375" style="1560" customWidth="1" outlineLevel="1"/>
    <col min="111" max="111" width="12.85546875" style="1560" customWidth="1" outlineLevel="1"/>
    <col min="112" max="112" width="12.7109375" customWidth="1" outlineLevel="1"/>
    <col min="113" max="113" width="12.85546875" customWidth="1" outlineLevel="1"/>
    <col min="114" max="114" width="13.85546875" customWidth="1" outlineLevel="1"/>
    <col min="115" max="115" width="14" customWidth="1" outlineLevel="1"/>
    <col min="116" max="117" width="12.28515625" customWidth="1" outlineLevel="1"/>
    <col min="118" max="119" width="13.85546875" customWidth="1" outlineLevel="1"/>
    <col min="120" max="120" width="24" customWidth="1" outlineLevel="1"/>
    <col min="121" max="121" width="43.85546875" customWidth="1" outlineLevel="1"/>
    <col min="122" max="122" width="13.85546875" customWidth="1" outlineLevel="1"/>
    <col min="123" max="123" width="14" customWidth="1" outlineLevel="1"/>
    <col min="124" max="124" width="37.42578125" customWidth="1" outlineLevel="1"/>
    <col min="125" max="125" width="69" customWidth="1" outlineLevel="1"/>
    <col min="126" max="127" width="18.140625" customWidth="1" outlineLevel="1"/>
    <col min="128" max="129" width="20.140625" customWidth="1" outlineLevel="1"/>
    <col min="130" max="130" width="33.140625" customWidth="1" outlineLevel="1"/>
    <col min="131" max="131" width="33.42578125" customWidth="1" outlineLevel="1"/>
    <col min="132" max="133" width="12.42578125" customWidth="1" outlineLevel="1"/>
    <col min="134" max="137" width="12.140625" customWidth="1" outlineLevel="1"/>
    <col min="138" max="139" width="12.5703125" customWidth="1" outlineLevel="1"/>
    <col min="140" max="140" width="16.85546875" customWidth="1" outlineLevel="1"/>
    <col min="141" max="141" width="17.140625" customWidth="1" outlineLevel="1"/>
    <col min="142" max="143" width="12.42578125" customWidth="1" outlineLevel="1"/>
    <col min="144" max="144" width="12.85546875" customWidth="1" outlineLevel="1"/>
    <col min="145" max="145" width="13" customWidth="1" outlineLevel="1"/>
    <col min="146" max="146" width="11.7109375" customWidth="1" outlineLevel="1"/>
    <col min="147" max="147" width="16.140625" customWidth="1" outlineLevel="1"/>
    <col min="148" max="151" width="11.7109375" customWidth="1" outlineLevel="1"/>
    <col min="152" max="152" width="10.42578125" bestFit="1" customWidth="1"/>
    <col min="153" max="154" width="10.28515625" bestFit="1" customWidth="1"/>
    <col min="155" max="155" width="11.28515625" bestFit="1" customWidth="1"/>
    <col min="156" max="156" width="11.5703125" bestFit="1" customWidth="1"/>
    <col min="157" max="158" width="10.42578125" bestFit="1" customWidth="1"/>
    <col min="159" max="159" width="10.42578125" customWidth="1"/>
    <col min="160" max="160" width="10.28515625" bestFit="1" customWidth="1"/>
    <col min="161" max="161" width="11.28515625" bestFit="1" customWidth="1"/>
    <col min="162" max="162" width="11.140625" bestFit="1" customWidth="1"/>
  </cols>
  <sheetData>
    <row r="1" spans="1:156" ht="16.5" thickBot="1" x14ac:dyDescent="0.3">
      <c r="A1" s="26" t="s">
        <v>39</v>
      </c>
      <c r="B1" s="307">
        <f>ТрЗ_ОП!F6</f>
        <v>2</v>
      </c>
    </row>
    <row r="2" spans="1:156" s="270" customFormat="1" ht="34.9" customHeight="1" thickBot="1" x14ac:dyDescent="0.3">
      <c r="A2" s="380" t="s">
        <v>507</v>
      </c>
      <c r="B2" s="1888" t="e">
        <f ca="1">INDIRECT("ТрЗ!B" &amp;  10 + COLUMN(A1))</f>
        <v>#REF!</v>
      </c>
      <c r="C2" s="1889"/>
      <c r="D2" s="1890"/>
      <c r="E2" s="1888" t="e">
        <f ca="1">INDIRECT("ТрЗ!B" &amp;  10 + COLUMN(B1))</f>
        <v>#REF!</v>
      </c>
      <c r="F2" s="1889"/>
      <c r="G2" s="1890"/>
      <c r="H2" s="1888" t="e">
        <f ca="1">INDIRECT("ТрЗ!B" &amp;  10 + COLUMN(C1))</f>
        <v>#REF!</v>
      </c>
      <c r="I2" s="1889"/>
      <c r="J2" s="1890"/>
      <c r="K2" s="1885" t="e">
        <f ca="1">INDIRECT("ТрЗ!B" &amp;  10 + COLUMN(D1))</f>
        <v>#REF!</v>
      </c>
      <c r="L2" s="1886"/>
      <c r="M2" s="1887"/>
      <c r="N2" s="1885" t="e">
        <f ca="1">INDIRECT("ТрЗ!B" &amp;  10 + COLUMN(E1))</f>
        <v>#REF!</v>
      </c>
      <c r="O2" s="1886"/>
      <c r="P2" s="1887"/>
      <c r="Q2" s="1885" t="e">
        <f ca="1">INDIRECT("ТрЗ!B" &amp;  10 + COLUMN(F1))</f>
        <v>#REF!</v>
      </c>
      <c r="R2" s="1886"/>
      <c r="S2" s="1887"/>
      <c r="T2" s="1885" t="e">
        <f ca="1">INDIRECT("ТрЗ!B" &amp;  10 + COLUMN(G1))</f>
        <v>#REF!</v>
      </c>
      <c r="U2" s="1886"/>
      <c r="V2" s="1887"/>
      <c r="W2" s="1885" t="e">
        <f ca="1">INDIRECT("ТрЗ!B" &amp;  10 + COLUMN(H1))</f>
        <v>#REF!</v>
      </c>
      <c r="X2" s="1886"/>
      <c r="Y2" s="1887"/>
      <c r="Z2" s="1885" t="e">
        <f ca="1">INDIRECT("ТрЗ!B" &amp;  10 + COLUMN(I1))</f>
        <v>#REF!</v>
      </c>
      <c r="AA2" s="1886"/>
      <c r="AB2" s="1887"/>
      <c r="AC2" s="1885" t="e">
        <f ca="1">INDIRECT("ТрЗ!B" &amp;  10 + COLUMN(J1))</f>
        <v>#REF!</v>
      </c>
      <c r="AD2" s="1886"/>
      <c r="AE2" s="1887"/>
      <c r="AF2" s="1885" t="e">
        <f ca="1">INDIRECT("ТрЗ!B" &amp;  10 + COLUMN(K1))</f>
        <v>#REF!</v>
      </c>
      <c r="AG2" s="1886"/>
      <c r="AH2" s="1887"/>
      <c r="AI2" s="1885" t="e">
        <f ca="1">INDIRECT("ТрЗ!B" &amp;  10 + COLUMN(L1))</f>
        <v>#REF!</v>
      </c>
      <c r="AJ2" s="1886"/>
      <c r="AK2" s="1887"/>
      <c r="AL2" s="1885" t="e">
        <f ca="1">INDIRECT("ТрЗ!B" &amp;  10 + COLUMN(M1))</f>
        <v>#REF!</v>
      </c>
      <c r="AM2" s="1886"/>
      <c r="AN2" s="1887"/>
      <c r="AO2" s="1885" t="e">
        <f ca="1">INDIRECT("ТрЗ!B" &amp;  10 + COLUMN(N1))</f>
        <v>#REF!</v>
      </c>
      <c r="AP2" s="1886"/>
      <c r="AQ2" s="1887"/>
      <c r="AR2" s="1885" t="e">
        <f ca="1">INDIRECT("ТрЗ!B" &amp;  10 + COLUMN(O1))</f>
        <v>#REF!</v>
      </c>
      <c r="AS2" s="1886"/>
      <c r="AT2" s="1887"/>
      <c r="AU2" s="1885" t="e">
        <f ca="1">INDIRECT("ТрЗ!B" &amp;  10 + COLUMN(P1))</f>
        <v>#REF!</v>
      </c>
      <c r="AV2" s="1886"/>
      <c r="AW2" s="1887"/>
      <c r="AX2" s="1885" t="e">
        <f ca="1">INDIRECT("ТрЗ!B" &amp;  10 + COLUMN(Q1))</f>
        <v>#REF!</v>
      </c>
      <c r="AY2" s="1886"/>
      <c r="AZ2" s="1887"/>
      <c r="BA2" s="1885" t="e">
        <f ca="1">INDIRECT("ТрЗ!B" &amp;  10 + COLUMN(R1))</f>
        <v>#REF!</v>
      </c>
      <c r="BB2" s="1886"/>
      <c r="BC2" s="1887"/>
      <c r="BD2" s="1885" t="e">
        <f ca="1">INDIRECT("ТрЗ!B" &amp;  10 + COLUMN(S1))</f>
        <v>#REF!</v>
      </c>
      <c r="BE2" s="1886"/>
      <c r="BF2" s="1887"/>
      <c r="BG2" s="1885" t="e">
        <f ca="1">INDIRECT("ТрЗ!B" &amp;  10 + COLUMN(T1))</f>
        <v>#REF!</v>
      </c>
      <c r="BH2" s="1886"/>
      <c r="BI2" s="1887"/>
      <c r="BJ2" s="1888" t="e">
        <f ca="1">INDIRECT("ТрЗ!B" &amp;  10 + COLUMN(U1))</f>
        <v>#REF!</v>
      </c>
      <c r="BK2" s="1889"/>
      <c r="BL2" s="1890"/>
      <c r="BM2" s="1888" t="e">
        <f ca="1">INDIRECT("ТрЗ!B" &amp;  10 + COLUMN(V1))</f>
        <v>#REF!</v>
      </c>
      <c r="BN2" s="1889"/>
      <c r="BO2" s="1890"/>
      <c r="BP2" s="1888" t="e">
        <f ca="1">INDIRECT("ТрЗ!B" &amp;  10 + COLUMN(W1))</f>
        <v>#REF!</v>
      </c>
      <c r="BQ2" s="1889"/>
      <c r="BR2" s="1890"/>
      <c r="BS2" s="1888" t="e">
        <f ca="1">INDIRECT("ТрЗ!B" &amp;  10 + COLUMN(X1))</f>
        <v>#REF!</v>
      </c>
      <c r="BT2" s="1889"/>
      <c r="BU2" s="1890"/>
      <c r="BV2" s="1888" t="e">
        <f ca="1">INDIRECT("ТрЗ!B" &amp;  10 + COLUMN(Y1))</f>
        <v>#REF!</v>
      </c>
      <c r="BW2" s="1889"/>
      <c r="BX2" s="1890"/>
      <c r="BY2" s="1888" t="e">
        <f ca="1">INDIRECT("ТрЗ!B" &amp;  10 + COLUMN(Z1))</f>
        <v>#REF!</v>
      </c>
      <c r="BZ2" s="1889"/>
      <c r="CA2" s="1890"/>
      <c r="CB2" s="1888" t="e">
        <f ca="1">INDIRECT("ТрЗ!B" &amp;  10 + COLUMN(AA1))</f>
        <v>#REF!</v>
      </c>
      <c r="CC2" s="1889"/>
      <c r="CD2" s="1890"/>
      <c r="CE2" s="1888" t="e">
        <f ca="1">INDIRECT("ТрЗ!B" &amp;  10 + COLUMN(AB1))</f>
        <v>#REF!</v>
      </c>
      <c r="CF2" s="1889"/>
      <c r="CG2" s="1890"/>
      <c r="CH2" s="1888" t="e">
        <f ca="1">INDIRECT("ТрЗ!B" &amp;  10 + COLUMN(AC1))</f>
        <v>#REF!</v>
      </c>
      <c r="CI2" s="1889"/>
      <c r="CJ2" s="1890"/>
      <c r="CK2" s="1888" t="e">
        <f ca="1">INDIRECT("ТрЗ!B" &amp;  10 + COLUMN(AD1))</f>
        <v>#REF!</v>
      </c>
      <c r="CL2" s="1889"/>
      <c r="CM2" s="1890"/>
      <c r="CN2" s="381" t="str">
        <f ca="1">CONCATENATE("Выбор ",INDIRECT("'Служебный АСУТП'!" &amp; ADDRESS(ROW('Служебный АСУТП'!E1), COLUMN('Служебный АСУТП'!$E1))))</f>
        <v>Выбор АВЗ</v>
      </c>
      <c r="CO2" s="381" t="str">
        <f ca="1">CONCATENATE("Расчет ",INDIRECT("'Служебный АСУТП'!" &amp; ADDRESS(ROW('Служебный АСУТП'!F1), COLUMN('Служебный АСУТП'!$E1))))</f>
        <v>Расчет АВЗ</v>
      </c>
      <c r="CP2" s="381" t="str">
        <f ca="1">CONCATENATE("Выбор ",INDIRECT("'Служебный АСУТП'!" &amp; ADDRESS(ROW('Служебный АСУТП'!F1), COLUMN('Служебный АСУТП'!$F1))))</f>
        <v>Выбор SIEM</v>
      </c>
      <c r="CQ2" s="381" t="str">
        <f ca="1">CONCATENATE("Расчет ",INDIRECT("'Служебный АСУТП'!" &amp; ADDRESS(ROW('Служебный АСУТП'!H1), COLUMN('Служебный АСУТП'!$F1))))</f>
        <v>Расчет SIEM</v>
      </c>
      <c r="CR2" s="381" t="str">
        <f ca="1">CONCATENATE("Выбор ",INDIRECT("'Служебный АСУТП'!" &amp; ADDRESS(ROW('Служебный АСУТП'!G1), COLUMN('Служебный АСУТП'!$G1))))</f>
        <v>Выбор МСЭ</v>
      </c>
      <c r="CS2" s="381" t="str">
        <f ca="1">CONCATENATE("Расчет ",INDIRECT("'Служебный АСУТП'!" &amp; ADDRESS(ROW('Служебный АСУТП'!H1), COLUMN('Служебный АСУТП'!$G1))))</f>
        <v>Расчет МСЭ</v>
      </c>
      <c r="CT2" s="381" t="str">
        <f ca="1">CONCATENATE("Выбор ",INDIRECT("'Служебный АСУТП'!" &amp; ADDRESS(ROW('Служебный АСУТП'!H1), COLUMN('Служебный АСУТП'!$H1))))</f>
        <v xml:space="preserve">Выбор PIM / PAM / PUM </v>
      </c>
      <c r="CU2" s="381" t="str">
        <f ca="1">CONCATENATE("Расчет ",INDIRECT("'Служебный АСУТП'!" &amp; ADDRESS(ROW('Служебный АСУТП'!I1), COLUMN('Служебный АСУТП'!$H1))))</f>
        <v xml:space="preserve">Расчет PIM / PAM / PUM </v>
      </c>
      <c r="CV2" s="381" t="str">
        <f ca="1">CONCATENATE("Выбор ",INDIRECT("'Служебный АСУТП'!" &amp; ADDRESS(ROW('Служебный АСУТП'!I1), COLUMN('Служебный АСУТП'!$I1))))</f>
        <v>Выбор СКЗИ</v>
      </c>
      <c r="CW2" s="381" t="s">
        <v>487</v>
      </c>
      <c r="CX2" s="381" t="str">
        <f ca="1">CONCATENATE("Выбор ",INDIRECT("'Служебный АСУТП'!" &amp; ADDRESS(ROW('Служебный АСУТП'!J1), COLUMN('Служебный АСУТП'!$J1))))</f>
        <v>Выбор АЗ</v>
      </c>
      <c r="CY2" s="381" t="s">
        <v>488</v>
      </c>
      <c r="CZ2" s="381" t="str">
        <f ca="1">CONCATENATE("Выбор ",INDIRECT("'Служебный АСУТП'!" &amp; ADDRESS(ROW('Служебный АСУТП'!K1), COLUMN('Служебный АСУТП'!$K1))))</f>
        <v>Выбор СРК</v>
      </c>
      <c r="DA2" s="381" t="s">
        <v>489</v>
      </c>
      <c r="DB2" s="381" t="str">
        <f ca="1">CONCATENATE("Выбор ",INDIRECT("'Служебный АСУТП'!" &amp; ADDRESS(ROW('Служебный АСУТП'!L1), COLUMN('Служебный АСУТП'!$L1))))</f>
        <v>Выбор IDS</v>
      </c>
      <c r="DC2" s="381" t="s">
        <v>490</v>
      </c>
      <c r="DD2" s="381" t="str">
        <f ca="1">CONCATENATE("Выбор ",INDIRECT("'Служебный АСУТП'!" &amp; ADDRESS(ROW('Служебный АСУТП'!M1), COLUMN('Служебный АСУТП'!$M1))))</f>
        <v>Выбор НСД</v>
      </c>
      <c r="DE2" s="381" t="s">
        <v>491</v>
      </c>
      <c r="DF2" s="381" t="str">
        <f ca="1">CONCATENATE("Выбор ",INDIRECT("'Служебный АСУТП'!" &amp; ADDRESS(ROW('Служебный АСУТП'!N1), COLUMN('Служебный АСУТП'!$N1))))</f>
        <v>Выбор АПМДЗ</v>
      </c>
      <c r="DG2" s="381" t="s">
        <v>1556</v>
      </c>
      <c r="DH2" s="381" t="str">
        <f ca="1">CONCATENATE("Выбор ",INDIRECT("'Служебный АСУТП'!" &amp; ADDRESS(ROW('Служебный АСУТП'!O1), COLUMN('Служебный АСУТП'!$O1))))</f>
        <v>Выбор MFA</v>
      </c>
      <c r="DI2" s="381" t="s">
        <v>565</v>
      </c>
      <c r="DJ2" s="381" t="str">
        <f ca="1">CONCATENATE("Выбор ",INDIRECT("'Служебный АСУТП'!" &amp; ADDRESS(ROW('Служебный АСУТП'!P1), COLUMN('Служебный АСУТП'!$P1))))</f>
        <v>Выбор Диод</v>
      </c>
      <c r="DK2" s="381" t="s">
        <v>566</v>
      </c>
      <c r="DL2" s="381" t="str">
        <f ca="1">CONCATENATE("Выбор ",INDIRECT("'Служебный АСУТП'!" &amp; ADDRESS(ROW('Служебный АСУТП'!Q1), COLUMN('Служебный АСУТП'!$Q1))))</f>
        <v>Выбор СЗВ</v>
      </c>
      <c r="DM2" s="381" t="s">
        <v>493</v>
      </c>
      <c r="DN2" s="381" t="str">
        <f ca="1">CONCATENATE("Выбор ",INDIRECT("'Служебный АСУТП'!" &amp; ADDRESS(ROW('Служебный АСУТП'!R1), COLUMN('Служебный АСУТП'!$R1))))</f>
        <v>Выбор SOAR</v>
      </c>
      <c r="DO2" s="381" t="s">
        <v>494</v>
      </c>
      <c r="DP2" s="381" t="str">
        <f ca="1">CONCATENATE("Выбор ",INDIRECT("'Служебный АСУТП'!" &amp; ADDRESS(ROW('Служебный АСУТП'!S1), COLUMN('Служебный АСУТП'!$S1))))</f>
        <v>Выбор Виртуализация рабочих мест (VDI)</v>
      </c>
      <c r="DQ2" s="381" t="s">
        <v>495</v>
      </c>
      <c r="DR2" s="381" t="str">
        <f ca="1">CONCATENATE("Выбор ",INDIRECT("'Служебный АСУТП'!" &amp; ADDRESS(ROW('Служебный АСУТП'!T1), COLUMN('Служебный АСУТП'!$T1))))</f>
        <v>Выбор СУБД</v>
      </c>
      <c r="DS2" s="381" t="s">
        <v>620</v>
      </c>
      <c r="DT2" s="381" t="str">
        <f ca="1">CONCATENATE("Выбор ",INDIRECT("'Служебный АСУТП'!" &amp; ADDRESS(ROW('Служебный АСУТП'!U1), COLUMN('Служебный АСУТП'!$U1))))</f>
        <v>Выбор Платформа взаимодействия с главным центром ГосСОПКА</v>
      </c>
      <c r="DU2" s="381" t="s">
        <v>496</v>
      </c>
      <c r="DV2" s="381" t="str">
        <f ca="1">CONCATENATE("Выбор ",INDIRECT("'Служебный АСУТП'!" &amp; ADDRESS(ROW('Служебный АСУТП'!V1), COLUMN('Служебный АСУТП'!$V1))))</f>
        <v>Выбор TLS шлюз</v>
      </c>
      <c r="DW2" s="381" t="s">
        <v>497</v>
      </c>
      <c r="DX2" s="381" t="str">
        <f ca="1">CONCATENATE("Выбор ",INDIRECT("'Служебный АСУТП'!" &amp; ADDRESS(ROW('Служебный АСУТП'!W1), COLUMN('Служебный АСУТП'!$W1))))</f>
        <v>Выбор DCAP / DAG</v>
      </c>
      <c r="DY2" s="381" t="s">
        <v>498</v>
      </c>
      <c r="DZ2" s="381" t="str">
        <f ca="1">CONCATENATE("Выбор ",INDIRECT("'Служебный АСУТП'!" &amp; ADDRESS(ROW('Служебный АСУТП'!X1), COLUMN('Служебный АСУТП'!$X1))))</f>
        <v>Выбор Контроль конфигураций</v>
      </c>
      <c r="EA2" s="381" t="s">
        <v>499</v>
      </c>
      <c r="EB2" s="381" t="str">
        <f ca="1">CONCATENATE("Выбор ",INDIRECT("'Служебный АСУТП'!" &amp; ADDRESS(ROW('Служебный АСУТП'!Y1), COLUMN('Служебный АСУТП'!$Y1))))</f>
        <v>Выбор NTA</v>
      </c>
      <c r="EC2" s="381" t="s">
        <v>500</v>
      </c>
      <c r="ED2" s="381" t="str">
        <f ca="1">CONCATENATE("Выбор ",INDIRECT("'Служебный АСУТП'!" &amp; ADDRESS(ROW('Служебный АСУТП'!Z1), COLUMN('Служебный АСУТП'!$Z1))))</f>
        <v>Выбор SEG</v>
      </c>
      <c r="EE2" s="381" t="s">
        <v>501</v>
      </c>
      <c r="EF2" s="381" t="str">
        <f ca="1">CONCATENATE("Выбор ",INDIRECT("'Служебный АСУТП'!" &amp; ADDRESS(ROW('Служебный АСУТП'!AA1), COLUMN('Служебный АСУТП'!$AA1))))</f>
        <v>Выбор APT</v>
      </c>
      <c r="EG2" s="381" t="s">
        <v>502</v>
      </c>
      <c r="EH2" s="381" t="str">
        <f ca="1">CONCATENATE("Выбор ",INDIRECT("'Служебный АСУТП'!" &amp; ADDRESS(ROW('Служебный АСУТП'!AB1), COLUMN('Служебный АСУТП'!$AB1))))</f>
        <v>Выбор NAC</v>
      </c>
      <c r="EI2" s="381" t="s">
        <v>503</v>
      </c>
      <c r="EJ2" s="381" t="str">
        <f ca="1">CONCATENATE("Выбор ",INDIRECT("'Служебный АСУТП'!" &amp; ADDRESS(ROW('Служебный АСУТП'!AC1), COLUMN('Служебный АСУТП'!$AC1))))</f>
        <v>Выбор Sandbox</v>
      </c>
      <c r="EK2" s="381" t="s">
        <v>504</v>
      </c>
      <c r="EL2" s="381" t="str">
        <f ca="1">CONCATENATE("Выбор ",INDIRECT("'Служебный АСУТП'!" &amp; ADDRESS(ROW('Служебный АСУТП'!AD1), COLUMN('Служебный АСУТП'!$AD1))))</f>
        <v>Выбор EDR</v>
      </c>
      <c r="EM2" s="381" t="s">
        <v>505</v>
      </c>
      <c r="EN2" s="381" t="str">
        <f ca="1">CONCATENATE("Выбор ",INDIRECT("'Служебный АСУТП'!" &amp; ADDRESS(ROW('Служебный АСУТП'!AE1), COLUMN('Служебный АСУТП'!$AE1))))</f>
        <v>Выбор WAF</v>
      </c>
      <c r="EO2" s="381" t="s">
        <v>492</v>
      </c>
      <c r="EP2" s="381" t="str">
        <f ca="1">CONCATENATE("Выбор ",INDIRECT("'Служебный АСУТП'!" &amp; ADDRESS(ROW('Служебный АСУТП'!AF1), COLUMN('Служебный АСУТП'!$AF1))))</f>
        <v>Выбор ВМ ЗСВ</v>
      </c>
      <c r="EQ2" s="381" t="s">
        <v>610</v>
      </c>
      <c r="ER2" s="381" t="str">
        <f ca="1">CONCATENATE("Выбор ",INDIRECT("'Служебный АСУТП'!" &amp; ADDRESS(ROW('Служебный АСУТП'!AG1), COLUMN('Служебный АСУТП'!$AG1))))</f>
        <v>Выбор ВМ СПО</v>
      </c>
      <c r="ES2" s="381" t="s">
        <v>611</v>
      </c>
      <c r="ET2" s="381" t="str">
        <f ca="1">CONCATENATE("Выбор ",INDIRECT("'Служебный АСУТП'!" &amp; ADDRESS(ROW('Служебный АСУТП'!AH1), COLUMN('Служебный АСУТП'!$AH1))))</f>
        <v>Выбор ВМ АСО</v>
      </c>
      <c r="EU2" s="381" t="s">
        <v>612</v>
      </c>
      <c r="EV2" s="1891" t="s">
        <v>511</v>
      </c>
      <c r="EW2" s="1891"/>
      <c r="EX2" s="1891"/>
      <c r="EY2" s="1891"/>
      <c r="EZ2" s="1892"/>
    </row>
    <row r="3" spans="1:156" ht="15.75" thickBot="1" x14ac:dyDescent="0.3">
      <c r="A3" s="90" t="s">
        <v>506</v>
      </c>
      <c r="B3" s="308" t="s">
        <v>484</v>
      </c>
      <c r="C3" s="309" t="s">
        <v>485</v>
      </c>
      <c r="D3" s="310" t="s">
        <v>486</v>
      </c>
      <c r="E3" s="308" t="s">
        <v>484</v>
      </c>
      <c r="F3" s="309" t="s">
        <v>485</v>
      </c>
      <c r="G3" s="310" t="s">
        <v>486</v>
      </c>
      <c r="H3" s="308" t="s">
        <v>484</v>
      </c>
      <c r="I3" s="309" t="s">
        <v>485</v>
      </c>
      <c r="J3" s="310" t="s">
        <v>486</v>
      </c>
      <c r="K3" s="308" t="s">
        <v>484</v>
      </c>
      <c r="L3" s="309" t="s">
        <v>485</v>
      </c>
      <c r="M3" s="310" t="s">
        <v>486</v>
      </c>
      <c r="N3" s="308" t="s">
        <v>484</v>
      </c>
      <c r="O3" s="309" t="s">
        <v>485</v>
      </c>
      <c r="P3" s="310" t="s">
        <v>486</v>
      </c>
      <c r="Q3" s="308" t="s">
        <v>484</v>
      </c>
      <c r="R3" s="309" t="s">
        <v>485</v>
      </c>
      <c r="S3" s="310" t="s">
        <v>486</v>
      </c>
      <c r="T3" s="308" t="s">
        <v>484</v>
      </c>
      <c r="U3" s="309" t="s">
        <v>485</v>
      </c>
      <c r="V3" s="310" t="s">
        <v>486</v>
      </c>
      <c r="W3" s="308" t="s">
        <v>484</v>
      </c>
      <c r="X3" s="309" t="s">
        <v>485</v>
      </c>
      <c r="Y3" s="310" t="s">
        <v>486</v>
      </c>
      <c r="Z3" s="308" t="s">
        <v>484</v>
      </c>
      <c r="AA3" s="309" t="s">
        <v>485</v>
      </c>
      <c r="AB3" s="310" t="s">
        <v>486</v>
      </c>
      <c r="AC3" s="308" t="s">
        <v>484</v>
      </c>
      <c r="AD3" s="309" t="s">
        <v>485</v>
      </c>
      <c r="AE3" s="310" t="s">
        <v>486</v>
      </c>
      <c r="AF3" s="308" t="s">
        <v>484</v>
      </c>
      <c r="AG3" s="309" t="s">
        <v>485</v>
      </c>
      <c r="AH3" s="310" t="s">
        <v>486</v>
      </c>
      <c r="AI3" s="308" t="s">
        <v>484</v>
      </c>
      <c r="AJ3" s="309" t="s">
        <v>485</v>
      </c>
      <c r="AK3" s="310" t="s">
        <v>486</v>
      </c>
      <c r="AL3" s="308" t="s">
        <v>484</v>
      </c>
      <c r="AM3" s="309" t="s">
        <v>485</v>
      </c>
      <c r="AN3" s="310" t="s">
        <v>486</v>
      </c>
      <c r="AO3" s="308" t="s">
        <v>484</v>
      </c>
      <c r="AP3" s="309" t="s">
        <v>485</v>
      </c>
      <c r="AQ3" s="310" t="s">
        <v>486</v>
      </c>
      <c r="AR3" s="308" t="s">
        <v>484</v>
      </c>
      <c r="AS3" s="309" t="s">
        <v>485</v>
      </c>
      <c r="AT3" s="310" t="s">
        <v>486</v>
      </c>
      <c r="AU3" s="308" t="s">
        <v>484</v>
      </c>
      <c r="AV3" s="309" t="s">
        <v>485</v>
      </c>
      <c r="AW3" s="310" t="s">
        <v>486</v>
      </c>
      <c r="AX3" s="308" t="s">
        <v>484</v>
      </c>
      <c r="AY3" s="309" t="s">
        <v>485</v>
      </c>
      <c r="AZ3" s="310" t="s">
        <v>486</v>
      </c>
      <c r="BA3" s="308" t="s">
        <v>484</v>
      </c>
      <c r="BB3" s="309" t="s">
        <v>485</v>
      </c>
      <c r="BC3" s="310" t="s">
        <v>486</v>
      </c>
      <c r="BD3" s="308" t="s">
        <v>484</v>
      </c>
      <c r="BE3" s="309" t="s">
        <v>485</v>
      </c>
      <c r="BF3" s="310" t="s">
        <v>486</v>
      </c>
      <c r="BG3" s="308" t="s">
        <v>484</v>
      </c>
      <c r="BH3" s="309" t="s">
        <v>485</v>
      </c>
      <c r="BI3" s="310" t="s">
        <v>486</v>
      </c>
      <c r="BJ3" s="308" t="s">
        <v>484</v>
      </c>
      <c r="BK3" s="309" t="s">
        <v>485</v>
      </c>
      <c r="BL3" s="310" t="s">
        <v>486</v>
      </c>
      <c r="BM3" s="308" t="s">
        <v>484</v>
      </c>
      <c r="BN3" s="309" t="s">
        <v>485</v>
      </c>
      <c r="BO3" s="310" t="s">
        <v>486</v>
      </c>
      <c r="BP3" s="308" t="s">
        <v>484</v>
      </c>
      <c r="BQ3" s="309" t="s">
        <v>485</v>
      </c>
      <c r="BR3" s="310" t="s">
        <v>486</v>
      </c>
      <c r="BS3" s="308" t="s">
        <v>484</v>
      </c>
      <c r="BT3" s="309" t="s">
        <v>485</v>
      </c>
      <c r="BU3" s="310" t="s">
        <v>486</v>
      </c>
      <c r="BV3" s="308" t="s">
        <v>484</v>
      </c>
      <c r="BW3" s="309" t="s">
        <v>485</v>
      </c>
      <c r="BX3" s="310" t="s">
        <v>486</v>
      </c>
      <c r="BY3" s="308" t="s">
        <v>484</v>
      </c>
      <c r="BZ3" s="309" t="s">
        <v>485</v>
      </c>
      <c r="CA3" s="310" t="s">
        <v>486</v>
      </c>
      <c r="CB3" s="793" t="s">
        <v>484</v>
      </c>
      <c r="CC3" s="792" t="s">
        <v>485</v>
      </c>
      <c r="CD3" s="791" t="s">
        <v>486</v>
      </c>
      <c r="CE3" s="793" t="s">
        <v>484</v>
      </c>
      <c r="CF3" s="792" t="s">
        <v>485</v>
      </c>
      <c r="CG3" s="791" t="s">
        <v>486</v>
      </c>
      <c r="CH3" s="793" t="s">
        <v>484</v>
      </c>
      <c r="CI3" s="792" t="s">
        <v>485</v>
      </c>
      <c r="CJ3" s="791" t="s">
        <v>486</v>
      </c>
      <c r="CK3" s="793" t="s">
        <v>484</v>
      </c>
      <c r="CL3" s="792" t="s">
        <v>485</v>
      </c>
      <c r="CM3" s="791" t="s">
        <v>486</v>
      </c>
      <c r="CN3" s="180"/>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180"/>
      <c r="EN3" s="180"/>
      <c r="EO3" s="180"/>
      <c r="EP3" s="774"/>
      <c r="EQ3" s="180"/>
      <c r="ER3" s="776"/>
      <c r="ES3" s="180"/>
      <c r="ET3" s="776"/>
      <c r="EU3" s="774"/>
      <c r="EV3" s="318" t="s">
        <v>508</v>
      </c>
      <c r="EW3" s="318" t="s">
        <v>509</v>
      </c>
      <c r="EX3" s="318" t="s">
        <v>510</v>
      </c>
      <c r="EY3" s="319" t="s">
        <v>48</v>
      </c>
      <c r="EZ3" s="318" t="s">
        <v>50</v>
      </c>
    </row>
    <row r="4" spans="1:156" ht="15.75" x14ac:dyDescent="0.25">
      <c r="A4" s="1" t="s">
        <v>448</v>
      </c>
      <c r="B4" s="29"/>
      <c r="C4" s="30"/>
      <c r="D4" s="31"/>
      <c r="E4" s="29"/>
      <c r="F4" s="30"/>
      <c r="G4" s="31"/>
      <c r="H4" s="29"/>
      <c r="I4" s="30"/>
      <c r="J4" s="31"/>
      <c r="K4" s="29"/>
      <c r="L4" s="30"/>
      <c r="M4" s="31"/>
      <c r="N4" s="29"/>
      <c r="O4" s="30"/>
      <c r="P4" s="31"/>
      <c r="Q4" s="29"/>
      <c r="R4" s="30"/>
      <c r="S4" s="31"/>
      <c r="T4" s="29"/>
      <c r="U4" s="30"/>
      <c r="V4" s="31"/>
      <c r="W4" s="29"/>
      <c r="X4" s="30"/>
      <c r="Y4" s="31"/>
      <c r="Z4" s="29"/>
      <c r="AA4" s="30"/>
      <c r="AB4" s="31"/>
      <c r="AC4" s="29"/>
      <c r="AD4" s="30"/>
      <c r="AE4" s="31"/>
      <c r="AF4" s="29"/>
      <c r="AG4" s="30"/>
      <c r="AH4" s="31"/>
      <c r="AI4" s="29"/>
      <c r="AJ4" s="30"/>
      <c r="AK4" s="31"/>
      <c r="AL4" s="29"/>
      <c r="AM4" s="30"/>
      <c r="AN4" s="31"/>
      <c r="AO4" s="29"/>
      <c r="AP4" s="30"/>
      <c r="AQ4" s="31"/>
      <c r="AR4" s="29"/>
      <c r="AS4" s="30"/>
      <c r="AT4" s="31"/>
      <c r="AU4" s="29"/>
      <c r="AV4" s="30"/>
      <c r="AW4" s="31"/>
      <c r="AX4" s="29"/>
      <c r="AY4" s="30"/>
      <c r="AZ4" s="31"/>
      <c r="BA4" s="29"/>
      <c r="BB4" s="30"/>
      <c r="BC4" s="31"/>
      <c r="BD4" s="29"/>
      <c r="BE4" s="30"/>
      <c r="BF4" s="31"/>
      <c r="BG4" s="29"/>
      <c r="BH4" s="30"/>
      <c r="BI4" s="31"/>
      <c r="BJ4" s="29"/>
      <c r="BK4" s="30"/>
      <c r="BL4" s="31"/>
      <c r="BM4" s="29"/>
      <c r="BN4" s="30"/>
      <c r="BO4" s="31"/>
      <c r="BP4" s="29"/>
      <c r="BQ4" s="30"/>
      <c r="BR4" s="31"/>
      <c r="BS4" s="29"/>
      <c r="BT4" s="30"/>
      <c r="BU4" s="31"/>
      <c r="BV4" s="29"/>
      <c r="BW4" s="30"/>
      <c r="BX4" s="31"/>
      <c r="BY4" s="29"/>
      <c r="BZ4" s="30"/>
      <c r="CA4" s="31"/>
      <c r="CB4" s="29"/>
      <c r="CC4" s="30"/>
      <c r="CD4" s="31"/>
      <c r="CE4" s="29"/>
      <c r="CF4" s="30"/>
      <c r="CG4" s="31"/>
      <c r="CH4" s="29"/>
      <c r="CI4" s="30"/>
      <c r="CJ4" s="31"/>
      <c r="CK4" s="29"/>
      <c r="CL4" s="30"/>
      <c r="CM4" s="31"/>
      <c r="CN4" s="315" t="b">
        <f>ТрЗ_ОП!A11</f>
        <v>1</v>
      </c>
      <c r="CO4" s="27"/>
      <c r="CP4" s="312" t="b">
        <f>ТрЗ_ОП!A12</f>
        <v>1</v>
      </c>
      <c r="CQ4" s="27"/>
      <c r="CR4" s="312" t="b">
        <f>ТрЗ_ОП!A13</f>
        <v>0</v>
      </c>
      <c r="CS4" s="27"/>
      <c r="CT4" s="312" t="b">
        <f>ТрЗ_ОП!A14</f>
        <v>0</v>
      </c>
      <c r="CU4" s="27"/>
      <c r="CV4" s="8" t="b">
        <f>ТрЗ_ОП!A15</f>
        <v>0</v>
      </c>
      <c r="CW4" s="27"/>
      <c r="CX4" s="312" t="b">
        <f>ТрЗ_ОП!A16</f>
        <v>0</v>
      </c>
      <c r="CY4" s="27"/>
      <c r="CZ4" s="312" t="b">
        <f>ТрЗ_ОП!A17</f>
        <v>0</v>
      </c>
      <c r="DA4" s="27"/>
      <c r="DB4" s="312" t="b">
        <f>ТрЗ_ОП!A18</f>
        <v>0</v>
      </c>
      <c r="DC4" s="27"/>
      <c r="DD4" s="312" t="b">
        <f>ТрЗ_ОП!A19</f>
        <v>0</v>
      </c>
      <c r="DE4" s="27"/>
      <c r="DF4" s="312" t="b">
        <f>ТрЗ_ОП!A20</f>
        <v>0</v>
      </c>
      <c r="DG4" s="27"/>
      <c r="DH4" s="312" t="b">
        <f>ТрЗ_ОП!A21</f>
        <v>0</v>
      </c>
      <c r="DI4" s="27"/>
      <c r="DJ4" s="312" t="b">
        <f>ТрЗ_ОП!A22</f>
        <v>0</v>
      </c>
      <c r="DK4" s="27"/>
      <c r="DL4" s="312" t="b">
        <f>ТрЗ_ОП!A23</f>
        <v>0</v>
      </c>
      <c r="DM4" s="27"/>
      <c r="DN4" s="312" t="b">
        <f>ТрЗ_ОП!A24</f>
        <v>0</v>
      </c>
      <c r="DO4" s="27"/>
      <c r="DP4" s="312" t="b">
        <f>ТрЗ_ОП!A25</f>
        <v>0</v>
      </c>
      <c r="DQ4" s="27"/>
      <c r="DR4" s="312" t="b">
        <f>ТрЗ_ОП!A26</f>
        <v>0</v>
      </c>
      <c r="DS4" s="27"/>
      <c r="DT4" s="312" t="b">
        <f>ТрЗ_ОП!A27</f>
        <v>0</v>
      </c>
      <c r="DU4" s="27"/>
      <c r="DV4" s="312" t="b">
        <f>ТрЗ_ОП!A28</f>
        <v>0</v>
      </c>
      <c r="DW4" s="27"/>
      <c r="DX4" s="312" t="b">
        <f>ТрЗ_ОП!A29</f>
        <v>0</v>
      </c>
      <c r="DY4" s="27"/>
      <c r="DZ4" s="312" t="b">
        <f>ТрЗ_ОП!A30</f>
        <v>0</v>
      </c>
      <c r="EA4" s="27"/>
      <c r="EB4" s="312" t="b">
        <f>ТрЗ_ОП!A31</f>
        <v>0</v>
      </c>
      <c r="EC4" s="27"/>
      <c r="ED4" s="312" t="b">
        <f>ТрЗ_ОП!A32</f>
        <v>0</v>
      </c>
      <c r="EE4" s="27"/>
      <c r="EF4" s="312" t="b">
        <f>ТрЗ_ОП!A33</f>
        <v>0</v>
      </c>
      <c r="EG4" s="27"/>
      <c r="EH4" s="312" t="b">
        <f>ТрЗ_ОП!A34</f>
        <v>0</v>
      </c>
      <c r="EI4" s="27"/>
      <c r="EJ4" s="312" t="b">
        <f>ТрЗ_ОП!A35</f>
        <v>0</v>
      </c>
      <c r="EK4" s="27"/>
      <c r="EL4" s="312" t="b">
        <f>ТрЗ_ОП!A36</f>
        <v>0</v>
      </c>
      <c r="EM4" s="27"/>
      <c r="EN4" s="312" t="b">
        <f>ТрЗ_ОП!A37</f>
        <v>0</v>
      </c>
      <c r="EO4" s="27"/>
      <c r="EP4" s="312" t="b">
        <f>ТрЗ_ОП!A38</f>
        <v>0</v>
      </c>
      <c r="EQ4" s="27"/>
      <c r="ER4" s="312" t="b">
        <f>ТрЗ_ОП!A39</f>
        <v>0</v>
      </c>
      <c r="ES4" s="27"/>
      <c r="ET4" s="312" t="b">
        <f>ТрЗ_ОП!A40</f>
        <v>0</v>
      </c>
      <c r="EU4" s="771"/>
      <c r="EV4" s="1882"/>
      <c r="EW4" s="1883"/>
      <c r="EX4" s="1883"/>
      <c r="EY4" s="1883"/>
      <c r="EZ4" s="1884"/>
    </row>
    <row r="5" spans="1:156" ht="15.75" x14ac:dyDescent="0.25">
      <c r="A5" s="382" t="s">
        <v>0</v>
      </c>
      <c r="B5" s="84">
        <v>0.7</v>
      </c>
      <c r="C5" s="47">
        <v>0.2</v>
      </c>
      <c r="D5" s="85">
        <v>0.1</v>
      </c>
      <c r="E5" s="84">
        <v>0.7</v>
      </c>
      <c r="F5" s="47">
        <v>0.2</v>
      </c>
      <c r="G5" s="85">
        <v>0.1</v>
      </c>
      <c r="H5" s="84">
        <v>0.7</v>
      </c>
      <c r="I5" s="47">
        <v>0.2</v>
      </c>
      <c r="J5" s="85">
        <v>0.1</v>
      </c>
      <c r="K5" s="84">
        <v>0.7</v>
      </c>
      <c r="L5" s="47">
        <v>0.2</v>
      </c>
      <c r="M5" s="85">
        <v>0.1</v>
      </c>
      <c r="N5" s="84">
        <v>0.7</v>
      </c>
      <c r="O5" s="47">
        <v>0.2</v>
      </c>
      <c r="P5" s="85">
        <v>0.1</v>
      </c>
      <c r="Q5" s="84">
        <v>0.7</v>
      </c>
      <c r="R5" s="47">
        <v>0.2</v>
      </c>
      <c r="S5" s="85">
        <v>0.1</v>
      </c>
      <c r="T5" s="84">
        <v>0.7</v>
      </c>
      <c r="U5" s="47">
        <v>0.2</v>
      </c>
      <c r="V5" s="85">
        <v>0.1</v>
      </c>
      <c r="W5" s="84">
        <v>0.7</v>
      </c>
      <c r="X5" s="47">
        <v>0.2</v>
      </c>
      <c r="Y5" s="85">
        <v>0.1</v>
      </c>
      <c r="Z5" s="84">
        <v>0.7</v>
      </c>
      <c r="AA5" s="47">
        <v>0.2</v>
      </c>
      <c r="AB5" s="85">
        <v>0.1</v>
      </c>
      <c r="AC5" s="84">
        <v>0.7</v>
      </c>
      <c r="AD5" s="47">
        <v>0.2</v>
      </c>
      <c r="AE5" s="85">
        <v>0.1</v>
      </c>
      <c r="AF5" s="84">
        <v>0.7</v>
      </c>
      <c r="AG5" s="47">
        <v>0.2</v>
      </c>
      <c r="AH5" s="85">
        <v>0.1</v>
      </c>
      <c r="AI5" s="84">
        <v>0.7</v>
      </c>
      <c r="AJ5" s="47">
        <v>0.2</v>
      </c>
      <c r="AK5" s="85">
        <v>0.1</v>
      </c>
      <c r="AL5" s="84">
        <v>0.7</v>
      </c>
      <c r="AM5" s="47">
        <v>0.2</v>
      </c>
      <c r="AN5" s="85">
        <v>0.1</v>
      </c>
      <c r="AO5" s="84">
        <v>0.7</v>
      </c>
      <c r="AP5" s="47">
        <v>0.2</v>
      </c>
      <c r="AQ5" s="85">
        <v>0.1</v>
      </c>
      <c r="AR5" s="84">
        <v>0.7</v>
      </c>
      <c r="AS5" s="47">
        <v>0.2</v>
      </c>
      <c r="AT5" s="85">
        <v>0.1</v>
      </c>
      <c r="AU5" s="84">
        <v>0.7</v>
      </c>
      <c r="AV5" s="47">
        <v>0.2</v>
      </c>
      <c r="AW5" s="85">
        <v>0.1</v>
      </c>
      <c r="AX5" s="84">
        <v>0.7</v>
      </c>
      <c r="AY5" s="47">
        <v>0.2</v>
      </c>
      <c r="AZ5" s="85">
        <v>0.1</v>
      </c>
      <c r="BA5" s="84">
        <v>0.7</v>
      </c>
      <c r="BB5" s="47">
        <v>0.2</v>
      </c>
      <c r="BC5" s="85">
        <v>0.1</v>
      </c>
      <c r="BD5" s="84">
        <v>0.7</v>
      </c>
      <c r="BE5" s="47">
        <v>0.2</v>
      </c>
      <c r="BF5" s="85">
        <v>0.1</v>
      </c>
      <c r="BG5" s="84">
        <v>0.7</v>
      </c>
      <c r="BH5" s="47">
        <v>0.2</v>
      </c>
      <c r="BI5" s="85">
        <v>0.1</v>
      </c>
      <c r="BJ5" s="84">
        <v>0.7</v>
      </c>
      <c r="BK5" s="47">
        <v>0.2</v>
      </c>
      <c r="BL5" s="85">
        <v>0.1</v>
      </c>
      <c r="BM5" s="84">
        <v>0.7</v>
      </c>
      <c r="BN5" s="47">
        <v>0.2</v>
      </c>
      <c r="BO5" s="85">
        <v>0.1</v>
      </c>
      <c r="BP5" s="84">
        <v>0.7</v>
      </c>
      <c r="BQ5" s="47">
        <v>0.2</v>
      </c>
      <c r="BR5" s="85">
        <v>0.1</v>
      </c>
      <c r="BS5" s="84">
        <v>0.7</v>
      </c>
      <c r="BT5" s="47">
        <v>0.2</v>
      </c>
      <c r="BU5" s="85">
        <v>0.1</v>
      </c>
      <c r="BV5" s="84">
        <v>0.7</v>
      </c>
      <c r="BW5" s="47">
        <v>0.2</v>
      </c>
      <c r="BX5" s="85">
        <v>0.1</v>
      </c>
      <c r="BY5" s="84">
        <v>0.7</v>
      </c>
      <c r="BZ5" s="47">
        <v>0.2</v>
      </c>
      <c r="CA5" s="85">
        <v>0.1</v>
      </c>
      <c r="CB5" s="84">
        <v>0.7</v>
      </c>
      <c r="CC5" s="47">
        <v>0.2</v>
      </c>
      <c r="CD5" s="85">
        <v>0.1</v>
      </c>
      <c r="CE5" s="84">
        <v>0.7</v>
      </c>
      <c r="CF5" s="47">
        <v>0.2</v>
      </c>
      <c r="CG5" s="85">
        <v>0.1</v>
      </c>
      <c r="CH5" s="84">
        <v>0.7</v>
      </c>
      <c r="CI5" s="47">
        <v>0.2</v>
      </c>
      <c r="CJ5" s="85">
        <v>0.1</v>
      </c>
      <c r="CK5" s="84">
        <v>0.7</v>
      </c>
      <c r="CL5" s="47">
        <v>0.2</v>
      </c>
      <c r="CM5" s="85">
        <v>0.1</v>
      </c>
      <c r="CN5" s="312" t="str">
        <f>ТрЗ_ОП!$R$12</f>
        <v>-</v>
      </c>
      <c r="CO5" s="27">
        <f>IF(CN5=1,IF($B$1=1,'Документы АСУТП'!CW5,IF($B$1=2,'Документы АСУТП'!CW6,IF($B$1=3,'Документы АСУТП'!CW7,'Документы АСУТП'!CW5))),0)</f>
        <v>0</v>
      </c>
      <c r="CP5" s="312" t="str">
        <f>ТрЗ_ОП!$R$12</f>
        <v>-</v>
      </c>
      <c r="CQ5" s="27">
        <f>IF(CP5=1,IF($B$1=1,'Документы АСУТП'!CX5,IF($B$1=2,'Документы АСУТП'!CX6,IF($B$1=3,'Документы АСУТП'!CX7,'Документы АСУТП'!CX5))),0)</f>
        <v>0</v>
      </c>
      <c r="CR5" s="312" t="str">
        <f>ТрЗ_ОП!$R$12</f>
        <v>-</v>
      </c>
      <c r="CS5" s="27">
        <f>IF(CR5=1,IF($B$1=1,'Документы АСУТП'!CY5,IF($B$1=2,'Документы АСУТП'!CY6,IF($B$1=3,'Документы АСУТП'!CY7,'Документы АСУТП'!CY5))),0)</f>
        <v>0</v>
      </c>
      <c r="CT5" s="312" t="str">
        <f>ТрЗ_ОП!$R$12</f>
        <v>-</v>
      </c>
      <c r="CU5" s="27">
        <f>IF(CT5=1,IF($B$1=1,'Документы АСУТП'!CZ5,IF($B$1=2,'Документы АСУТП'!CZ6,IF($B$1=3,'Документы АСУТП'!CZ7,'Документы АСУТП'!CZ5))),0)</f>
        <v>0</v>
      </c>
      <c r="CV5" s="312" t="str">
        <f>ТрЗ_ОП!$R$12</f>
        <v>-</v>
      </c>
      <c r="CW5" s="27">
        <f>IF(CV5=1,IF($B$1=1,'Документы АСУТП'!DA5,IF($B$1=2,'Документы АСУТП'!DA6,IF($B$1=3,'Документы АСУТП'!DA7,'Документы АСУТП'!DA5))),0)</f>
        <v>0</v>
      </c>
      <c r="CX5" s="312" t="str">
        <f>ТрЗ_ОП!$R$12</f>
        <v>-</v>
      </c>
      <c r="CY5" s="27">
        <f>IF(CX5=1,IF($B$1=1,'Документы АСУТП'!DB5,IF($B$1=2,'Документы АСУТП'!DB6,IF($B$1=3,'Документы АСУТП'!DB7,'Документы АСУТП'!DB5))),0)</f>
        <v>0</v>
      </c>
      <c r="CZ5" s="312" t="str">
        <f>ТрЗ_ОП!$R$12</f>
        <v>-</v>
      </c>
      <c r="DA5" s="27">
        <f>IF(CZ5=1,IF($B$1=1,'Документы АСУТП'!DC5,IF($B$1=2,'Документы АСУТП'!DC6,IF($B$1=3,'Документы АСУТП'!DC7,'Документы АСУТП'!DC5))),0)</f>
        <v>0</v>
      </c>
      <c r="DB5" s="312" t="str">
        <f>ТрЗ_ОП!$R$12</f>
        <v>-</v>
      </c>
      <c r="DC5" s="27">
        <f>IF(DB5=1,IF($B$1=1,'Документы АСУТП'!DD5,IF($B$1=2,'Документы АСУТП'!DD6,IF($B$1=3,'Документы АСУТП'!DD7,'Документы АСУТП'!DD5))),0)</f>
        <v>0</v>
      </c>
      <c r="DD5" s="312" t="str">
        <f>ТрЗ_ОП!$R$12</f>
        <v>-</v>
      </c>
      <c r="DE5" s="27">
        <f>IF(DD5=1,IF($B$1=1,'Документы АСУТП'!DF5,IF($B$1=2,'Документы АСУТП'!DF6,IF($B$1=3,'Документы АСУТП'!DF7,'Документы АСУТП'!DF5))),0)</f>
        <v>0</v>
      </c>
      <c r="DF5" s="312" t="str">
        <f>ТрЗ_ОП!$R$12</f>
        <v>-</v>
      </c>
      <c r="DG5" s="27">
        <f>IF(DF5=1,IF($B$1=1,'Документы АСУТП'!DE5,IF($B$1=2,'Документы АСУТП'!DE6,IF($B$1=3,'Документы АСУТП'!DE7,'Документы АСУТП'!DE5))),0)</f>
        <v>0</v>
      </c>
      <c r="DH5" s="312" t="str">
        <f>ТрЗ_ОП!$R$12</f>
        <v>-</v>
      </c>
      <c r="DI5" s="27">
        <f>IF(DH5=1,IF($B$1=1,'Документы АСУТП'!DG5,IF($B$1=2,'Документы АСУТП'!DG6,IF($B$1=3,'Документы АСУТП'!DG7,'Документы АСУТП'!DG5))),0)</f>
        <v>0</v>
      </c>
      <c r="DJ5" s="312" t="str">
        <f>ТрЗ_ОП!$R$12</f>
        <v>-</v>
      </c>
      <c r="DK5" s="27">
        <f>IF(DJ5=1,IF($B$1=1,'Документы АСУТП'!DH5,IF($B$1=2,'Документы АСУТП'!DH6,IF($B$1=3,'Документы АСУТП'!DH7,'Документы АСУТП'!DH5))),0)</f>
        <v>0</v>
      </c>
      <c r="DL5" s="312" t="str">
        <f>ТрЗ_ОП!$R$12</f>
        <v>-</v>
      </c>
      <c r="DM5" s="27">
        <f>IF(DL5=1,IF($B$1=1,'Документы АСУТП'!DI5,IF($B$1=2,'Документы АСУТП'!DI6,IF($B$1=3,'Документы АСУТП'!DI7,'Документы АСУТП'!DI5))),0)</f>
        <v>0</v>
      </c>
      <c r="DN5" s="312" t="str">
        <f>ТрЗ_ОП!$R$12</f>
        <v>-</v>
      </c>
      <c r="DO5" s="27">
        <f>IF(DN5=1,IF($B$1=1,'Документы АСУТП'!DJ5,IF($B$1=2,'Документы АСУТП'!DJ6,IF($B$1=3,'Документы АСУТП'!DJ7,'Документы АСУТП'!DJ5))),0)</f>
        <v>0</v>
      </c>
      <c r="DP5" s="312" t="str">
        <f>ТрЗ_ОП!$R$12</f>
        <v>-</v>
      </c>
      <c r="DQ5" s="27">
        <f>IF(DP5=1,IF($B$1=1,'Документы АСУТП'!DK5,IF($B$1=2,'Документы АСУТП'!DK6,IF($B$1=3,'Документы АСУТП'!DK7,'Документы АСУТП'!DK5))),0)</f>
        <v>0</v>
      </c>
      <c r="DR5" s="312" t="str">
        <f>ТрЗ_ОП!$R$12</f>
        <v>-</v>
      </c>
      <c r="DS5" s="27">
        <f>IF(DR5=1,IF($B$1=1,'Документы АСУТП'!DL5,IF($B$1=2,'Документы АСУТП'!DL6,IF($B$1=3,'Документы АСУТП'!DL7,'Документы АСУТП'!DL5))),0)</f>
        <v>0</v>
      </c>
      <c r="DT5" s="312" t="str">
        <f>ТрЗ_ОП!$R$12</f>
        <v>-</v>
      </c>
      <c r="DU5" s="27">
        <f>IF(DT5=1,IF($B$1=1,'Документы АСУТП'!DM5,IF($B$1=2,'Документы АСУТП'!DM6,IF($B$1=3,'Документы АСУТП'!DM7,'Документы АСУТП'!DM5))),0)</f>
        <v>0</v>
      </c>
      <c r="DV5" s="312" t="str">
        <f>ТрЗ_ОП!$R$12</f>
        <v>-</v>
      </c>
      <c r="DW5" s="27">
        <f>IF(DV5=1,IF($B$1=1,'Документы АСУТП'!DN5,IF($B$1=2,'Документы АСУТП'!DN6,IF($B$1=3,'Документы АСУТП'!DN7,'Документы АСУТП'!DN5))),0)</f>
        <v>0</v>
      </c>
      <c r="DX5" s="312" t="str">
        <f>ТрЗ_ОП!$R$12</f>
        <v>-</v>
      </c>
      <c r="DY5" s="27">
        <f>IF(DX5=1,IF($B$1=1,'Документы АСУТП'!DO5,IF($B$1=2,'Документы АСУТП'!DO6,IF($B$1=3,'Документы АСУТП'!DO7,'Документы АСУТП'!DO5))),0)</f>
        <v>0</v>
      </c>
      <c r="DZ5" s="312" t="str">
        <f>ТрЗ_ОП!$R$12</f>
        <v>-</v>
      </c>
      <c r="EA5" s="27">
        <f>IF(DZ5=1,IF($B$1=1,'Документы АСУТП'!DP5,IF($B$1=2,'Документы АСУТП'!DP6,IF($B$1=3,'Документы АСУТП'!DP7,'Документы АСУТП'!DP5))),0)</f>
        <v>0</v>
      </c>
      <c r="EB5" s="312" t="str">
        <f>ТрЗ_ОП!$R$12</f>
        <v>-</v>
      </c>
      <c r="EC5" s="27">
        <f>IF(EB5=1,IF($B$1=1,'Документы АСУТП'!DQ5,IF($B$1=2,'Документы АСУТП'!DQ6,IF($B$1=3,'Документы АСУТП'!DQ7,'Документы АСУТП'!DQ5))),0)</f>
        <v>0</v>
      </c>
      <c r="ED5" s="312" t="str">
        <f>ТрЗ_ОП!$R$12</f>
        <v>-</v>
      </c>
      <c r="EE5" s="27">
        <f>IF(ED5=1,IF($B$1=1,'Документы АСУТП'!DR5,IF($B$1=2,'Документы АСУТП'!DR6,IF($B$1=3,'Документы АСУТП'!DR7,'Документы АСУТП'!DR5))),0)</f>
        <v>0</v>
      </c>
      <c r="EF5" s="312" t="str">
        <f>ТрЗ_ОП!$R$12</f>
        <v>-</v>
      </c>
      <c r="EG5" s="27">
        <f>IF(EF5=1,IF($B$1=1,'Документы АСУТП'!DS5,IF($B$1=2,'Документы АСУТП'!DS6,IF($B$1=3,'Документы АСУТП'!DS7,'Документы АСУТП'!DS5))),0)</f>
        <v>0</v>
      </c>
      <c r="EH5" s="312" t="str">
        <f>ТрЗ_ОП!$R$12</f>
        <v>-</v>
      </c>
      <c r="EI5" s="27">
        <f>IF(EH5=1,IF($B$1=1,'Документы АСУТП'!DT5,IF($B$1=2,'Документы АСУТП'!DT6,IF($B$1=3,'Документы АСУТП'!DT7,'Документы АСУТП'!DT5))),0)</f>
        <v>0</v>
      </c>
      <c r="EJ5" s="312" t="str">
        <f>ТрЗ_ОП!$R$12</f>
        <v>-</v>
      </c>
      <c r="EK5" s="27">
        <f>IF(EJ5=1,IF($B$1=1,'Документы АСУТП'!DU5,IF($B$1=2,'Документы АСУТП'!DU6,IF($B$1=3,'Документы АСУТП'!DU7,'Документы АСУТП'!DU5))),0)</f>
        <v>0</v>
      </c>
      <c r="EL5" s="312" t="str">
        <f>ТрЗ_ОП!$R$12</f>
        <v>-</v>
      </c>
      <c r="EM5" s="27">
        <f>IF(EL5=1,IF($B$1=1,'Документы АСУТП'!DV5,IF($B$1=2,'Документы АСУТП'!DV6,IF($B$1=3,'Документы АСУТП'!DV7,'Документы АСУТП'!DV5))),0)</f>
        <v>0</v>
      </c>
      <c r="EN5" s="312" t="str">
        <f>ТрЗ_ОП!$R$12</f>
        <v>-</v>
      </c>
      <c r="EO5" s="27">
        <f>IF(EN5=1,IF($B$1=1,'Документы АСУТП'!DW5,IF($B$1=2,'Документы АСУТП'!DW6,IF($B$1=3,'Документы АСУТП'!DW7,'Документы АСУТП'!DW5))),0)</f>
        <v>0</v>
      </c>
      <c r="EP5" s="312" t="str">
        <f>ТрЗ_ОП!$R$12</f>
        <v>-</v>
      </c>
      <c r="EQ5" s="27">
        <f>IF(EP5=1,IF($B$1=1,'Документы АСУТП'!DX5,IF($B$1=2,'Документы АСУТП'!DX6,IF($B$1=3,'Документы АСУТП'!DX7,'Документы АСУТП'!DX5))),0)</f>
        <v>0</v>
      </c>
      <c r="ER5" s="312" t="str">
        <f>ТрЗ_ОП!$R$12</f>
        <v>-</v>
      </c>
      <c r="ES5" s="27">
        <f>IF(ER5=1,IF($B$1=1,'Документы АСУТП'!DY5,IF($B$1=2,'Документы АСУТП'!DY6,IF($B$1=3,'Документы АСУТП'!DY7,'Документы АСУТП'!DY5))),0)</f>
        <v>0</v>
      </c>
      <c r="ET5" s="312" t="str">
        <f>ТрЗ_ОП!$R$12</f>
        <v>-</v>
      </c>
      <c r="EU5" s="771">
        <f>IF(ET5=1,IF($B$1=1,'Документы АСУТП'!DZ5,IF($B$1=2,'Документы АСУТП'!DZ6,IF($B$1=3,'Документы АСУТП'!DZ7,'Документы АСУТП'!DZ5))),0)</f>
        <v>0</v>
      </c>
      <c r="EV5" s="794">
        <f>B5*$CO5+E5*$CQ5+H5*$CS5+K5*$CU5+N5*$CW5+Q5*$CY5+T5*$DA5+W5*$DC5+Z5*$DE5+AC5*$DG5+AF5*$DI5+AI5*$DK5+AL5*$DM5+AO5*$DO5+AR5*$DQ5+AU5*$DS5+AX5*$DU5+BA5*$DW5+BD5*$DY5+BG5*$EA5+BJ5*$EC5+BM5*$EE5+BP5*$EG5+BS5*$EI5+BV5*$EK5+BY5*$EM5+CB5*$EO5+CE5*$EQ5+CH5*$ES5+$CK5*$EU5</f>
        <v>0</v>
      </c>
      <c r="EW5" s="796">
        <f>C5*$CO5+F5*$CQ5+I5*$CS5+L5*$CU5+O5*$CW5+R5*$CY5+U5*$DA5+X5*$DC5+AA5*$DE5+AD5*$DG5+AG5*$DI5+AJ5*$DK5+AM5*$DM5+AP5*$DO5+AS5*$DQ5+AV5*$DS5+AY5*$DU5+BB5*$DW5+BE5*$DY5+BH5*$EA5+BK5*$EC5+BN5*$EE5+BQ5*$EG5+BT5*$EI5+BW5*$EK5+BZ5*$EM5+CC5*$EO5+CF5*$EQ5+CI5*$ES5+$CK5*$EU5</f>
        <v>0</v>
      </c>
      <c r="EX5" s="796">
        <f>D5*$CO5+G5*$CQ5+J5*$CS5+M5*$CU5+P5*$CW5+S5*$CY5+V5*$DA5+Y5*$DC5+AB5*$DE5+AE5*$DG5+AH5*$DI5+AK5*$DK5+AN5*$DM5+AQ5*$DO5+AT5*$DQ5+AW5*$DS5+AZ5*$DU5+BC5*$DW5+BF5*$DY5+BI5*$EA5+BL5*$EC5+BO5*$EE5+BR5*$EG5+BU5*$EI5+BX5*$EK5+CA5*$EM5+CD5*$EO5+CG5*$EQ5+CJ5*$ES5+$CK5*$EU5</f>
        <v>0</v>
      </c>
      <c r="EY5" s="796">
        <f>SUM(EV5:EX5)*0.05</f>
        <v>0</v>
      </c>
      <c r="EZ5" s="795">
        <f>SUM(EV5:EY5)</f>
        <v>0</v>
      </c>
    </row>
    <row r="6" spans="1:156" ht="15.75" x14ac:dyDescent="0.25">
      <c r="A6" s="382" t="s">
        <v>449</v>
      </c>
      <c r="B6" s="84">
        <v>0.7</v>
      </c>
      <c r="C6" s="47">
        <v>0.2</v>
      </c>
      <c r="D6" s="85">
        <v>0.1</v>
      </c>
      <c r="E6" s="84">
        <v>0.7</v>
      </c>
      <c r="F6" s="47">
        <v>0.2</v>
      </c>
      <c r="G6" s="85">
        <v>0.1</v>
      </c>
      <c r="H6" s="84">
        <v>0.7</v>
      </c>
      <c r="I6" s="47">
        <v>0.2</v>
      </c>
      <c r="J6" s="85">
        <v>0.1</v>
      </c>
      <c r="K6" s="84">
        <v>0.7</v>
      </c>
      <c r="L6" s="47">
        <v>0.2</v>
      </c>
      <c r="M6" s="85">
        <v>0.1</v>
      </c>
      <c r="N6" s="84">
        <v>0.7</v>
      </c>
      <c r="O6" s="47">
        <v>0.2</v>
      </c>
      <c r="P6" s="85">
        <v>0.1</v>
      </c>
      <c r="Q6" s="84">
        <v>0.7</v>
      </c>
      <c r="R6" s="47">
        <v>0.2</v>
      </c>
      <c r="S6" s="85">
        <v>0.1</v>
      </c>
      <c r="T6" s="84">
        <v>0.7</v>
      </c>
      <c r="U6" s="47">
        <v>0.2</v>
      </c>
      <c r="V6" s="85">
        <v>0.1</v>
      </c>
      <c r="W6" s="84">
        <v>0.7</v>
      </c>
      <c r="X6" s="47">
        <v>0.2</v>
      </c>
      <c r="Y6" s="85">
        <v>0.1</v>
      </c>
      <c r="Z6" s="84">
        <v>0.7</v>
      </c>
      <c r="AA6" s="47">
        <v>0.2</v>
      </c>
      <c r="AB6" s="85">
        <v>0.1</v>
      </c>
      <c r="AC6" s="84">
        <v>0.7</v>
      </c>
      <c r="AD6" s="47">
        <v>0.2</v>
      </c>
      <c r="AE6" s="85">
        <v>0.1</v>
      </c>
      <c r="AF6" s="84">
        <v>0.7</v>
      </c>
      <c r="AG6" s="47">
        <v>0.2</v>
      </c>
      <c r="AH6" s="85">
        <v>0.1</v>
      </c>
      <c r="AI6" s="84">
        <v>0.7</v>
      </c>
      <c r="AJ6" s="47">
        <v>0.2</v>
      </c>
      <c r="AK6" s="85">
        <v>0.1</v>
      </c>
      <c r="AL6" s="84">
        <v>0.7</v>
      </c>
      <c r="AM6" s="47">
        <v>0.2</v>
      </c>
      <c r="AN6" s="85">
        <v>0.1</v>
      </c>
      <c r="AO6" s="84">
        <v>0.7</v>
      </c>
      <c r="AP6" s="47">
        <v>0.2</v>
      </c>
      <c r="AQ6" s="85">
        <v>0.1</v>
      </c>
      <c r="AR6" s="84">
        <v>0.7</v>
      </c>
      <c r="AS6" s="47">
        <v>0.2</v>
      </c>
      <c r="AT6" s="85">
        <v>0.1</v>
      </c>
      <c r="AU6" s="84">
        <v>0.7</v>
      </c>
      <c r="AV6" s="47">
        <v>0.2</v>
      </c>
      <c r="AW6" s="85">
        <v>0.1</v>
      </c>
      <c r="AX6" s="84">
        <v>0.7</v>
      </c>
      <c r="AY6" s="47">
        <v>0.2</v>
      </c>
      <c r="AZ6" s="85">
        <v>0.1</v>
      </c>
      <c r="BA6" s="84">
        <v>0.7</v>
      </c>
      <c r="BB6" s="47">
        <v>0.2</v>
      </c>
      <c r="BC6" s="85">
        <v>0.1</v>
      </c>
      <c r="BD6" s="84">
        <v>0.7</v>
      </c>
      <c r="BE6" s="47">
        <v>0.2</v>
      </c>
      <c r="BF6" s="85">
        <v>0.1</v>
      </c>
      <c r="BG6" s="84">
        <v>0.7</v>
      </c>
      <c r="BH6" s="47">
        <v>0.2</v>
      </c>
      <c r="BI6" s="85">
        <v>0.1</v>
      </c>
      <c r="BJ6" s="84">
        <v>0.7</v>
      </c>
      <c r="BK6" s="47">
        <v>0.2</v>
      </c>
      <c r="BL6" s="85">
        <v>0.1</v>
      </c>
      <c r="BM6" s="84">
        <v>0.7</v>
      </c>
      <c r="BN6" s="47">
        <v>0.2</v>
      </c>
      <c r="BO6" s="85">
        <v>0.1</v>
      </c>
      <c r="BP6" s="84">
        <v>0.7</v>
      </c>
      <c r="BQ6" s="47">
        <v>0.2</v>
      </c>
      <c r="BR6" s="85">
        <v>0.1</v>
      </c>
      <c r="BS6" s="84">
        <v>0.7</v>
      </c>
      <c r="BT6" s="47">
        <v>0.2</v>
      </c>
      <c r="BU6" s="85">
        <v>0.1</v>
      </c>
      <c r="BV6" s="84">
        <v>0.7</v>
      </c>
      <c r="BW6" s="47">
        <v>0.2</v>
      </c>
      <c r="BX6" s="85">
        <v>0.1</v>
      </c>
      <c r="BY6" s="84">
        <v>0.7</v>
      </c>
      <c r="BZ6" s="47">
        <v>0.2</v>
      </c>
      <c r="CA6" s="85">
        <v>0.1</v>
      </c>
      <c r="CB6" s="84">
        <v>0.7</v>
      </c>
      <c r="CC6" s="47">
        <v>0.2</v>
      </c>
      <c r="CD6" s="85">
        <v>0.1</v>
      </c>
      <c r="CE6" s="84">
        <v>0.7</v>
      </c>
      <c r="CF6" s="47">
        <v>0.2</v>
      </c>
      <c r="CG6" s="85">
        <v>0.1</v>
      </c>
      <c r="CH6" s="84">
        <v>0.7</v>
      </c>
      <c r="CI6" s="47">
        <v>0.2</v>
      </c>
      <c r="CJ6" s="85">
        <v>0.1</v>
      </c>
      <c r="CK6" s="84">
        <v>0.7</v>
      </c>
      <c r="CL6" s="47">
        <v>0.2</v>
      </c>
      <c r="CM6" s="85">
        <v>0.1</v>
      </c>
      <c r="CN6" s="312">
        <f>ТрЗ_ОП!$R$13</f>
        <v>0</v>
      </c>
      <c r="CO6" s="27">
        <f>IF(CN6=1,IF($B$1=1,'Документы АСУТП'!CW8,IF($B$1=2,'Документы АСУТП'!CW9,IF($B$1=3,'Документы АСУТП'!CW10,'Документы АСУТП'!CW8))),0)</f>
        <v>0</v>
      </c>
      <c r="CP6" s="312">
        <f>ТрЗ_ОП!$R$13</f>
        <v>0</v>
      </c>
      <c r="CQ6" s="27">
        <f>IF(CP6=1,IF($B$1=1,'Документы АСУТП'!CX8,IF($B$1=2,'Документы АСУТП'!CX9,IF($B$1=3,'Документы АСУТП'!CX10,'Документы АСУТП'!CX8))),0)</f>
        <v>0</v>
      </c>
      <c r="CR6" s="312">
        <f>ТрЗ_ОП!$R$13</f>
        <v>0</v>
      </c>
      <c r="CS6" s="27">
        <f>IF(CR6=1,IF($B$1=1,'Документы АСУТП'!CY8,IF($B$1=2,'Документы АСУТП'!CY9,IF($B$1=3,'Документы АСУТП'!CY10,'Документы АСУТП'!CY8))),0)</f>
        <v>0</v>
      </c>
      <c r="CT6" s="312">
        <f>ТрЗ_ОП!$R$13</f>
        <v>0</v>
      </c>
      <c r="CU6" s="27">
        <f>IF(CT6=1,IF($B$1=1,'Документы АСУТП'!CZ8,IF($B$1=2,'Документы АСУТП'!CZ9,IF($B$1=3,'Документы АСУТП'!CZ10,'Документы АСУТП'!CZ8))),0)</f>
        <v>0</v>
      </c>
      <c r="CV6" s="312">
        <f>ТрЗ_ОП!$R$13</f>
        <v>0</v>
      </c>
      <c r="CW6" s="27">
        <f>IF(CV6=1,IF($B$1=1,'Документы АСУТП'!DA8,IF($B$1=2,'Документы АСУТП'!DA9,IF($B$1=3,'Документы АСУТП'!DA10,'Документы АСУТП'!DA8))),0)</f>
        <v>0</v>
      </c>
      <c r="CX6" s="312">
        <f>ТрЗ_ОП!$R$13</f>
        <v>0</v>
      </c>
      <c r="CY6" s="27">
        <f>IF(CX6=1,IF($B$1=1,'Документы АСУТП'!DB8,IF($B$1=2,'Документы АСУТП'!DB9,IF($B$1=3,'Документы АСУТП'!DB10,'Документы АСУТП'!DB8))),0)</f>
        <v>0</v>
      </c>
      <c r="CZ6" s="312">
        <f>ТрЗ_ОП!$R$13</f>
        <v>0</v>
      </c>
      <c r="DA6" s="27">
        <f>IF(CZ6=1,IF($B$1=1,'Документы АСУТП'!DC8,IF($B$1=2,'Документы АСУТП'!DC9,IF($B$1=3,'Документы АСУТП'!DC10,'Документы АСУТП'!DC8))),0)</f>
        <v>0</v>
      </c>
      <c r="DB6" s="312">
        <f>ТрЗ_ОП!$R$13</f>
        <v>0</v>
      </c>
      <c r="DC6" s="27">
        <f>IF(DB6=1,IF($B$1=1,'Документы АСУТП'!DD8,IF($B$1=2,'Документы АСУТП'!DD9,IF($B$1=3,'Документы АСУТП'!DD10,'Документы АСУТП'!DD8))),0)</f>
        <v>0</v>
      </c>
      <c r="DD6" s="312">
        <f>ТрЗ_ОП!$R$13</f>
        <v>0</v>
      </c>
      <c r="DE6" s="27">
        <f>IF(DD6=1,IF($B$1=1,'Документы АСУТП'!DF8,IF($B$1=2,'Документы АСУТП'!DF9,IF($B$1=3,'Документы АСУТП'!DF10,'Документы АСУТП'!DF8))),0)</f>
        <v>0</v>
      </c>
      <c r="DF6" s="312">
        <f>ТрЗ_ОП!$R$13</f>
        <v>0</v>
      </c>
      <c r="DG6" s="27">
        <f>IF(DF6=1,IF($B$1=1,'Документы АСУТП'!DE8,IF($B$1=2,'Документы АСУТП'!DE9,IF($B$1=3,'Документы АСУТП'!DE10,'Документы АСУТП'!DE8))),0)</f>
        <v>0</v>
      </c>
      <c r="DH6" s="312">
        <f>ТрЗ_ОП!$R$13</f>
        <v>0</v>
      </c>
      <c r="DI6" s="27">
        <f>IF(DH6=1,IF($B$1=1,'Документы АСУТП'!DG8,IF($B$1=2,'Документы АСУТП'!DG9,IF($B$1=3,'Документы АСУТП'!DG10,'Документы АСУТП'!DG8))),0)</f>
        <v>0</v>
      </c>
      <c r="DJ6" s="312">
        <f>ТрЗ_ОП!$R$13</f>
        <v>0</v>
      </c>
      <c r="DK6" s="27">
        <f>IF(DJ6=1,IF($B$1=1,'Документы АСУТП'!DH8,IF($B$1=2,'Документы АСУТП'!DH9,IF($B$1=3,'Документы АСУТП'!DH10,'Документы АСУТП'!DH8))),0)</f>
        <v>0</v>
      </c>
      <c r="DL6" s="312">
        <f>ТрЗ_ОП!$R$13</f>
        <v>0</v>
      </c>
      <c r="DM6" s="27">
        <f>IF(DL6=1,IF($B$1=1,'Документы АСУТП'!DI8,IF($B$1=2,'Документы АСУТП'!DI9,IF($B$1=3,'Документы АСУТП'!DI10,'Документы АСУТП'!DI8))),0)</f>
        <v>0</v>
      </c>
      <c r="DN6" s="312">
        <f>ТрЗ_ОП!$R$13</f>
        <v>0</v>
      </c>
      <c r="DO6" s="27">
        <f>IF(DN6=1,IF($B$1=1,'Документы АСУТП'!DJ8,IF($B$1=2,'Документы АСУТП'!DJ9,IF($B$1=3,'Документы АСУТП'!DJ10,'Документы АСУТП'!DJ8))),0)</f>
        <v>0</v>
      </c>
      <c r="DP6" s="312">
        <f>ТрЗ_ОП!$R$13</f>
        <v>0</v>
      </c>
      <c r="DQ6" s="27">
        <f>IF(DP6=1,IF($B$1=1,'Документы АСУТП'!DK8,IF($B$1=2,'Документы АСУТП'!DK9,IF($B$1=3,'Документы АСУТП'!DK10,'Документы АСУТП'!DK8))),0)</f>
        <v>0</v>
      </c>
      <c r="DR6" s="312">
        <f>ТрЗ_ОП!$R$13</f>
        <v>0</v>
      </c>
      <c r="DS6" s="27">
        <f>IF(DR6=1,IF($B$1=1,'Документы АСУТП'!DL8,IF($B$1=2,'Документы АСУТП'!DL9,IF($B$1=3,'Документы АСУТП'!DL10,'Документы АСУТП'!DL8))),0)</f>
        <v>0</v>
      </c>
      <c r="DT6" s="312">
        <f>ТрЗ_ОП!$R$13</f>
        <v>0</v>
      </c>
      <c r="DU6" s="27">
        <f>IF(DT6=1,IF($B$1=1,'Документы АСУТП'!DM8,IF($B$1=2,'Документы АСУТП'!DM9,IF($B$1=3,'Документы АСУТП'!DM10,'Документы АСУТП'!DM8))),0)</f>
        <v>0</v>
      </c>
      <c r="DV6" s="312">
        <f>ТрЗ_ОП!$R$13</f>
        <v>0</v>
      </c>
      <c r="DW6" s="27">
        <f>IF(DV6=1,IF($B$1=1,'Документы АСУТП'!DN8,IF($B$1=2,'Документы АСУТП'!DN9,IF($B$1=3,'Документы АСУТП'!DN10,'Документы АСУТП'!DN8))),0)</f>
        <v>0</v>
      </c>
      <c r="DX6" s="312">
        <f>ТрЗ_ОП!$R$13</f>
        <v>0</v>
      </c>
      <c r="DY6" s="27">
        <f>IF(DX6=1,IF($B$1=1,'Документы АСУТП'!DO8,IF($B$1=2,'Документы АСУТП'!DO9,IF($B$1=3,'Документы АСУТП'!DO10,'Документы АСУТП'!DO8))),0)</f>
        <v>0</v>
      </c>
      <c r="DZ6" s="312">
        <f>ТрЗ_ОП!$R$13</f>
        <v>0</v>
      </c>
      <c r="EA6" s="27">
        <f>IF(DZ6=1,IF($B$1=1,'Документы АСУТП'!DP8,IF($B$1=2,'Документы АСУТП'!DP9,IF($B$1=3,'Документы АСУТП'!DP10,'Документы АСУТП'!DP8))),0)</f>
        <v>0</v>
      </c>
      <c r="EB6" s="312">
        <f>ТрЗ_ОП!$R$13</f>
        <v>0</v>
      </c>
      <c r="EC6" s="27">
        <f>IF(EB6=1,IF($B$1=1,'Документы АСУТП'!DQ8,IF($B$1=2,'Документы АСУТП'!DQ9,IF($B$1=3,'Документы АСУТП'!DQ10,'Документы АСУТП'!DQ8))),0)</f>
        <v>0</v>
      </c>
      <c r="ED6" s="312">
        <f>ТрЗ_ОП!$R$13</f>
        <v>0</v>
      </c>
      <c r="EE6" s="27">
        <f>IF(ED6=1,IF($B$1=1,'Документы АСУТП'!DR8,IF($B$1=2,'Документы АСУТП'!DR9,IF($B$1=3,'Документы АСУТП'!DR10,'Документы АСУТП'!DR8))),0)</f>
        <v>0</v>
      </c>
      <c r="EF6" s="312">
        <f>ТрЗ_ОП!$R$13</f>
        <v>0</v>
      </c>
      <c r="EG6" s="27">
        <f>IF(EF6=1,IF($B$1=1,'Документы АСУТП'!DS8,IF($B$1=2,'Документы АСУТП'!DS9,IF($B$1=3,'Документы АСУТП'!DS10,'Документы АСУТП'!DS8))),0)</f>
        <v>0</v>
      </c>
      <c r="EH6" s="312">
        <f>ТрЗ_ОП!$R$13</f>
        <v>0</v>
      </c>
      <c r="EI6" s="27">
        <f>IF(EH6=1,IF($B$1=1,'Документы АСУТП'!DT8,IF($B$1=2,'Документы АСУТП'!DT9,IF($B$1=3,'Документы АСУТП'!DT10,'Документы АСУТП'!DT8))),0)</f>
        <v>0</v>
      </c>
      <c r="EJ6" s="312">
        <f>ТрЗ_ОП!$R$13</f>
        <v>0</v>
      </c>
      <c r="EK6" s="27">
        <f>IF(EJ6=1,IF($B$1=1,'Документы АСУТП'!DU8,IF($B$1=2,'Документы АСУТП'!DU9,IF($B$1=3,'Документы АСУТП'!DU10,'Документы АСУТП'!DU8))),0)</f>
        <v>0</v>
      </c>
      <c r="EL6" s="312">
        <f>ТрЗ_ОП!$R$13</f>
        <v>0</v>
      </c>
      <c r="EM6" s="27">
        <f>IF(EL6=1,IF($B$1=1,'Документы АСУТП'!DV8,IF($B$1=2,'Документы АСУТП'!DV9,IF($B$1=3,'Документы АСУТП'!DV10,'Документы АСУТП'!DV8))),0)</f>
        <v>0</v>
      </c>
      <c r="EN6" s="312">
        <f>ТрЗ_ОП!$R$13</f>
        <v>0</v>
      </c>
      <c r="EO6" s="27">
        <f>IF(EN6=1,IF($B$1=1,'Документы АСУТП'!DW8,IF($B$1=2,'Документы АСУТП'!DW9,IF($B$1=3,'Документы АСУТП'!DW10,'Документы АСУТП'!DW8))),0)</f>
        <v>0</v>
      </c>
      <c r="EP6" s="312">
        <f>ТрЗ_ОП!$R$13</f>
        <v>0</v>
      </c>
      <c r="EQ6" s="27">
        <f>IF(EP6=1,IF($B$1=1,'Документы АСУТП'!DX8,IF($B$1=2,'Документы АСУТП'!DX9,IF($B$1=3,'Документы АСУТП'!DX10,'Документы АСУТП'!DX8))),0)</f>
        <v>0</v>
      </c>
      <c r="ER6" s="312">
        <f>ТрЗ_ОП!$R$13</f>
        <v>0</v>
      </c>
      <c r="ES6" s="27">
        <f>IF(ER6=1,IF($B$1=1,'Документы АСУТП'!DY8,IF($B$1=2,'Документы АСУТП'!DY9,IF($B$1=3,'Документы АСУТП'!DY10,'Документы АСУТП'!DY8))),0)</f>
        <v>0</v>
      </c>
      <c r="ET6" s="312">
        <f>ТрЗ_ОП!$R$13</f>
        <v>0</v>
      </c>
      <c r="EU6" s="771">
        <f>IF(ET6=1,IF($B$1=1,'Документы АСУТП'!DZ8,IF($B$1=2,'Документы АСУТП'!DZ9,IF($B$1=3,'Документы АСУТП'!DZ10,'Документы АСУТП'!DZ8))),0)</f>
        <v>0</v>
      </c>
      <c r="EV6" s="794">
        <f>B6*$CO6+E6*$CQ6+H6*$CS6+K6*$CU6+N6*$CW6+Q6*$CY6+T6*$DA6+W6*$DC6+Z6*$DE6+AC6*$DG6+AF6*$DI6+AI6*$DK6+AL6*$DM6+AO6*$DO6+AR6*$DQ6+AU6*$DS6+AX6*$DU6+BA6*$DW6+BD6*$DY6+BG6*$EA6+BJ6*$EC6+BM6*$EE6+BP6*$EG6+BS6*$EI6+BV6*$EK6+BY6*$EM6+CB6*$EO6+CE6*$EQ6+CH6*$ES6+$CK6*$EU6</f>
        <v>0</v>
      </c>
      <c r="EW6" s="796">
        <f>C6*$CO6+F6*$CQ6+I6*$CS6+L6*$CU6+O6*$CW6+R6*$CY6+U6*$DA6+X6*$DC6+AA6*$DE6+AD6*$DG6+AG6*$DI6+AJ6*$DK6+AM6*$DM6+AP6*$DO6+AS6*$DQ6+AV6*$DS6+AY6*$DU6+BB6*$DW6+BE6*$DY6+BH6*$EA6+BK6*$EC6+BN6*$EE6+BQ6*$EG6+BT6*$EI6+BW6*$EK6+BZ6*$EM6+CC6*$EO6+CF6*$EQ6+CI6*$ES6+$CL6*$EU6</f>
        <v>0</v>
      </c>
      <c r="EX6" s="796">
        <f>D6*$CO6+G6*$CQ6+J6*$CS6+M6*$CU6+P6*$CW6+S6*$CY6+V6*$DA6+Y6*$DC6+AB6*$DE6+AE6*$DG6+AH6*$DI6+AK6*$DK6+AN6*$DM6+AQ6*$DO6+AT6*$DQ6+AW6*$DS6+AZ6*$DU6+BC6*$DW6+BF6*$DY6+BI6*$EA6+BL6*$EC6+BO6*$EE6+BR6*$EG6+BU6*$EI6+BX6*$EK6+CA6*$EM6+CD6*$EO6+CG6*$EQ6+CJ6*$ES6+$CM6*$EU6</f>
        <v>0</v>
      </c>
      <c r="EY6" s="796">
        <f t="shared" ref="EY6:EY41" si="0">SUM(EV6:EX6)*0.05</f>
        <v>0</v>
      </c>
      <c r="EZ6" s="795">
        <f t="shared" ref="EZ6:EZ41" si="1">SUM(EV6:EY6)</f>
        <v>0</v>
      </c>
    </row>
    <row r="7" spans="1:156" ht="15.75" x14ac:dyDescent="0.25">
      <c r="A7" s="1" t="s">
        <v>1</v>
      </c>
      <c r="B7" s="4"/>
      <c r="C7" s="311"/>
      <c r="D7" s="5"/>
      <c r="E7" s="4"/>
      <c r="F7" s="311"/>
      <c r="G7" s="5"/>
      <c r="H7" s="4"/>
      <c r="I7" s="311"/>
      <c r="J7" s="5"/>
      <c r="K7" s="4"/>
      <c r="L7" s="311"/>
      <c r="M7" s="5"/>
      <c r="N7" s="4"/>
      <c r="O7" s="311"/>
      <c r="P7" s="5"/>
      <c r="Q7" s="4"/>
      <c r="R7" s="311"/>
      <c r="S7" s="5"/>
      <c r="T7" s="4"/>
      <c r="U7" s="311"/>
      <c r="V7" s="5"/>
      <c r="W7" s="4"/>
      <c r="X7" s="311"/>
      <c r="Y7" s="5"/>
      <c r="Z7" s="4"/>
      <c r="AA7" s="311"/>
      <c r="AB7" s="5"/>
      <c r="AC7" s="4"/>
      <c r="AD7" s="311"/>
      <c r="AE7" s="5"/>
      <c r="AF7" s="4"/>
      <c r="AG7" s="311"/>
      <c r="AH7" s="5"/>
      <c r="AI7" s="4"/>
      <c r="AJ7" s="311"/>
      <c r="AK7" s="5"/>
      <c r="AL7" s="4"/>
      <c r="AM7" s="311"/>
      <c r="AN7" s="5"/>
      <c r="AO7" s="4"/>
      <c r="AP7" s="311"/>
      <c r="AQ7" s="5"/>
      <c r="AR7" s="4"/>
      <c r="AS7" s="311"/>
      <c r="AT7" s="5"/>
      <c r="AU7" s="4"/>
      <c r="AV7" s="311"/>
      <c r="AW7" s="5"/>
      <c r="AX7" s="4"/>
      <c r="AY7" s="311"/>
      <c r="AZ7" s="5"/>
      <c r="BA7" s="4"/>
      <c r="BB7" s="311"/>
      <c r="BC7" s="5"/>
      <c r="BD7" s="4"/>
      <c r="BE7" s="311"/>
      <c r="BF7" s="5"/>
      <c r="BG7" s="4"/>
      <c r="BH7" s="311"/>
      <c r="BI7" s="5"/>
      <c r="BJ7" s="4"/>
      <c r="BK7" s="311"/>
      <c r="BL7" s="5"/>
      <c r="BM7" s="4"/>
      <c r="BN7" s="311"/>
      <c r="BO7" s="5"/>
      <c r="BP7" s="4"/>
      <c r="BQ7" s="311"/>
      <c r="BR7" s="5"/>
      <c r="BS7" s="4"/>
      <c r="BT7" s="311"/>
      <c r="BU7" s="5"/>
      <c r="BV7" s="4"/>
      <c r="BW7" s="311"/>
      <c r="BX7" s="5"/>
      <c r="BY7" s="4"/>
      <c r="BZ7" s="311"/>
      <c r="CA7" s="5"/>
      <c r="CB7" s="4"/>
      <c r="CC7" s="311"/>
      <c r="CD7" s="5"/>
      <c r="CE7" s="4"/>
      <c r="CF7" s="311"/>
      <c r="CG7" s="5"/>
      <c r="CH7" s="4"/>
      <c r="CI7" s="311"/>
      <c r="CJ7" s="5"/>
      <c r="CK7" s="4"/>
      <c r="CL7" s="311"/>
      <c r="CM7" s="5"/>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773"/>
      <c r="ER7" s="6"/>
      <c r="ES7" s="6"/>
      <c r="ET7" s="6"/>
      <c r="EU7" s="775"/>
      <c r="EV7" s="1566"/>
      <c r="EW7" s="1564"/>
      <c r="EX7" s="1564"/>
      <c r="EY7" s="1564"/>
      <c r="EZ7" s="1565"/>
    </row>
    <row r="8" spans="1:156" ht="15.75" x14ac:dyDescent="0.25">
      <c r="A8" s="382" t="s">
        <v>2</v>
      </c>
      <c r="B8" s="84">
        <v>0.7</v>
      </c>
      <c r="C8" s="47">
        <v>0.25</v>
      </c>
      <c r="D8" s="85">
        <v>0.05</v>
      </c>
      <c r="E8" s="84">
        <v>0.5</v>
      </c>
      <c r="F8" s="47">
        <v>0.3</v>
      </c>
      <c r="G8" s="85">
        <v>0.2</v>
      </c>
      <c r="H8" s="84">
        <v>0.7</v>
      </c>
      <c r="I8" s="47">
        <v>0.25</v>
      </c>
      <c r="J8" s="85">
        <v>0.05</v>
      </c>
      <c r="K8" s="84">
        <v>0.6</v>
      </c>
      <c r="L8" s="47">
        <v>0.3</v>
      </c>
      <c r="M8" s="85">
        <v>0.1</v>
      </c>
      <c r="N8" s="84">
        <v>0.5</v>
      </c>
      <c r="O8" s="47">
        <v>0.3</v>
      </c>
      <c r="P8" s="85">
        <v>0.2</v>
      </c>
      <c r="Q8" s="84">
        <v>0.6</v>
      </c>
      <c r="R8" s="47">
        <v>0.3</v>
      </c>
      <c r="S8" s="85">
        <v>0.1</v>
      </c>
      <c r="T8" s="84">
        <v>0.7</v>
      </c>
      <c r="U8" s="47">
        <v>0.25</v>
      </c>
      <c r="V8" s="85">
        <v>0.05</v>
      </c>
      <c r="W8" s="84">
        <v>0.6</v>
      </c>
      <c r="X8" s="47">
        <v>0.3</v>
      </c>
      <c r="Y8" s="85">
        <v>0.1</v>
      </c>
      <c r="Z8" s="84">
        <v>0.6</v>
      </c>
      <c r="AA8" s="47">
        <v>0.3</v>
      </c>
      <c r="AB8" s="85">
        <v>0.1</v>
      </c>
      <c r="AC8" s="84">
        <v>0.4</v>
      </c>
      <c r="AD8" s="47">
        <v>0.3</v>
      </c>
      <c r="AE8" s="85">
        <v>0.3</v>
      </c>
      <c r="AF8" s="84">
        <v>0.6</v>
      </c>
      <c r="AG8" s="47">
        <v>0.3</v>
      </c>
      <c r="AH8" s="85">
        <v>0.1</v>
      </c>
      <c r="AI8" s="84">
        <v>0.5</v>
      </c>
      <c r="AJ8" s="47">
        <v>0.3</v>
      </c>
      <c r="AK8" s="85">
        <v>0.2</v>
      </c>
      <c r="AL8" s="84">
        <v>0.4</v>
      </c>
      <c r="AM8" s="47">
        <v>0.3</v>
      </c>
      <c r="AN8" s="85">
        <v>0.3</v>
      </c>
      <c r="AO8" s="84">
        <v>0.4</v>
      </c>
      <c r="AP8" s="47">
        <v>0.3</v>
      </c>
      <c r="AQ8" s="85">
        <v>0.3</v>
      </c>
      <c r="AR8" s="84">
        <v>0.5</v>
      </c>
      <c r="AS8" s="47">
        <v>0.3</v>
      </c>
      <c r="AT8" s="85">
        <v>0.2</v>
      </c>
      <c r="AU8" s="84">
        <v>0.5</v>
      </c>
      <c r="AV8" s="47">
        <v>0.3</v>
      </c>
      <c r="AW8" s="85">
        <v>0.2</v>
      </c>
      <c r="AX8" s="84">
        <v>0.4</v>
      </c>
      <c r="AY8" s="47">
        <v>0.3</v>
      </c>
      <c r="AZ8" s="85">
        <v>0.3</v>
      </c>
      <c r="BA8" s="84">
        <v>0.5</v>
      </c>
      <c r="BB8" s="47">
        <v>0.3</v>
      </c>
      <c r="BC8" s="85">
        <v>0.2</v>
      </c>
      <c r="BD8" s="84">
        <v>0.5</v>
      </c>
      <c r="BE8" s="47">
        <v>0.3</v>
      </c>
      <c r="BF8" s="85">
        <v>0.2</v>
      </c>
      <c r="BG8" s="84">
        <v>0.5</v>
      </c>
      <c r="BH8" s="47">
        <v>0.3</v>
      </c>
      <c r="BI8" s="85">
        <v>0.2</v>
      </c>
      <c r="BJ8" s="84">
        <v>0.4</v>
      </c>
      <c r="BK8" s="47">
        <v>0.3</v>
      </c>
      <c r="BL8" s="85">
        <v>0.3</v>
      </c>
      <c r="BM8" s="84">
        <v>0.4</v>
      </c>
      <c r="BN8" s="47">
        <v>0.3</v>
      </c>
      <c r="BO8" s="85">
        <v>0.3</v>
      </c>
      <c r="BP8" s="84">
        <v>0.4</v>
      </c>
      <c r="BQ8" s="47">
        <v>0.3</v>
      </c>
      <c r="BR8" s="85">
        <v>0.3</v>
      </c>
      <c r="BS8" s="84">
        <v>0.5</v>
      </c>
      <c r="BT8" s="47">
        <v>0.3</v>
      </c>
      <c r="BU8" s="85">
        <v>0.2</v>
      </c>
      <c r="BV8" s="84">
        <v>0.5</v>
      </c>
      <c r="BW8" s="47">
        <v>0.3</v>
      </c>
      <c r="BX8" s="85">
        <v>0.2</v>
      </c>
      <c r="BY8" s="84">
        <v>0.4</v>
      </c>
      <c r="BZ8" s="47">
        <v>0.3</v>
      </c>
      <c r="CA8" s="85">
        <v>0.3</v>
      </c>
      <c r="CB8" s="84">
        <v>0.5</v>
      </c>
      <c r="CC8" s="47">
        <v>0.3</v>
      </c>
      <c r="CD8" s="85">
        <v>0.2</v>
      </c>
      <c r="CE8" s="84">
        <v>0.5</v>
      </c>
      <c r="CF8" s="47">
        <v>0.3</v>
      </c>
      <c r="CG8" s="85">
        <v>0.2</v>
      </c>
      <c r="CH8" s="84">
        <v>0.4</v>
      </c>
      <c r="CI8" s="47">
        <v>0.3</v>
      </c>
      <c r="CJ8" s="85">
        <v>0.3</v>
      </c>
      <c r="CK8" s="84">
        <v>0.4</v>
      </c>
      <c r="CL8" s="47">
        <v>0.3</v>
      </c>
      <c r="CM8" s="85">
        <v>0.3</v>
      </c>
      <c r="CN8" s="312">
        <f>ТрЗ_ОП!$R$15</f>
        <v>0</v>
      </c>
      <c r="CO8" s="27">
        <f>IF(CN8=1,IF($B$1=1,'Документы АСУТП'!CW12,IF($B$1=2,'Документы АСУТП'!CW13,IF($B$1=3,'Документы АСУТП'!CW14,'Документы АСУТП'!CW12))),0)</f>
        <v>0</v>
      </c>
      <c r="CP8" s="312">
        <f>ТрЗ_ОП!$R$15</f>
        <v>0</v>
      </c>
      <c r="CQ8" s="27">
        <f>IF(CP8=1,IF($B$1=1,'Документы АСУТП'!CX12,IF($B$1=2,'Документы АСУТП'!CX13,IF($B$1=3,'Документы АСУТП'!CX14,'Документы АСУТП'!CX12))),0)</f>
        <v>0</v>
      </c>
      <c r="CR8" s="312">
        <f>ТрЗ_ОП!$R$15</f>
        <v>0</v>
      </c>
      <c r="CS8" s="27">
        <f>IF(CR8=1,IF($B$1=1,'Документы АСУТП'!CY12,IF($B$1=2,'Документы АСУТП'!CY13,IF($B$1=3,'Документы АСУТП'!CY14,'Документы АСУТП'!CY12))),0)</f>
        <v>0</v>
      </c>
      <c r="CT8" s="312">
        <f>ТрЗ_ОП!$R$15</f>
        <v>0</v>
      </c>
      <c r="CU8" s="27">
        <f>IF(CT8=1,IF($B$1=1,'Документы АСУТП'!CZ12,IF($B$1=2,'Документы АСУТП'!CZ13,IF($B$1=3,'Документы АСУТП'!CZ14,'Документы АСУТП'!CZ12))),0)</f>
        <v>0</v>
      </c>
      <c r="CV8" s="312">
        <f>ТрЗ_ОП!$R$15</f>
        <v>0</v>
      </c>
      <c r="CW8" s="27">
        <f>IF(CV8=1,IF($B$1=1,'Документы АСУТП'!DA12,IF($B$1=2,'Документы АСУТП'!DA13,IF($B$1=3,'Документы АСУТП'!DA14,'Документы АСУТП'!DA12))),0)</f>
        <v>0</v>
      </c>
      <c r="CX8" s="312">
        <f>ТрЗ_ОП!$R$15</f>
        <v>0</v>
      </c>
      <c r="CY8" s="27">
        <f>IF(CX8=1,IF($B$1=1,'Документы АСУТП'!DB12,IF($B$1=2,'Документы АСУТП'!DB13,IF($B$1=3,'Документы АСУТП'!DB14,'Документы АСУТП'!DB12))),0)</f>
        <v>0</v>
      </c>
      <c r="CZ8" s="312">
        <f>ТрЗ_ОП!$R$15</f>
        <v>0</v>
      </c>
      <c r="DA8" s="27">
        <f>IF(CZ8=1,IF($B$1=1,'Документы АСУТП'!DC12,IF($B$1=2,'Документы АСУТП'!DC13,IF($B$1=3,'Документы АСУТП'!DC14,'Документы АСУТП'!DC12))),0)</f>
        <v>0</v>
      </c>
      <c r="DB8" s="312">
        <f>ТрЗ_ОП!$R$15</f>
        <v>0</v>
      </c>
      <c r="DC8" s="27">
        <f>IF(DB8=1,IF($B$1=1,'Документы АСУТП'!DD12,IF($B$1=2,'Документы АСУТП'!DD13,IF($B$1=3,'Документы АСУТП'!DD14,'Документы АСУТП'!DD12))),0)</f>
        <v>0</v>
      </c>
      <c r="DD8" s="312">
        <f>ТрЗ_ОП!$R$15</f>
        <v>0</v>
      </c>
      <c r="DE8" s="27">
        <f>IF(DD8=1,IF($B$1=1,'Документы АСУТП'!DF12,IF($B$1=2,'Документы АСУТП'!DF13,IF($B$1=3,'Документы АСУТП'!DF14,'Документы АСУТП'!DF12))),0)</f>
        <v>0</v>
      </c>
      <c r="DF8" s="312">
        <f>ТрЗ_ОП!$R$15</f>
        <v>0</v>
      </c>
      <c r="DG8" s="27">
        <f>IF(DF8=1,IF($B$1=1,'Документы АСУТП'!DE12,IF($B$1=2,'Документы АСУТП'!DE13,IF($B$1=3,'Документы АСУТП'!DE14,'Документы АСУТП'!DE12))),0)</f>
        <v>0</v>
      </c>
      <c r="DH8" s="312">
        <f>ТрЗ_ОП!$R$15</f>
        <v>0</v>
      </c>
      <c r="DI8" s="27">
        <f>IF(DH8=1,IF($B$1=1,'Документы АСУТП'!DG12,IF($B$1=2,'Документы АСУТП'!DG13,IF($B$1=3,'Документы АСУТП'!DG14,'Документы АСУТП'!DG12))),0)</f>
        <v>0</v>
      </c>
      <c r="DJ8" s="312">
        <f>ТрЗ_ОП!$R$15</f>
        <v>0</v>
      </c>
      <c r="DK8" s="27">
        <f>IF(DJ8=1,IF($B$1=1,'Документы АСУТП'!DH12,IF($B$1=2,'Документы АСУТП'!DH13,IF($B$1=3,'Документы АСУТП'!DH14,'Документы АСУТП'!DH12))),0)</f>
        <v>0</v>
      </c>
      <c r="DL8" s="312">
        <f>ТрЗ_ОП!$R$15</f>
        <v>0</v>
      </c>
      <c r="DM8" s="27">
        <f>IF(DL8=1,IF($B$1=1,'Документы АСУТП'!DI12,IF($B$1=2,'Документы АСУТП'!DI13,IF($B$1=3,'Документы АСУТП'!DI14,'Документы АСУТП'!DI12))),0)</f>
        <v>0</v>
      </c>
      <c r="DN8" s="312">
        <f>ТрЗ_ОП!$R$15</f>
        <v>0</v>
      </c>
      <c r="DO8" s="27">
        <f>IF(DN8=1,IF($B$1=1,'Документы АСУТП'!DJ12,IF($B$1=2,'Документы АСУТП'!DJ13,IF($B$1=3,'Документы АСУТП'!DJ14,'Документы АСУТП'!DJ12))),0)</f>
        <v>0</v>
      </c>
      <c r="DP8" s="312">
        <f>ТрЗ_ОП!$R$15</f>
        <v>0</v>
      </c>
      <c r="DQ8" s="27">
        <f>IF(DP8=1,IF($B$1=1,'Документы АСУТП'!DK12,IF($B$1=2,'Документы АСУТП'!DK13,IF($B$1=3,'Документы АСУТП'!DK14,'Документы АСУТП'!DK12))),0)</f>
        <v>0</v>
      </c>
      <c r="DR8" s="312">
        <f>ТрЗ_ОП!$R$15</f>
        <v>0</v>
      </c>
      <c r="DS8" s="27">
        <f>IF(DR8=1,IF($B$1=1,'Документы АСУТП'!DL12,IF($B$1=2,'Документы АСУТП'!DL13,IF($B$1=3,'Документы АСУТП'!DL14,'Документы АСУТП'!DL12))),0)</f>
        <v>0</v>
      </c>
      <c r="DT8" s="312">
        <f>ТрЗ_ОП!$R$15</f>
        <v>0</v>
      </c>
      <c r="DU8" s="27">
        <f>IF(DT8=1,IF($B$1=1,'Документы АСУТП'!DM12,IF($B$1=2,'Документы АСУТП'!DM13,IF($B$1=3,'Документы АСУТП'!DM14,'Документы АСУТП'!DM12))),0)</f>
        <v>0</v>
      </c>
      <c r="DV8" s="312">
        <f>ТрЗ_ОП!$R$15</f>
        <v>0</v>
      </c>
      <c r="DW8" s="27">
        <f>IF(DV8=1,IF($B$1=1,'Документы АСУТП'!DN12,IF($B$1=2,'Документы АСУТП'!DN13,IF($B$1=3,'Документы АСУТП'!DN14,'Документы АСУТП'!DN12))),0)</f>
        <v>0</v>
      </c>
      <c r="DX8" s="312">
        <f>ТрЗ_ОП!$R$15</f>
        <v>0</v>
      </c>
      <c r="DY8" s="27">
        <f>IF(DX8=1,IF($B$1=1,'Документы АСУТП'!DO12,IF($B$1=2,'Документы АСУТП'!DO13,IF($B$1=3,'Документы АСУТП'!DO14,'Документы АСУТП'!DO12))),0)</f>
        <v>0</v>
      </c>
      <c r="DZ8" s="312">
        <f>ТрЗ_ОП!$R$15</f>
        <v>0</v>
      </c>
      <c r="EA8" s="27">
        <f>IF(DZ8=1,IF($B$1=1,'Документы АСУТП'!DP12,IF($B$1=2,'Документы АСУТП'!DP13,IF($B$1=3,'Документы АСУТП'!DP14,'Документы АСУТП'!DP12))),0)</f>
        <v>0</v>
      </c>
      <c r="EB8" s="312">
        <f>ТрЗ_ОП!$R$15</f>
        <v>0</v>
      </c>
      <c r="EC8" s="27">
        <f>IF(EB8=1,IF($B$1=1,'Документы АСУТП'!DQ12,IF($B$1=2,'Документы АСУТП'!DQ13,IF($B$1=3,'Документы АСУТП'!DQ14,'Документы АСУТП'!DQ12))),0)</f>
        <v>0</v>
      </c>
      <c r="ED8" s="312">
        <f>ТрЗ_ОП!$R$15</f>
        <v>0</v>
      </c>
      <c r="EE8" s="27">
        <f>IF(ED8=1,IF($B$1=1,'Документы АСУТП'!DR12,IF($B$1=2,'Документы АСУТП'!DR13,IF($B$1=3,'Документы АСУТП'!DR14,'Документы АСУТП'!DR12))),0)</f>
        <v>0</v>
      </c>
      <c r="EF8" s="312">
        <f>ТрЗ_ОП!$R$15</f>
        <v>0</v>
      </c>
      <c r="EG8" s="27">
        <f>IF(EF8=1,IF($B$1=1,'Документы АСУТП'!DS12,IF($B$1=2,'Документы АСУТП'!DS13,IF($B$1=3,'Документы АСУТП'!DS14,'Документы АСУТП'!DS12))),0)</f>
        <v>0</v>
      </c>
      <c r="EH8" s="312">
        <f>ТрЗ_ОП!$R$15</f>
        <v>0</v>
      </c>
      <c r="EI8" s="27">
        <f>IF(EH8=1,IF($B$1=1,'Документы АСУТП'!DT12,IF($B$1=2,'Документы АСУТП'!DT13,IF($B$1=3,'Документы АСУТП'!DT14,'Документы АСУТП'!DT12))),0)</f>
        <v>0</v>
      </c>
      <c r="EJ8" s="312">
        <f>ТрЗ_ОП!$R$15</f>
        <v>0</v>
      </c>
      <c r="EK8" s="27">
        <f>IF(EJ8=1,IF($B$1=1,'Документы АСУТП'!DU12,IF($B$1=2,'Документы АСУТП'!DU13,IF($B$1=3,'Документы АСУТП'!DU14,'Документы АСУТП'!DU12))),0)</f>
        <v>0</v>
      </c>
      <c r="EL8" s="312">
        <f>ТрЗ_ОП!$R$15</f>
        <v>0</v>
      </c>
      <c r="EM8" s="27">
        <f>IF(EL8=1,IF($B$1=1,'Документы АСУТП'!DV12,IF($B$1=2,'Документы АСУТП'!DV13,IF($B$1=3,'Документы АСУТП'!DV14,'Документы АСУТП'!DV12))),0)</f>
        <v>0</v>
      </c>
      <c r="EN8" s="312">
        <f>ТрЗ_ОП!$R$15</f>
        <v>0</v>
      </c>
      <c r="EO8" s="27">
        <f>IF(EN8=1,IF($B$1=1,'Документы АСУТП'!DW12,IF($B$1=2,'Документы АСУТП'!DW13,IF($B$1=3,'Документы АСУТП'!DW14,'Документы АСУТП'!DW12))),0)</f>
        <v>0</v>
      </c>
      <c r="EP8" s="312">
        <f>ТрЗ_ОП!$R$15</f>
        <v>0</v>
      </c>
      <c r="EQ8" s="27">
        <f>IF(EP8=1,IF($B$1=1,'Документы АСУТП'!DX12,IF($B$1=2,'Документы АСУТП'!DX13,IF($B$1=3,'Документы АСУТП'!DX14,'Документы АСУТП'!DX12))),0)</f>
        <v>0</v>
      </c>
      <c r="ER8" s="312">
        <f>ТрЗ_ОП!$R$15</f>
        <v>0</v>
      </c>
      <c r="ES8" s="27">
        <f>IF(ER8=1,IF($B$1=1,'Документы АСУТП'!DY12,IF($B$1=2,'Документы АСУТП'!DY13,IF($B$1=3,'Документы АСУТП'!DY14,'Документы АСУТП'!DY12))),0)</f>
        <v>0</v>
      </c>
      <c r="ET8" s="312">
        <f>ТрЗ_ОП!$R$15</f>
        <v>0</v>
      </c>
      <c r="EU8" s="771">
        <f>IF(ET8=1,IF($B$1=1,'Документы АСУТП'!DZ12,IF($B$1=2,'Документы АСУТП'!DZ13,IF($B$1=3,'Документы АСУТП'!DZ14,'Документы АСУТП'!DZ12))),0)</f>
        <v>0</v>
      </c>
      <c r="EV8" s="794">
        <f t="shared" ref="EV8:EV41" si="2">B8*$CO8+E8*$CQ8+H8*$CS8+K8*$CU8+N8*$CW8+Q8*$CY8+T8*$DA8+W8*$DC8+Z8*$DE8+AC8*$DG8+AF8*$DI8+AI8*$DK8+AL8*$DM8+AO8*$DO8+AR8*$DQ8+AU8*$DS8+AX8*$DU8+BA8*$DW8+BD8*$DY8+BG8*$EA8+BJ8*$EC8+BM8*$EE8+BP8*$EG8+BS8*$EI8+BV8*$EK8+BY8*$EM8+CB8*$EO8+CE8*$EQ8+CH8*$ES8+$CK8*$EU8</f>
        <v>0</v>
      </c>
      <c r="EW8" s="796">
        <f t="shared" ref="EW8:EW41" si="3">C8*$CO8+F8*$CQ8+I8*$CS8+L8*$CU8+O8*$CW8+R8*$CY8+U8*$DA8+X8*$DC8+AA8*$DE8+AD8*$DG8+AG8*$DI8+AJ8*$DK8+AM8*$DM8+AP8*$DO8+AS8*$DQ8+AV8*$DS8+AY8*$DU8+BB8*$DW8+BE8*$DY8+BH8*$EA8+BK8*$EC8+BN8*$EE8+BQ8*$EG8+BT8*$EI8+BW8*$EK8+BZ8*$EM8+CC8*$EO8+CF8*$EQ8+CI8*$ES8+$CL8*$EU8</f>
        <v>0</v>
      </c>
      <c r="EX8" s="796">
        <f t="shared" ref="EX8:EX41" si="4">D8*$CO8+G8*$CQ8+J8*$CS8+M8*$CU8+P8*$CW8+S8*$CY8+V8*$DA8+Y8*$DC8+AB8*$DE8+AE8*$DG8+AH8*$DI8+AK8*$DK8+AN8*$DM8+AQ8*$DO8+AT8*$DQ8+AW8*$DS8+AZ8*$DU8+BC8*$DW8+BF8*$DY8+BI8*$EA8+BL8*$EC8+BO8*$EE8+BR8*$EG8+BU8*$EI8+BX8*$EK8+CA8*$EM8+CD8*$EO8+CG8*$EQ8+CJ8*$ES8+$CM8*$EU8</f>
        <v>0</v>
      </c>
      <c r="EY8" s="796">
        <f t="shared" si="0"/>
        <v>0</v>
      </c>
      <c r="EZ8" s="795">
        <f t="shared" si="1"/>
        <v>0</v>
      </c>
    </row>
    <row r="9" spans="1:156" ht="15.75" x14ac:dyDescent="0.25">
      <c r="A9" s="2" t="s">
        <v>3</v>
      </c>
      <c r="B9" s="4"/>
      <c r="C9" s="311"/>
      <c r="D9" s="5"/>
      <c r="E9" s="4"/>
      <c r="F9" s="311"/>
      <c r="G9" s="5"/>
      <c r="H9" s="4"/>
      <c r="I9" s="311"/>
      <c r="J9" s="5"/>
      <c r="K9" s="4"/>
      <c r="L9" s="311"/>
      <c r="M9" s="5"/>
      <c r="N9" s="4"/>
      <c r="O9" s="311"/>
      <c r="P9" s="5"/>
      <c r="Q9" s="4"/>
      <c r="R9" s="311"/>
      <c r="S9" s="5"/>
      <c r="T9" s="4"/>
      <c r="U9" s="311"/>
      <c r="V9" s="5"/>
      <c r="W9" s="4"/>
      <c r="X9" s="311"/>
      <c r="Y9" s="5"/>
      <c r="Z9" s="4"/>
      <c r="AA9" s="311"/>
      <c r="AB9" s="5"/>
      <c r="AC9" s="4"/>
      <c r="AD9" s="311"/>
      <c r="AE9" s="5"/>
      <c r="AF9" s="4"/>
      <c r="AG9" s="311"/>
      <c r="AH9" s="5"/>
      <c r="AI9" s="4"/>
      <c r="AJ9" s="311"/>
      <c r="AK9" s="5"/>
      <c r="AL9" s="4"/>
      <c r="AM9" s="311"/>
      <c r="AN9" s="5"/>
      <c r="AO9" s="4"/>
      <c r="AP9" s="311"/>
      <c r="AQ9" s="5"/>
      <c r="AR9" s="4"/>
      <c r="AS9" s="311"/>
      <c r="AT9" s="5"/>
      <c r="AU9" s="4"/>
      <c r="AV9" s="311"/>
      <c r="AW9" s="5"/>
      <c r="AX9" s="4"/>
      <c r="AY9" s="311"/>
      <c r="AZ9" s="5"/>
      <c r="BA9" s="4"/>
      <c r="BB9" s="311"/>
      <c r="BC9" s="5"/>
      <c r="BD9" s="4"/>
      <c r="BE9" s="311"/>
      <c r="BF9" s="5"/>
      <c r="BG9" s="4"/>
      <c r="BH9" s="311"/>
      <c r="BI9" s="5"/>
      <c r="BJ9" s="4"/>
      <c r="BK9" s="311"/>
      <c r="BL9" s="5"/>
      <c r="BM9" s="4"/>
      <c r="BN9" s="311"/>
      <c r="BO9" s="5"/>
      <c r="BP9" s="4"/>
      <c r="BQ9" s="311"/>
      <c r="BR9" s="5"/>
      <c r="BS9" s="4"/>
      <c r="BT9" s="311"/>
      <c r="BU9" s="5"/>
      <c r="BV9" s="4"/>
      <c r="BW9" s="311"/>
      <c r="BX9" s="5"/>
      <c r="BY9" s="4"/>
      <c r="BZ9" s="311"/>
      <c r="CA9" s="5"/>
      <c r="CB9" s="4"/>
      <c r="CC9" s="311"/>
      <c r="CD9" s="5"/>
      <c r="CE9" s="4"/>
      <c r="CF9" s="311"/>
      <c r="CG9" s="5"/>
      <c r="CH9" s="4"/>
      <c r="CI9" s="311"/>
      <c r="CJ9" s="5"/>
      <c r="CK9" s="4"/>
      <c r="CL9" s="311"/>
      <c r="CM9" s="5"/>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773"/>
      <c r="ER9" s="6"/>
      <c r="ES9" s="6"/>
      <c r="ET9" s="6"/>
      <c r="EU9" s="1563"/>
      <c r="EV9" s="1566"/>
      <c r="EW9" s="1564"/>
      <c r="EX9" s="1564"/>
      <c r="EY9" s="1564"/>
      <c r="EZ9" s="1565"/>
    </row>
    <row r="10" spans="1:156" ht="15.75" x14ac:dyDescent="0.25">
      <c r="A10" s="383" t="s">
        <v>4</v>
      </c>
      <c r="B10" s="84">
        <v>0.95</v>
      </c>
      <c r="C10" s="47">
        <v>0.05</v>
      </c>
      <c r="D10" s="85">
        <v>0</v>
      </c>
      <c r="E10" s="84">
        <v>0.95</v>
      </c>
      <c r="F10" s="47">
        <v>0.05</v>
      </c>
      <c r="G10" s="85">
        <v>0</v>
      </c>
      <c r="H10" s="84">
        <v>0.95</v>
      </c>
      <c r="I10" s="47">
        <v>0.05</v>
      </c>
      <c r="J10" s="85">
        <v>0</v>
      </c>
      <c r="K10" s="84">
        <v>0.95</v>
      </c>
      <c r="L10" s="47">
        <v>0.05</v>
      </c>
      <c r="M10" s="85">
        <v>0</v>
      </c>
      <c r="N10" s="84">
        <v>0.95</v>
      </c>
      <c r="O10" s="47">
        <v>0.05</v>
      </c>
      <c r="P10" s="85">
        <v>0</v>
      </c>
      <c r="Q10" s="84">
        <v>0.95</v>
      </c>
      <c r="R10" s="47">
        <v>0.05</v>
      </c>
      <c r="S10" s="85">
        <v>0</v>
      </c>
      <c r="T10" s="84">
        <v>0.95</v>
      </c>
      <c r="U10" s="47">
        <v>0.05</v>
      </c>
      <c r="V10" s="85">
        <v>0</v>
      </c>
      <c r="W10" s="84">
        <v>0.95</v>
      </c>
      <c r="X10" s="47">
        <v>0.05</v>
      </c>
      <c r="Y10" s="85">
        <v>0</v>
      </c>
      <c r="Z10" s="84">
        <v>0.95</v>
      </c>
      <c r="AA10" s="47">
        <v>0.05</v>
      </c>
      <c r="AB10" s="85">
        <v>0</v>
      </c>
      <c r="AC10" s="84">
        <v>0.95</v>
      </c>
      <c r="AD10" s="47">
        <v>0.05</v>
      </c>
      <c r="AE10" s="85">
        <v>0</v>
      </c>
      <c r="AF10" s="84">
        <v>0.95</v>
      </c>
      <c r="AG10" s="47">
        <v>0.05</v>
      </c>
      <c r="AH10" s="85">
        <v>0</v>
      </c>
      <c r="AI10" s="84">
        <v>0.95</v>
      </c>
      <c r="AJ10" s="47">
        <v>0.05</v>
      </c>
      <c r="AK10" s="85">
        <v>0</v>
      </c>
      <c r="AL10" s="84">
        <v>0.95</v>
      </c>
      <c r="AM10" s="47">
        <v>0.05</v>
      </c>
      <c r="AN10" s="85">
        <v>0</v>
      </c>
      <c r="AO10" s="84">
        <v>0.95</v>
      </c>
      <c r="AP10" s="47">
        <v>0.05</v>
      </c>
      <c r="AQ10" s="85">
        <v>0</v>
      </c>
      <c r="AR10" s="84">
        <v>0.95</v>
      </c>
      <c r="AS10" s="47">
        <v>0.05</v>
      </c>
      <c r="AT10" s="85">
        <v>0</v>
      </c>
      <c r="AU10" s="84">
        <v>0.95</v>
      </c>
      <c r="AV10" s="47">
        <v>0.05</v>
      </c>
      <c r="AW10" s="85">
        <v>0</v>
      </c>
      <c r="AX10" s="84">
        <v>0.95</v>
      </c>
      <c r="AY10" s="47">
        <v>0.05</v>
      </c>
      <c r="AZ10" s="85">
        <v>0</v>
      </c>
      <c r="BA10" s="84">
        <v>0.95</v>
      </c>
      <c r="BB10" s="47">
        <v>0.05</v>
      </c>
      <c r="BC10" s="85">
        <v>0</v>
      </c>
      <c r="BD10" s="84">
        <v>0.95</v>
      </c>
      <c r="BE10" s="47">
        <v>0.05</v>
      </c>
      <c r="BF10" s="85">
        <v>0</v>
      </c>
      <c r="BG10" s="84">
        <v>0.95</v>
      </c>
      <c r="BH10" s="47">
        <v>0.05</v>
      </c>
      <c r="BI10" s="85">
        <v>0</v>
      </c>
      <c r="BJ10" s="84">
        <v>0.95</v>
      </c>
      <c r="BK10" s="47">
        <v>0.05</v>
      </c>
      <c r="BL10" s="85">
        <v>0</v>
      </c>
      <c r="BM10" s="84">
        <v>0.95</v>
      </c>
      <c r="BN10" s="47">
        <v>0.05</v>
      </c>
      <c r="BO10" s="85">
        <v>0</v>
      </c>
      <c r="BP10" s="84">
        <v>0.95</v>
      </c>
      <c r="BQ10" s="47">
        <v>0.05</v>
      </c>
      <c r="BR10" s="85">
        <v>0</v>
      </c>
      <c r="BS10" s="84">
        <v>0.95</v>
      </c>
      <c r="BT10" s="47">
        <v>0.05</v>
      </c>
      <c r="BU10" s="85">
        <v>0</v>
      </c>
      <c r="BV10" s="84">
        <v>0.95</v>
      </c>
      <c r="BW10" s="47">
        <v>0.05</v>
      </c>
      <c r="BX10" s="85">
        <v>0</v>
      </c>
      <c r="BY10" s="84">
        <v>0.95</v>
      </c>
      <c r="BZ10" s="47">
        <v>0.05</v>
      </c>
      <c r="CA10" s="85">
        <v>0</v>
      </c>
      <c r="CB10" s="84">
        <v>0.95</v>
      </c>
      <c r="CC10" s="47">
        <v>0.05</v>
      </c>
      <c r="CD10" s="85">
        <v>0</v>
      </c>
      <c r="CE10" s="84">
        <v>0.95</v>
      </c>
      <c r="CF10" s="47">
        <v>0.05</v>
      </c>
      <c r="CG10" s="85">
        <v>0</v>
      </c>
      <c r="CH10" s="84">
        <v>0.95</v>
      </c>
      <c r="CI10" s="47">
        <v>0.05</v>
      </c>
      <c r="CJ10" s="85">
        <v>0</v>
      </c>
      <c r="CK10" s="84">
        <v>0.95</v>
      </c>
      <c r="CL10" s="47">
        <v>0.05</v>
      </c>
      <c r="CM10" s="85">
        <v>0</v>
      </c>
      <c r="CN10" s="312">
        <f>ТрЗ_ОП!$R$17</f>
        <v>1</v>
      </c>
      <c r="CO10" s="27">
        <f>IF(CN10=1,IF($B$1=1,'Документы АСУТП'!CW16,IF($B$1=2,'Документы АСУТП'!CW17,IF($B$1=3,'Документы АСУТП'!CW18,'Документы АСУТП'!CW16))),0)</f>
        <v>0</v>
      </c>
      <c r="CP10" s="312">
        <f>ТрЗ_ОП!$R$17</f>
        <v>1</v>
      </c>
      <c r="CQ10" s="27">
        <f>IF(CP10=1,IF($B$1=1,'Документы АСУТП'!CX16,IF($B$1=2,'Документы АСУТП'!CX17,IF($B$1=3,'Документы АСУТП'!CX18,'Документы АСУТП'!CX16))),0)</f>
        <v>0</v>
      </c>
      <c r="CR10" s="312">
        <f>ТрЗ_ОП!$R$17</f>
        <v>1</v>
      </c>
      <c r="CS10" s="27">
        <f>IF(CR10=1,IF($B$1=1,'Документы АСУТП'!CY16,IF($B$1=2,'Документы АСУТП'!CY17,IF($B$1=3,'Документы АСУТП'!CY18,'Документы АСУТП'!CY16))),0)</f>
        <v>0</v>
      </c>
      <c r="CT10" s="312">
        <f>ТрЗ_ОП!$R$17</f>
        <v>1</v>
      </c>
      <c r="CU10" s="27">
        <f>IF(CT10=1,IF($B$1=1,'Документы АСУТП'!CZ16,IF($B$1=2,'Документы АСУТП'!CZ17,IF($B$1=3,'Документы АСУТП'!CZ18,'Документы АСУТП'!CZ16))),0)</f>
        <v>0</v>
      </c>
      <c r="CV10" s="312">
        <f>ТрЗ_ОП!$R$17</f>
        <v>1</v>
      </c>
      <c r="CW10" s="27">
        <f>IF(CV10=1,IF($B$1=1,'Документы АСУТП'!DA16,IF($B$1=2,'Документы АСУТП'!DA17,IF($B$1=3,'Документы АСУТП'!DA18,'Документы АСУТП'!DA16))),0)</f>
        <v>0</v>
      </c>
      <c r="CX10" s="312">
        <f>ТрЗ_ОП!$R$17</f>
        <v>1</v>
      </c>
      <c r="CY10" s="27">
        <f>IF(CX10=1,IF($B$1=1,'Документы АСУТП'!DB16,IF($B$1=2,'Документы АСУТП'!DB17,IF($B$1=3,'Документы АСУТП'!DB18,'Документы АСУТП'!DB16))),0)</f>
        <v>0</v>
      </c>
      <c r="CZ10" s="312">
        <f>ТрЗ_ОП!$R$17</f>
        <v>1</v>
      </c>
      <c r="DA10" s="27">
        <f>IF(CZ10=1,IF($B$1=1,'Документы АСУТП'!DC16,IF($B$1=2,'Документы АСУТП'!DC17,IF($B$1=3,'Документы АСУТП'!DC18,'Документы АСУТП'!DC16))),0)</f>
        <v>0</v>
      </c>
      <c r="DB10" s="312">
        <f>ТрЗ_ОП!$R$17</f>
        <v>1</v>
      </c>
      <c r="DC10" s="27">
        <f>IF(DB10=1,IF($B$1=1,'Документы АСУТП'!DD16,IF($B$1=2,'Документы АСУТП'!DD17,IF($B$1=3,'Документы АСУТП'!DD18,'Документы АСУТП'!DD16))),0)</f>
        <v>0</v>
      </c>
      <c r="DD10" s="312">
        <f>ТрЗ_ОП!$R$17</f>
        <v>1</v>
      </c>
      <c r="DE10" s="27">
        <f>IF(DD10=1,IF($B$1=1,'Документы АСУТП'!DF16,IF($B$1=2,'Документы АСУТП'!DF17,IF($B$1=3,'Документы АСУТП'!DF18,'Документы АСУТП'!DF16))),0)</f>
        <v>0</v>
      </c>
      <c r="DF10" s="312">
        <f>ТрЗ_ОП!$R$17</f>
        <v>1</v>
      </c>
      <c r="DG10" s="27">
        <f>IF(DF10=1,IF($B$1=1,'Документы АСУТП'!DE16,IF($B$1=2,'Документы АСУТП'!DE17,IF($B$1=3,'Документы АСУТП'!DE18,'Документы АСУТП'!DE16))),0)</f>
        <v>0</v>
      </c>
      <c r="DH10" s="312">
        <f>ТрЗ_ОП!$R$17</f>
        <v>1</v>
      </c>
      <c r="DI10" s="27">
        <f>IF(DH10=1,IF($B$1=1,'Документы АСУТП'!DG16,IF($B$1=2,'Документы АСУТП'!DG17,IF($B$1=3,'Документы АСУТП'!DG18,'Документы АСУТП'!DG16))),0)</f>
        <v>0</v>
      </c>
      <c r="DJ10" s="312">
        <f>ТрЗ_ОП!$R$17</f>
        <v>1</v>
      </c>
      <c r="DK10" s="27">
        <f>IF(DJ10=1,IF($B$1=1,'Документы АСУТП'!DH16,IF($B$1=2,'Документы АСУТП'!DH17,IF($B$1=3,'Документы АСУТП'!DH18,'Документы АСУТП'!DH16))),0)</f>
        <v>0</v>
      </c>
      <c r="DL10" s="312">
        <f>ТрЗ_ОП!$R$17</f>
        <v>1</v>
      </c>
      <c r="DM10" s="27">
        <f>IF(DL10=1,IF($B$1=1,'Документы АСУТП'!DI16,IF($B$1=2,'Документы АСУТП'!DI17,IF($B$1=3,'Документы АСУТП'!DI18,'Документы АСУТП'!DI16))),0)</f>
        <v>0</v>
      </c>
      <c r="DN10" s="312">
        <f>ТрЗ_ОП!$R$17</f>
        <v>1</v>
      </c>
      <c r="DO10" s="27" t="e">
        <f>IF(DN10=1,IF($B$1=1,'Документы АСУТП'!DJ16,IF($B$1=2,'Документы АСУТП'!DJ17,IF($B$1=3,'Документы АСУТП'!DJ18,'Документы АСУТП'!DJ16))),0)</f>
        <v>#REF!</v>
      </c>
      <c r="DP10" s="312">
        <f>ТрЗ_ОП!$R$17</f>
        <v>1</v>
      </c>
      <c r="DQ10" s="27">
        <f>IF(DP10=1,IF($B$1=1,'Документы АСУТП'!DK16,IF($B$1=2,'Документы АСУТП'!DK17,IF($B$1=3,'Документы АСУТП'!DK18,'Документы АСУТП'!DK16))),0)</f>
        <v>0</v>
      </c>
      <c r="DR10" s="312">
        <f>ТрЗ_ОП!$R$17</f>
        <v>1</v>
      </c>
      <c r="DS10" s="27">
        <f>IF(DR10=1,IF($B$1=1,'Документы АСУТП'!DL16,IF($B$1=2,'Документы АСУТП'!DL17,IF($B$1=3,'Документы АСУТП'!DL18,'Документы АСУТП'!DL16))),0)</f>
        <v>0</v>
      </c>
      <c r="DT10" s="312">
        <f>ТрЗ_ОП!$R$17</f>
        <v>1</v>
      </c>
      <c r="DU10" s="27">
        <f>IF(DT10=1,IF($B$1=1,'Документы АСУТП'!DM16,IF($B$1=2,'Документы АСУТП'!DM17,IF($B$1=3,'Документы АСУТП'!DM18,'Документы АСУТП'!DM16))),0)</f>
        <v>0</v>
      </c>
      <c r="DV10" s="312">
        <f>ТрЗ_ОП!$R17</f>
        <v>1</v>
      </c>
      <c r="DW10" s="27">
        <f>IF(DV10=1,IF($B$1=1,'Документы АСУТП'!DN16,IF($B$1=2,'Документы АСУТП'!DN17,IF($B$1=3,'Документы АСУТП'!DN18,'Документы АСУТП'!DN16))),0)</f>
        <v>0</v>
      </c>
      <c r="DX10" s="312">
        <f>ТрЗ_ОП!$R17</f>
        <v>1</v>
      </c>
      <c r="DY10" s="27">
        <f>IF(DX10=1,IF($B$1=1,'Документы АСУТП'!DO16,IF($B$1=2,'Документы АСУТП'!DO17,IF($B$1=3,'Документы АСУТП'!DO18,'Документы АСУТП'!DO16))),0)</f>
        <v>0</v>
      </c>
      <c r="DZ10" s="312">
        <f>ТрЗ_ОП!$R17</f>
        <v>1</v>
      </c>
      <c r="EA10" s="27">
        <f>IF(DZ10=1,IF($B$1=1,'Документы АСУТП'!DP16,IF($B$1=2,'Документы АСУТП'!DP17,IF($B$1=3,'Документы АСУТП'!DP18,'Документы АСУТП'!DP16))),0)</f>
        <v>0</v>
      </c>
      <c r="EB10" s="312">
        <f>ТрЗ_ОП!$R17</f>
        <v>1</v>
      </c>
      <c r="EC10" s="27">
        <f>IF(EB10=1,IF($B$1=1,'Документы АСУТП'!DQ16,IF($B$1=2,'Документы АСУТП'!DQ17,IF($B$1=3,'Документы АСУТП'!DQ18,'Документы АСУТП'!DQ16))),0)</f>
        <v>0</v>
      </c>
      <c r="ED10" s="312">
        <f>ТрЗ_ОП!$R17</f>
        <v>1</v>
      </c>
      <c r="EE10" s="27">
        <f>IF(ED10=1,IF($B$1=1,'Документы АСУТП'!DR16,IF($B$1=2,'Документы АСУТП'!DR17,IF($B$1=3,'Документы АСУТП'!DR18,'Документы АСУТП'!DR16))),0)</f>
        <v>0</v>
      </c>
      <c r="EF10" s="312">
        <f>ТрЗ_ОП!$R17</f>
        <v>1</v>
      </c>
      <c r="EG10" s="27">
        <f>IF(EF10=1,IF($B$1=1,'Документы АСУТП'!DS16,IF($B$1=2,'Документы АСУТП'!DS17,IF($B$1=3,'Документы АСУТП'!DS18,'Документы АСУТП'!DS16))),0)</f>
        <v>0</v>
      </c>
      <c r="EH10" s="312">
        <f>ТрЗ_ОП!$R17</f>
        <v>1</v>
      </c>
      <c r="EI10" s="27">
        <f>IF(EH10=1,IF($B$1=1,'Документы АСУТП'!DT16,IF($B$1=2,'Документы АСУТП'!DT17,IF($B$1=3,'Документы АСУТП'!DT18,'Документы АСУТП'!DT16))),0)</f>
        <v>0</v>
      </c>
      <c r="EJ10" s="312">
        <f>ТрЗ_ОП!$R17</f>
        <v>1</v>
      </c>
      <c r="EK10" s="27">
        <f>IF(EJ10=1,IF($B$1=1,'Документы АСУТП'!DU16,IF($B$1=2,'Документы АСУТП'!DU17,IF($B$1=3,'Документы АСУТП'!DU18,'Документы АСУТП'!DU16))),0)</f>
        <v>0</v>
      </c>
      <c r="EL10" s="312">
        <f>ТрЗ_ОП!$R17</f>
        <v>1</v>
      </c>
      <c r="EM10" s="27">
        <f>IF(EL10=1,IF($B$1=1,'Документы АСУТП'!DV16,IF($B$1=2,'Документы АСУТП'!DV17,IF($B$1=3,'Документы АСУТП'!DV18,'Документы АСУТП'!DV16))),0)</f>
        <v>0</v>
      </c>
      <c r="EN10" s="312">
        <f>ТрЗ_ОП!$R17</f>
        <v>1</v>
      </c>
      <c r="EO10" s="27">
        <f>IF(EN10=1,IF($B$1=1,'Документы АСУТП'!DW16,IF($B$1=2,'Документы АСУТП'!DW17,IF($B$1=3,'Документы АСУТП'!DW18,'Документы АСУТП'!DW16))),0)</f>
        <v>0</v>
      </c>
      <c r="EP10" s="312">
        <f>ТрЗ_ОП!$R17</f>
        <v>1</v>
      </c>
      <c r="EQ10" s="27">
        <f>IF(EP10=1,IF($B$1=1,'Документы АСУТП'!DX16,IF($B$1=2,'Документы АСУТП'!DX17,IF($B$1=3,'Документы АСУТП'!DX18,'Документы АСУТП'!DX16))),0)</f>
        <v>0</v>
      </c>
      <c r="ER10" s="312">
        <f>ТрЗ_ОП!$R17</f>
        <v>1</v>
      </c>
      <c r="ES10" s="27">
        <f>IF(ER10=1,IF($B$1=1,'Документы АСУТП'!DY16,IF($B$1=2,'Документы АСУТП'!DY17,IF($B$1=3,'Документы АСУТП'!DY18,'Документы АСУТП'!DY16))),0)</f>
        <v>0</v>
      </c>
      <c r="ET10" s="312">
        <f>ТрЗ_ОП!$R17</f>
        <v>1</v>
      </c>
      <c r="EU10" s="771">
        <f>IF(ET10=1,IF($B$1=1,'Документы АСУТП'!DZ16,IF($B$1=2,'Документы АСУТП'!DZ17,IF($B$1=3,'Документы АСУТП'!DZ18,'Документы АСУТП'!DZ16))),0)</f>
        <v>0</v>
      </c>
      <c r="EV10" s="794" t="e">
        <f t="shared" si="2"/>
        <v>#REF!</v>
      </c>
      <c r="EW10" s="796" t="e">
        <f t="shared" si="3"/>
        <v>#REF!</v>
      </c>
      <c r="EX10" s="796" t="e">
        <f t="shared" si="4"/>
        <v>#REF!</v>
      </c>
      <c r="EY10" s="796" t="e">
        <f t="shared" si="0"/>
        <v>#REF!</v>
      </c>
      <c r="EZ10" s="795" t="e">
        <f t="shared" si="1"/>
        <v>#REF!</v>
      </c>
    </row>
    <row r="11" spans="1:156" ht="15.75" x14ac:dyDescent="0.25">
      <c r="A11" s="383" t="s">
        <v>5</v>
      </c>
      <c r="B11" s="84">
        <v>0.2</v>
      </c>
      <c r="C11" s="47">
        <v>0.5</v>
      </c>
      <c r="D11" s="85">
        <v>0.3</v>
      </c>
      <c r="E11" s="84">
        <v>0.2</v>
      </c>
      <c r="F11" s="47">
        <v>0.5</v>
      </c>
      <c r="G11" s="85">
        <v>0.3</v>
      </c>
      <c r="H11" s="84">
        <v>0.2</v>
      </c>
      <c r="I11" s="47">
        <v>0.5</v>
      </c>
      <c r="J11" s="85">
        <v>0.3</v>
      </c>
      <c r="K11" s="84">
        <v>0.2</v>
      </c>
      <c r="L11" s="47">
        <v>0.5</v>
      </c>
      <c r="M11" s="85">
        <v>0.3</v>
      </c>
      <c r="N11" s="84">
        <v>0.2</v>
      </c>
      <c r="O11" s="47">
        <v>0.5</v>
      </c>
      <c r="P11" s="85">
        <v>0.3</v>
      </c>
      <c r="Q11" s="84">
        <v>0.2</v>
      </c>
      <c r="R11" s="47">
        <v>0.5</v>
      </c>
      <c r="S11" s="85">
        <v>0.3</v>
      </c>
      <c r="T11" s="84">
        <v>0.2</v>
      </c>
      <c r="U11" s="47">
        <v>0.5</v>
      </c>
      <c r="V11" s="85">
        <v>0.3</v>
      </c>
      <c r="W11" s="84">
        <v>0.2</v>
      </c>
      <c r="X11" s="47">
        <v>0.5</v>
      </c>
      <c r="Y11" s="85">
        <v>0.3</v>
      </c>
      <c r="Z11" s="84">
        <v>0.2</v>
      </c>
      <c r="AA11" s="47">
        <v>0.5</v>
      </c>
      <c r="AB11" s="85">
        <v>0.3</v>
      </c>
      <c r="AC11" s="84">
        <v>0.2</v>
      </c>
      <c r="AD11" s="47">
        <v>0.5</v>
      </c>
      <c r="AE11" s="85">
        <v>0.3</v>
      </c>
      <c r="AF11" s="84">
        <v>0.2</v>
      </c>
      <c r="AG11" s="47">
        <v>0.5</v>
      </c>
      <c r="AH11" s="85">
        <v>0.3</v>
      </c>
      <c r="AI11" s="84">
        <v>0.2</v>
      </c>
      <c r="AJ11" s="47">
        <v>0.5</v>
      </c>
      <c r="AK11" s="85">
        <v>0.3</v>
      </c>
      <c r="AL11" s="84">
        <v>0.2</v>
      </c>
      <c r="AM11" s="47">
        <v>0.5</v>
      </c>
      <c r="AN11" s="85">
        <v>0.3</v>
      </c>
      <c r="AO11" s="84">
        <v>0.2</v>
      </c>
      <c r="AP11" s="47">
        <v>0.5</v>
      </c>
      <c r="AQ11" s="85">
        <v>0.3</v>
      </c>
      <c r="AR11" s="84">
        <v>0.2</v>
      </c>
      <c r="AS11" s="47">
        <v>0.5</v>
      </c>
      <c r="AT11" s="85">
        <v>0.3</v>
      </c>
      <c r="AU11" s="84">
        <v>0.2</v>
      </c>
      <c r="AV11" s="47">
        <v>0.5</v>
      </c>
      <c r="AW11" s="85">
        <v>0.3</v>
      </c>
      <c r="AX11" s="84">
        <v>0.2</v>
      </c>
      <c r="AY11" s="47">
        <v>0.5</v>
      </c>
      <c r="AZ11" s="85">
        <v>0.3</v>
      </c>
      <c r="BA11" s="84">
        <v>0.2</v>
      </c>
      <c r="BB11" s="47">
        <v>0.5</v>
      </c>
      <c r="BC11" s="85">
        <v>0.3</v>
      </c>
      <c r="BD11" s="84">
        <v>0.2</v>
      </c>
      <c r="BE11" s="47">
        <v>0.5</v>
      </c>
      <c r="BF11" s="85">
        <v>0.3</v>
      </c>
      <c r="BG11" s="84">
        <v>0.2</v>
      </c>
      <c r="BH11" s="47">
        <v>0.5</v>
      </c>
      <c r="BI11" s="85">
        <v>0.3</v>
      </c>
      <c r="BJ11" s="84">
        <v>0.2</v>
      </c>
      <c r="BK11" s="47">
        <v>0.5</v>
      </c>
      <c r="BL11" s="85">
        <v>0.3</v>
      </c>
      <c r="BM11" s="84">
        <v>0.2</v>
      </c>
      <c r="BN11" s="47">
        <v>0.5</v>
      </c>
      <c r="BO11" s="85">
        <v>0.3</v>
      </c>
      <c r="BP11" s="84">
        <v>0.2</v>
      </c>
      <c r="BQ11" s="47">
        <v>0.5</v>
      </c>
      <c r="BR11" s="85">
        <v>0.3</v>
      </c>
      <c r="BS11" s="84">
        <v>0.2</v>
      </c>
      <c r="BT11" s="47">
        <v>0.5</v>
      </c>
      <c r="BU11" s="85">
        <v>0.3</v>
      </c>
      <c r="BV11" s="84">
        <v>0.2</v>
      </c>
      <c r="BW11" s="47">
        <v>0.5</v>
      </c>
      <c r="BX11" s="85">
        <v>0.3</v>
      </c>
      <c r="BY11" s="84">
        <v>0.2</v>
      </c>
      <c r="BZ11" s="47">
        <v>0.5</v>
      </c>
      <c r="CA11" s="85">
        <v>0.3</v>
      </c>
      <c r="CB11" s="84">
        <v>0.2</v>
      </c>
      <c r="CC11" s="47">
        <v>0.5</v>
      </c>
      <c r="CD11" s="85">
        <v>0.3</v>
      </c>
      <c r="CE11" s="84">
        <v>0.2</v>
      </c>
      <c r="CF11" s="47">
        <v>0.5</v>
      </c>
      <c r="CG11" s="85">
        <v>0.3</v>
      </c>
      <c r="CH11" s="84">
        <v>0.2</v>
      </c>
      <c r="CI11" s="47">
        <v>0.5</v>
      </c>
      <c r="CJ11" s="85">
        <v>0.3</v>
      </c>
      <c r="CK11" s="84">
        <v>0.2</v>
      </c>
      <c r="CL11" s="47">
        <v>0.5</v>
      </c>
      <c r="CM11" s="85">
        <v>0.3</v>
      </c>
      <c r="CN11" s="312" t="str">
        <f>ТрЗ_ОП!$R$18</f>
        <v>-</v>
      </c>
      <c r="CO11" s="27">
        <f>IF(CN11=1,IF($B$1=1,'Документы АСУТП'!CW19,IF($B$1=2,'Документы АСУТП'!CW20,IF($B$1=3,'Документы АСУТП'!CW21,'Документы АСУТП'!CW19))),0)</f>
        <v>0</v>
      </c>
      <c r="CP11" s="312" t="str">
        <f>ТрЗ_ОП!$R$18</f>
        <v>-</v>
      </c>
      <c r="CQ11" s="27">
        <f>IF(CP11=1,IF($B$1=1,'Документы АСУТП'!CX19,IF($B$1=2,'Документы АСУТП'!CX20,IF($B$1=3,'Документы АСУТП'!CX21,'Документы АСУТП'!CX19))),0)</f>
        <v>0</v>
      </c>
      <c r="CR11" s="312" t="str">
        <f>ТрЗ_ОП!$R$18</f>
        <v>-</v>
      </c>
      <c r="CS11" s="27">
        <f>IF(CR11=1,IF($B$1=1,'Документы АСУТП'!CY19,IF($B$1=2,'Документы АСУТП'!CY20,IF($B$1=3,'Документы АСУТП'!CY21,'Документы АСУТП'!CY19))),0)</f>
        <v>0</v>
      </c>
      <c r="CT11" s="312" t="str">
        <f>ТрЗ_ОП!$R$18</f>
        <v>-</v>
      </c>
      <c r="CU11" s="27">
        <f>IF(CT11=1,IF($B$1=1,'Документы АСУТП'!CZ19,IF($B$1=2,'Документы АСУТП'!CZ20,IF($B$1=3,'Документы АСУТП'!CZ21,'Документы АСУТП'!CZ19))),0)</f>
        <v>0</v>
      </c>
      <c r="CV11" s="312" t="str">
        <f>ТрЗ_ОП!$R$18</f>
        <v>-</v>
      </c>
      <c r="CW11" s="27">
        <f>IF(CV11=1,IF($B$1=1,'Документы АСУТП'!DA19,IF($B$1=2,'Документы АСУТП'!DA20,IF($B$1=3,'Документы АСУТП'!DA21,'Документы АСУТП'!DA19))),0)</f>
        <v>0</v>
      </c>
      <c r="CX11" s="312" t="str">
        <f>ТрЗ_ОП!$R$18</f>
        <v>-</v>
      </c>
      <c r="CY11" s="27">
        <f>IF(CX11=1,IF($B$1=1,'Документы АСУТП'!DB19,IF($B$1=2,'Документы АСУТП'!DB20,IF($B$1=3,'Документы АСУТП'!DB21,'Документы АСУТП'!DB19))),0)</f>
        <v>0</v>
      </c>
      <c r="CZ11" s="312" t="str">
        <f>ТрЗ_ОП!$R$18</f>
        <v>-</v>
      </c>
      <c r="DA11" s="27">
        <f>IF(CZ11=1,IF($B$1=1,'Документы АСУТП'!DC19,IF($B$1=2,'Документы АСУТП'!DC20,IF($B$1=3,'Документы АСУТП'!DC21,'Документы АСУТП'!DC19))),0)</f>
        <v>0</v>
      </c>
      <c r="DB11" s="312" t="str">
        <f>ТрЗ_ОП!$R$18</f>
        <v>-</v>
      </c>
      <c r="DC11" s="27">
        <f>IF(DB11=1,IF($B$1=1,'Документы АСУТП'!DD19,IF($B$1=2,'Документы АСУТП'!DD20,IF($B$1=3,'Документы АСУТП'!DD21,'Документы АСУТП'!DD19))),0)</f>
        <v>0</v>
      </c>
      <c r="DD11" s="312" t="str">
        <f>ТрЗ_ОП!$R$18</f>
        <v>-</v>
      </c>
      <c r="DE11" s="27">
        <f>IF(DD11=1,IF($B$1=1,'Документы АСУТП'!DF19,IF($B$1=2,'Документы АСУТП'!DF20,IF($B$1=3,'Документы АСУТП'!DF21,'Документы АСУТП'!DF19))),0)</f>
        <v>0</v>
      </c>
      <c r="DF11" s="312" t="str">
        <f>ТрЗ_ОП!$R$18</f>
        <v>-</v>
      </c>
      <c r="DG11" s="27">
        <f>IF(DF11=1,IF($B$1=1,'Документы АСУТП'!DE19,IF($B$1=2,'Документы АСУТП'!DE20,IF($B$1=3,'Документы АСУТП'!DE21,'Документы АСУТП'!DE19))),0)</f>
        <v>0</v>
      </c>
      <c r="DH11" s="312" t="str">
        <f>ТрЗ_ОП!$R$18</f>
        <v>-</v>
      </c>
      <c r="DI11" s="27">
        <f>IF(DH11=1,IF($B$1=1,'Документы АСУТП'!DG19,IF($B$1=2,'Документы АСУТП'!DG20,IF($B$1=3,'Документы АСУТП'!DG21,'Документы АСУТП'!DG19))),0)</f>
        <v>0</v>
      </c>
      <c r="DJ11" s="312" t="str">
        <f>ТрЗ_ОП!$R$18</f>
        <v>-</v>
      </c>
      <c r="DK11" s="27">
        <f>IF(DJ11=1,IF($B$1=1,'Документы АСУТП'!DH19,IF($B$1=2,'Документы АСУТП'!DH20,IF($B$1=3,'Документы АСУТП'!DH21,'Документы АСУТП'!DH19))),0)</f>
        <v>0</v>
      </c>
      <c r="DL11" s="312" t="str">
        <f>ТрЗ_ОП!$R$18</f>
        <v>-</v>
      </c>
      <c r="DM11" s="27">
        <f>IF(DL11=1,IF($B$1=1,'Документы АСУТП'!DI19,IF($B$1=2,'Документы АСУТП'!DI20,IF($B$1=3,'Документы АСУТП'!DI21,'Документы АСУТП'!DI19))),0)</f>
        <v>0</v>
      </c>
      <c r="DN11" s="312" t="str">
        <f>ТрЗ_ОП!$R$18</f>
        <v>-</v>
      </c>
      <c r="DO11" s="27">
        <f>IF(DN11=1,IF($B$1=1,'Документы АСУТП'!DJ19,IF($B$1=2,'Документы АСУТП'!DJ20,IF($B$1=3,'Документы АСУТП'!DJ21,'Документы АСУТП'!DJ19))),0)</f>
        <v>0</v>
      </c>
      <c r="DP11" s="312" t="str">
        <f>ТрЗ_ОП!$R$18</f>
        <v>-</v>
      </c>
      <c r="DQ11" s="27">
        <f>IF(DP11=1,IF($B$1=1,'Документы АСУТП'!DK19,IF($B$1=2,'Документы АСУТП'!DK20,IF($B$1=3,'Документы АСУТП'!DK21,'Документы АСУТП'!DK19))),0)</f>
        <v>0</v>
      </c>
      <c r="DR11" s="312" t="str">
        <f>ТрЗ_ОП!$R$18</f>
        <v>-</v>
      </c>
      <c r="DS11" s="27">
        <f>IF(DR11=1,IF($B$1=1,'Документы АСУТП'!DL19,IF($B$1=2,'Документы АСУТП'!DL20,IF($B$1=3,'Документы АСУТП'!DL21,'Документы АСУТП'!DL19))),0)</f>
        <v>0</v>
      </c>
      <c r="DT11" s="312" t="str">
        <f>ТрЗ_ОП!$R$18</f>
        <v>-</v>
      </c>
      <c r="DU11" s="27">
        <f>IF(DT11=1,IF($B$1=1,'Документы АСУТП'!DM19,IF($B$1=2,'Документы АСУТП'!DM20,IF($B$1=3,'Документы АСУТП'!DM21,'Документы АСУТП'!DM19))),0)</f>
        <v>0</v>
      </c>
      <c r="DV11" s="312" t="str">
        <f>ТрЗ_ОП!$R18</f>
        <v>-</v>
      </c>
      <c r="DW11" s="27">
        <f>IF(DV11=1,IF($B$1=1,'Документы АСУТП'!DN19,IF($B$1=2,'Документы АСУТП'!DN20,IF($B$1=3,'Документы АСУТП'!DN21,'Документы АСУТП'!DN19))),0)</f>
        <v>0</v>
      </c>
      <c r="DX11" s="312" t="str">
        <f>ТрЗ_ОП!$R18</f>
        <v>-</v>
      </c>
      <c r="DY11" s="27">
        <f>IF(DX11=1,IF($B$1=1,'Документы АСУТП'!DO19,IF($B$1=2,'Документы АСУТП'!DO20,IF($B$1=3,'Документы АСУТП'!DO21,'Документы АСУТП'!DO19))),0)</f>
        <v>0</v>
      </c>
      <c r="DZ11" s="312" t="str">
        <f>ТрЗ_ОП!$R18</f>
        <v>-</v>
      </c>
      <c r="EA11" s="27">
        <f>IF(DZ11=1,IF($B$1=1,'Документы АСУТП'!DP19,IF($B$1=2,'Документы АСУТП'!DP20,IF($B$1=3,'Документы АСУТП'!DP21,'Документы АСУТП'!DP19))),0)</f>
        <v>0</v>
      </c>
      <c r="EB11" s="312" t="str">
        <f>ТрЗ_ОП!$R18</f>
        <v>-</v>
      </c>
      <c r="EC11" s="27">
        <f>IF(EB11=1,IF($B$1=1,'Документы АСУТП'!DQ19,IF($B$1=2,'Документы АСУТП'!DQ20,IF($B$1=3,'Документы АСУТП'!DQ21,'Документы АСУТП'!DQ19))),0)</f>
        <v>0</v>
      </c>
      <c r="ED11" s="312" t="str">
        <f>ТрЗ_ОП!$R18</f>
        <v>-</v>
      </c>
      <c r="EE11" s="27">
        <f>IF(ED11=1,IF($B$1=1,'Документы АСУТП'!DR19,IF($B$1=2,'Документы АСУТП'!DR20,IF($B$1=3,'Документы АСУТП'!DR21,'Документы АСУТП'!DR19))),0)</f>
        <v>0</v>
      </c>
      <c r="EF11" s="312" t="str">
        <f>ТрЗ_ОП!$R18</f>
        <v>-</v>
      </c>
      <c r="EG11" s="27">
        <f>IF(EF11=1,IF($B$1=1,'Документы АСУТП'!DS19,IF($B$1=2,'Документы АСУТП'!DS20,IF($B$1=3,'Документы АСУТП'!DS21,'Документы АСУТП'!DS19))),0)</f>
        <v>0</v>
      </c>
      <c r="EH11" s="312" t="str">
        <f>ТрЗ_ОП!$R18</f>
        <v>-</v>
      </c>
      <c r="EI11" s="27">
        <f>IF(EH11=1,IF($B$1=1,'Документы АСУТП'!DT19,IF($B$1=2,'Документы АСУТП'!DT20,IF($B$1=3,'Документы АСУТП'!DT21,'Документы АСУТП'!DT19))),0)</f>
        <v>0</v>
      </c>
      <c r="EJ11" s="312" t="str">
        <f>ТрЗ_ОП!$R18</f>
        <v>-</v>
      </c>
      <c r="EK11" s="27">
        <f>IF(EJ11=1,IF($B$1=1,'Документы АСУТП'!DU19,IF($B$1=2,'Документы АСУТП'!DU20,IF($B$1=3,'Документы АСУТП'!DU21,'Документы АСУТП'!DU19))),0)</f>
        <v>0</v>
      </c>
      <c r="EL11" s="312" t="str">
        <f>ТрЗ_ОП!$R18</f>
        <v>-</v>
      </c>
      <c r="EM11" s="27">
        <f>IF(EL11=1,IF($B$1=1,'Документы АСУТП'!DV19,IF($B$1=2,'Документы АСУТП'!DV20,IF($B$1=3,'Документы АСУТП'!DV21,'Документы АСУТП'!DV19))),0)</f>
        <v>0</v>
      </c>
      <c r="EN11" s="312" t="str">
        <f>ТрЗ_ОП!$R18</f>
        <v>-</v>
      </c>
      <c r="EO11" s="27">
        <f>IF(EN11=1,IF($B$1=1,'Документы АСУТП'!DW19,IF($B$1=2,'Документы АСУТП'!DW20,IF($B$1=3,'Документы АСУТП'!DW21,'Документы АСУТП'!DW19))),0)</f>
        <v>0</v>
      </c>
      <c r="EP11" s="312" t="str">
        <f>ТрЗ_ОП!$R18</f>
        <v>-</v>
      </c>
      <c r="EQ11" s="27">
        <f>IF(EP11=1,IF($B$1=1,'Документы АСУТП'!DX19,IF($B$1=2,'Документы АСУТП'!DX20,IF($B$1=3,'Документы АСУТП'!DX21,'Документы АСУТП'!DX19))),0)</f>
        <v>0</v>
      </c>
      <c r="ER11" s="312" t="str">
        <f>ТрЗ_ОП!$R18</f>
        <v>-</v>
      </c>
      <c r="ES11" s="27">
        <f>IF(ER11=1,IF($B$1=1,'Документы АСУТП'!DY19,IF($B$1=2,'Документы АСУТП'!DY20,IF($B$1=3,'Документы АСУТП'!DY21,'Документы АСУТП'!DY19))),0)</f>
        <v>0</v>
      </c>
      <c r="ET11" s="312" t="str">
        <f>ТрЗ_ОП!$R18</f>
        <v>-</v>
      </c>
      <c r="EU11" s="771">
        <f>IF(ET11=1,IF($B$1=1,'Документы АСУТП'!DZ19,IF($B$1=2,'Документы АСУТП'!DZ20,IF($B$1=3,'Документы АСУТП'!DZ21,'Документы АСУТП'!DZ19))),0)</f>
        <v>0</v>
      </c>
      <c r="EV11" s="794">
        <f t="shared" si="2"/>
        <v>0</v>
      </c>
      <c r="EW11" s="796">
        <f t="shared" si="3"/>
        <v>0</v>
      </c>
      <c r="EX11" s="796">
        <f t="shared" si="4"/>
        <v>0</v>
      </c>
      <c r="EY11" s="796">
        <f t="shared" si="0"/>
        <v>0</v>
      </c>
      <c r="EZ11" s="795">
        <f t="shared" si="1"/>
        <v>0</v>
      </c>
    </row>
    <row r="12" spans="1:156" ht="15.75" x14ac:dyDescent="0.25">
      <c r="A12" s="383" t="s">
        <v>6</v>
      </c>
      <c r="B12" s="84">
        <v>0.7</v>
      </c>
      <c r="C12" s="47">
        <v>0.25</v>
      </c>
      <c r="D12" s="85">
        <v>0.05</v>
      </c>
      <c r="E12" s="84">
        <v>0.5</v>
      </c>
      <c r="F12" s="47">
        <v>0.3</v>
      </c>
      <c r="G12" s="85">
        <v>0.2</v>
      </c>
      <c r="H12" s="84">
        <v>0.7</v>
      </c>
      <c r="I12" s="47">
        <v>0.25</v>
      </c>
      <c r="J12" s="85">
        <v>0.05</v>
      </c>
      <c r="K12" s="84">
        <v>0.6</v>
      </c>
      <c r="L12" s="47">
        <v>0.3</v>
      </c>
      <c r="M12" s="85">
        <v>0.1</v>
      </c>
      <c r="N12" s="84">
        <v>0.5</v>
      </c>
      <c r="O12" s="47">
        <v>0.3</v>
      </c>
      <c r="P12" s="85">
        <v>0.2</v>
      </c>
      <c r="Q12" s="84">
        <v>0.6</v>
      </c>
      <c r="R12" s="47">
        <v>0.3</v>
      </c>
      <c r="S12" s="85">
        <v>0.1</v>
      </c>
      <c r="T12" s="84">
        <v>0.7</v>
      </c>
      <c r="U12" s="47">
        <v>0.25</v>
      </c>
      <c r="V12" s="85">
        <v>0.05</v>
      </c>
      <c r="W12" s="84">
        <v>0.6</v>
      </c>
      <c r="X12" s="47">
        <v>0.3</v>
      </c>
      <c r="Y12" s="85">
        <v>0.1</v>
      </c>
      <c r="Z12" s="84">
        <v>0.6</v>
      </c>
      <c r="AA12" s="47">
        <v>0.3</v>
      </c>
      <c r="AB12" s="85">
        <v>0.1</v>
      </c>
      <c r="AC12" s="84">
        <v>0.4</v>
      </c>
      <c r="AD12" s="47">
        <v>0.3</v>
      </c>
      <c r="AE12" s="85">
        <v>0.3</v>
      </c>
      <c r="AF12" s="84">
        <v>0.6</v>
      </c>
      <c r="AG12" s="47">
        <v>0.3</v>
      </c>
      <c r="AH12" s="85">
        <v>0.1</v>
      </c>
      <c r="AI12" s="84">
        <v>0.5</v>
      </c>
      <c r="AJ12" s="47">
        <v>0.3</v>
      </c>
      <c r="AK12" s="85">
        <v>0.2</v>
      </c>
      <c r="AL12" s="84">
        <v>0.4</v>
      </c>
      <c r="AM12" s="47">
        <v>0.3</v>
      </c>
      <c r="AN12" s="85">
        <v>0.3</v>
      </c>
      <c r="AO12" s="84">
        <v>0.4</v>
      </c>
      <c r="AP12" s="47">
        <v>0.3</v>
      </c>
      <c r="AQ12" s="85">
        <v>0.3</v>
      </c>
      <c r="AR12" s="84">
        <v>0.5</v>
      </c>
      <c r="AS12" s="47">
        <v>0.3</v>
      </c>
      <c r="AT12" s="85">
        <v>0.2</v>
      </c>
      <c r="AU12" s="84">
        <v>0.5</v>
      </c>
      <c r="AV12" s="47">
        <v>0.3</v>
      </c>
      <c r="AW12" s="85">
        <v>0.2</v>
      </c>
      <c r="AX12" s="84">
        <v>0.4</v>
      </c>
      <c r="AY12" s="47">
        <v>0.3</v>
      </c>
      <c r="AZ12" s="85">
        <v>0.3</v>
      </c>
      <c r="BA12" s="84">
        <v>0.5</v>
      </c>
      <c r="BB12" s="47">
        <v>0.3</v>
      </c>
      <c r="BC12" s="85">
        <v>0.2</v>
      </c>
      <c r="BD12" s="84">
        <v>0.5</v>
      </c>
      <c r="BE12" s="47">
        <v>0.3</v>
      </c>
      <c r="BF12" s="85">
        <v>0.2</v>
      </c>
      <c r="BG12" s="84">
        <v>0.5</v>
      </c>
      <c r="BH12" s="47">
        <v>0.3</v>
      </c>
      <c r="BI12" s="85">
        <v>0.2</v>
      </c>
      <c r="BJ12" s="84">
        <v>0.4</v>
      </c>
      <c r="BK12" s="47">
        <v>0.3</v>
      </c>
      <c r="BL12" s="85">
        <v>0.3</v>
      </c>
      <c r="BM12" s="84">
        <v>0.4</v>
      </c>
      <c r="BN12" s="47">
        <v>0.3</v>
      </c>
      <c r="BO12" s="85">
        <v>0.3</v>
      </c>
      <c r="BP12" s="84">
        <v>0.4</v>
      </c>
      <c r="BQ12" s="47">
        <v>0.3</v>
      </c>
      <c r="BR12" s="85">
        <v>0.3</v>
      </c>
      <c r="BS12" s="84">
        <v>0.5</v>
      </c>
      <c r="BT12" s="47">
        <v>0.3</v>
      </c>
      <c r="BU12" s="85">
        <v>0.2</v>
      </c>
      <c r="BV12" s="84">
        <v>0.5</v>
      </c>
      <c r="BW12" s="47">
        <v>0.3</v>
      </c>
      <c r="BX12" s="85">
        <v>0.2</v>
      </c>
      <c r="BY12" s="84">
        <v>0.4</v>
      </c>
      <c r="BZ12" s="47">
        <v>0.3</v>
      </c>
      <c r="CA12" s="85">
        <v>0.3</v>
      </c>
      <c r="CB12" s="84">
        <v>0.5</v>
      </c>
      <c r="CC12" s="47">
        <v>0.3</v>
      </c>
      <c r="CD12" s="85">
        <v>0.2</v>
      </c>
      <c r="CE12" s="84">
        <v>0.5</v>
      </c>
      <c r="CF12" s="47">
        <v>0.3</v>
      </c>
      <c r="CG12" s="85">
        <v>0.2</v>
      </c>
      <c r="CH12" s="84">
        <v>0.4</v>
      </c>
      <c r="CI12" s="47">
        <v>0.3</v>
      </c>
      <c r="CJ12" s="85">
        <v>0.3</v>
      </c>
      <c r="CK12" s="84">
        <v>0.4</v>
      </c>
      <c r="CL12" s="47">
        <v>0.3</v>
      </c>
      <c r="CM12" s="85">
        <v>0.3</v>
      </c>
      <c r="CN12" s="312">
        <f>ТрЗ_ОП!$R$19</f>
        <v>1</v>
      </c>
      <c r="CO12" s="27">
        <f>IF(CN12=1,IF($B$1=1,'Документы АСУТП'!CW22,IF($B$1=2,'Документы АСУТП'!CW23,IF($B$1=3,'Документы АСУТП'!CW24,'Документы АСУТП'!CW22))),0)</f>
        <v>3</v>
      </c>
      <c r="CP12" s="312">
        <f>ТрЗ_ОП!$R$19</f>
        <v>1</v>
      </c>
      <c r="CQ12" s="27">
        <f>IF(CP12=1,IF($B$1=1,'Документы АСУТП'!CX22,IF($B$1=2,'Документы АСУТП'!CX23,IF($B$1=3,'Документы АСУТП'!CX24,'Документы АСУТП'!CX22))),0)</f>
        <v>2.5</v>
      </c>
      <c r="CR12" s="312">
        <f>ТрЗ_ОП!$R$19</f>
        <v>1</v>
      </c>
      <c r="CS12" s="27">
        <f>IF(CR12=1,IF($B$1=1,'Документы АСУТП'!CY22,IF($B$1=2,'Документы АСУТП'!CY23,IF($B$1=3,'Документы АСУТП'!CY24,'Документы АСУТП'!CY22))),0)</f>
        <v>0</v>
      </c>
      <c r="CT12" s="379">
        <f>ТрЗ_ОП!$R$19</f>
        <v>1</v>
      </c>
      <c r="CU12" s="27">
        <f>IF(CT12=1,IF($B$1=1,'Документы АСУТП'!CZ22,IF($B$1=2,'Документы АСУТП'!CZ23,IF($B$1=3,'Документы АСУТП'!CZ24,'Документы АСУТП'!CZ22))),0)</f>
        <v>0</v>
      </c>
      <c r="CV12" s="312">
        <f>ТрЗ_ОП!$R$19</f>
        <v>1</v>
      </c>
      <c r="CW12" s="27">
        <f>IF(CV12=1,IF($B$1=1,'Документы АСУТП'!DA22,IF($B$1=2,'Документы АСУТП'!DA23,IF($B$1=3,'Документы АСУТП'!DA24,'Документы АСУТП'!DA22))),0)</f>
        <v>0</v>
      </c>
      <c r="CX12" s="312">
        <f>ТрЗ_ОП!$R$19</f>
        <v>1</v>
      </c>
      <c r="CY12" s="27">
        <f>IF(CX12=1,IF($B$1=1,'Документы АСУТП'!DB22,IF($B$1=2,'Документы АСУТП'!DB23,IF($B$1=3,'Документы АСУТП'!DB24,'Документы АСУТП'!DB22))),0)</f>
        <v>0</v>
      </c>
      <c r="CZ12" s="312">
        <f>ТрЗ_ОП!$R$19</f>
        <v>1</v>
      </c>
      <c r="DA12" s="27">
        <f>IF(CZ12=1,IF($B$1=1,'Документы АСУТП'!DC22,IF($B$1=2,'Документы АСУТП'!DC23,IF($B$1=3,'Документы АСУТП'!DC24,'Документы АСУТП'!DC22))),0)</f>
        <v>0</v>
      </c>
      <c r="DB12" s="312">
        <f>ТрЗ_ОП!$R$19</f>
        <v>1</v>
      </c>
      <c r="DC12" s="27">
        <f>IF(DB12=1,IF($B$1=1,'Документы АСУТП'!DD22,IF($B$1=2,'Документы АСУТП'!DD23,IF($B$1=3,'Документы АСУТП'!DD24,'Документы АСУТП'!DD22))),0)</f>
        <v>0</v>
      </c>
      <c r="DD12" s="312">
        <f>ТрЗ_ОП!$R$19</f>
        <v>1</v>
      </c>
      <c r="DE12" s="27">
        <f>IF(DD12=1,IF($B$1=1,'Документы АСУТП'!DF22,IF($B$1=2,'Документы АСУТП'!DF23,IF($B$1=3,'Документы АСУТП'!DF24,'Документы АСУТП'!DF22))),0)</f>
        <v>0</v>
      </c>
      <c r="DF12" s="312">
        <f>ТрЗ_ОП!$R$19</f>
        <v>1</v>
      </c>
      <c r="DG12" s="27">
        <f>IF(DF12=1,IF($B$1=1,'Документы АСУТП'!DE22,IF($B$1=2,'Документы АСУТП'!DE23,IF($B$1=3,'Документы АСУТП'!DE24,'Документы АСУТП'!DE22))),0)</f>
        <v>0</v>
      </c>
      <c r="DH12" s="312">
        <f>ТрЗ_ОП!$R$19</f>
        <v>1</v>
      </c>
      <c r="DI12" s="27">
        <f>IF(DH12=1,IF($B$1=1,'Документы АСУТП'!DG22,IF($B$1=2,'Документы АСУТП'!DG23,IF($B$1=3,'Документы АСУТП'!DG24,'Документы АСУТП'!DG22))),0)</f>
        <v>0</v>
      </c>
      <c r="DJ12" s="312">
        <f>ТрЗ_ОП!$R$19</f>
        <v>1</v>
      </c>
      <c r="DK12" s="27">
        <f>IF(DJ12=1,IF($B$1=1,'Документы АСУТП'!DH22,IF($B$1=2,'Документы АСУТП'!DH23,IF($B$1=3,'Документы АСУТП'!DH24,'Документы АСУТП'!DH22))),0)</f>
        <v>0</v>
      </c>
      <c r="DL12" s="312">
        <f>ТрЗ_ОП!$R$19</f>
        <v>1</v>
      </c>
      <c r="DM12" s="27">
        <f>IF(DL12=1,IF($B$1=1,'Документы АСУТП'!DI22,IF($B$1=2,'Документы АСУТП'!DI23,IF($B$1=3,'Документы АСУТП'!DI24,'Документы АСУТП'!DI22))),0)</f>
        <v>0</v>
      </c>
      <c r="DN12" s="312">
        <f>ТрЗ_ОП!$R$19</f>
        <v>1</v>
      </c>
      <c r="DO12" s="27" t="e">
        <f>IF(DN12=1,IF($B$1=1,'Документы АСУТП'!DJ22,IF($B$1=2,'Документы АСУТП'!DJ23,IF($B$1=3,'Документы АСУТП'!DJ24,'Документы АСУТП'!DJ22))),0)</f>
        <v>#REF!</v>
      </c>
      <c r="DP12" s="312">
        <f>ТрЗ_ОП!$R$19</f>
        <v>1</v>
      </c>
      <c r="DQ12" s="27">
        <f>IF(DP12=1,IF($B$1=1,'Документы АСУТП'!DK22,IF($B$1=2,'Документы АСУТП'!DK23,IF($B$1=3,'Документы АСУТП'!DK24,'Документы АСУТП'!DK22))),0)</f>
        <v>0</v>
      </c>
      <c r="DR12" s="312">
        <f>ТрЗ_ОП!$R$19</f>
        <v>1</v>
      </c>
      <c r="DS12" s="27">
        <f>IF(DR12=1,IF($B$1=1,'Документы АСУТП'!DL22,IF($B$1=2,'Документы АСУТП'!DL23,IF($B$1=3,'Документы АСУТП'!DL24,'Документы АСУТП'!DL22))),0)</f>
        <v>0</v>
      </c>
      <c r="DT12" s="312">
        <f>ТрЗ_ОП!$R$19</f>
        <v>1</v>
      </c>
      <c r="DU12" s="27">
        <f>IF(DT12=1,IF($B$1=1,'Документы АСУТП'!DM22,IF($B$1=2,'Документы АСУТП'!DM23,IF($B$1=3,'Документы АСУТП'!DM24,'Документы АСУТП'!DM22))),0)</f>
        <v>0</v>
      </c>
      <c r="DV12" s="312">
        <f>ТрЗ_ОП!$R19</f>
        <v>1</v>
      </c>
      <c r="DW12" s="27">
        <f>IF(DV12=1,IF($B$1=1,'Документы АСУТП'!DN22,IF($B$1=2,'Документы АСУТП'!DN23,IF($B$1=3,'Документы АСУТП'!DN24,'Документы АСУТП'!DN22))),0)</f>
        <v>0</v>
      </c>
      <c r="DX12" s="312">
        <f>ТрЗ_ОП!$R19</f>
        <v>1</v>
      </c>
      <c r="DY12" s="27">
        <f>IF(DX12=1,IF($B$1=1,'Документы АСУТП'!DO22,IF($B$1=2,'Документы АСУТП'!DO23,IF($B$1=3,'Документы АСУТП'!DO24,'Документы АСУТП'!DO22))),0)</f>
        <v>0</v>
      </c>
      <c r="DZ12" s="312">
        <f>ТрЗ_ОП!$R19</f>
        <v>1</v>
      </c>
      <c r="EA12" s="27">
        <f>IF(DZ12=1,IF($B$1=1,'Документы АСУТП'!DP22,IF($B$1=2,'Документы АСУТП'!DP23,IF($B$1=3,'Документы АСУТП'!DP24,'Документы АСУТП'!DP22))),0)</f>
        <v>0</v>
      </c>
      <c r="EB12" s="312">
        <f>ТрЗ_ОП!$R19</f>
        <v>1</v>
      </c>
      <c r="EC12" s="27">
        <f>IF(EB12=1,IF($B$1=1,'Документы АСУТП'!DQ22,IF($B$1=2,'Документы АСУТП'!DQ23,IF($B$1=3,'Документы АСУТП'!DQ24,'Документы АСУТП'!DQ22))),0)</f>
        <v>0</v>
      </c>
      <c r="ED12" s="312">
        <f>ТрЗ_ОП!$R19</f>
        <v>1</v>
      </c>
      <c r="EE12" s="27">
        <f>IF(ED12=1,IF($B$1=1,'Документы АСУТП'!DR22,IF($B$1=2,'Документы АСУТП'!DR23,IF($B$1=3,'Документы АСУТП'!DR24,'Документы АСУТП'!DR22))),0)</f>
        <v>0</v>
      </c>
      <c r="EF12" s="312">
        <f>ТрЗ_ОП!$R19</f>
        <v>1</v>
      </c>
      <c r="EG12" s="27">
        <f>IF(EF12=1,IF($B$1=1,'Документы АСУТП'!DS22,IF($B$1=2,'Документы АСУТП'!DS23,IF($B$1=3,'Документы АСУТП'!DS24,'Документы АСУТП'!DS22))),0)</f>
        <v>0</v>
      </c>
      <c r="EH12" s="312">
        <f>ТрЗ_ОП!$R19</f>
        <v>1</v>
      </c>
      <c r="EI12" s="27">
        <f>IF(EH12=1,IF($B$1=1,'Документы АСУТП'!DT22,IF($B$1=2,'Документы АСУТП'!DT23,IF($B$1=3,'Документы АСУТП'!DT24,'Документы АСУТП'!DT22))),0)</f>
        <v>0</v>
      </c>
      <c r="EJ12" s="312">
        <f>ТрЗ_ОП!$R19</f>
        <v>1</v>
      </c>
      <c r="EK12" s="27">
        <f>IF(EJ12=1,IF($B$1=1,'Документы АСУТП'!DU22,IF($B$1=2,'Документы АСУТП'!DU23,IF($B$1=3,'Документы АСУТП'!DU24,'Документы АСУТП'!DU22))),0)</f>
        <v>0</v>
      </c>
      <c r="EL12" s="312">
        <f>ТрЗ_ОП!$R19</f>
        <v>1</v>
      </c>
      <c r="EM12" s="27">
        <f>IF(EL12=1,IF($B$1=1,'Документы АСУТП'!DV22,IF($B$1=2,'Документы АСУТП'!DV23,IF($B$1=3,'Документы АСУТП'!DV24,'Документы АСУТП'!DV22))),0)</f>
        <v>0</v>
      </c>
      <c r="EN12" s="312">
        <f>ТрЗ_ОП!$R19</f>
        <v>1</v>
      </c>
      <c r="EO12" s="27">
        <f>IF(EN12=1,IF($B$1=1,'Документы АСУТП'!DW22,IF($B$1=2,'Документы АСУТП'!DW23,IF($B$1=3,'Документы АСУТП'!DW24,'Документы АСУТП'!DW22))),0)</f>
        <v>0</v>
      </c>
      <c r="EP12" s="312">
        <f>ТрЗ_ОП!$R19</f>
        <v>1</v>
      </c>
      <c r="EQ12" s="27">
        <f>IF(EP12=1,IF($B$1=1,'Документы АСУТП'!DX22,IF($B$1=2,'Документы АСУТП'!DX23,IF($B$1=3,'Документы АСУТП'!DX24,'Документы АСУТП'!DX22))),0)</f>
        <v>0</v>
      </c>
      <c r="ER12" s="312">
        <f>ТрЗ_ОП!$R19</f>
        <v>1</v>
      </c>
      <c r="ES12" s="27">
        <f>IF(ER12=1,IF($B$1=1,'Документы АСУТП'!DY22,IF($B$1=2,'Документы АСУТП'!DY23,IF($B$1=3,'Документы АСУТП'!DY24,'Документы АСУТП'!DY22))),0)</f>
        <v>0</v>
      </c>
      <c r="ET12" s="312">
        <f>ТрЗ_ОП!$R19</f>
        <v>1</v>
      </c>
      <c r="EU12" s="771">
        <f>IF(ET12=1,IF($B$1=1,'Документы АСУТП'!DZ22,IF($B$1=2,'Документы АСУТП'!DZ23,IF($B$1=3,'Документы АСУТП'!DZ24,'Документы АСУТП'!DZ22))),0)</f>
        <v>0</v>
      </c>
      <c r="EV12" s="794" t="e">
        <f t="shared" si="2"/>
        <v>#REF!</v>
      </c>
      <c r="EW12" s="796" t="e">
        <f t="shared" si="3"/>
        <v>#REF!</v>
      </c>
      <c r="EX12" s="796" t="e">
        <f t="shared" si="4"/>
        <v>#REF!</v>
      </c>
      <c r="EY12" s="796" t="e">
        <f t="shared" si="0"/>
        <v>#REF!</v>
      </c>
      <c r="EZ12" s="795" t="e">
        <f t="shared" si="1"/>
        <v>#REF!</v>
      </c>
    </row>
    <row r="13" spans="1:156" ht="15.75" x14ac:dyDescent="0.25">
      <c r="A13" s="383" t="s">
        <v>7</v>
      </c>
      <c r="B13" s="84">
        <v>0.7</v>
      </c>
      <c r="C13" s="47">
        <v>0.25</v>
      </c>
      <c r="D13" s="85">
        <v>0.05</v>
      </c>
      <c r="E13" s="84">
        <v>0.5</v>
      </c>
      <c r="F13" s="47">
        <v>0.3</v>
      </c>
      <c r="G13" s="85">
        <v>0.2</v>
      </c>
      <c r="H13" s="84">
        <v>0.7</v>
      </c>
      <c r="I13" s="47">
        <v>0.25</v>
      </c>
      <c r="J13" s="85">
        <v>0.05</v>
      </c>
      <c r="K13" s="84">
        <v>0.6</v>
      </c>
      <c r="L13" s="47">
        <v>0.3</v>
      </c>
      <c r="M13" s="85">
        <v>0.1</v>
      </c>
      <c r="N13" s="84">
        <v>0.5</v>
      </c>
      <c r="O13" s="47">
        <v>0.3</v>
      </c>
      <c r="P13" s="85">
        <v>0.2</v>
      </c>
      <c r="Q13" s="84">
        <v>0.6</v>
      </c>
      <c r="R13" s="47">
        <v>0.3</v>
      </c>
      <c r="S13" s="85">
        <v>0.1</v>
      </c>
      <c r="T13" s="84">
        <v>0.7</v>
      </c>
      <c r="U13" s="47">
        <v>0.25</v>
      </c>
      <c r="V13" s="85">
        <v>0.05</v>
      </c>
      <c r="W13" s="84">
        <v>0.6</v>
      </c>
      <c r="X13" s="47">
        <v>0.3</v>
      </c>
      <c r="Y13" s="85">
        <v>0.1</v>
      </c>
      <c r="Z13" s="84">
        <v>0.6</v>
      </c>
      <c r="AA13" s="47">
        <v>0.3</v>
      </c>
      <c r="AB13" s="85">
        <v>0.1</v>
      </c>
      <c r="AC13" s="84">
        <v>0.4</v>
      </c>
      <c r="AD13" s="47">
        <v>0.3</v>
      </c>
      <c r="AE13" s="85">
        <v>0.3</v>
      </c>
      <c r="AF13" s="84">
        <v>0.6</v>
      </c>
      <c r="AG13" s="47">
        <v>0.3</v>
      </c>
      <c r="AH13" s="85">
        <v>0.1</v>
      </c>
      <c r="AI13" s="84">
        <v>0.5</v>
      </c>
      <c r="AJ13" s="47">
        <v>0.3</v>
      </c>
      <c r="AK13" s="85">
        <v>0.2</v>
      </c>
      <c r="AL13" s="84">
        <v>0.4</v>
      </c>
      <c r="AM13" s="47">
        <v>0.3</v>
      </c>
      <c r="AN13" s="85">
        <v>0.3</v>
      </c>
      <c r="AO13" s="84">
        <v>0.4</v>
      </c>
      <c r="AP13" s="47">
        <v>0.3</v>
      </c>
      <c r="AQ13" s="85">
        <v>0.3</v>
      </c>
      <c r="AR13" s="84">
        <v>0.5</v>
      </c>
      <c r="AS13" s="47">
        <v>0.3</v>
      </c>
      <c r="AT13" s="85">
        <v>0.2</v>
      </c>
      <c r="AU13" s="84">
        <v>0.5</v>
      </c>
      <c r="AV13" s="47">
        <v>0.3</v>
      </c>
      <c r="AW13" s="85">
        <v>0.2</v>
      </c>
      <c r="AX13" s="84">
        <v>0.4</v>
      </c>
      <c r="AY13" s="47">
        <v>0.3</v>
      </c>
      <c r="AZ13" s="85">
        <v>0.3</v>
      </c>
      <c r="BA13" s="84">
        <v>0.5</v>
      </c>
      <c r="BB13" s="47">
        <v>0.3</v>
      </c>
      <c r="BC13" s="85">
        <v>0.2</v>
      </c>
      <c r="BD13" s="84">
        <v>0.5</v>
      </c>
      <c r="BE13" s="47">
        <v>0.3</v>
      </c>
      <c r="BF13" s="85">
        <v>0.2</v>
      </c>
      <c r="BG13" s="84">
        <v>0.5</v>
      </c>
      <c r="BH13" s="47">
        <v>0.3</v>
      </c>
      <c r="BI13" s="85">
        <v>0.2</v>
      </c>
      <c r="BJ13" s="84">
        <v>0.4</v>
      </c>
      <c r="BK13" s="47">
        <v>0.3</v>
      </c>
      <c r="BL13" s="85">
        <v>0.3</v>
      </c>
      <c r="BM13" s="84">
        <v>0.4</v>
      </c>
      <c r="BN13" s="47">
        <v>0.3</v>
      </c>
      <c r="BO13" s="85">
        <v>0.3</v>
      </c>
      <c r="BP13" s="84">
        <v>0.4</v>
      </c>
      <c r="BQ13" s="47">
        <v>0.3</v>
      </c>
      <c r="BR13" s="85">
        <v>0.3</v>
      </c>
      <c r="BS13" s="84">
        <v>0.5</v>
      </c>
      <c r="BT13" s="47">
        <v>0.3</v>
      </c>
      <c r="BU13" s="85">
        <v>0.2</v>
      </c>
      <c r="BV13" s="84">
        <v>0.5</v>
      </c>
      <c r="BW13" s="47">
        <v>0.3</v>
      </c>
      <c r="BX13" s="85">
        <v>0.2</v>
      </c>
      <c r="BY13" s="84">
        <v>0.4</v>
      </c>
      <c r="BZ13" s="47">
        <v>0.3</v>
      </c>
      <c r="CA13" s="85">
        <v>0.3</v>
      </c>
      <c r="CB13" s="84">
        <v>0.5</v>
      </c>
      <c r="CC13" s="47">
        <v>0.3</v>
      </c>
      <c r="CD13" s="85">
        <v>0.2</v>
      </c>
      <c r="CE13" s="84">
        <v>0.5</v>
      </c>
      <c r="CF13" s="47">
        <v>0.3</v>
      </c>
      <c r="CG13" s="85">
        <v>0.2</v>
      </c>
      <c r="CH13" s="84">
        <v>0.4</v>
      </c>
      <c r="CI13" s="47">
        <v>0.3</v>
      </c>
      <c r="CJ13" s="85">
        <v>0.3</v>
      </c>
      <c r="CK13" s="84">
        <v>0.4</v>
      </c>
      <c r="CL13" s="47">
        <v>0.3</v>
      </c>
      <c r="CM13" s="85">
        <v>0.3</v>
      </c>
      <c r="CN13" s="312">
        <f>ТрЗ_ОП!$R$20</f>
        <v>1</v>
      </c>
      <c r="CO13" s="27">
        <f>IF(CN13=1,IF($B$1=1,'Документы АСУТП'!CW25,IF($B$1=2,'Документы АСУТП'!CW26,IF($B$1=3,'Документы АСУТП'!CW27,'Документы АСУТП'!CW25))),0)</f>
        <v>1</v>
      </c>
      <c r="CP13" s="312">
        <f>ТрЗ_ОП!$R$20</f>
        <v>1</v>
      </c>
      <c r="CQ13" s="27">
        <f>IF(CP13=1,IF($B$1=1,'Документы АСУТП'!CX25,IF($B$1=2,'Документы АСУТП'!CX26,IF($B$1=3,'Документы АСУТП'!CX27,'Документы АСУТП'!CX25))),0)</f>
        <v>2</v>
      </c>
      <c r="CR13" s="312">
        <f>ТрЗ_ОП!$R$20</f>
        <v>1</v>
      </c>
      <c r="CS13" s="27">
        <f>IF(CR13=1,IF($B$1=1,'Документы АСУТП'!CY25,IF($B$1=2,'Документы АСУТП'!CY26,IF($B$1=3,'Документы АСУТП'!CY27,'Документы АСУТП'!CY25))),0)</f>
        <v>0</v>
      </c>
      <c r="CT13" s="312">
        <f>ТрЗ_ОП!$R$20</f>
        <v>1</v>
      </c>
      <c r="CU13" s="27">
        <f>IF(CT13=1,IF($B$1=1,'Документы АСУТП'!CZ25,IF($B$1=2,'Документы АСУТП'!CZ26,IF($B$1=3,'Документы АСУТП'!CZ27,'Документы АСУТП'!CZ25))),0)</f>
        <v>0</v>
      </c>
      <c r="CV13" s="312">
        <f>ТрЗ_ОП!$R$20</f>
        <v>1</v>
      </c>
      <c r="CW13" s="27">
        <f>IF(CV13=1,IF($B$1=1,'Документы АСУТП'!DA25,IF($B$1=2,'Документы АСУТП'!DA26,IF($B$1=3,'Документы АСУТП'!DA27,'Документы АСУТП'!DA25))),0)</f>
        <v>0</v>
      </c>
      <c r="CX13" s="312">
        <f>ТрЗ_ОП!$R$20</f>
        <v>1</v>
      </c>
      <c r="CY13" s="27">
        <f>IF(CX13=1,IF($B$1=1,'Документы АСУТП'!DB25,IF($B$1=2,'Документы АСУТП'!DB26,IF($B$1=3,'Документы АСУТП'!DB27,'Документы АСУТП'!DB25))),0)</f>
        <v>0</v>
      </c>
      <c r="CZ13" s="312">
        <f>ТрЗ_ОП!$R$20</f>
        <v>1</v>
      </c>
      <c r="DA13" s="27">
        <f>IF(CZ13=1,IF($B$1=1,'Документы АСУТП'!DC25,IF($B$1=2,'Документы АСУТП'!DC26,IF($B$1=3,'Документы АСУТП'!DC27,'Документы АСУТП'!DC25))),0)</f>
        <v>0</v>
      </c>
      <c r="DB13" s="312">
        <f>ТрЗ_ОП!$R$20</f>
        <v>1</v>
      </c>
      <c r="DC13" s="27">
        <f>IF(DB13=1,IF($B$1=1,'Документы АСУТП'!DD25,IF($B$1=2,'Документы АСУТП'!DD26,IF($B$1=3,'Документы АСУТП'!DD27,'Документы АСУТП'!DD25))),0)</f>
        <v>0</v>
      </c>
      <c r="DD13" s="312">
        <f>ТрЗ_ОП!$R$20</f>
        <v>1</v>
      </c>
      <c r="DE13" s="27">
        <f>IF(DD13=1,IF($B$1=1,'Документы АСУТП'!DF25,IF($B$1=2,'Документы АСУТП'!DF26,IF($B$1=3,'Документы АСУТП'!DF27,'Документы АСУТП'!DF25))),0)</f>
        <v>0</v>
      </c>
      <c r="DF13" s="312">
        <f>ТрЗ_ОП!$R$20</f>
        <v>1</v>
      </c>
      <c r="DG13" s="27">
        <f>IF(DF13=1,IF($B$1=1,'Документы АСУТП'!DE25,IF($B$1=2,'Документы АСУТП'!DE26,IF($B$1=3,'Документы АСУТП'!DE27,'Документы АСУТП'!DE25))),0)</f>
        <v>0</v>
      </c>
      <c r="DH13" s="312">
        <f>ТрЗ_ОП!$R$20</f>
        <v>1</v>
      </c>
      <c r="DI13" s="27">
        <f>IF(DH13=1,IF($B$1=1,'Документы АСУТП'!DG25,IF($B$1=2,'Документы АСУТП'!DG26,IF($B$1=3,'Документы АСУТП'!DG27,'Документы АСУТП'!DG25))),0)</f>
        <v>0</v>
      </c>
      <c r="DJ13" s="312">
        <f>ТрЗ_ОП!$R$20</f>
        <v>1</v>
      </c>
      <c r="DK13" s="27">
        <f>IF(DJ13=1,IF($B$1=1,'Документы АСУТП'!DH25,IF($B$1=2,'Документы АСУТП'!DH26,IF($B$1=3,'Документы АСУТП'!DH27,'Документы АСУТП'!DH25))),0)</f>
        <v>0</v>
      </c>
      <c r="DL13" s="312">
        <f>ТрЗ_ОП!$R$20</f>
        <v>1</v>
      </c>
      <c r="DM13" s="27">
        <f>IF(DL13=1,IF($B$1=1,'Документы АСУТП'!DI25,IF($B$1=2,'Документы АСУТП'!DI26,IF($B$1=3,'Документы АСУТП'!DI27,'Документы АСУТП'!DI25))),0)</f>
        <v>0</v>
      </c>
      <c r="DN13" s="312">
        <f>ТрЗ_ОП!$R$20</f>
        <v>1</v>
      </c>
      <c r="DO13" s="27" t="e">
        <f>IF(DN13=1,IF($B$1=1,'Документы АСУТП'!DJ25,IF($B$1=2,'Документы АСУТП'!DJ26,IF($B$1=3,'Документы АСУТП'!DJ27,'Документы АСУТП'!DJ25))),0)</f>
        <v>#REF!</v>
      </c>
      <c r="DP13" s="312">
        <f>ТрЗ_ОП!$R$20</f>
        <v>1</v>
      </c>
      <c r="DQ13" s="27">
        <f>IF(DP13=1,IF($B$1=1,'Документы АСУТП'!DK25,IF($B$1=2,'Документы АСУТП'!DK26,IF($B$1=3,'Документы АСУТП'!DK27,'Документы АСУТП'!DK25))),0)</f>
        <v>0</v>
      </c>
      <c r="DR13" s="312">
        <f>ТрЗ_ОП!$R$20</f>
        <v>1</v>
      </c>
      <c r="DS13" s="27">
        <f>IF(DR13=1,IF($B$1=1,'Документы АСУТП'!DL25,IF($B$1=2,'Документы АСУТП'!DL26,IF($B$1=3,'Документы АСУТП'!DL27,'Документы АСУТП'!DL25))),0)</f>
        <v>0</v>
      </c>
      <c r="DT13" s="312">
        <f>ТрЗ_ОП!$R$20</f>
        <v>1</v>
      </c>
      <c r="DU13" s="27">
        <f>IF(DT13=1,IF($B$1=1,'Документы АСУТП'!DM25,IF($B$1=2,'Документы АСУТП'!DM26,IF($B$1=3,'Документы АСУТП'!DM27,'Документы АСУТП'!DM25))),0)</f>
        <v>0</v>
      </c>
      <c r="DV13" s="312">
        <f>ТрЗ_ОП!$R20</f>
        <v>1</v>
      </c>
      <c r="DW13" s="27">
        <f>IF(DV13=1,IF($B$1=1,'Документы АСУТП'!DN25,IF($B$1=2,'Документы АСУТП'!DN26,IF($B$1=3,'Документы АСУТП'!DN27,'Документы АСУТП'!DN25))),0)</f>
        <v>0</v>
      </c>
      <c r="DX13" s="312">
        <f>ТрЗ_ОП!$R20</f>
        <v>1</v>
      </c>
      <c r="DY13" s="27">
        <f>IF(DX13=1,IF($B$1=1,'Документы АСУТП'!DO25,IF($B$1=2,'Документы АСУТП'!DO26,IF($B$1=3,'Документы АСУТП'!DO27,'Документы АСУТП'!DO25))),0)</f>
        <v>0</v>
      </c>
      <c r="DZ13" s="312">
        <f>ТрЗ_ОП!$R20</f>
        <v>1</v>
      </c>
      <c r="EA13" s="27">
        <f>IF(DZ13=1,IF($B$1=1,'Документы АСУТП'!DP25,IF($B$1=2,'Документы АСУТП'!DP26,IF($B$1=3,'Документы АСУТП'!DP27,'Документы АСУТП'!DP25))),0)</f>
        <v>0</v>
      </c>
      <c r="EB13" s="312">
        <f>ТрЗ_ОП!$R20</f>
        <v>1</v>
      </c>
      <c r="EC13" s="27">
        <f>IF(EB13=1,IF($B$1=1,'Документы АСУТП'!DQ25,IF($B$1=2,'Документы АСУТП'!DQ26,IF($B$1=3,'Документы АСУТП'!DQ27,'Документы АСУТП'!DQ25))),0)</f>
        <v>0</v>
      </c>
      <c r="ED13" s="312">
        <f>ТрЗ_ОП!$R20</f>
        <v>1</v>
      </c>
      <c r="EE13" s="27">
        <f>IF(ED13=1,IF($B$1=1,'Документы АСУТП'!DR25,IF($B$1=2,'Документы АСУТП'!DR26,IF($B$1=3,'Документы АСУТП'!DR27,'Документы АСУТП'!DR25))),0)</f>
        <v>0</v>
      </c>
      <c r="EF13" s="312">
        <f>ТрЗ_ОП!$R20</f>
        <v>1</v>
      </c>
      <c r="EG13" s="27">
        <f>IF(EF13=1,IF($B$1=1,'Документы АСУТП'!DS25,IF($B$1=2,'Документы АСУТП'!DS26,IF($B$1=3,'Документы АСУТП'!DS27,'Документы АСУТП'!DS25))),0)</f>
        <v>0</v>
      </c>
      <c r="EH13" s="312">
        <f>ТрЗ_ОП!$R20</f>
        <v>1</v>
      </c>
      <c r="EI13" s="27">
        <f>IF(EH13=1,IF($B$1=1,'Документы АСУТП'!DT25,IF($B$1=2,'Документы АСУТП'!DT26,IF($B$1=3,'Документы АСУТП'!DT27,'Документы АСУТП'!DT25))),0)</f>
        <v>0</v>
      </c>
      <c r="EJ13" s="312">
        <f>ТрЗ_ОП!$R20</f>
        <v>1</v>
      </c>
      <c r="EK13" s="27">
        <f>IF(EJ13=1,IF($B$1=1,'Документы АСУТП'!DU25,IF($B$1=2,'Документы АСУТП'!DU26,IF($B$1=3,'Документы АСУТП'!DU27,'Документы АСУТП'!DU25))),0)</f>
        <v>0</v>
      </c>
      <c r="EL13" s="312">
        <f>ТрЗ_ОП!$R20</f>
        <v>1</v>
      </c>
      <c r="EM13" s="27">
        <f>IF(EL13=1,IF($B$1=1,'Документы АСУТП'!DV25,IF($B$1=2,'Документы АСУТП'!DV26,IF($B$1=3,'Документы АСУТП'!DV27,'Документы АСУТП'!DV25))),0)</f>
        <v>0</v>
      </c>
      <c r="EN13" s="312">
        <f>ТрЗ_ОП!$R20</f>
        <v>1</v>
      </c>
      <c r="EO13" s="27">
        <f>IF(EN13=1,IF($B$1=1,'Документы АСУТП'!DW25,IF($B$1=2,'Документы АСУТП'!DW26,IF($B$1=3,'Документы АСУТП'!DW27,'Документы АСУТП'!DW25))),0)</f>
        <v>0</v>
      </c>
      <c r="EP13" s="312">
        <f>ТрЗ_ОП!$R20</f>
        <v>1</v>
      </c>
      <c r="EQ13" s="27">
        <f>IF(EP13=1,IF($B$1=1,'Документы АСУТП'!DX25,IF($B$1=2,'Документы АСУТП'!DX26,IF($B$1=3,'Документы АСУТП'!DX27,'Документы АСУТП'!DX25))),0)</f>
        <v>0</v>
      </c>
      <c r="ER13" s="312">
        <f>ТрЗ_ОП!$R20</f>
        <v>1</v>
      </c>
      <c r="ES13" s="27">
        <f>IF(ER13=1,IF($B$1=1,'Документы АСУТП'!DY25,IF($B$1=2,'Документы АСУТП'!DY26,IF($B$1=3,'Документы АСУТП'!DY27,'Документы АСУТП'!DY25))),0)</f>
        <v>0</v>
      </c>
      <c r="ET13" s="312">
        <f>ТрЗ_ОП!$R20</f>
        <v>1</v>
      </c>
      <c r="EU13" s="771">
        <f>IF(ET13=1,IF($B$1=1,'Документы АСУТП'!DZ25,IF($B$1=2,'Документы АСУТП'!DZ26,IF($B$1=3,'Документы АСУТП'!DZ27,'Документы АСУТП'!DZ25))),0)</f>
        <v>0</v>
      </c>
      <c r="EV13" s="794" t="e">
        <f t="shared" si="2"/>
        <v>#REF!</v>
      </c>
      <c r="EW13" s="796" t="e">
        <f t="shared" si="3"/>
        <v>#REF!</v>
      </c>
      <c r="EX13" s="796" t="e">
        <f t="shared" si="4"/>
        <v>#REF!</v>
      </c>
      <c r="EY13" s="796" t="e">
        <f t="shared" si="0"/>
        <v>#REF!</v>
      </c>
      <c r="EZ13" s="795" t="e">
        <f t="shared" si="1"/>
        <v>#REF!</v>
      </c>
    </row>
    <row r="14" spans="1:156" ht="15.75" x14ac:dyDescent="0.25">
      <c r="A14" s="383" t="s">
        <v>8</v>
      </c>
      <c r="B14" s="84">
        <v>0.7</v>
      </c>
      <c r="C14" s="47">
        <v>0.25</v>
      </c>
      <c r="D14" s="85">
        <v>0.05</v>
      </c>
      <c r="E14" s="84">
        <v>0.5</v>
      </c>
      <c r="F14" s="47">
        <v>0.3</v>
      </c>
      <c r="G14" s="85">
        <v>0.2</v>
      </c>
      <c r="H14" s="84">
        <v>0.7</v>
      </c>
      <c r="I14" s="47">
        <v>0.25</v>
      </c>
      <c r="J14" s="85">
        <v>0.05</v>
      </c>
      <c r="K14" s="84">
        <v>0.6</v>
      </c>
      <c r="L14" s="47">
        <v>0.3</v>
      </c>
      <c r="M14" s="85">
        <v>0.1</v>
      </c>
      <c r="N14" s="84">
        <v>0.5</v>
      </c>
      <c r="O14" s="47">
        <v>0.3</v>
      </c>
      <c r="P14" s="85">
        <v>0.2</v>
      </c>
      <c r="Q14" s="84">
        <v>0.6</v>
      </c>
      <c r="R14" s="47">
        <v>0.3</v>
      </c>
      <c r="S14" s="85">
        <v>0.1</v>
      </c>
      <c r="T14" s="84">
        <v>0.7</v>
      </c>
      <c r="U14" s="47">
        <v>0.25</v>
      </c>
      <c r="V14" s="85">
        <v>0.05</v>
      </c>
      <c r="W14" s="84">
        <v>0.6</v>
      </c>
      <c r="X14" s="47">
        <v>0.3</v>
      </c>
      <c r="Y14" s="85">
        <v>0.1</v>
      </c>
      <c r="Z14" s="84">
        <v>0.6</v>
      </c>
      <c r="AA14" s="47">
        <v>0.3</v>
      </c>
      <c r="AB14" s="85">
        <v>0.1</v>
      </c>
      <c r="AC14" s="84">
        <v>0.4</v>
      </c>
      <c r="AD14" s="47">
        <v>0.3</v>
      </c>
      <c r="AE14" s="85">
        <v>0.3</v>
      </c>
      <c r="AF14" s="84">
        <v>0.6</v>
      </c>
      <c r="AG14" s="47">
        <v>0.3</v>
      </c>
      <c r="AH14" s="85">
        <v>0.1</v>
      </c>
      <c r="AI14" s="84">
        <v>0.5</v>
      </c>
      <c r="AJ14" s="47">
        <v>0.3</v>
      </c>
      <c r="AK14" s="85">
        <v>0.2</v>
      </c>
      <c r="AL14" s="84">
        <v>0.4</v>
      </c>
      <c r="AM14" s="47">
        <v>0.3</v>
      </c>
      <c r="AN14" s="85">
        <v>0.3</v>
      </c>
      <c r="AO14" s="84">
        <v>0.4</v>
      </c>
      <c r="AP14" s="47">
        <v>0.3</v>
      </c>
      <c r="AQ14" s="85">
        <v>0.3</v>
      </c>
      <c r="AR14" s="84">
        <v>0.5</v>
      </c>
      <c r="AS14" s="47">
        <v>0.3</v>
      </c>
      <c r="AT14" s="85">
        <v>0.2</v>
      </c>
      <c r="AU14" s="84">
        <v>0.5</v>
      </c>
      <c r="AV14" s="47">
        <v>0.3</v>
      </c>
      <c r="AW14" s="85">
        <v>0.2</v>
      </c>
      <c r="AX14" s="84">
        <v>0.4</v>
      </c>
      <c r="AY14" s="47">
        <v>0.3</v>
      </c>
      <c r="AZ14" s="85">
        <v>0.3</v>
      </c>
      <c r="BA14" s="84">
        <v>0.5</v>
      </c>
      <c r="BB14" s="47">
        <v>0.3</v>
      </c>
      <c r="BC14" s="85">
        <v>0.2</v>
      </c>
      <c r="BD14" s="84">
        <v>0.5</v>
      </c>
      <c r="BE14" s="47">
        <v>0.3</v>
      </c>
      <c r="BF14" s="85">
        <v>0.2</v>
      </c>
      <c r="BG14" s="84">
        <v>0.5</v>
      </c>
      <c r="BH14" s="47">
        <v>0.3</v>
      </c>
      <c r="BI14" s="85">
        <v>0.2</v>
      </c>
      <c r="BJ14" s="84">
        <v>0.4</v>
      </c>
      <c r="BK14" s="47">
        <v>0.3</v>
      </c>
      <c r="BL14" s="85">
        <v>0.3</v>
      </c>
      <c r="BM14" s="84">
        <v>0.4</v>
      </c>
      <c r="BN14" s="47">
        <v>0.3</v>
      </c>
      <c r="BO14" s="85">
        <v>0.3</v>
      </c>
      <c r="BP14" s="84">
        <v>0.4</v>
      </c>
      <c r="BQ14" s="47">
        <v>0.3</v>
      </c>
      <c r="BR14" s="85">
        <v>0.3</v>
      </c>
      <c r="BS14" s="84">
        <v>0.5</v>
      </c>
      <c r="BT14" s="47">
        <v>0.3</v>
      </c>
      <c r="BU14" s="85">
        <v>0.2</v>
      </c>
      <c r="BV14" s="84">
        <v>0.5</v>
      </c>
      <c r="BW14" s="47">
        <v>0.3</v>
      </c>
      <c r="BX14" s="85">
        <v>0.2</v>
      </c>
      <c r="BY14" s="84">
        <v>0.4</v>
      </c>
      <c r="BZ14" s="47">
        <v>0.3</v>
      </c>
      <c r="CA14" s="85">
        <v>0.3</v>
      </c>
      <c r="CB14" s="84">
        <v>0.5</v>
      </c>
      <c r="CC14" s="47">
        <v>0.3</v>
      </c>
      <c r="CD14" s="85">
        <v>0.2</v>
      </c>
      <c r="CE14" s="84">
        <v>0.5</v>
      </c>
      <c r="CF14" s="47">
        <v>0.3</v>
      </c>
      <c r="CG14" s="85">
        <v>0.2</v>
      </c>
      <c r="CH14" s="84">
        <v>0.4</v>
      </c>
      <c r="CI14" s="47">
        <v>0.3</v>
      </c>
      <c r="CJ14" s="85">
        <v>0.3</v>
      </c>
      <c r="CK14" s="84">
        <v>0.4</v>
      </c>
      <c r="CL14" s="47">
        <v>0.3</v>
      </c>
      <c r="CM14" s="85">
        <v>0.3</v>
      </c>
      <c r="CN14" s="312">
        <f>ТрЗ_ОП!$R$21</f>
        <v>1</v>
      </c>
      <c r="CO14" s="27">
        <f>IF(CN14=1,IF($B$1=1,'Документы АСУТП'!CW28,IF($B$1=2,'Документы АСУТП'!CW29,IF($B$1=3,'Документы АСУТП'!CW30,'Документы АСУТП'!CW28))),0)</f>
        <v>3.5</v>
      </c>
      <c r="CP14" s="312">
        <f>ТрЗ_ОП!$R$21</f>
        <v>1</v>
      </c>
      <c r="CQ14" s="27">
        <f>IF(CP14=1,IF($B$1=1,'Документы АСУТП'!CX28,IF($B$1=2,'Документы АСУТП'!CX29,IF($B$1=3,'Документы АСУТП'!CX30,'Документы АСУТП'!CX28))),0)</f>
        <v>4</v>
      </c>
      <c r="CR14" s="312">
        <f>ТрЗ_ОП!$R$21</f>
        <v>1</v>
      </c>
      <c r="CS14" s="27">
        <f>IF(CR14=1,IF($B$1=1,'Документы АСУТП'!CY28,IF($B$1=2,'Документы АСУТП'!CY29,IF($B$1=3,'Документы АСУТП'!CY30,'Документы АСУТП'!CY28))),0)</f>
        <v>0</v>
      </c>
      <c r="CT14" s="312">
        <f>ТрЗ_ОП!$R$21</f>
        <v>1</v>
      </c>
      <c r="CU14" s="27">
        <f>IF(CT14=1,IF($B$1=1,'Документы АСУТП'!CZ28,IF($B$1=2,'Документы АСУТП'!CZ29,IF($B$1=3,'Документы АСУТП'!CZ30,'Документы АСУТП'!CZ28))),0)</f>
        <v>0</v>
      </c>
      <c r="CV14" s="312">
        <f>ТрЗ_ОП!$R$21</f>
        <v>1</v>
      </c>
      <c r="CW14" s="27">
        <f>IF(CV14=1,IF($B$1=1,'Документы АСУТП'!DA28,IF($B$1=2,'Документы АСУТП'!DA29,IF($B$1=3,'Документы АСУТП'!DA30,'Документы АСУТП'!DA28))),0)</f>
        <v>0</v>
      </c>
      <c r="CX14" s="312">
        <f>ТрЗ_ОП!$R$21</f>
        <v>1</v>
      </c>
      <c r="CY14" s="27">
        <f>IF(CX14=1,IF($B$1=1,'Документы АСУТП'!DB28,IF($B$1=2,'Документы АСУТП'!DB29,IF($B$1=3,'Документы АСУТП'!DB30,'Документы АСУТП'!DB28))),0)</f>
        <v>0</v>
      </c>
      <c r="CZ14" s="312">
        <f>ТрЗ_ОП!$R$21</f>
        <v>1</v>
      </c>
      <c r="DA14" s="27">
        <f>IF(CZ14=1,IF($B$1=1,'Документы АСУТП'!DC28,IF($B$1=2,'Документы АСУТП'!DC29,IF($B$1=3,'Документы АСУТП'!DC30,'Документы АСУТП'!DC28))),0)</f>
        <v>0</v>
      </c>
      <c r="DB14" s="312">
        <f>ТрЗ_ОП!$R$21</f>
        <v>1</v>
      </c>
      <c r="DC14" s="27">
        <f>IF(DB14=1,IF($B$1=1,'Документы АСУТП'!DD28,IF($B$1=2,'Документы АСУТП'!DD29,IF($B$1=3,'Документы АСУТП'!DD30,'Документы АСУТП'!DD28))),0)</f>
        <v>0</v>
      </c>
      <c r="DD14" s="312">
        <f>ТрЗ_ОП!$R$21</f>
        <v>1</v>
      </c>
      <c r="DE14" s="27">
        <f>IF(DD14=1,IF($B$1=1,'Документы АСУТП'!DF28,IF($B$1=2,'Документы АСУТП'!DF29,IF($B$1=3,'Документы АСУТП'!DF30,'Документы АСУТП'!DF28))),0)</f>
        <v>0</v>
      </c>
      <c r="DF14" s="312">
        <f>ТрЗ_ОП!$R$21</f>
        <v>1</v>
      </c>
      <c r="DG14" s="27">
        <f>IF(DF14=1,IF($B$1=1,'Документы АСУТП'!DE28,IF($B$1=2,'Документы АСУТП'!DE29,IF($B$1=3,'Документы АСУТП'!DE30,'Документы АСУТП'!DE28))),0)</f>
        <v>0</v>
      </c>
      <c r="DH14" s="312">
        <f>ТрЗ_ОП!$R$21</f>
        <v>1</v>
      </c>
      <c r="DI14" s="27">
        <f>IF(DH14=1,IF($B$1=1,'Документы АСУТП'!DG28,IF($B$1=2,'Документы АСУТП'!DG29,IF($B$1=3,'Документы АСУТП'!DG30,'Документы АСУТП'!DG28))),0)</f>
        <v>0</v>
      </c>
      <c r="DJ14" s="312">
        <f>ТрЗ_ОП!$R$21</f>
        <v>1</v>
      </c>
      <c r="DK14" s="27">
        <f>IF(DJ14=1,IF($B$1=1,'Документы АСУТП'!DH28,IF($B$1=2,'Документы АСУТП'!DH29,IF($B$1=3,'Документы АСУТП'!DH30,'Документы АСУТП'!DH28))),0)</f>
        <v>0</v>
      </c>
      <c r="DL14" s="312">
        <f>ТрЗ_ОП!$R$21</f>
        <v>1</v>
      </c>
      <c r="DM14" s="27">
        <f>IF(DL14=1,IF($B$1=1,'Документы АСУТП'!DI28,IF($B$1=2,'Документы АСУТП'!DI29,IF($B$1=3,'Документы АСУТП'!DI30,'Документы АСУТП'!DI28))),0)</f>
        <v>0</v>
      </c>
      <c r="DN14" s="312">
        <f>ТрЗ_ОП!$R$21</f>
        <v>1</v>
      </c>
      <c r="DO14" s="27" t="e">
        <f>IF(DN14=1,IF($B$1=1,'Документы АСУТП'!DJ28,IF($B$1=2,'Документы АСУТП'!DJ29,IF($B$1=3,'Документы АСУТП'!DJ30,'Документы АСУТП'!DJ28))),0)</f>
        <v>#REF!</v>
      </c>
      <c r="DP14" s="312">
        <f>ТрЗ_ОП!$R$21</f>
        <v>1</v>
      </c>
      <c r="DQ14" s="27">
        <f>IF(DP14=1,IF($B$1=1,'Документы АСУТП'!DK28,IF($B$1=2,'Документы АСУТП'!DK29,IF($B$1=3,'Документы АСУТП'!DK30,'Документы АСУТП'!DK28))),0)</f>
        <v>0</v>
      </c>
      <c r="DR14" s="312">
        <f>ТрЗ_ОП!$R$21</f>
        <v>1</v>
      </c>
      <c r="DS14" s="27">
        <f>IF(DR14=1,IF($B$1=1,'Документы АСУТП'!DL28,IF($B$1=2,'Документы АСУТП'!DL29,IF($B$1=3,'Документы АСУТП'!DL30,'Документы АСУТП'!DL28))),0)</f>
        <v>0</v>
      </c>
      <c r="DT14" s="312">
        <f>ТрЗ_ОП!$R$21</f>
        <v>1</v>
      </c>
      <c r="DU14" s="27">
        <f>IF(DT14=1,IF($B$1=1,'Документы АСУТП'!DM28,IF($B$1=2,'Документы АСУТП'!DM29,IF($B$1=3,'Документы АСУТП'!DM30,'Документы АСУТП'!DM28))),0)</f>
        <v>0</v>
      </c>
      <c r="DV14" s="312">
        <f>ТрЗ_ОП!$R21</f>
        <v>1</v>
      </c>
      <c r="DW14" s="27">
        <f>IF(DV14=1,IF($B$1=1,'Документы АСУТП'!DN28,IF($B$1=2,'Документы АСУТП'!DN29,IF($B$1=3,'Документы АСУТП'!DN30,'Документы АСУТП'!DN28))),0)</f>
        <v>0</v>
      </c>
      <c r="DX14" s="312">
        <f>ТрЗ_ОП!$R21</f>
        <v>1</v>
      </c>
      <c r="DY14" s="27">
        <f>IF(DX14=1,IF($B$1=1,'Документы АСУТП'!DO28,IF($B$1=2,'Документы АСУТП'!DO29,IF($B$1=3,'Документы АСУТП'!DO30,'Документы АСУТП'!DO28))),0)</f>
        <v>0</v>
      </c>
      <c r="DZ14" s="312">
        <f>ТрЗ_ОП!$R21</f>
        <v>1</v>
      </c>
      <c r="EA14" s="27">
        <f>IF(DZ14=1,IF($B$1=1,'Документы АСУТП'!DP28,IF($B$1=2,'Документы АСУТП'!DP29,IF($B$1=3,'Документы АСУТП'!DP30,'Документы АСУТП'!DP28))),0)</f>
        <v>0</v>
      </c>
      <c r="EB14" s="312">
        <f>ТрЗ_ОП!$R21</f>
        <v>1</v>
      </c>
      <c r="EC14" s="27">
        <f>IF(EB14=1,IF($B$1=1,'Документы АСУТП'!DQ28,IF($B$1=2,'Документы АСУТП'!DQ29,IF($B$1=3,'Документы АСУТП'!DQ30,'Документы АСУТП'!DQ28))),0)</f>
        <v>0</v>
      </c>
      <c r="ED14" s="312">
        <f>ТрЗ_ОП!$R21</f>
        <v>1</v>
      </c>
      <c r="EE14" s="27">
        <f>IF(ED14=1,IF($B$1=1,'Документы АСУТП'!DR28,IF($B$1=2,'Документы АСУТП'!DR29,IF($B$1=3,'Документы АСУТП'!DR30,'Документы АСУТП'!DR28))),0)</f>
        <v>0</v>
      </c>
      <c r="EF14" s="312">
        <f>ТрЗ_ОП!$R21</f>
        <v>1</v>
      </c>
      <c r="EG14" s="27">
        <f>IF(EF14=1,IF($B$1=1,'Документы АСУТП'!DS28,IF($B$1=2,'Документы АСУТП'!DS29,IF($B$1=3,'Документы АСУТП'!DS30,'Документы АСУТП'!DS28))),0)</f>
        <v>0</v>
      </c>
      <c r="EH14" s="312">
        <f>ТрЗ_ОП!$R21</f>
        <v>1</v>
      </c>
      <c r="EI14" s="27">
        <f>IF(EH14=1,IF($B$1=1,'Документы АСУТП'!DT28,IF($B$1=2,'Документы АСУТП'!DT29,IF($B$1=3,'Документы АСУТП'!DT30,'Документы АСУТП'!DT28))),0)</f>
        <v>0</v>
      </c>
      <c r="EJ14" s="312">
        <f>ТрЗ_ОП!$R21</f>
        <v>1</v>
      </c>
      <c r="EK14" s="27">
        <f>IF(EJ14=1,IF($B$1=1,'Документы АСУТП'!DU28,IF($B$1=2,'Документы АСУТП'!DU29,IF($B$1=3,'Документы АСУТП'!DU30,'Документы АСУТП'!DU28))),0)</f>
        <v>0</v>
      </c>
      <c r="EL14" s="312">
        <f>ТрЗ_ОП!$R21</f>
        <v>1</v>
      </c>
      <c r="EM14" s="27">
        <f>IF(EL14=1,IF($B$1=1,'Документы АСУТП'!DV28,IF($B$1=2,'Документы АСУТП'!DV29,IF($B$1=3,'Документы АСУТП'!DV30,'Документы АСУТП'!DV28))),0)</f>
        <v>0</v>
      </c>
      <c r="EN14" s="312">
        <f>ТрЗ_ОП!$R21</f>
        <v>1</v>
      </c>
      <c r="EO14" s="27">
        <f>IF(EN14=1,IF($B$1=1,'Документы АСУТП'!DW28,IF($B$1=2,'Документы АСУТП'!DW29,IF($B$1=3,'Документы АСУТП'!DW30,'Документы АСУТП'!DW28))),0)</f>
        <v>0</v>
      </c>
      <c r="EP14" s="312">
        <f>ТрЗ_ОП!$R21</f>
        <v>1</v>
      </c>
      <c r="EQ14" s="27">
        <f>IF(EP14=1,IF($B$1=1,'Документы АСУТП'!DX28,IF($B$1=2,'Документы АСУТП'!DX29,IF($B$1=3,'Документы АСУТП'!DX30,'Документы АСУТП'!DX28))),0)</f>
        <v>0</v>
      </c>
      <c r="ER14" s="312">
        <f>ТрЗ_ОП!$R21</f>
        <v>1</v>
      </c>
      <c r="ES14" s="27">
        <f>IF(ER14=1,IF($B$1=1,'Документы АСУТП'!DY28,IF($B$1=2,'Документы АСУТП'!DY29,IF($B$1=3,'Документы АСУТП'!DY30,'Документы АСУТП'!DY28))),0)</f>
        <v>0</v>
      </c>
      <c r="ET14" s="312">
        <f>ТрЗ_ОП!$R21</f>
        <v>1</v>
      </c>
      <c r="EU14" s="771">
        <f>IF(ET14=1,IF($B$1=1,'Документы АСУТП'!DZ28,IF($B$1=2,'Документы АСУТП'!DZ29,IF($B$1=3,'Документы АСУТП'!DZ30,'Документы АСУТП'!DZ28))),0)</f>
        <v>0</v>
      </c>
      <c r="EV14" s="794" t="e">
        <f t="shared" si="2"/>
        <v>#REF!</v>
      </c>
      <c r="EW14" s="796" t="e">
        <f t="shared" si="3"/>
        <v>#REF!</v>
      </c>
      <c r="EX14" s="796" t="e">
        <f t="shared" si="4"/>
        <v>#REF!</v>
      </c>
      <c r="EY14" s="796" t="e">
        <f t="shared" si="0"/>
        <v>#REF!</v>
      </c>
      <c r="EZ14" s="795" t="e">
        <f t="shared" si="1"/>
        <v>#REF!</v>
      </c>
    </row>
    <row r="15" spans="1:156" ht="15.75" x14ac:dyDescent="0.25">
      <c r="A15" s="383" t="s">
        <v>9</v>
      </c>
      <c r="B15" s="84">
        <v>0.2</v>
      </c>
      <c r="C15" s="47">
        <v>0.5</v>
      </c>
      <c r="D15" s="85">
        <v>0.3</v>
      </c>
      <c r="E15" s="84">
        <v>0.2</v>
      </c>
      <c r="F15" s="47">
        <v>0.5</v>
      </c>
      <c r="G15" s="85">
        <v>0.3</v>
      </c>
      <c r="H15" s="84">
        <v>0.2</v>
      </c>
      <c r="I15" s="47">
        <v>0.5</v>
      </c>
      <c r="J15" s="85">
        <v>0.3</v>
      </c>
      <c r="K15" s="84">
        <v>0.2</v>
      </c>
      <c r="L15" s="47">
        <v>0.5</v>
      </c>
      <c r="M15" s="85">
        <v>0.3</v>
      </c>
      <c r="N15" s="84">
        <v>0.2</v>
      </c>
      <c r="O15" s="47">
        <v>0.5</v>
      </c>
      <c r="P15" s="85">
        <v>0.3</v>
      </c>
      <c r="Q15" s="84">
        <v>0.2</v>
      </c>
      <c r="R15" s="47">
        <v>0.5</v>
      </c>
      <c r="S15" s="85">
        <v>0.3</v>
      </c>
      <c r="T15" s="84">
        <v>0.2</v>
      </c>
      <c r="U15" s="47">
        <v>0.5</v>
      </c>
      <c r="V15" s="85">
        <v>0.3</v>
      </c>
      <c r="W15" s="84">
        <v>0.2</v>
      </c>
      <c r="X15" s="47">
        <v>0.5</v>
      </c>
      <c r="Y15" s="85">
        <v>0.3</v>
      </c>
      <c r="Z15" s="84">
        <v>0.2</v>
      </c>
      <c r="AA15" s="47">
        <v>0.5</v>
      </c>
      <c r="AB15" s="85">
        <v>0.3</v>
      </c>
      <c r="AC15" s="84">
        <v>0.2</v>
      </c>
      <c r="AD15" s="47">
        <v>0.5</v>
      </c>
      <c r="AE15" s="85">
        <v>0.3</v>
      </c>
      <c r="AF15" s="84">
        <v>0.2</v>
      </c>
      <c r="AG15" s="47">
        <v>0.5</v>
      </c>
      <c r="AH15" s="85">
        <v>0.3</v>
      </c>
      <c r="AI15" s="84">
        <v>0.2</v>
      </c>
      <c r="AJ15" s="47">
        <v>0.5</v>
      </c>
      <c r="AK15" s="85">
        <v>0.3</v>
      </c>
      <c r="AL15" s="84">
        <v>0.2</v>
      </c>
      <c r="AM15" s="47">
        <v>0.5</v>
      </c>
      <c r="AN15" s="85">
        <v>0.3</v>
      </c>
      <c r="AO15" s="84">
        <v>0.2</v>
      </c>
      <c r="AP15" s="47">
        <v>0.5</v>
      </c>
      <c r="AQ15" s="85">
        <v>0.3</v>
      </c>
      <c r="AR15" s="84">
        <v>0.2</v>
      </c>
      <c r="AS15" s="47">
        <v>0.5</v>
      </c>
      <c r="AT15" s="85">
        <v>0.3</v>
      </c>
      <c r="AU15" s="84">
        <v>0.2</v>
      </c>
      <c r="AV15" s="47">
        <v>0.5</v>
      </c>
      <c r="AW15" s="85">
        <v>0.3</v>
      </c>
      <c r="AX15" s="84">
        <v>0.2</v>
      </c>
      <c r="AY15" s="47">
        <v>0.5</v>
      </c>
      <c r="AZ15" s="85">
        <v>0.3</v>
      </c>
      <c r="BA15" s="84">
        <v>0.2</v>
      </c>
      <c r="BB15" s="47">
        <v>0.5</v>
      </c>
      <c r="BC15" s="85">
        <v>0.3</v>
      </c>
      <c r="BD15" s="84">
        <v>0.2</v>
      </c>
      <c r="BE15" s="47">
        <v>0.5</v>
      </c>
      <c r="BF15" s="85">
        <v>0.3</v>
      </c>
      <c r="BG15" s="84">
        <v>0.2</v>
      </c>
      <c r="BH15" s="47">
        <v>0.5</v>
      </c>
      <c r="BI15" s="85">
        <v>0.3</v>
      </c>
      <c r="BJ15" s="84">
        <v>0.2</v>
      </c>
      <c r="BK15" s="47">
        <v>0.5</v>
      </c>
      <c r="BL15" s="85">
        <v>0.3</v>
      </c>
      <c r="BM15" s="84">
        <v>0.2</v>
      </c>
      <c r="BN15" s="47">
        <v>0.5</v>
      </c>
      <c r="BO15" s="85">
        <v>0.3</v>
      </c>
      <c r="BP15" s="84">
        <v>0.2</v>
      </c>
      <c r="BQ15" s="47">
        <v>0.5</v>
      </c>
      <c r="BR15" s="85">
        <v>0.3</v>
      </c>
      <c r="BS15" s="84">
        <v>0.2</v>
      </c>
      <c r="BT15" s="47">
        <v>0.5</v>
      </c>
      <c r="BU15" s="85">
        <v>0.3</v>
      </c>
      <c r="BV15" s="84">
        <v>0.2</v>
      </c>
      <c r="BW15" s="47">
        <v>0.5</v>
      </c>
      <c r="BX15" s="85">
        <v>0.3</v>
      </c>
      <c r="BY15" s="84">
        <v>0.2</v>
      </c>
      <c r="BZ15" s="47">
        <v>0.5</v>
      </c>
      <c r="CA15" s="85">
        <v>0.3</v>
      </c>
      <c r="CB15" s="84">
        <v>0.2</v>
      </c>
      <c r="CC15" s="47">
        <v>0.5</v>
      </c>
      <c r="CD15" s="85">
        <v>0.3</v>
      </c>
      <c r="CE15" s="84">
        <v>0.2</v>
      </c>
      <c r="CF15" s="47">
        <v>0.5</v>
      </c>
      <c r="CG15" s="85">
        <v>0.3</v>
      </c>
      <c r="CH15" s="84">
        <v>0.2</v>
      </c>
      <c r="CI15" s="47">
        <v>0.5</v>
      </c>
      <c r="CJ15" s="85">
        <v>0.3</v>
      </c>
      <c r="CK15" s="84">
        <v>0.2</v>
      </c>
      <c r="CL15" s="47">
        <v>0.5</v>
      </c>
      <c r="CM15" s="85">
        <v>0.3</v>
      </c>
      <c r="CN15" s="312">
        <f>ТрЗ_ОП!$R$22</f>
        <v>1</v>
      </c>
      <c r="CO15" s="27">
        <f>IF(CN15=1,IF($B$1=1,'Документы АСУТП'!CW31,IF($B$1=2,'Документы АСУТП'!CW32,IF($B$1=3,'Документы АСУТП'!CW33,'Документы АСУТП'!CW31))),0)</f>
        <v>0.5</v>
      </c>
      <c r="CP15" s="312">
        <f>ТрЗ_ОП!$R$22</f>
        <v>1</v>
      </c>
      <c r="CQ15" s="27">
        <f>IF(CP15=1,IF($B$1=1,'Документы АСУТП'!CX31,IF($B$1=2,'Документы АСУТП'!CX32,IF($B$1=3,'Документы АСУТП'!CX33,'Документы АСУТП'!CX31))),0)</f>
        <v>1</v>
      </c>
      <c r="CR15" s="312">
        <f>ТрЗ_ОП!$R$22</f>
        <v>1</v>
      </c>
      <c r="CS15" s="27">
        <f>IF(CR15=1,IF($B$1=1,'Документы АСУТП'!CY31,IF($B$1=2,'Документы АСУТП'!CY32,IF($B$1=3,'Документы АСУТП'!CY33,'Документы АСУТП'!CY31))),0)</f>
        <v>0</v>
      </c>
      <c r="CT15" s="312">
        <f>ТрЗ_ОП!$R$22</f>
        <v>1</v>
      </c>
      <c r="CU15" s="27">
        <f>IF(CT15=1,IF($B$1=1,'Документы АСУТП'!CZ31,IF($B$1=2,'Документы АСУТП'!CZ32,IF($B$1=3,'Документы АСУТП'!CZ33,'Документы АСУТП'!CZ31))),0)</f>
        <v>0</v>
      </c>
      <c r="CV15" s="312">
        <f>ТрЗ_ОП!$R$22</f>
        <v>1</v>
      </c>
      <c r="CW15" s="27">
        <f>IF(CV15=1,IF($B$1=1,'Документы АСУТП'!DA31,IF($B$1=2,'Документы АСУТП'!DA32,IF($B$1=3,'Документы АСУТП'!DA33,'Документы АСУТП'!DA31))),0)</f>
        <v>0</v>
      </c>
      <c r="CX15" s="312">
        <f>ТрЗ_ОП!$R$22</f>
        <v>1</v>
      </c>
      <c r="CY15" s="27">
        <f>IF(CX15=1,IF($B$1=1,'Документы АСУТП'!DB31,IF($B$1=2,'Документы АСУТП'!DB32,IF($B$1=3,'Документы АСУТП'!DB33,'Документы АСУТП'!DB31))),0)</f>
        <v>0</v>
      </c>
      <c r="CZ15" s="312">
        <f>ТрЗ_ОП!$R$22</f>
        <v>1</v>
      </c>
      <c r="DA15" s="27">
        <f>IF(CZ15=1,IF($B$1=1,'Документы АСУТП'!DC31,IF($B$1=2,'Документы АСУТП'!DC32,IF($B$1=3,'Документы АСУТП'!DC33,'Документы АСУТП'!DC31))),0)</f>
        <v>0</v>
      </c>
      <c r="DB15" s="312">
        <f>ТрЗ_ОП!$R$22</f>
        <v>1</v>
      </c>
      <c r="DC15" s="27">
        <f>IF(DB15=1,IF($B$1=1,'Документы АСУТП'!DD31,IF($B$1=2,'Документы АСУТП'!DD32,IF($B$1=3,'Документы АСУТП'!DD33,'Документы АСУТП'!DD31))),0)</f>
        <v>0</v>
      </c>
      <c r="DD15" s="312">
        <f>ТрЗ_ОП!$R$22</f>
        <v>1</v>
      </c>
      <c r="DE15" s="27">
        <f>IF(DD15=1,IF($B$1=1,'Документы АСУТП'!DF31,IF($B$1=2,'Документы АСУТП'!DF32,IF($B$1=3,'Документы АСУТП'!DF33,'Документы АСУТП'!DF31))),0)</f>
        <v>0</v>
      </c>
      <c r="DF15" s="312">
        <f>ТрЗ_ОП!$R$22</f>
        <v>1</v>
      </c>
      <c r="DG15" s="27">
        <f>IF(DF15=1,IF($B$1=1,'Документы АСУТП'!DE31,IF($B$1=2,'Документы АСУТП'!DE32,IF($B$1=3,'Документы АСУТП'!DE33,'Документы АСУТП'!DE31))),0)</f>
        <v>0</v>
      </c>
      <c r="DH15" s="312">
        <f>ТрЗ_ОП!$R$22</f>
        <v>1</v>
      </c>
      <c r="DI15" s="27">
        <f>IF(DH15=1,IF($B$1=1,'Документы АСУТП'!DG31,IF($B$1=2,'Документы АСУТП'!DG32,IF($B$1=3,'Документы АСУТП'!DG33,'Документы АСУТП'!DG31))),0)</f>
        <v>0</v>
      </c>
      <c r="DJ15" s="312">
        <f>ТрЗ_ОП!$R$22</f>
        <v>1</v>
      </c>
      <c r="DK15" s="27">
        <f>IF(DJ15=1,IF($B$1=1,'Документы АСУТП'!DH31,IF($B$1=2,'Документы АСУТП'!DH32,IF($B$1=3,'Документы АСУТП'!DH33,'Документы АСУТП'!DH31))),0)</f>
        <v>0</v>
      </c>
      <c r="DL15" s="312">
        <f>ТрЗ_ОП!$R$22</f>
        <v>1</v>
      </c>
      <c r="DM15" s="27">
        <f>IF(DL15=1,IF($B$1=1,'Документы АСУТП'!DI31,IF($B$1=2,'Документы АСУТП'!DI32,IF($B$1=3,'Документы АСУТП'!DI33,'Документы АСУТП'!DI31))),0)</f>
        <v>0</v>
      </c>
      <c r="DN15" s="312">
        <f>ТрЗ_ОП!$R$22</f>
        <v>1</v>
      </c>
      <c r="DO15" s="27" t="e">
        <f>IF(DN15=1,IF($B$1=1,'Документы АСУТП'!DJ31,IF($B$1=2,'Документы АСУТП'!DJ32,IF($B$1=3,'Документы АСУТП'!DJ33,'Документы АСУТП'!DJ31))),0)</f>
        <v>#REF!</v>
      </c>
      <c r="DP15" s="312">
        <f>ТрЗ_ОП!$R$22</f>
        <v>1</v>
      </c>
      <c r="DQ15" s="27">
        <f>IF(DP15=1,IF($B$1=1,'Документы АСУТП'!DK31,IF($B$1=2,'Документы АСУТП'!DK32,IF($B$1=3,'Документы АСУТП'!DK33,'Документы АСУТП'!DK31))),0)</f>
        <v>0</v>
      </c>
      <c r="DR15" s="312">
        <f>ТрЗ_ОП!$R$22</f>
        <v>1</v>
      </c>
      <c r="DS15" s="27">
        <f>IF(DR15=1,IF($B$1=1,'Документы АСУТП'!DL31,IF($B$1=2,'Документы АСУТП'!DL32,IF($B$1=3,'Документы АСУТП'!DL33,'Документы АСУТП'!DL31))),0)</f>
        <v>0</v>
      </c>
      <c r="DT15" s="312">
        <f>ТрЗ_ОП!$R$22</f>
        <v>1</v>
      </c>
      <c r="DU15" s="27">
        <f>IF(DT15=1,IF($B$1=1,'Документы АСУТП'!DM31,IF($B$1=2,'Документы АСУТП'!DM32,IF($B$1=3,'Документы АСУТП'!DM33,'Документы АСУТП'!DM31))),0)</f>
        <v>0</v>
      </c>
      <c r="DV15" s="312">
        <f>ТрЗ_ОП!$R22</f>
        <v>1</v>
      </c>
      <c r="DW15" s="27">
        <f>IF(DV15=1,IF($B$1=1,'Документы АСУТП'!DN31,IF($B$1=2,'Документы АСУТП'!DN32,IF($B$1=3,'Документы АСУТП'!DN33,'Документы АСУТП'!DN31))),0)</f>
        <v>0</v>
      </c>
      <c r="DX15" s="312">
        <f>ТрЗ_ОП!$R22</f>
        <v>1</v>
      </c>
      <c r="DY15" s="27">
        <f>IF(DX15=1,IF($B$1=1,'Документы АСУТП'!DO31,IF($B$1=2,'Документы АСУТП'!DO32,IF($B$1=3,'Документы АСУТП'!DO33,'Документы АСУТП'!DO31))),0)</f>
        <v>0</v>
      </c>
      <c r="DZ15" s="312">
        <f>ТрЗ_ОП!$R22</f>
        <v>1</v>
      </c>
      <c r="EA15" s="27">
        <f>IF(DZ15=1,IF($B$1=1,'Документы АСУТП'!DP31,IF($B$1=2,'Документы АСУТП'!DP32,IF($B$1=3,'Документы АСУТП'!DP33,'Документы АСУТП'!DP31))),0)</f>
        <v>0</v>
      </c>
      <c r="EB15" s="312">
        <f>ТрЗ_ОП!$R22</f>
        <v>1</v>
      </c>
      <c r="EC15" s="27">
        <f>IF(EB15=1,IF($B$1=1,'Документы АСУТП'!DQ31,IF($B$1=2,'Документы АСУТП'!DQ32,IF($B$1=3,'Документы АСУТП'!DQ33,'Документы АСУТП'!DQ31))),0)</f>
        <v>0</v>
      </c>
      <c r="ED15" s="312">
        <f>ТрЗ_ОП!$R22</f>
        <v>1</v>
      </c>
      <c r="EE15" s="27">
        <f>IF(ED15=1,IF($B$1=1,'Документы АСУТП'!DR31,IF($B$1=2,'Документы АСУТП'!DR32,IF($B$1=3,'Документы АСУТП'!DR33,'Документы АСУТП'!DR31))),0)</f>
        <v>0</v>
      </c>
      <c r="EF15" s="312">
        <f>ТрЗ_ОП!$R22</f>
        <v>1</v>
      </c>
      <c r="EG15" s="27">
        <f>IF(EF15=1,IF($B$1=1,'Документы АСУТП'!DS31,IF($B$1=2,'Документы АСУТП'!DS32,IF($B$1=3,'Документы АСУТП'!DS33,'Документы АСУТП'!DS31))),0)</f>
        <v>0</v>
      </c>
      <c r="EH15" s="312">
        <f>ТрЗ_ОП!$R22</f>
        <v>1</v>
      </c>
      <c r="EI15" s="27">
        <f>IF(EH15=1,IF($B$1=1,'Документы АСУТП'!DT31,IF($B$1=2,'Документы АСУТП'!DT32,IF($B$1=3,'Документы АСУТП'!DT33,'Документы АСУТП'!DT31))),0)</f>
        <v>0</v>
      </c>
      <c r="EJ15" s="312">
        <f>ТрЗ_ОП!$R22</f>
        <v>1</v>
      </c>
      <c r="EK15" s="27">
        <f>IF(EJ15=1,IF($B$1=1,'Документы АСУТП'!DU31,IF($B$1=2,'Документы АСУТП'!DU32,IF($B$1=3,'Документы АСУТП'!DU33,'Документы АСУТП'!DU31))),0)</f>
        <v>0</v>
      </c>
      <c r="EL15" s="312">
        <f>ТрЗ_ОП!$R22</f>
        <v>1</v>
      </c>
      <c r="EM15" s="27">
        <f>IF(EL15=1,IF($B$1=1,'Документы АСУТП'!DV31,IF($B$1=2,'Документы АСУТП'!DV32,IF($B$1=3,'Документы АСУТП'!DV33,'Документы АСУТП'!DV31))),0)</f>
        <v>0</v>
      </c>
      <c r="EN15" s="312">
        <f>ТрЗ_ОП!$R22</f>
        <v>1</v>
      </c>
      <c r="EO15" s="27">
        <f>IF(EN15=1,IF($B$1=1,'Документы АСУТП'!DW31,IF($B$1=2,'Документы АСУТП'!DW32,IF($B$1=3,'Документы АСУТП'!DW33,'Документы АСУТП'!DW31))),0)</f>
        <v>0</v>
      </c>
      <c r="EP15" s="312">
        <f>ТрЗ_ОП!$R22</f>
        <v>1</v>
      </c>
      <c r="EQ15" s="27">
        <f>IF(EP15=1,IF($B$1=1,'Документы АСУТП'!DX31,IF($B$1=2,'Документы АСУТП'!DX32,IF($B$1=3,'Документы АСУТП'!DX33,'Документы АСУТП'!DX31))),0)</f>
        <v>0</v>
      </c>
      <c r="ER15" s="312">
        <f>ТрЗ_ОП!$R22</f>
        <v>1</v>
      </c>
      <c r="ES15" s="27">
        <f>IF(ER15=1,IF($B$1=1,'Документы АСУТП'!DY31,IF($B$1=2,'Документы АСУТП'!DY32,IF($B$1=3,'Документы АСУТП'!DY33,'Документы АСУТП'!DY31))),0)</f>
        <v>0</v>
      </c>
      <c r="ET15" s="312">
        <f>ТрЗ_ОП!$R22</f>
        <v>1</v>
      </c>
      <c r="EU15" s="771">
        <f>IF(ET15=1,IF($B$1=1,'Документы АСУТП'!DZ31,IF($B$1=2,'Документы АСУТП'!DZ32,IF($B$1=3,'Документы АСУТП'!DZ33,'Документы АСУТП'!DZ31))),0)</f>
        <v>0</v>
      </c>
      <c r="EV15" s="794" t="e">
        <f t="shared" si="2"/>
        <v>#REF!</v>
      </c>
      <c r="EW15" s="796" t="e">
        <f t="shared" si="3"/>
        <v>#REF!</v>
      </c>
      <c r="EX15" s="796" t="e">
        <f t="shared" si="4"/>
        <v>#REF!</v>
      </c>
      <c r="EY15" s="796" t="e">
        <f t="shared" si="0"/>
        <v>#REF!</v>
      </c>
      <c r="EZ15" s="795" t="e">
        <f t="shared" si="1"/>
        <v>#REF!</v>
      </c>
    </row>
    <row r="16" spans="1:156" ht="15.75" x14ac:dyDescent="0.25">
      <c r="A16" s="383" t="s">
        <v>10</v>
      </c>
      <c r="B16" s="84">
        <v>0.2</v>
      </c>
      <c r="C16" s="47">
        <v>0.5</v>
      </c>
      <c r="D16" s="85">
        <v>0.3</v>
      </c>
      <c r="E16" s="84">
        <v>0.2</v>
      </c>
      <c r="F16" s="47">
        <v>0.5</v>
      </c>
      <c r="G16" s="85">
        <v>0.3</v>
      </c>
      <c r="H16" s="84">
        <v>0.2</v>
      </c>
      <c r="I16" s="47">
        <v>0.5</v>
      </c>
      <c r="J16" s="85">
        <v>0.3</v>
      </c>
      <c r="K16" s="84">
        <v>0.2</v>
      </c>
      <c r="L16" s="47">
        <v>0.5</v>
      </c>
      <c r="M16" s="85">
        <v>0.3</v>
      </c>
      <c r="N16" s="84">
        <v>0.2</v>
      </c>
      <c r="O16" s="47">
        <v>0.5</v>
      </c>
      <c r="P16" s="85">
        <v>0.3</v>
      </c>
      <c r="Q16" s="84">
        <v>0.2</v>
      </c>
      <c r="R16" s="47">
        <v>0.5</v>
      </c>
      <c r="S16" s="85">
        <v>0.3</v>
      </c>
      <c r="T16" s="84">
        <v>0.2</v>
      </c>
      <c r="U16" s="47">
        <v>0.5</v>
      </c>
      <c r="V16" s="85">
        <v>0.3</v>
      </c>
      <c r="W16" s="84">
        <v>0.2</v>
      </c>
      <c r="X16" s="47">
        <v>0.5</v>
      </c>
      <c r="Y16" s="85">
        <v>0.3</v>
      </c>
      <c r="Z16" s="84">
        <v>0.2</v>
      </c>
      <c r="AA16" s="47">
        <v>0.5</v>
      </c>
      <c r="AB16" s="85">
        <v>0.3</v>
      </c>
      <c r="AC16" s="84">
        <v>0.2</v>
      </c>
      <c r="AD16" s="47">
        <v>0.5</v>
      </c>
      <c r="AE16" s="85">
        <v>0.3</v>
      </c>
      <c r="AF16" s="84">
        <v>0.2</v>
      </c>
      <c r="AG16" s="47">
        <v>0.5</v>
      </c>
      <c r="AH16" s="85">
        <v>0.3</v>
      </c>
      <c r="AI16" s="84">
        <v>0.2</v>
      </c>
      <c r="AJ16" s="47">
        <v>0.5</v>
      </c>
      <c r="AK16" s="85">
        <v>0.3</v>
      </c>
      <c r="AL16" s="84">
        <v>0.2</v>
      </c>
      <c r="AM16" s="47">
        <v>0.5</v>
      </c>
      <c r="AN16" s="85">
        <v>0.3</v>
      </c>
      <c r="AO16" s="84">
        <v>0.2</v>
      </c>
      <c r="AP16" s="47">
        <v>0.5</v>
      </c>
      <c r="AQ16" s="85">
        <v>0.3</v>
      </c>
      <c r="AR16" s="84">
        <v>0.2</v>
      </c>
      <c r="AS16" s="47">
        <v>0.5</v>
      </c>
      <c r="AT16" s="85">
        <v>0.3</v>
      </c>
      <c r="AU16" s="84">
        <v>0.2</v>
      </c>
      <c r="AV16" s="47">
        <v>0.5</v>
      </c>
      <c r="AW16" s="85">
        <v>0.3</v>
      </c>
      <c r="AX16" s="84">
        <v>0.2</v>
      </c>
      <c r="AY16" s="47">
        <v>0.5</v>
      </c>
      <c r="AZ16" s="85">
        <v>0.3</v>
      </c>
      <c r="BA16" s="84">
        <v>0.2</v>
      </c>
      <c r="BB16" s="47">
        <v>0.5</v>
      </c>
      <c r="BC16" s="85">
        <v>0.3</v>
      </c>
      <c r="BD16" s="84">
        <v>0.2</v>
      </c>
      <c r="BE16" s="47">
        <v>0.5</v>
      </c>
      <c r="BF16" s="85">
        <v>0.3</v>
      </c>
      <c r="BG16" s="84">
        <v>0.2</v>
      </c>
      <c r="BH16" s="47">
        <v>0.5</v>
      </c>
      <c r="BI16" s="85">
        <v>0.3</v>
      </c>
      <c r="BJ16" s="84">
        <v>0.2</v>
      </c>
      <c r="BK16" s="47">
        <v>0.5</v>
      </c>
      <c r="BL16" s="85">
        <v>0.3</v>
      </c>
      <c r="BM16" s="84">
        <v>0.2</v>
      </c>
      <c r="BN16" s="47">
        <v>0.5</v>
      </c>
      <c r="BO16" s="85">
        <v>0.3</v>
      </c>
      <c r="BP16" s="84">
        <v>0.2</v>
      </c>
      <c r="BQ16" s="47">
        <v>0.5</v>
      </c>
      <c r="BR16" s="85">
        <v>0.3</v>
      </c>
      <c r="BS16" s="84">
        <v>0.2</v>
      </c>
      <c r="BT16" s="47">
        <v>0.5</v>
      </c>
      <c r="BU16" s="85">
        <v>0.3</v>
      </c>
      <c r="BV16" s="84">
        <v>0.2</v>
      </c>
      <c r="BW16" s="47">
        <v>0.5</v>
      </c>
      <c r="BX16" s="85">
        <v>0.3</v>
      </c>
      <c r="BY16" s="84">
        <v>0.2</v>
      </c>
      <c r="BZ16" s="47">
        <v>0.5</v>
      </c>
      <c r="CA16" s="85">
        <v>0.3</v>
      </c>
      <c r="CB16" s="84">
        <v>0.2</v>
      </c>
      <c r="CC16" s="47">
        <v>0.5</v>
      </c>
      <c r="CD16" s="85">
        <v>0.3</v>
      </c>
      <c r="CE16" s="84">
        <v>0.2</v>
      </c>
      <c r="CF16" s="47">
        <v>0.5</v>
      </c>
      <c r="CG16" s="85">
        <v>0.3</v>
      </c>
      <c r="CH16" s="84">
        <v>0.2</v>
      </c>
      <c r="CI16" s="47">
        <v>0.5</v>
      </c>
      <c r="CJ16" s="85">
        <v>0.3</v>
      </c>
      <c r="CK16" s="84">
        <v>0.2</v>
      </c>
      <c r="CL16" s="47">
        <v>0.5</v>
      </c>
      <c r="CM16" s="85">
        <v>0.3</v>
      </c>
      <c r="CN16" s="312">
        <f>ТрЗ_ОП!$R$23</f>
        <v>1</v>
      </c>
      <c r="CO16" s="27">
        <f>IF(CN16=1,IF($B$1=1,'Документы АСУТП'!CW34,IF($B$1=2,'Документы АСУТП'!CW35,IF($B$1=3,'Документы АСУТП'!CW36,'Документы АСУТП'!CW34))),0)</f>
        <v>1.5</v>
      </c>
      <c r="CP16" s="312">
        <f>ТрЗ_ОП!$R$23</f>
        <v>1</v>
      </c>
      <c r="CQ16" s="27">
        <f>IF(CP16=1,IF($B$1=1,'Документы АСУТП'!CX34,IF($B$1=2,'Документы АСУТП'!CX35,IF($B$1=3,'Документы АСУТП'!CX36,'Документы АСУТП'!CX34))),0)</f>
        <v>2</v>
      </c>
      <c r="CR16" s="312">
        <f>ТрЗ_ОП!$R$23</f>
        <v>1</v>
      </c>
      <c r="CS16" s="27">
        <f>IF(CR16=1,IF($B$1=1,'Документы АСУТП'!CY34,IF($B$1=2,'Документы АСУТП'!CY35,IF($B$1=3,'Документы АСУТП'!CY36,'Документы АСУТП'!CY34))),0)</f>
        <v>0</v>
      </c>
      <c r="CT16" s="312">
        <f>ТрЗ_ОП!$R$23</f>
        <v>1</v>
      </c>
      <c r="CU16" s="27">
        <f>IF(CT16=1,IF($B$1=1,'Документы АСУТП'!CZ34,IF($B$1=2,'Документы АСУТП'!CZ35,IF($B$1=3,'Документы АСУТП'!CZ36,'Документы АСУТП'!CZ34))),0)</f>
        <v>0</v>
      </c>
      <c r="CV16" s="312">
        <f>ТрЗ_ОП!$R$23</f>
        <v>1</v>
      </c>
      <c r="CW16" s="27">
        <f>IF(CV16=1,IF($B$1=1,'Документы АСУТП'!DA34,IF($B$1=2,'Документы АСУТП'!DA35,IF($B$1=3,'Документы АСУТП'!DA36,'Документы АСУТП'!DA34))),0)</f>
        <v>0</v>
      </c>
      <c r="CX16" s="312">
        <f>ТрЗ_ОП!$R$23</f>
        <v>1</v>
      </c>
      <c r="CY16" s="27">
        <f>IF(CX16=1,IF($B$1=1,'Документы АСУТП'!DB34,IF($B$1=2,'Документы АСУТП'!DB35,IF($B$1=3,'Документы АСУТП'!DB36,'Документы АСУТП'!DB34))),0)</f>
        <v>0</v>
      </c>
      <c r="CZ16" s="312">
        <f>ТрЗ_ОП!$R$23</f>
        <v>1</v>
      </c>
      <c r="DA16" s="27">
        <f>IF(CZ16=1,IF($B$1=1,'Документы АСУТП'!DC34,IF($B$1=2,'Документы АСУТП'!DC35,IF($B$1=3,'Документы АСУТП'!DC36,'Документы АСУТП'!DC34))),0)</f>
        <v>0</v>
      </c>
      <c r="DB16" s="312">
        <f>ТрЗ_ОП!$R$23</f>
        <v>1</v>
      </c>
      <c r="DC16" s="27">
        <f>IF(DB16=1,IF($B$1=1,'Документы АСУТП'!DD34,IF($B$1=2,'Документы АСУТП'!DD35,IF($B$1=3,'Документы АСУТП'!DD36,'Документы АСУТП'!DD34))),0)</f>
        <v>0</v>
      </c>
      <c r="DD16" s="312">
        <f>ТрЗ_ОП!$R$23</f>
        <v>1</v>
      </c>
      <c r="DE16" s="27">
        <f>IF(DD16=1,IF($B$1=1,'Документы АСУТП'!DF34,IF($B$1=2,'Документы АСУТП'!DF35,IF($B$1=3,'Документы АСУТП'!DF36,'Документы АСУТП'!DF34))),0)</f>
        <v>0</v>
      </c>
      <c r="DF16" s="312">
        <f>ТрЗ_ОП!$R$23</f>
        <v>1</v>
      </c>
      <c r="DG16" s="27">
        <f>IF(DF16=1,IF($B$1=1,'Документы АСУТП'!DE34,IF($B$1=2,'Документы АСУТП'!DE35,IF($B$1=3,'Документы АСУТП'!DE36,'Документы АСУТП'!DE34))),0)</f>
        <v>0</v>
      </c>
      <c r="DH16" s="312">
        <f>ТрЗ_ОП!$R$23</f>
        <v>1</v>
      </c>
      <c r="DI16" s="27">
        <f>IF(DH16=1,IF($B$1=1,'Документы АСУТП'!DG34,IF($B$1=2,'Документы АСУТП'!DG35,IF($B$1=3,'Документы АСУТП'!DG36,'Документы АСУТП'!DG34))),0)</f>
        <v>0</v>
      </c>
      <c r="DJ16" s="312">
        <f>ТрЗ_ОП!$R$23</f>
        <v>1</v>
      </c>
      <c r="DK16" s="27">
        <f>IF(DJ16=1,IF($B$1=1,'Документы АСУТП'!DH34,IF($B$1=2,'Документы АСУТП'!DH35,IF($B$1=3,'Документы АСУТП'!DH36,'Документы АСУТП'!DH34))),0)</f>
        <v>0</v>
      </c>
      <c r="DL16" s="312">
        <f>ТрЗ_ОП!$R$23</f>
        <v>1</v>
      </c>
      <c r="DM16" s="27">
        <f>IF(DL16=1,IF($B$1=1,'Документы АСУТП'!DI34,IF($B$1=2,'Документы АСУТП'!DI35,IF($B$1=3,'Документы АСУТП'!DI36,'Документы АСУТП'!DI34))),0)</f>
        <v>0</v>
      </c>
      <c r="DN16" s="312">
        <f>ТрЗ_ОП!$R$23</f>
        <v>1</v>
      </c>
      <c r="DO16" s="27" t="e">
        <f>IF(DN16=1,IF($B$1=1,'Документы АСУТП'!DJ34,IF($B$1=2,'Документы АСУТП'!DJ35,IF($B$1=3,'Документы АСУТП'!DJ36,'Документы АСУТП'!DJ34))),0)</f>
        <v>#REF!</v>
      </c>
      <c r="DP16" s="312">
        <f>ТрЗ_ОП!$R$23</f>
        <v>1</v>
      </c>
      <c r="DQ16" s="27">
        <f>IF(DP16=1,IF($B$1=1,'Документы АСУТП'!DK34,IF($B$1=2,'Документы АСУТП'!DK35,IF($B$1=3,'Документы АСУТП'!DK36,'Документы АСУТП'!DK34))),0)</f>
        <v>0</v>
      </c>
      <c r="DR16" s="312">
        <f>ТрЗ_ОП!$R$23</f>
        <v>1</v>
      </c>
      <c r="DS16" s="27">
        <f>IF(DR16=1,IF($B$1=1,'Документы АСУТП'!DL34,IF($B$1=2,'Документы АСУТП'!DL35,IF($B$1=3,'Документы АСУТП'!DL36,'Документы АСУТП'!DL34))),0)</f>
        <v>0</v>
      </c>
      <c r="DT16" s="312">
        <f>ТрЗ_ОП!$R$23</f>
        <v>1</v>
      </c>
      <c r="DU16" s="27">
        <f>IF(DT16=1,IF($B$1=1,'Документы АСУТП'!DM34,IF($B$1=2,'Документы АСУТП'!DM35,IF($B$1=3,'Документы АСУТП'!DM36,'Документы АСУТП'!DM34))),0)</f>
        <v>0</v>
      </c>
      <c r="DV16" s="312">
        <f>ТрЗ_ОП!$R23</f>
        <v>1</v>
      </c>
      <c r="DW16" s="27">
        <f>IF(DV16=1,IF($B$1=1,'Документы АСУТП'!DN34,IF($B$1=2,'Документы АСУТП'!DN35,IF($B$1=3,'Документы АСУТП'!DN36,'Документы АСУТП'!DN34))),0)</f>
        <v>0</v>
      </c>
      <c r="DX16" s="312">
        <f>ТрЗ_ОП!$R23</f>
        <v>1</v>
      </c>
      <c r="DY16" s="27">
        <f>IF(DX16=1,IF($B$1=1,'Документы АСУТП'!DO34,IF($B$1=2,'Документы АСУТП'!DO35,IF($B$1=3,'Документы АСУТП'!DO36,'Документы АСУТП'!DO34))),0)</f>
        <v>0</v>
      </c>
      <c r="DZ16" s="312">
        <f>ТрЗ_ОП!$R23</f>
        <v>1</v>
      </c>
      <c r="EA16" s="27">
        <f>IF(DZ16=1,IF($B$1=1,'Документы АСУТП'!DP34,IF($B$1=2,'Документы АСУТП'!DP35,IF($B$1=3,'Документы АСУТП'!DP36,'Документы АСУТП'!DP34))),0)</f>
        <v>0</v>
      </c>
      <c r="EB16" s="312">
        <f>ТрЗ_ОП!$R23</f>
        <v>1</v>
      </c>
      <c r="EC16" s="27">
        <f>IF(EB16=1,IF($B$1=1,'Документы АСУТП'!DQ34,IF($B$1=2,'Документы АСУТП'!DQ35,IF($B$1=3,'Документы АСУТП'!DQ36,'Документы АСУТП'!DQ34))),0)</f>
        <v>0</v>
      </c>
      <c r="ED16" s="312">
        <f>ТрЗ_ОП!$R23</f>
        <v>1</v>
      </c>
      <c r="EE16" s="27">
        <f>IF(ED16=1,IF($B$1=1,'Документы АСУТП'!DR34,IF($B$1=2,'Документы АСУТП'!DR35,IF($B$1=3,'Документы АСУТП'!DR36,'Документы АСУТП'!DR34))),0)</f>
        <v>0</v>
      </c>
      <c r="EF16" s="312">
        <f>ТрЗ_ОП!$R23</f>
        <v>1</v>
      </c>
      <c r="EG16" s="27">
        <f>IF(EF16=1,IF($B$1=1,'Документы АСУТП'!DS34,IF($B$1=2,'Документы АСУТП'!DS35,IF($B$1=3,'Документы АСУТП'!DS36,'Документы АСУТП'!DS34))),0)</f>
        <v>0</v>
      </c>
      <c r="EH16" s="312">
        <f>ТрЗ_ОП!$R23</f>
        <v>1</v>
      </c>
      <c r="EI16" s="27">
        <f>IF(EH16=1,IF($B$1=1,'Документы АСУТП'!DT34,IF($B$1=2,'Документы АСУТП'!DT35,IF($B$1=3,'Документы АСУТП'!DT36,'Документы АСУТП'!DT34))),0)</f>
        <v>0</v>
      </c>
      <c r="EJ16" s="312">
        <f>ТрЗ_ОП!$R23</f>
        <v>1</v>
      </c>
      <c r="EK16" s="27">
        <f>IF(EJ16=1,IF($B$1=1,'Документы АСУТП'!DU34,IF($B$1=2,'Документы АСУТП'!DU35,IF($B$1=3,'Документы АСУТП'!DU36,'Документы АСУТП'!DU34))),0)</f>
        <v>0</v>
      </c>
      <c r="EL16" s="312">
        <f>ТрЗ_ОП!$R23</f>
        <v>1</v>
      </c>
      <c r="EM16" s="27">
        <f>IF(EL16=1,IF($B$1=1,'Документы АСУТП'!DV34,IF($B$1=2,'Документы АСУТП'!DV35,IF($B$1=3,'Документы АСУТП'!DV36,'Документы АСУТП'!DV34))),0)</f>
        <v>0</v>
      </c>
      <c r="EN16" s="312">
        <f>ТрЗ_ОП!$R23</f>
        <v>1</v>
      </c>
      <c r="EO16" s="27">
        <f>IF(EN16=1,IF($B$1=1,'Документы АСУТП'!DW34,IF($B$1=2,'Документы АСУТП'!DW35,IF($B$1=3,'Документы АСУТП'!DW36,'Документы АСУТП'!DW34))),0)</f>
        <v>0</v>
      </c>
      <c r="EP16" s="312">
        <f>ТрЗ_ОП!$R23</f>
        <v>1</v>
      </c>
      <c r="EQ16" s="27">
        <f>IF(EP16=1,IF($B$1=1,'Документы АСУТП'!DX34,IF($B$1=2,'Документы АСУТП'!DX35,IF($B$1=3,'Документы АСУТП'!DX36,'Документы АСУТП'!DX34))),0)</f>
        <v>0</v>
      </c>
      <c r="ER16" s="312">
        <f>ТрЗ_ОП!$R23</f>
        <v>1</v>
      </c>
      <c r="ES16" s="27">
        <f>IF(ER16=1,IF($B$1=1,'Документы АСУТП'!DY34,IF($B$1=2,'Документы АСУТП'!DY35,IF($B$1=3,'Документы АСУТП'!DY36,'Документы АСУТП'!DY34))),0)</f>
        <v>0</v>
      </c>
      <c r="ET16" s="312">
        <f>ТрЗ_ОП!$R23</f>
        <v>1</v>
      </c>
      <c r="EU16" s="771">
        <f>IF(ET16=1,IF($B$1=1,'Документы АСУТП'!DZ34,IF($B$1=2,'Документы АСУТП'!DZ35,IF($B$1=3,'Документы АСУТП'!DZ36,'Документы АСУТП'!DZ34))),0)</f>
        <v>0</v>
      </c>
      <c r="EV16" s="794" t="e">
        <f t="shared" si="2"/>
        <v>#REF!</v>
      </c>
      <c r="EW16" s="796" t="e">
        <f t="shared" si="3"/>
        <v>#REF!</v>
      </c>
      <c r="EX16" s="796" t="e">
        <f t="shared" si="4"/>
        <v>#REF!</v>
      </c>
      <c r="EY16" s="796" t="e">
        <f t="shared" si="0"/>
        <v>#REF!</v>
      </c>
      <c r="EZ16" s="795" t="e">
        <f t="shared" si="1"/>
        <v>#REF!</v>
      </c>
    </row>
    <row r="17" spans="1:156" ht="15.75" x14ac:dyDescent="0.25">
      <c r="A17" s="2" t="s">
        <v>11</v>
      </c>
      <c r="B17" s="4"/>
      <c r="C17" s="311"/>
      <c r="D17" s="5"/>
      <c r="E17" s="4"/>
      <c r="F17" s="311"/>
      <c r="G17" s="5"/>
      <c r="H17" s="4"/>
      <c r="I17" s="311"/>
      <c r="J17" s="5"/>
      <c r="K17" s="4"/>
      <c r="L17" s="311"/>
      <c r="M17" s="5"/>
      <c r="N17" s="4"/>
      <c r="O17" s="311"/>
      <c r="P17" s="5"/>
      <c r="Q17" s="4"/>
      <c r="R17" s="311"/>
      <c r="S17" s="5"/>
      <c r="T17" s="4"/>
      <c r="U17" s="311"/>
      <c r="V17" s="5"/>
      <c r="W17" s="4"/>
      <c r="X17" s="311"/>
      <c r="Y17" s="5"/>
      <c r="Z17" s="4"/>
      <c r="AA17" s="311"/>
      <c r="AB17" s="5"/>
      <c r="AC17" s="4"/>
      <c r="AD17" s="311"/>
      <c r="AE17" s="5"/>
      <c r="AF17" s="4"/>
      <c r="AG17" s="311"/>
      <c r="AH17" s="5"/>
      <c r="AI17" s="4"/>
      <c r="AJ17" s="311"/>
      <c r="AK17" s="5"/>
      <c r="AL17" s="4"/>
      <c r="AM17" s="311"/>
      <c r="AN17" s="5"/>
      <c r="AO17" s="4"/>
      <c r="AP17" s="311"/>
      <c r="AQ17" s="5"/>
      <c r="AR17" s="4"/>
      <c r="AS17" s="311"/>
      <c r="AT17" s="5"/>
      <c r="AU17" s="4"/>
      <c r="AV17" s="311"/>
      <c r="AW17" s="5"/>
      <c r="AX17" s="4"/>
      <c r="AY17" s="311"/>
      <c r="AZ17" s="5"/>
      <c r="BA17" s="4"/>
      <c r="BB17" s="311"/>
      <c r="BC17" s="5"/>
      <c r="BD17" s="4"/>
      <c r="BE17" s="311"/>
      <c r="BF17" s="5"/>
      <c r="BG17" s="4"/>
      <c r="BH17" s="311"/>
      <c r="BI17" s="5"/>
      <c r="BJ17" s="4"/>
      <c r="BK17" s="311"/>
      <c r="BL17" s="5"/>
      <c r="BM17" s="4"/>
      <c r="BN17" s="311"/>
      <c r="BO17" s="5"/>
      <c r="BP17" s="4"/>
      <c r="BQ17" s="311"/>
      <c r="BR17" s="5"/>
      <c r="BS17" s="4"/>
      <c r="BT17" s="311"/>
      <c r="BU17" s="5"/>
      <c r="BV17" s="4"/>
      <c r="BW17" s="311"/>
      <c r="BX17" s="5"/>
      <c r="BY17" s="4"/>
      <c r="BZ17" s="311"/>
      <c r="CA17" s="5"/>
      <c r="CB17" s="4"/>
      <c r="CC17" s="311"/>
      <c r="CD17" s="5"/>
      <c r="CE17" s="4"/>
      <c r="CF17" s="311"/>
      <c r="CG17" s="5"/>
      <c r="CH17" s="4"/>
      <c r="CI17" s="311"/>
      <c r="CJ17" s="5"/>
      <c r="CK17" s="4"/>
      <c r="CL17" s="311"/>
      <c r="CM17" s="5"/>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773"/>
      <c r="ER17" s="6"/>
      <c r="ES17" s="6"/>
      <c r="ET17" s="6"/>
      <c r="EU17" s="775"/>
      <c r="EV17" s="1566"/>
      <c r="EW17" s="1564"/>
      <c r="EX17" s="1564"/>
      <c r="EY17" s="1564"/>
      <c r="EZ17" s="1565"/>
    </row>
    <row r="18" spans="1:156" ht="15.75" x14ac:dyDescent="0.25">
      <c r="A18" s="383" t="s">
        <v>12</v>
      </c>
      <c r="B18" s="84">
        <v>0.7</v>
      </c>
      <c r="C18" s="47">
        <v>0.25</v>
      </c>
      <c r="D18" s="85">
        <v>0.05</v>
      </c>
      <c r="E18" s="84">
        <v>0.5</v>
      </c>
      <c r="F18" s="47">
        <v>0.3</v>
      </c>
      <c r="G18" s="85">
        <v>0.2</v>
      </c>
      <c r="H18" s="84">
        <v>0.7</v>
      </c>
      <c r="I18" s="47">
        <v>0.25</v>
      </c>
      <c r="J18" s="85">
        <v>0.05</v>
      </c>
      <c r="K18" s="84">
        <v>0.6</v>
      </c>
      <c r="L18" s="47">
        <v>0.3</v>
      </c>
      <c r="M18" s="85">
        <v>0.1</v>
      </c>
      <c r="N18" s="84">
        <v>0.5</v>
      </c>
      <c r="O18" s="47">
        <v>0.3</v>
      </c>
      <c r="P18" s="85">
        <v>0.2</v>
      </c>
      <c r="Q18" s="84">
        <v>0.6</v>
      </c>
      <c r="R18" s="47">
        <v>0.3</v>
      </c>
      <c r="S18" s="85">
        <v>0.1</v>
      </c>
      <c r="T18" s="84">
        <v>0.7</v>
      </c>
      <c r="U18" s="47">
        <v>0.25</v>
      </c>
      <c r="V18" s="85">
        <v>0.05</v>
      </c>
      <c r="W18" s="84">
        <v>0.6</v>
      </c>
      <c r="X18" s="47">
        <v>0.3</v>
      </c>
      <c r="Y18" s="85">
        <v>0.1</v>
      </c>
      <c r="Z18" s="84">
        <v>0.6</v>
      </c>
      <c r="AA18" s="47">
        <v>0.3</v>
      </c>
      <c r="AB18" s="85">
        <v>0.1</v>
      </c>
      <c r="AC18" s="84">
        <v>0.4</v>
      </c>
      <c r="AD18" s="47">
        <v>0.3</v>
      </c>
      <c r="AE18" s="85">
        <v>0.3</v>
      </c>
      <c r="AF18" s="84">
        <v>0.6</v>
      </c>
      <c r="AG18" s="47">
        <v>0.3</v>
      </c>
      <c r="AH18" s="85">
        <v>0.1</v>
      </c>
      <c r="AI18" s="84">
        <v>0.5</v>
      </c>
      <c r="AJ18" s="47">
        <v>0.3</v>
      </c>
      <c r="AK18" s="85">
        <v>0.2</v>
      </c>
      <c r="AL18" s="84">
        <v>0.4</v>
      </c>
      <c r="AM18" s="47">
        <v>0.3</v>
      </c>
      <c r="AN18" s="85">
        <v>0.3</v>
      </c>
      <c r="AO18" s="84">
        <v>0.4</v>
      </c>
      <c r="AP18" s="47">
        <v>0.3</v>
      </c>
      <c r="AQ18" s="85">
        <v>0.3</v>
      </c>
      <c r="AR18" s="84">
        <v>0.5</v>
      </c>
      <c r="AS18" s="47">
        <v>0.3</v>
      </c>
      <c r="AT18" s="85">
        <v>0.2</v>
      </c>
      <c r="AU18" s="84">
        <v>0.5</v>
      </c>
      <c r="AV18" s="47">
        <v>0.3</v>
      </c>
      <c r="AW18" s="85">
        <v>0.2</v>
      </c>
      <c r="AX18" s="84">
        <v>0.4</v>
      </c>
      <c r="AY18" s="47">
        <v>0.3</v>
      </c>
      <c r="AZ18" s="85">
        <v>0.3</v>
      </c>
      <c r="BA18" s="84">
        <v>0.5</v>
      </c>
      <c r="BB18" s="47">
        <v>0.3</v>
      </c>
      <c r="BC18" s="85">
        <v>0.2</v>
      </c>
      <c r="BD18" s="84">
        <v>0.5</v>
      </c>
      <c r="BE18" s="47">
        <v>0.3</v>
      </c>
      <c r="BF18" s="85">
        <v>0.2</v>
      </c>
      <c r="BG18" s="84">
        <v>0.5</v>
      </c>
      <c r="BH18" s="47">
        <v>0.3</v>
      </c>
      <c r="BI18" s="85">
        <v>0.2</v>
      </c>
      <c r="BJ18" s="84">
        <v>0.4</v>
      </c>
      <c r="BK18" s="47">
        <v>0.3</v>
      </c>
      <c r="BL18" s="85">
        <v>0.3</v>
      </c>
      <c r="BM18" s="84">
        <v>0.4</v>
      </c>
      <c r="BN18" s="47">
        <v>0.3</v>
      </c>
      <c r="BO18" s="85">
        <v>0.3</v>
      </c>
      <c r="BP18" s="84">
        <v>0.4</v>
      </c>
      <c r="BQ18" s="47">
        <v>0.3</v>
      </c>
      <c r="BR18" s="85">
        <v>0.3</v>
      </c>
      <c r="BS18" s="84">
        <v>0.5</v>
      </c>
      <c r="BT18" s="47">
        <v>0.3</v>
      </c>
      <c r="BU18" s="85">
        <v>0.2</v>
      </c>
      <c r="BV18" s="84">
        <v>0.5</v>
      </c>
      <c r="BW18" s="47">
        <v>0.3</v>
      </c>
      <c r="BX18" s="85">
        <v>0.2</v>
      </c>
      <c r="BY18" s="84">
        <v>0.4</v>
      </c>
      <c r="BZ18" s="47">
        <v>0.3</v>
      </c>
      <c r="CA18" s="85">
        <v>0.3</v>
      </c>
      <c r="CB18" s="84">
        <v>0.5</v>
      </c>
      <c r="CC18" s="47">
        <v>0.3</v>
      </c>
      <c r="CD18" s="85">
        <v>0.2</v>
      </c>
      <c r="CE18" s="84">
        <v>0.5</v>
      </c>
      <c r="CF18" s="47">
        <v>0.3</v>
      </c>
      <c r="CG18" s="85">
        <v>0.2</v>
      </c>
      <c r="CH18" s="84">
        <v>0.4</v>
      </c>
      <c r="CI18" s="47">
        <v>0.3</v>
      </c>
      <c r="CJ18" s="85">
        <v>0.3</v>
      </c>
      <c r="CK18" s="84">
        <v>0.4</v>
      </c>
      <c r="CL18" s="47">
        <v>0.3</v>
      </c>
      <c r="CM18" s="85">
        <v>0.3</v>
      </c>
      <c r="CN18" s="312" t="str">
        <f>ТрЗ_ОП!$R$25</f>
        <v>-</v>
      </c>
      <c r="CO18" s="27">
        <f>IF(CN18=1,IF($B$1=1,'Документы АСУТП'!CW38,IF($B$1=2,'Документы АСУТП'!CW39,IF($B$1=3,'Документы АСУТП'!CW40,'Документы АСУТП'!CW38))),0)</f>
        <v>0</v>
      </c>
      <c r="CP18" s="312" t="str">
        <f>ТрЗ_ОП!$R$25</f>
        <v>-</v>
      </c>
      <c r="CQ18" s="27">
        <f>IF(CP18=1,IF($B$1=1,'Документы АСУТП'!CX38,IF($B$1=2,'Документы АСУТП'!CX39,IF($B$1=3,'Документы АСУТП'!CX40,'Документы АСУТП'!CX38))),0)</f>
        <v>0</v>
      </c>
      <c r="CR18" s="312" t="str">
        <f>ТрЗ_ОП!$R$25</f>
        <v>-</v>
      </c>
      <c r="CS18" s="27">
        <f>IF(CR18=1,IF($B$1=1,'Документы АСУТП'!CY38,IF($B$1=2,'Документы АСУТП'!CY39,IF($B$1=3,'Документы АСУТП'!CY40,'Документы АСУТП'!CY38))),0)</f>
        <v>0</v>
      </c>
      <c r="CT18" s="312" t="str">
        <f>ТрЗ_ОП!$R$25</f>
        <v>-</v>
      </c>
      <c r="CU18" s="27">
        <f>IF(CT18=1,IF($B$1=1,'Документы АСУТП'!CZ38,IF($B$1=2,'Документы АСУТП'!CZ39,IF($B$1=3,'Документы АСУТП'!CZ40,'Документы АСУТП'!CZ38))),0)</f>
        <v>0</v>
      </c>
      <c r="CV18" s="312" t="str">
        <f>ТрЗ_ОП!$R$25</f>
        <v>-</v>
      </c>
      <c r="CW18" s="27">
        <f>IF(CV18=1,IF($B$1=1,'Документы АСУТП'!DA38,IF($B$1=2,'Документы АСУТП'!DA39,IF($B$1=3,'Документы АСУТП'!DA40,'Документы АСУТП'!DA38))),0)</f>
        <v>0</v>
      </c>
      <c r="CX18" s="312" t="str">
        <f>ТрЗ_ОП!$R$25</f>
        <v>-</v>
      </c>
      <c r="CY18" s="27">
        <f>IF(CX18=1,IF($B$1=1,'Документы АСУТП'!DB38,IF($B$1=2,'Документы АСУТП'!DB39,IF($B$1=3,'Документы АСУТП'!DB40,'Документы АСУТП'!DB38))),0)</f>
        <v>0</v>
      </c>
      <c r="CZ18" s="312" t="str">
        <f>ТрЗ_ОП!$R$25</f>
        <v>-</v>
      </c>
      <c r="DA18" s="27">
        <f>IF(CZ18=1,IF($B$1=1,'Документы АСУТП'!DC38,IF($B$1=2,'Документы АСУТП'!DC39,IF($B$1=3,'Документы АСУТП'!DC40,'Документы АСУТП'!DC38))),0)</f>
        <v>0</v>
      </c>
      <c r="DB18" s="312" t="str">
        <f>ТрЗ_ОП!$R$25</f>
        <v>-</v>
      </c>
      <c r="DC18" s="27">
        <f>IF(DB18=1,IF($B$1=1,'Документы АСУТП'!DD38,IF($B$1=2,'Документы АСУТП'!DD39,IF($B$1=3,'Документы АСУТП'!DD40,'Документы АСУТП'!DD38))),0)</f>
        <v>0</v>
      </c>
      <c r="DD18" s="312" t="str">
        <f>ТрЗ_ОП!$R$25</f>
        <v>-</v>
      </c>
      <c r="DE18" s="27">
        <f>IF(DD18=1,IF($B$1=1,'Документы АСУТП'!DF38,IF($B$1=2,'Документы АСУТП'!DF39,IF($B$1=3,'Документы АСУТП'!DF40,'Документы АСУТП'!DF38))),0)</f>
        <v>0</v>
      </c>
      <c r="DF18" s="312" t="str">
        <f>ТрЗ_ОП!$R$25</f>
        <v>-</v>
      </c>
      <c r="DG18" s="27">
        <f>IF(DF18=1,IF($B$1=1,'Документы АСУТП'!DE38,IF($B$1=2,'Документы АСУТП'!DE39,IF($B$1=3,'Документы АСУТП'!DE40,'Документы АСУТП'!DE38))),0)</f>
        <v>0</v>
      </c>
      <c r="DH18" s="312" t="str">
        <f>ТрЗ_ОП!$R$25</f>
        <v>-</v>
      </c>
      <c r="DI18" s="27">
        <f>IF(DH18=1,IF($B$1=1,'Документы АСУТП'!DG38,IF($B$1=2,'Документы АСУТП'!DG39,IF($B$1=3,'Документы АСУТП'!DG40,'Документы АСУТП'!DG38))),0)</f>
        <v>0</v>
      </c>
      <c r="DJ18" s="312" t="str">
        <f>ТрЗ_ОП!$R$25</f>
        <v>-</v>
      </c>
      <c r="DK18" s="27">
        <f>IF(DJ18=1,IF($B$1=1,'Документы АСУТП'!DH38,IF($B$1=2,'Документы АСУТП'!DH39,IF($B$1=3,'Документы АСУТП'!DH40,'Документы АСУТП'!DH38))),0)</f>
        <v>0</v>
      </c>
      <c r="DL18" s="312" t="str">
        <f>ТрЗ_ОП!$R$25</f>
        <v>-</v>
      </c>
      <c r="DM18" s="27">
        <f>IF(DL18=1,IF($B$1=1,'Документы АСУТП'!DI38,IF($B$1=2,'Документы АСУТП'!DI39,IF($B$1=3,'Документы АСУТП'!DI40,'Документы АСУТП'!DI38))),0)</f>
        <v>0</v>
      </c>
      <c r="DN18" s="312" t="str">
        <f>ТрЗ_ОП!$R$25</f>
        <v>-</v>
      </c>
      <c r="DO18" s="27">
        <f>IF(DN18=1,IF($B$1=1,'Документы АСУТП'!DJ38,IF($B$1=2,'Документы АСУТП'!DJ39,IF($B$1=3,'Документы АСУТП'!DJ40,'Документы АСУТП'!DJ38))),0)</f>
        <v>0</v>
      </c>
      <c r="DP18" s="312" t="str">
        <f>ТрЗ_ОП!$R$25</f>
        <v>-</v>
      </c>
      <c r="DQ18" s="27">
        <f>IF(DP18=1,IF($B$1=1,'Документы АСУТП'!DK38,IF($B$1=2,'Документы АСУТП'!DK39,IF($B$1=3,'Документы АСУТП'!DK40,'Документы АСУТП'!DK38))),0)</f>
        <v>0</v>
      </c>
      <c r="DR18" s="312" t="str">
        <f>ТрЗ_ОП!$R$25</f>
        <v>-</v>
      </c>
      <c r="DS18" s="27">
        <f>IF(DR18=1,IF($B$1=1,'Документы АСУТП'!DL38,IF($B$1=2,'Документы АСУТП'!DL39,IF($B$1=3,'Документы АСУТП'!DL40,'Документы АСУТП'!DL38))),0)</f>
        <v>0</v>
      </c>
      <c r="DT18" s="312" t="str">
        <f>ТрЗ_ОП!$R$25</f>
        <v>-</v>
      </c>
      <c r="DU18" s="27">
        <f>IF(DT18=1,IF($B$1=1,'Документы АСУТП'!DM38,IF($B$1=2,'Документы АСУТП'!DM39,IF($B$1=3,'Документы АСУТП'!DM40,'Документы АСУТП'!DM38))),0)</f>
        <v>0</v>
      </c>
      <c r="DV18" s="312" t="str">
        <f>ТрЗ_ОП!$R$25</f>
        <v>-</v>
      </c>
      <c r="DW18" s="27">
        <f>IF(DV18=1,IF($B$1=1,'Документы АСУТП'!DN38,IF($B$1=2,'Документы АСУТП'!DN39,IF($B$1=3,'Документы АСУТП'!DN40,'Документы АСУТП'!DN38))),0)</f>
        <v>0</v>
      </c>
      <c r="DX18" s="312" t="str">
        <f>ТрЗ_ОП!$R$25</f>
        <v>-</v>
      </c>
      <c r="DY18" s="27">
        <f>IF(DX18=1,IF($B$1=1,'Документы АСУТП'!DO38,IF($B$1=2,'Документы АСУТП'!DO39,IF($B$1=3,'Документы АСУТП'!DO40,'Документы АСУТП'!DO38))),0)</f>
        <v>0</v>
      </c>
      <c r="DZ18" s="312" t="str">
        <f>ТрЗ_ОП!$R$25</f>
        <v>-</v>
      </c>
      <c r="EA18" s="27">
        <f>IF(DZ18=1,IF($B$1=1,'Документы АСУТП'!DP38,IF($B$1=2,'Документы АСУТП'!DP39,IF($B$1=3,'Документы АСУТП'!DP40,'Документы АСУТП'!DP38))),0)</f>
        <v>0</v>
      </c>
      <c r="EB18" s="312" t="str">
        <f>ТрЗ_ОП!$R$25</f>
        <v>-</v>
      </c>
      <c r="EC18" s="27">
        <f>IF(EB18=1,IF($B$1=1,'Документы АСУТП'!DQ38,IF($B$1=2,'Документы АСУТП'!DQ39,IF($B$1=3,'Документы АСУТП'!DQ40,'Документы АСУТП'!DQ38))),0)</f>
        <v>0</v>
      </c>
      <c r="ED18" s="312" t="str">
        <f>ТрЗ_ОП!$R$25</f>
        <v>-</v>
      </c>
      <c r="EE18" s="27">
        <f>IF(ED18=1,IF($B$1=1,'Документы АСУТП'!DR38,IF($B$1=2,'Документы АСУТП'!DR39,IF($B$1=3,'Документы АСУТП'!DR40,'Документы АСУТП'!DR38))),0)</f>
        <v>0</v>
      </c>
      <c r="EF18" s="312" t="str">
        <f>ТрЗ_ОП!$R$25</f>
        <v>-</v>
      </c>
      <c r="EG18" s="27">
        <f>IF(EF18=1,IF($B$1=1,'Документы АСУТП'!DS38,IF($B$1=2,'Документы АСУТП'!DS39,IF($B$1=3,'Документы АСУТП'!DS40,'Документы АСУТП'!DS38))),0)</f>
        <v>0</v>
      </c>
      <c r="EH18" s="312" t="str">
        <f>ТрЗ_ОП!$R$25</f>
        <v>-</v>
      </c>
      <c r="EI18" s="27">
        <f>IF(EH18=1,IF($B$1=1,'Документы АСУТП'!DT38,IF($B$1=2,'Документы АСУТП'!DT39,IF($B$1=3,'Документы АСУТП'!DT40,'Документы АСУТП'!DT38))),0)</f>
        <v>0</v>
      </c>
      <c r="EJ18" s="312" t="str">
        <f>ТрЗ_ОП!$R$25</f>
        <v>-</v>
      </c>
      <c r="EK18" s="27">
        <f>IF(EJ18=1,IF($B$1=1,'Документы АСУТП'!DU38,IF($B$1=2,'Документы АСУТП'!DU39,IF($B$1=3,'Документы АСУТП'!DU40,'Документы АСУТП'!DU38))),0)</f>
        <v>0</v>
      </c>
      <c r="EL18" s="312" t="str">
        <f>ТрЗ_ОП!$R$25</f>
        <v>-</v>
      </c>
      <c r="EM18" s="27">
        <f>IF(EL18=1,IF($B$1=1,'Документы АСУТП'!DV38,IF($B$1=2,'Документы АСУТП'!DV39,IF($B$1=3,'Документы АСУТП'!DV40,'Документы АСУТП'!DV38))),0)</f>
        <v>0</v>
      </c>
      <c r="EN18" s="312" t="str">
        <f>ТрЗ_ОП!$R$25</f>
        <v>-</v>
      </c>
      <c r="EO18" s="27">
        <f>IF(EN18=1,IF($B$1=1,'Документы АСУТП'!DW38,IF($B$1=2,'Документы АСУТП'!DW39,IF($B$1=3,'Документы АСУТП'!DW40,'Документы АСУТП'!DW38))),0)</f>
        <v>0</v>
      </c>
      <c r="EP18" s="312" t="str">
        <f>ТрЗ_ОП!$R$25</f>
        <v>-</v>
      </c>
      <c r="EQ18" s="27">
        <f>IF(EP18=1,IF($B$1=1,'Документы АСУТП'!DX38,IF($B$1=2,'Документы АСУТП'!DX39,IF($B$1=3,'Документы АСУТП'!DX40,'Документы АСУТП'!DX38))),0)</f>
        <v>0</v>
      </c>
      <c r="ER18" s="312" t="str">
        <f>ТрЗ_ОП!$R$25</f>
        <v>-</v>
      </c>
      <c r="ES18" s="27">
        <f>IF(ER18=1,IF($B$1=1,'Документы АСУТП'!DY38,IF($B$1=2,'Документы АСУТП'!DY39,IF($B$1=3,'Документы АСУТП'!DY40,'Документы АСУТП'!DY38))),0)</f>
        <v>0</v>
      </c>
      <c r="ET18" s="312" t="str">
        <f>ТрЗ_ОП!$R$25</f>
        <v>-</v>
      </c>
      <c r="EU18" s="771">
        <f>IF(ET18=1,IF($B$1=1,'Документы АСУТП'!DZ38,IF($B$1=2,'Документы АСУТП'!DZ39,IF($B$1=3,'Документы АСУТП'!DZ40,'Документы АСУТП'!DZ38))),0)</f>
        <v>0</v>
      </c>
      <c r="EV18" s="794">
        <f t="shared" si="2"/>
        <v>0</v>
      </c>
      <c r="EW18" s="796">
        <f t="shared" si="3"/>
        <v>0</v>
      </c>
      <c r="EX18" s="796">
        <f t="shared" si="4"/>
        <v>0</v>
      </c>
      <c r="EY18" s="796">
        <f t="shared" si="0"/>
        <v>0</v>
      </c>
      <c r="EZ18" s="795">
        <f t="shared" si="1"/>
        <v>0</v>
      </c>
    </row>
    <row r="19" spans="1:156" ht="15.75" x14ac:dyDescent="0.25">
      <c r="A19" s="2" t="s">
        <v>13</v>
      </c>
      <c r="B19" s="4"/>
      <c r="C19" s="311"/>
      <c r="D19" s="5"/>
      <c r="E19" s="4"/>
      <c r="F19" s="311"/>
      <c r="G19" s="5"/>
      <c r="H19" s="4"/>
      <c r="I19" s="311"/>
      <c r="J19" s="5"/>
      <c r="K19" s="4"/>
      <c r="L19" s="311"/>
      <c r="M19" s="5"/>
      <c r="N19" s="4"/>
      <c r="O19" s="311"/>
      <c r="P19" s="5"/>
      <c r="Q19" s="4"/>
      <c r="R19" s="311"/>
      <c r="S19" s="5"/>
      <c r="T19" s="4"/>
      <c r="U19" s="311"/>
      <c r="V19" s="5"/>
      <c r="W19" s="4"/>
      <c r="X19" s="311"/>
      <c r="Y19" s="5"/>
      <c r="Z19" s="4"/>
      <c r="AA19" s="311"/>
      <c r="AB19" s="5"/>
      <c r="AC19" s="4"/>
      <c r="AD19" s="311"/>
      <c r="AE19" s="5"/>
      <c r="AF19" s="4"/>
      <c r="AG19" s="311"/>
      <c r="AH19" s="5"/>
      <c r="AI19" s="4"/>
      <c r="AJ19" s="311"/>
      <c r="AK19" s="5"/>
      <c r="AL19" s="4"/>
      <c r="AM19" s="311"/>
      <c r="AN19" s="5"/>
      <c r="AO19" s="4"/>
      <c r="AP19" s="311"/>
      <c r="AQ19" s="5"/>
      <c r="AR19" s="4"/>
      <c r="AS19" s="311"/>
      <c r="AT19" s="5"/>
      <c r="AU19" s="4"/>
      <c r="AV19" s="311"/>
      <c r="AW19" s="5"/>
      <c r="AX19" s="4"/>
      <c r="AY19" s="311"/>
      <c r="AZ19" s="5"/>
      <c r="BA19" s="4"/>
      <c r="BB19" s="311"/>
      <c r="BC19" s="5"/>
      <c r="BD19" s="4"/>
      <c r="BE19" s="311"/>
      <c r="BF19" s="5"/>
      <c r="BG19" s="4"/>
      <c r="BH19" s="311"/>
      <c r="BI19" s="5"/>
      <c r="BJ19" s="4"/>
      <c r="BK19" s="311"/>
      <c r="BL19" s="5"/>
      <c r="BM19" s="4"/>
      <c r="BN19" s="311"/>
      <c r="BO19" s="5"/>
      <c r="BP19" s="4"/>
      <c r="BQ19" s="311"/>
      <c r="BR19" s="5"/>
      <c r="BS19" s="4"/>
      <c r="BT19" s="311"/>
      <c r="BU19" s="5"/>
      <c r="BV19" s="4"/>
      <c r="BW19" s="311"/>
      <c r="BX19" s="5"/>
      <c r="BY19" s="4"/>
      <c r="BZ19" s="311"/>
      <c r="CA19" s="5"/>
      <c r="CB19" s="4"/>
      <c r="CC19" s="311"/>
      <c r="CD19" s="5"/>
      <c r="CE19" s="4"/>
      <c r="CF19" s="311"/>
      <c r="CG19" s="5"/>
      <c r="CH19" s="4"/>
      <c r="CI19" s="311"/>
      <c r="CJ19" s="5"/>
      <c r="CK19" s="4"/>
      <c r="CL19" s="311"/>
      <c r="CM19" s="5"/>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773"/>
      <c r="ER19" s="6"/>
      <c r="ES19" s="6"/>
      <c r="ET19" s="6"/>
      <c r="EU19" s="775"/>
      <c r="EV19" s="1566"/>
      <c r="EW19" s="1564"/>
      <c r="EX19" s="1564"/>
      <c r="EY19" s="1564"/>
      <c r="EZ19" s="1565"/>
    </row>
    <row r="20" spans="1:156" ht="15.75" x14ac:dyDescent="0.25">
      <c r="A20" s="383" t="s">
        <v>14</v>
      </c>
      <c r="B20" s="84">
        <v>0.2</v>
      </c>
      <c r="C20" s="47">
        <v>0.5</v>
      </c>
      <c r="D20" s="85">
        <v>0.3</v>
      </c>
      <c r="E20" s="84">
        <v>0.2</v>
      </c>
      <c r="F20" s="47">
        <v>0.5</v>
      </c>
      <c r="G20" s="85">
        <v>0.3</v>
      </c>
      <c r="H20" s="84">
        <v>0.2</v>
      </c>
      <c r="I20" s="47">
        <v>0.5</v>
      </c>
      <c r="J20" s="85">
        <v>0.3</v>
      </c>
      <c r="K20" s="84">
        <v>0.2</v>
      </c>
      <c r="L20" s="47">
        <v>0.5</v>
      </c>
      <c r="M20" s="85">
        <v>0.3</v>
      </c>
      <c r="N20" s="84">
        <v>0.2</v>
      </c>
      <c r="O20" s="47">
        <v>0.5</v>
      </c>
      <c r="P20" s="85">
        <v>0.3</v>
      </c>
      <c r="Q20" s="84">
        <v>0.2</v>
      </c>
      <c r="R20" s="47">
        <v>0.5</v>
      </c>
      <c r="S20" s="85">
        <v>0.3</v>
      </c>
      <c r="T20" s="84">
        <v>0.2</v>
      </c>
      <c r="U20" s="47">
        <v>0.5</v>
      </c>
      <c r="V20" s="85">
        <v>0.3</v>
      </c>
      <c r="W20" s="84">
        <v>0.2</v>
      </c>
      <c r="X20" s="47">
        <v>0.5</v>
      </c>
      <c r="Y20" s="85">
        <v>0.3</v>
      </c>
      <c r="Z20" s="84">
        <v>0.2</v>
      </c>
      <c r="AA20" s="47">
        <v>0.5</v>
      </c>
      <c r="AB20" s="85">
        <v>0.3</v>
      </c>
      <c r="AC20" s="84">
        <v>0.2</v>
      </c>
      <c r="AD20" s="47">
        <v>0.5</v>
      </c>
      <c r="AE20" s="85">
        <v>0.3</v>
      </c>
      <c r="AF20" s="84">
        <v>0.2</v>
      </c>
      <c r="AG20" s="47">
        <v>0.5</v>
      </c>
      <c r="AH20" s="85">
        <v>0.3</v>
      </c>
      <c r="AI20" s="84">
        <v>0.2</v>
      </c>
      <c r="AJ20" s="47">
        <v>0.5</v>
      </c>
      <c r="AK20" s="85">
        <v>0.3</v>
      </c>
      <c r="AL20" s="84">
        <v>0.2</v>
      </c>
      <c r="AM20" s="47">
        <v>0.5</v>
      </c>
      <c r="AN20" s="85">
        <v>0.3</v>
      </c>
      <c r="AO20" s="84">
        <v>0.2</v>
      </c>
      <c r="AP20" s="47">
        <v>0.5</v>
      </c>
      <c r="AQ20" s="85">
        <v>0.3</v>
      </c>
      <c r="AR20" s="84">
        <v>0.2</v>
      </c>
      <c r="AS20" s="47">
        <v>0.5</v>
      </c>
      <c r="AT20" s="85">
        <v>0.3</v>
      </c>
      <c r="AU20" s="84">
        <v>0.2</v>
      </c>
      <c r="AV20" s="47">
        <v>0.5</v>
      </c>
      <c r="AW20" s="85">
        <v>0.3</v>
      </c>
      <c r="AX20" s="84">
        <v>0.2</v>
      </c>
      <c r="AY20" s="47">
        <v>0.5</v>
      </c>
      <c r="AZ20" s="85">
        <v>0.3</v>
      </c>
      <c r="BA20" s="84">
        <v>0.2</v>
      </c>
      <c r="BB20" s="47">
        <v>0.5</v>
      </c>
      <c r="BC20" s="85">
        <v>0.3</v>
      </c>
      <c r="BD20" s="84">
        <v>0.2</v>
      </c>
      <c r="BE20" s="47">
        <v>0.5</v>
      </c>
      <c r="BF20" s="85">
        <v>0.3</v>
      </c>
      <c r="BG20" s="84">
        <v>0.2</v>
      </c>
      <c r="BH20" s="47">
        <v>0.5</v>
      </c>
      <c r="BI20" s="85">
        <v>0.3</v>
      </c>
      <c r="BJ20" s="84">
        <v>0.2</v>
      </c>
      <c r="BK20" s="47">
        <v>0.5</v>
      </c>
      <c r="BL20" s="85">
        <v>0.3</v>
      </c>
      <c r="BM20" s="84">
        <v>0.2</v>
      </c>
      <c r="BN20" s="47">
        <v>0.5</v>
      </c>
      <c r="BO20" s="85">
        <v>0.3</v>
      </c>
      <c r="BP20" s="84">
        <v>0.2</v>
      </c>
      <c r="BQ20" s="47">
        <v>0.5</v>
      </c>
      <c r="BR20" s="85">
        <v>0.3</v>
      </c>
      <c r="BS20" s="84">
        <v>0.2</v>
      </c>
      <c r="BT20" s="47">
        <v>0.5</v>
      </c>
      <c r="BU20" s="85">
        <v>0.3</v>
      </c>
      <c r="BV20" s="84">
        <v>0.2</v>
      </c>
      <c r="BW20" s="47">
        <v>0.5</v>
      </c>
      <c r="BX20" s="85">
        <v>0.3</v>
      </c>
      <c r="BY20" s="84">
        <v>0.2</v>
      </c>
      <c r="BZ20" s="47">
        <v>0.5</v>
      </c>
      <c r="CA20" s="85">
        <v>0.3</v>
      </c>
      <c r="CB20" s="84">
        <v>0.2</v>
      </c>
      <c r="CC20" s="47">
        <v>0.5</v>
      </c>
      <c r="CD20" s="85">
        <v>0.3</v>
      </c>
      <c r="CE20" s="84">
        <v>0.2</v>
      </c>
      <c r="CF20" s="47">
        <v>0.5</v>
      </c>
      <c r="CG20" s="85">
        <v>0.3</v>
      </c>
      <c r="CH20" s="84">
        <v>0.2</v>
      </c>
      <c r="CI20" s="47">
        <v>0.5</v>
      </c>
      <c r="CJ20" s="85">
        <v>0.3</v>
      </c>
      <c r="CK20" s="84">
        <v>0.2</v>
      </c>
      <c r="CL20" s="47">
        <v>0.5</v>
      </c>
      <c r="CM20" s="85">
        <v>0.3</v>
      </c>
      <c r="CN20" s="312">
        <f>ТрЗ_ОП!$R$27</f>
        <v>1</v>
      </c>
      <c r="CO20" s="27">
        <f>IF(CN20=1,IF($B$1=1,'Документы АСУТП'!CW42,IF($B$1=2,'Документы АСУТП'!CW43,IF($B$1=3,'Документы АСУТП'!CW44,'Документы АСУТП'!CW42))),0)</f>
        <v>0.5</v>
      </c>
      <c r="CP20" s="312">
        <f>ТрЗ_ОП!$R$27</f>
        <v>1</v>
      </c>
      <c r="CQ20" s="27">
        <f>IF(CP20=1,IF($B$1=1,'Документы АСУТП'!CX42,IF($B$1=2,'Документы АСУТП'!CX43,IF($B$1=3,'Документы АСУТП'!CX44,'Документы АСУТП'!CX42))),0)</f>
        <v>1</v>
      </c>
      <c r="CR20" s="312">
        <f>ТрЗ_ОП!$R$27</f>
        <v>1</v>
      </c>
      <c r="CS20" s="27">
        <f>IF(CR20=1,IF($B$1=1,'Документы АСУТП'!CY42,IF($B$1=2,'Документы АСУТП'!CY43,IF($B$1=3,'Документы АСУТП'!CY44,'Документы АСУТП'!CY42))),0)</f>
        <v>0</v>
      </c>
      <c r="CT20" s="312">
        <f>ТрЗ_ОП!$R$27</f>
        <v>1</v>
      </c>
      <c r="CU20" s="27">
        <f>IF(CT20=1,IF($B$1=1,'Документы АСУТП'!CZ42,IF($B$1=2,'Документы АСУТП'!CZ43,IF($B$1=3,'Документы АСУТП'!CZ44,'Документы АСУТП'!CZ42))),0)</f>
        <v>0</v>
      </c>
      <c r="CV20" s="312">
        <f>ТрЗ_ОП!$R$27</f>
        <v>1</v>
      </c>
      <c r="CW20" s="27">
        <f>IF(CV20=1,IF($B$1=1,'Документы АСУТП'!DA42,IF($B$1=2,'Документы АСУТП'!DA43,IF($B$1=3,'Документы АСУТП'!DA44,'Документы АСУТП'!DA42))),0)</f>
        <v>0</v>
      </c>
      <c r="CX20" s="312">
        <f>ТрЗ_ОП!$R$27</f>
        <v>1</v>
      </c>
      <c r="CY20" s="27">
        <f>IF(CX20=1,IF($B$1=1,'Документы АСУТП'!DB42,IF($B$1=2,'Документы АСУТП'!DB43,IF($B$1=3,'Документы АСУТП'!DB44,'Документы АСУТП'!DB42))),0)</f>
        <v>0</v>
      </c>
      <c r="CZ20" s="312">
        <f>ТрЗ_ОП!$R$27</f>
        <v>1</v>
      </c>
      <c r="DA20" s="27">
        <f>IF(CZ20=1,IF($B$1=1,'Документы АСУТП'!DC42,IF($B$1=2,'Документы АСУТП'!DC43,IF($B$1=3,'Документы АСУТП'!DC44,'Документы АСУТП'!DC42))),0)</f>
        <v>0</v>
      </c>
      <c r="DB20" s="312">
        <f>ТрЗ_ОП!$R$27</f>
        <v>1</v>
      </c>
      <c r="DC20" s="27">
        <f>IF(DB20=1,IF($B$1=1,'Документы АСУТП'!DD42,IF($B$1=2,'Документы АСУТП'!DD43,IF($B$1=3,'Документы АСУТП'!DD44,'Документы АСУТП'!DD42))),0)</f>
        <v>0</v>
      </c>
      <c r="DD20" s="312">
        <f>ТрЗ_ОП!$R$27</f>
        <v>1</v>
      </c>
      <c r="DE20" s="27">
        <f>IF(DD20=1,IF($B$1=1,'Документы АСУТП'!DF42,IF($B$1=2,'Документы АСУТП'!DF43,IF($B$1=3,'Документы АСУТП'!DF44,'Документы АСУТП'!DF42))),0)</f>
        <v>0</v>
      </c>
      <c r="DF20" s="312">
        <f>ТрЗ_ОП!$R$27</f>
        <v>1</v>
      </c>
      <c r="DG20" s="27">
        <f>IF(DF20=1,IF($B$1=1,'Документы АСУТП'!DE42,IF($B$1=2,'Документы АСУТП'!DE43,IF($B$1=3,'Документы АСУТП'!DE44,'Документы АСУТП'!DE42))),0)</f>
        <v>0</v>
      </c>
      <c r="DH20" s="312">
        <f>ТрЗ_ОП!$R$27</f>
        <v>1</v>
      </c>
      <c r="DI20" s="27">
        <f>IF(DH20=1,IF($B$1=1,'Документы АСУТП'!DG42,IF($B$1=2,'Документы АСУТП'!DG43,IF($B$1=3,'Документы АСУТП'!DG44,'Документы АСУТП'!DG42))),0)</f>
        <v>0</v>
      </c>
      <c r="DJ20" s="312">
        <f>ТрЗ_ОП!$R$27</f>
        <v>1</v>
      </c>
      <c r="DK20" s="27">
        <f>IF(DJ20=1,IF($B$1=1,'Документы АСУТП'!DH42,IF($B$1=2,'Документы АСУТП'!DH43,IF($B$1=3,'Документы АСУТП'!DH44,'Документы АСУТП'!DH42))),0)</f>
        <v>0</v>
      </c>
      <c r="DL20" s="312">
        <f>ТрЗ_ОП!$R$27</f>
        <v>1</v>
      </c>
      <c r="DM20" s="27">
        <f>IF(DL20=1,IF($B$1=1,'Документы АСУТП'!DI42,IF($B$1=2,'Документы АСУТП'!DI43,IF($B$1=3,'Документы АСУТП'!DI44,'Документы АСУТП'!DI42))),0)</f>
        <v>0</v>
      </c>
      <c r="DN20" s="312">
        <f>ТрЗ_ОП!$R$27</f>
        <v>1</v>
      </c>
      <c r="DO20" s="27" t="e">
        <f>IF(DN20=1,IF($B$1=1,'Документы АСУТП'!DJ42,IF($B$1=2,'Документы АСУТП'!DJ43,IF($B$1=3,'Документы АСУТП'!DJ44,'Документы АСУТП'!DJ42))),0)</f>
        <v>#REF!</v>
      </c>
      <c r="DP20" s="312">
        <f>ТрЗ_ОП!$R$27</f>
        <v>1</v>
      </c>
      <c r="DQ20" s="27">
        <f>IF(DP20=1,IF($B$1=1,'Документы АСУТП'!DK42,IF($B$1=2,'Документы АСУТП'!DK43,IF($B$1=3,'Документы АСУТП'!DK44,'Документы АСУТП'!DK42))),0)</f>
        <v>0</v>
      </c>
      <c r="DR20" s="312">
        <f>ТрЗ_ОП!$R$27</f>
        <v>1</v>
      </c>
      <c r="DS20" s="27">
        <f>IF(DR20=1,IF($B$1=1,'Документы АСУТП'!DL42,IF($B$1=2,'Документы АСУТП'!DL43,IF($B$1=3,'Документы АСУТП'!DL44,'Документы АСУТП'!DL42))),0)</f>
        <v>0</v>
      </c>
      <c r="DT20" s="312">
        <f>ТрЗ_ОП!$R$27</f>
        <v>1</v>
      </c>
      <c r="DU20" s="27">
        <f>IF(DT20=1,IF($B$1=1,'Документы АСУТП'!DM42,IF($B$1=2,'Документы АСУТП'!DM43,IF($B$1=3,'Документы АСУТП'!DM44,'Документы АСУТП'!DM42))),0)</f>
        <v>0</v>
      </c>
      <c r="DV20" s="312">
        <f>ТрЗ_ОП!$R$27</f>
        <v>1</v>
      </c>
      <c r="DW20" s="27">
        <f>IF(DV20=1,IF($B$1=1,'Документы АСУТП'!DN42,IF($B$1=2,'Документы АСУТП'!DN43,IF($B$1=3,'Документы АСУТП'!DN44,'Документы АСУТП'!DN42))),0)</f>
        <v>0</v>
      </c>
      <c r="DX20" s="312">
        <f>ТрЗ_ОП!$R$27</f>
        <v>1</v>
      </c>
      <c r="DY20" s="27">
        <f>IF(DX20=1,IF($B$1=1,'Документы АСУТП'!DO42,IF($B$1=2,'Документы АСУТП'!DO43,IF($B$1=3,'Документы АСУТП'!DO44,'Документы АСУТП'!DO42))),0)</f>
        <v>0</v>
      </c>
      <c r="DZ20" s="312">
        <f>ТрЗ_ОП!$R$27</f>
        <v>1</v>
      </c>
      <c r="EA20" s="27">
        <f>IF(DZ20=1,IF($B$1=1,'Документы АСУТП'!DP42,IF($B$1=2,'Документы АСУТП'!DP43,IF($B$1=3,'Документы АСУТП'!DP44,'Документы АСУТП'!DP42))),0)</f>
        <v>0</v>
      </c>
      <c r="EB20" s="312">
        <f>ТрЗ_ОП!$R$27</f>
        <v>1</v>
      </c>
      <c r="EC20" s="27">
        <f>IF(EB20=1,IF($B$1=1,'Документы АСУТП'!DQ42,IF($B$1=2,'Документы АСУТП'!DQ43,IF($B$1=3,'Документы АСУТП'!DQ44,'Документы АСУТП'!DQ42))),0)</f>
        <v>0</v>
      </c>
      <c r="ED20" s="312">
        <f>ТрЗ_ОП!$R$27</f>
        <v>1</v>
      </c>
      <c r="EE20" s="27">
        <f>IF(ED20=1,IF($B$1=1,'Документы АСУТП'!DR42,IF($B$1=2,'Документы АСУТП'!DR43,IF($B$1=3,'Документы АСУТП'!DR44,'Документы АСУТП'!DR42))),0)</f>
        <v>0</v>
      </c>
      <c r="EF20" s="312">
        <f>ТрЗ_ОП!$R$27</f>
        <v>1</v>
      </c>
      <c r="EG20" s="27">
        <f>IF(EF20=1,IF($B$1=1,'Документы АСУТП'!DS42,IF($B$1=2,'Документы АСУТП'!DS43,IF($B$1=3,'Документы АСУТП'!DS44,'Документы АСУТП'!DS42))),0)</f>
        <v>0</v>
      </c>
      <c r="EH20" s="312">
        <f>ТрЗ_ОП!$R$27</f>
        <v>1</v>
      </c>
      <c r="EI20" s="27">
        <f>IF(EH20=1,IF($B$1=1,'Документы АСУТП'!DT42,IF($B$1=2,'Документы АСУТП'!DT43,IF($B$1=3,'Документы АСУТП'!DT44,'Документы АСУТП'!DT42))),0)</f>
        <v>0</v>
      </c>
      <c r="EJ20" s="312">
        <f>ТрЗ_ОП!$R$27</f>
        <v>1</v>
      </c>
      <c r="EK20" s="27">
        <f>IF(EJ20=1,IF($B$1=1,'Документы АСУТП'!DU42,IF($B$1=2,'Документы АСУТП'!DU43,IF($B$1=3,'Документы АСУТП'!DU44,'Документы АСУТП'!DU42))),0)</f>
        <v>0</v>
      </c>
      <c r="EL20" s="312">
        <f>ТрЗ_ОП!$R$27</f>
        <v>1</v>
      </c>
      <c r="EM20" s="27">
        <f>IF(EL20=1,IF($B$1=1,'Документы АСУТП'!DV42,IF($B$1=2,'Документы АСУТП'!DV43,IF($B$1=3,'Документы АСУТП'!DV44,'Документы АСУТП'!DV42))),0)</f>
        <v>0</v>
      </c>
      <c r="EN20" s="312">
        <f>ТрЗ_ОП!$R$27</f>
        <v>1</v>
      </c>
      <c r="EO20" s="27">
        <f>IF(EN20=1,IF($B$1=1,'Документы АСУТП'!DW42,IF($B$1=2,'Документы АСУТП'!DW43,IF($B$1=3,'Документы АСУТП'!DW44,'Документы АСУТП'!DW42))),0)</f>
        <v>0</v>
      </c>
      <c r="EP20" s="312">
        <f>ТрЗ_ОП!$R$27</f>
        <v>1</v>
      </c>
      <c r="EQ20" s="27">
        <f>IF(EP20=1,IF($B$1=1,'Документы АСУТП'!DX42,IF($B$1=2,'Документы АСУТП'!DX43,IF($B$1=3,'Документы АСУТП'!DX44,'Документы АСУТП'!DX42))),0)</f>
        <v>0</v>
      </c>
      <c r="ER20" s="312">
        <f>ТрЗ_ОП!$R$27</f>
        <v>1</v>
      </c>
      <c r="ES20" s="27">
        <f>IF(ER20=1,IF($B$1=1,'Документы АСУТП'!DY42,IF($B$1=2,'Документы АСУТП'!DY43,IF($B$1=3,'Документы АСУТП'!DY44,'Документы АСУТП'!DY42))),0)</f>
        <v>0</v>
      </c>
      <c r="ET20" s="312">
        <f>ТрЗ_ОП!$R$27</f>
        <v>1</v>
      </c>
      <c r="EU20" s="771">
        <f>IF(ET20=1,IF($B$1=1,'Документы АСУТП'!DZ42,IF($B$1=2,'Документы АСУТП'!DZ43,IF($B$1=3,'Документы АСУТП'!DZ44,'Документы АСУТП'!DZ42))),0)</f>
        <v>0</v>
      </c>
      <c r="EV20" s="794" t="e">
        <f t="shared" si="2"/>
        <v>#REF!</v>
      </c>
      <c r="EW20" s="796" t="e">
        <f t="shared" si="3"/>
        <v>#REF!</v>
      </c>
      <c r="EX20" s="796" t="e">
        <f t="shared" si="4"/>
        <v>#REF!</v>
      </c>
      <c r="EY20" s="796" t="e">
        <f t="shared" si="0"/>
        <v>#REF!</v>
      </c>
      <c r="EZ20" s="795" t="e">
        <f t="shared" si="1"/>
        <v>#REF!</v>
      </c>
    </row>
    <row r="21" spans="1:156" ht="15.75" x14ac:dyDescent="0.25">
      <c r="A21" s="383" t="s">
        <v>15</v>
      </c>
      <c r="B21" s="84">
        <v>0.7</v>
      </c>
      <c r="C21" s="47">
        <v>0.25</v>
      </c>
      <c r="D21" s="85">
        <v>0.05</v>
      </c>
      <c r="E21" s="84">
        <v>0.5</v>
      </c>
      <c r="F21" s="47">
        <v>0.3</v>
      </c>
      <c r="G21" s="85">
        <v>0.2</v>
      </c>
      <c r="H21" s="84">
        <v>0.7</v>
      </c>
      <c r="I21" s="47">
        <v>0.25</v>
      </c>
      <c r="J21" s="85">
        <v>0.05</v>
      </c>
      <c r="K21" s="84">
        <v>0.6</v>
      </c>
      <c r="L21" s="47">
        <v>0.3</v>
      </c>
      <c r="M21" s="85">
        <v>0.1</v>
      </c>
      <c r="N21" s="84">
        <v>0.5</v>
      </c>
      <c r="O21" s="47">
        <v>0.3</v>
      </c>
      <c r="P21" s="85">
        <v>0.2</v>
      </c>
      <c r="Q21" s="84">
        <v>0.6</v>
      </c>
      <c r="R21" s="47">
        <v>0.3</v>
      </c>
      <c r="S21" s="85">
        <v>0.1</v>
      </c>
      <c r="T21" s="84">
        <v>0.7</v>
      </c>
      <c r="U21" s="47">
        <v>0.25</v>
      </c>
      <c r="V21" s="85">
        <v>0.05</v>
      </c>
      <c r="W21" s="84">
        <v>0.6</v>
      </c>
      <c r="X21" s="47">
        <v>0.3</v>
      </c>
      <c r="Y21" s="85">
        <v>0.1</v>
      </c>
      <c r="Z21" s="84">
        <v>0.6</v>
      </c>
      <c r="AA21" s="47">
        <v>0.3</v>
      </c>
      <c r="AB21" s="85">
        <v>0.1</v>
      </c>
      <c r="AC21" s="84">
        <v>0.4</v>
      </c>
      <c r="AD21" s="47">
        <v>0.3</v>
      </c>
      <c r="AE21" s="85">
        <v>0.3</v>
      </c>
      <c r="AF21" s="84">
        <v>0.6</v>
      </c>
      <c r="AG21" s="47">
        <v>0.3</v>
      </c>
      <c r="AH21" s="85">
        <v>0.1</v>
      </c>
      <c r="AI21" s="84">
        <v>0.5</v>
      </c>
      <c r="AJ21" s="47">
        <v>0.3</v>
      </c>
      <c r="AK21" s="85">
        <v>0.2</v>
      </c>
      <c r="AL21" s="84">
        <v>0.4</v>
      </c>
      <c r="AM21" s="47">
        <v>0.3</v>
      </c>
      <c r="AN21" s="85">
        <v>0.3</v>
      </c>
      <c r="AO21" s="84">
        <v>0.4</v>
      </c>
      <c r="AP21" s="47">
        <v>0.3</v>
      </c>
      <c r="AQ21" s="85">
        <v>0.3</v>
      </c>
      <c r="AR21" s="84">
        <v>0.5</v>
      </c>
      <c r="AS21" s="47">
        <v>0.3</v>
      </c>
      <c r="AT21" s="85">
        <v>0.2</v>
      </c>
      <c r="AU21" s="84">
        <v>0.5</v>
      </c>
      <c r="AV21" s="47">
        <v>0.3</v>
      </c>
      <c r="AW21" s="85">
        <v>0.2</v>
      </c>
      <c r="AX21" s="84">
        <v>0.4</v>
      </c>
      <c r="AY21" s="47">
        <v>0.3</v>
      </c>
      <c r="AZ21" s="85">
        <v>0.3</v>
      </c>
      <c r="BA21" s="84">
        <v>0.5</v>
      </c>
      <c r="BB21" s="47">
        <v>0.3</v>
      </c>
      <c r="BC21" s="85">
        <v>0.2</v>
      </c>
      <c r="BD21" s="84">
        <v>0.5</v>
      </c>
      <c r="BE21" s="47">
        <v>0.3</v>
      </c>
      <c r="BF21" s="85">
        <v>0.2</v>
      </c>
      <c r="BG21" s="84">
        <v>0.5</v>
      </c>
      <c r="BH21" s="47">
        <v>0.3</v>
      </c>
      <c r="BI21" s="85">
        <v>0.2</v>
      </c>
      <c r="BJ21" s="84">
        <v>0.4</v>
      </c>
      <c r="BK21" s="47">
        <v>0.3</v>
      </c>
      <c r="BL21" s="85">
        <v>0.3</v>
      </c>
      <c r="BM21" s="84">
        <v>0.4</v>
      </c>
      <c r="BN21" s="47">
        <v>0.3</v>
      </c>
      <c r="BO21" s="85">
        <v>0.3</v>
      </c>
      <c r="BP21" s="84">
        <v>0.4</v>
      </c>
      <c r="BQ21" s="47">
        <v>0.3</v>
      </c>
      <c r="BR21" s="85">
        <v>0.3</v>
      </c>
      <c r="BS21" s="84">
        <v>0.5</v>
      </c>
      <c r="BT21" s="47">
        <v>0.3</v>
      </c>
      <c r="BU21" s="85">
        <v>0.2</v>
      </c>
      <c r="BV21" s="84">
        <v>0.5</v>
      </c>
      <c r="BW21" s="47">
        <v>0.3</v>
      </c>
      <c r="BX21" s="85">
        <v>0.2</v>
      </c>
      <c r="BY21" s="84">
        <v>0.4</v>
      </c>
      <c r="BZ21" s="47">
        <v>0.3</v>
      </c>
      <c r="CA21" s="85">
        <v>0.3</v>
      </c>
      <c r="CB21" s="84">
        <v>0.5</v>
      </c>
      <c r="CC21" s="47">
        <v>0.3</v>
      </c>
      <c r="CD21" s="85">
        <v>0.2</v>
      </c>
      <c r="CE21" s="84">
        <v>0.5</v>
      </c>
      <c r="CF21" s="47">
        <v>0.3</v>
      </c>
      <c r="CG21" s="85">
        <v>0.2</v>
      </c>
      <c r="CH21" s="84">
        <v>0.4</v>
      </c>
      <c r="CI21" s="47">
        <v>0.3</v>
      </c>
      <c r="CJ21" s="85">
        <v>0.3</v>
      </c>
      <c r="CK21" s="84">
        <v>0.4</v>
      </c>
      <c r="CL21" s="47">
        <v>0.3</v>
      </c>
      <c r="CM21" s="85">
        <v>0.3</v>
      </c>
      <c r="CN21" s="312">
        <f>ТрЗ_ОП!$R$28</f>
        <v>1</v>
      </c>
      <c r="CO21" s="27">
        <f>IF(CN21=1,IF($B$1=1,'Документы АСУТП'!CW45,IF($B$1=2,'Документы АСУТП'!CW46,IF($B$1=3,'Документы АСУТП'!CW47,'Документы АСУТП'!CW45))),0)</f>
        <v>2.5</v>
      </c>
      <c r="CP21" s="312">
        <f>ТрЗ_ОП!$R$28</f>
        <v>1</v>
      </c>
      <c r="CQ21" s="27">
        <f>IF(CP21=1,IF($B$1=1,'Документы АСУТП'!CX45,IF($B$1=2,'Документы АСУТП'!CX46,IF($B$1=3,'Документы АСУТП'!CX47,'Документы АСУТП'!CX45))),0)</f>
        <v>5</v>
      </c>
      <c r="CR21" s="312">
        <f>ТрЗ_ОП!$R$28</f>
        <v>1</v>
      </c>
      <c r="CS21" s="27">
        <f>IF(CR21=1,IF($B$1=1,'Документы АСУТП'!CY45,IF($B$1=2,'Документы АСУТП'!CY46,IF($B$1=3,'Документы АСУТП'!CY47,'Документы АСУТП'!CY45))),0)</f>
        <v>0</v>
      </c>
      <c r="CT21" s="312">
        <f>ТрЗ_ОП!$R$28</f>
        <v>1</v>
      </c>
      <c r="CU21" s="27">
        <f>IF(CT21=1,IF($B$1=1,'Документы АСУТП'!CZ45,IF($B$1=2,'Документы АСУТП'!CZ46,IF($B$1=3,'Документы АСУТП'!CZ47,'Документы АСУТП'!CZ45))),0)</f>
        <v>0</v>
      </c>
      <c r="CV21" s="312">
        <f>ТрЗ_ОП!$R$28</f>
        <v>1</v>
      </c>
      <c r="CW21" s="27">
        <f>IF(CV21=1,IF($B$1=1,'Документы АСУТП'!DA45,IF($B$1=2,'Документы АСУТП'!DA46,IF($B$1=3,'Документы АСУТП'!DA47,'Документы АСУТП'!DA45))),0)</f>
        <v>0</v>
      </c>
      <c r="CX21" s="312">
        <f>ТрЗ_ОП!$R$28</f>
        <v>1</v>
      </c>
      <c r="CY21" s="27">
        <f>IF(CX21=1,IF($B$1=1,'Документы АСУТП'!DB45,IF($B$1=2,'Документы АСУТП'!DB46,IF($B$1=3,'Документы АСУТП'!DB47,'Документы АСУТП'!DB45))),0)</f>
        <v>0</v>
      </c>
      <c r="CZ21" s="312">
        <f>ТрЗ_ОП!$R$28</f>
        <v>1</v>
      </c>
      <c r="DA21" s="27">
        <f>IF(CZ21=1,IF($B$1=1,'Документы АСУТП'!DC45,IF($B$1=2,'Документы АСУТП'!DC46,IF($B$1=3,'Документы АСУТП'!DC47,'Документы АСУТП'!DC45))),0)</f>
        <v>0</v>
      </c>
      <c r="DB21" s="312">
        <f>ТрЗ_ОП!$R$28</f>
        <v>1</v>
      </c>
      <c r="DC21" s="27">
        <f>IF(DB21=1,IF($B$1=1,'Документы АСУТП'!DD45,IF($B$1=2,'Документы АСУТП'!DD46,IF($B$1=3,'Документы АСУТП'!DD47,'Документы АСУТП'!DD45))),0)</f>
        <v>0</v>
      </c>
      <c r="DD21" s="312">
        <f>ТрЗ_ОП!$R$28</f>
        <v>1</v>
      </c>
      <c r="DE21" s="27">
        <f>IF(DD21=1,IF($B$1=1,'Документы АСУТП'!DF45,IF($B$1=2,'Документы АСУТП'!DF46,IF($B$1=3,'Документы АСУТП'!DF47,'Документы АСУТП'!DF45))),0)</f>
        <v>0</v>
      </c>
      <c r="DF21" s="312">
        <f>ТрЗ_ОП!$R$28</f>
        <v>1</v>
      </c>
      <c r="DG21" s="27">
        <f>IF(DF21=1,IF($B$1=1,'Документы АСУТП'!DE45,IF($B$1=2,'Документы АСУТП'!DE46,IF($B$1=3,'Документы АСУТП'!DE47,'Документы АСУТП'!DE45))),0)</f>
        <v>0</v>
      </c>
      <c r="DH21" s="312">
        <f>ТрЗ_ОП!$R$28</f>
        <v>1</v>
      </c>
      <c r="DI21" s="27">
        <f>IF(DH21=1,IF($B$1=1,'Документы АСУТП'!DG45,IF($B$1=2,'Документы АСУТП'!DG46,IF($B$1=3,'Документы АСУТП'!DG47,'Документы АСУТП'!DG45))),0)</f>
        <v>0</v>
      </c>
      <c r="DJ21" s="312">
        <f>ТрЗ_ОП!$R$28</f>
        <v>1</v>
      </c>
      <c r="DK21" s="27">
        <f>IF(DJ21=1,IF($B$1=1,'Документы АСУТП'!DH45,IF($B$1=2,'Документы АСУТП'!DH46,IF($B$1=3,'Документы АСУТП'!DH47,'Документы АСУТП'!DH45))),0)</f>
        <v>0</v>
      </c>
      <c r="DL21" s="312">
        <f>ТрЗ_ОП!$R$28</f>
        <v>1</v>
      </c>
      <c r="DM21" s="27">
        <f>IF(DL21=1,IF($B$1=1,'Документы АСУТП'!DI45,IF($B$1=2,'Документы АСУТП'!DI46,IF($B$1=3,'Документы АСУТП'!DI47,'Документы АСУТП'!DI45))),0)</f>
        <v>0</v>
      </c>
      <c r="DN21" s="312">
        <f>ТрЗ_ОП!$R$28</f>
        <v>1</v>
      </c>
      <c r="DO21" s="27" t="e">
        <f>IF(DN21=1,IF($B$1=1,'Документы АСУТП'!DJ45,IF($B$1=2,'Документы АСУТП'!DJ46,IF($B$1=3,'Документы АСУТП'!DJ47,'Документы АСУТП'!DJ45))),0)</f>
        <v>#REF!</v>
      </c>
      <c r="DP21" s="312">
        <f>ТрЗ_ОП!$R$28</f>
        <v>1</v>
      </c>
      <c r="DQ21" s="27">
        <f>IF(DP21=1,IF($B$1=1,'Документы АСУТП'!DK45,IF($B$1=2,'Документы АСУТП'!DK46,IF($B$1=3,'Документы АСУТП'!DK47,'Документы АСУТП'!DK45))),0)</f>
        <v>0</v>
      </c>
      <c r="DR21" s="312">
        <f>ТрЗ_ОП!$R$28</f>
        <v>1</v>
      </c>
      <c r="DS21" s="27">
        <f>IF(DR21=1,IF($B$1=1,'Документы АСУТП'!DL45,IF($B$1=2,'Документы АСУТП'!DL46,IF($B$1=3,'Документы АСУТП'!DL47,'Документы АСУТП'!DL45))),0)</f>
        <v>0</v>
      </c>
      <c r="DT21" s="312">
        <f>ТрЗ_ОП!$R$28</f>
        <v>1</v>
      </c>
      <c r="DU21" s="27">
        <f>IF(DT21=1,IF($B$1=1,'Документы АСУТП'!DM45,IF($B$1=2,'Документы АСУТП'!DM46,IF($B$1=3,'Документы АСУТП'!DM47,'Документы АСУТП'!DM45))),0)</f>
        <v>0</v>
      </c>
      <c r="DV21" s="312">
        <f>ТрЗ_ОП!$R$28</f>
        <v>1</v>
      </c>
      <c r="DW21" s="27">
        <f>IF(DV21=1,IF($B$1=1,'Документы АСУТП'!DN45,IF($B$1=2,'Документы АСУТП'!DN46,IF($B$1=3,'Документы АСУТП'!DN47,'Документы АСУТП'!DN45))),0)</f>
        <v>0</v>
      </c>
      <c r="DX21" s="312">
        <f>ТрЗ_ОП!$R$28</f>
        <v>1</v>
      </c>
      <c r="DY21" s="27">
        <f>IF(DX21=1,IF($B$1=1,'Документы АСУТП'!DO45,IF($B$1=2,'Документы АСУТП'!DO46,IF($B$1=3,'Документы АСУТП'!DO47,'Документы АСУТП'!DO45))),0)</f>
        <v>0</v>
      </c>
      <c r="DZ21" s="312">
        <f>ТрЗ_ОП!$R$28</f>
        <v>1</v>
      </c>
      <c r="EA21" s="27">
        <f>IF(DZ21=1,IF($B$1=1,'Документы АСУТП'!DP45,IF($B$1=2,'Документы АСУТП'!DP46,IF($B$1=3,'Документы АСУТП'!DP47,'Документы АСУТП'!DP45))),0)</f>
        <v>0</v>
      </c>
      <c r="EB21" s="312">
        <f>ТрЗ_ОП!$R$28</f>
        <v>1</v>
      </c>
      <c r="EC21" s="27">
        <f>IF(EB21=1,IF($B$1=1,'Документы АСУТП'!DQ45,IF($B$1=2,'Документы АСУТП'!DQ46,IF($B$1=3,'Документы АСУТП'!DQ47,'Документы АСУТП'!DQ45))),0)</f>
        <v>0</v>
      </c>
      <c r="ED21" s="312">
        <f>ТрЗ_ОП!$R$28</f>
        <v>1</v>
      </c>
      <c r="EE21" s="27">
        <f>IF(ED21=1,IF($B$1=1,'Документы АСУТП'!DR45,IF($B$1=2,'Документы АСУТП'!DR46,IF($B$1=3,'Документы АСУТП'!DR47,'Документы АСУТП'!DR45))),0)</f>
        <v>0</v>
      </c>
      <c r="EF21" s="312">
        <f>ТрЗ_ОП!$R$28</f>
        <v>1</v>
      </c>
      <c r="EG21" s="27">
        <f>IF(EF21=1,IF($B$1=1,'Документы АСУТП'!DS45,IF($B$1=2,'Документы АСУТП'!DS46,IF($B$1=3,'Документы АСУТП'!DS47,'Документы АСУТП'!DS45))),0)</f>
        <v>0</v>
      </c>
      <c r="EH21" s="312">
        <f>ТрЗ_ОП!$R$28</f>
        <v>1</v>
      </c>
      <c r="EI21" s="27">
        <f>IF(EH21=1,IF($B$1=1,'Документы АСУТП'!DT45,IF($B$1=2,'Документы АСУТП'!DT46,IF($B$1=3,'Документы АСУТП'!DT47,'Документы АСУТП'!DT45))),0)</f>
        <v>0</v>
      </c>
      <c r="EJ21" s="312">
        <f>ТрЗ_ОП!$R$28</f>
        <v>1</v>
      </c>
      <c r="EK21" s="27">
        <f>IF(EJ21=1,IF($B$1=1,'Документы АСУТП'!DU45,IF($B$1=2,'Документы АСУТП'!DU46,IF($B$1=3,'Документы АСУТП'!DU47,'Документы АСУТП'!DU45))),0)</f>
        <v>0</v>
      </c>
      <c r="EL21" s="312">
        <f>ТрЗ_ОП!$R$28</f>
        <v>1</v>
      </c>
      <c r="EM21" s="27">
        <f>IF(EL21=1,IF($B$1=1,'Документы АСУТП'!DV45,IF($B$1=2,'Документы АСУТП'!DV46,IF($B$1=3,'Документы АСУТП'!DV47,'Документы АСУТП'!DV45))),0)</f>
        <v>0</v>
      </c>
      <c r="EN21" s="312">
        <f>ТрЗ_ОП!$R$28</f>
        <v>1</v>
      </c>
      <c r="EO21" s="27">
        <f>IF(EN21=1,IF($B$1=1,'Документы АСУТП'!DW45,IF($B$1=2,'Документы АСУТП'!DW46,IF($B$1=3,'Документы АСУТП'!DW47,'Документы АСУТП'!DW45))),0)</f>
        <v>0</v>
      </c>
      <c r="EP21" s="312">
        <f>ТрЗ_ОП!$R$28</f>
        <v>1</v>
      </c>
      <c r="EQ21" s="27">
        <f>IF(EP21=1,IF($B$1=1,'Документы АСУТП'!DX45,IF($B$1=2,'Документы АСУТП'!DX46,IF($B$1=3,'Документы АСУТП'!DX47,'Документы АСУТП'!DX45))),0)</f>
        <v>0</v>
      </c>
      <c r="ER21" s="312">
        <f>ТрЗ_ОП!$R$28</f>
        <v>1</v>
      </c>
      <c r="ES21" s="27">
        <f>IF(ER21=1,IF($B$1=1,'Документы АСУТП'!DY45,IF($B$1=2,'Документы АСУТП'!DY46,IF($B$1=3,'Документы АСУТП'!DY47,'Документы АСУТП'!DY45))),0)</f>
        <v>0</v>
      </c>
      <c r="ET21" s="312">
        <f>ТрЗ_ОП!$R$28</f>
        <v>1</v>
      </c>
      <c r="EU21" s="771">
        <f>IF(ET21=1,IF($B$1=1,'Документы АСУТП'!DZ45,IF($B$1=2,'Документы АСУТП'!DZ46,IF($B$1=3,'Документы АСУТП'!DZ47,'Документы АСУТП'!DZ45))),0)</f>
        <v>0</v>
      </c>
      <c r="EV21" s="794" t="e">
        <f t="shared" si="2"/>
        <v>#REF!</v>
      </c>
      <c r="EW21" s="796" t="e">
        <f t="shared" si="3"/>
        <v>#REF!</v>
      </c>
      <c r="EX21" s="796" t="e">
        <f t="shared" si="4"/>
        <v>#REF!</v>
      </c>
      <c r="EY21" s="796" t="e">
        <f t="shared" si="0"/>
        <v>#REF!</v>
      </c>
      <c r="EZ21" s="795" t="e">
        <f t="shared" si="1"/>
        <v>#REF!</v>
      </c>
    </row>
    <row r="22" spans="1:156" ht="15.75" x14ac:dyDescent="0.25">
      <c r="A22" s="383" t="s">
        <v>16</v>
      </c>
      <c r="B22" s="84">
        <v>0.5</v>
      </c>
      <c r="C22" s="47">
        <v>0.3</v>
      </c>
      <c r="D22" s="85">
        <v>0.2</v>
      </c>
      <c r="E22" s="84">
        <v>0.5</v>
      </c>
      <c r="F22" s="47">
        <v>0.3</v>
      </c>
      <c r="G22" s="85">
        <v>0.2</v>
      </c>
      <c r="H22" s="84">
        <v>0.5</v>
      </c>
      <c r="I22" s="47">
        <v>0.3</v>
      </c>
      <c r="J22" s="85">
        <v>0.2</v>
      </c>
      <c r="K22" s="84">
        <v>0.5</v>
      </c>
      <c r="L22" s="47">
        <v>0.3</v>
      </c>
      <c r="M22" s="85">
        <v>0.2</v>
      </c>
      <c r="N22" s="84">
        <v>0.5</v>
      </c>
      <c r="O22" s="47">
        <v>0.3</v>
      </c>
      <c r="P22" s="85">
        <v>0.2</v>
      </c>
      <c r="Q22" s="84">
        <v>0.5</v>
      </c>
      <c r="R22" s="47">
        <v>0.3</v>
      </c>
      <c r="S22" s="85">
        <v>0.2</v>
      </c>
      <c r="T22" s="84">
        <v>0.5</v>
      </c>
      <c r="U22" s="47">
        <v>0.3</v>
      </c>
      <c r="V22" s="85">
        <v>0.2</v>
      </c>
      <c r="W22" s="84">
        <v>0.5</v>
      </c>
      <c r="X22" s="47">
        <v>0.3</v>
      </c>
      <c r="Y22" s="85">
        <v>0.2</v>
      </c>
      <c r="Z22" s="84">
        <v>0.5</v>
      </c>
      <c r="AA22" s="47">
        <v>0.3</v>
      </c>
      <c r="AB22" s="85">
        <v>0.2</v>
      </c>
      <c r="AC22" s="84">
        <v>0.5</v>
      </c>
      <c r="AD22" s="47">
        <v>0.3</v>
      </c>
      <c r="AE22" s="85">
        <v>0.2</v>
      </c>
      <c r="AF22" s="84">
        <v>0.5</v>
      </c>
      <c r="AG22" s="47">
        <v>0.3</v>
      </c>
      <c r="AH22" s="85">
        <v>0.2</v>
      </c>
      <c r="AI22" s="84">
        <v>0.5</v>
      </c>
      <c r="AJ22" s="47">
        <v>0.3</v>
      </c>
      <c r="AK22" s="85">
        <v>0.2</v>
      </c>
      <c r="AL22" s="84">
        <v>0.5</v>
      </c>
      <c r="AM22" s="47">
        <v>0.3</v>
      </c>
      <c r="AN22" s="85">
        <v>0.2</v>
      </c>
      <c r="AO22" s="84">
        <v>0.5</v>
      </c>
      <c r="AP22" s="47">
        <v>0.3</v>
      </c>
      <c r="AQ22" s="85">
        <v>0.2</v>
      </c>
      <c r="AR22" s="84">
        <v>0.5</v>
      </c>
      <c r="AS22" s="47">
        <v>0.3</v>
      </c>
      <c r="AT22" s="85">
        <v>0.2</v>
      </c>
      <c r="AU22" s="84">
        <v>0.5</v>
      </c>
      <c r="AV22" s="47">
        <v>0.3</v>
      </c>
      <c r="AW22" s="85">
        <v>0.2</v>
      </c>
      <c r="AX22" s="84">
        <v>0.5</v>
      </c>
      <c r="AY22" s="47">
        <v>0.3</v>
      </c>
      <c r="AZ22" s="85">
        <v>0.2</v>
      </c>
      <c r="BA22" s="84">
        <v>0.5</v>
      </c>
      <c r="BB22" s="47">
        <v>0.3</v>
      </c>
      <c r="BC22" s="85">
        <v>0.2</v>
      </c>
      <c r="BD22" s="84">
        <v>0.5</v>
      </c>
      <c r="BE22" s="47">
        <v>0.3</v>
      </c>
      <c r="BF22" s="85">
        <v>0.2</v>
      </c>
      <c r="BG22" s="84">
        <v>0.5</v>
      </c>
      <c r="BH22" s="47">
        <v>0.3</v>
      </c>
      <c r="BI22" s="85">
        <v>0.2</v>
      </c>
      <c r="BJ22" s="84">
        <v>0.5</v>
      </c>
      <c r="BK22" s="47">
        <v>0.3</v>
      </c>
      <c r="BL22" s="85">
        <v>0.2</v>
      </c>
      <c r="BM22" s="84">
        <v>0.5</v>
      </c>
      <c r="BN22" s="47">
        <v>0.3</v>
      </c>
      <c r="BO22" s="85">
        <v>0.2</v>
      </c>
      <c r="BP22" s="84">
        <v>0.5</v>
      </c>
      <c r="BQ22" s="47">
        <v>0.3</v>
      </c>
      <c r="BR22" s="85">
        <v>0.2</v>
      </c>
      <c r="BS22" s="84">
        <v>0.5</v>
      </c>
      <c r="BT22" s="47">
        <v>0.3</v>
      </c>
      <c r="BU22" s="85">
        <v>0.2</v>
      </c>
      <c r="BV22" s="84">
        <v>0.5</v>
      </c>
      <c r="BW22" s="47">
        <v>0.3</v>
      </c>
      <c r="BX22" s="85">
        <v>0.2</v>
      </c>
      <c r="BY22" s="84">
        <v>0.5</v>
      </c>
      <c r="BZ22" s="47">
        <v>0.3</v>
      </c>
      <c r="CA22" s="85">
        <v>0.2</v>
      </c>
      <c r="CB22" s="84">
        <v>0.5</v>
      </c>
      <c r="CC22" s="47">
        <v>0.3</v>
      </c>
      <c r="CD22" s="85">
        <v>0.2</v>
      </c>
      <c r="CE22" s="84">
        <v>0.5</v>
      </c>
      <c r="CF22" s="47">
        <v>0.3</v>
      </c>
      <c r="CG22" s="85">
        <v>0.2</v>
      </c>
      <c r="CH22" s="84">
        <v>0.5</v>
      </c>
      <c r="CI22" s="47">
        <v>0.3</v>
      </c>
      <c r="CJ22" s="85">
        <v>0.2</v>
      </c>
      <c r="CK22" s="84">
        <v>0.5</v>
      </c>
      <c r="CL22" s="47">
        <v>0.3</v>
      </c>
      <c r="CM22" s="85">
        <v>0.2</v>
      </c>
      <c r="CN22" s="312" t="str">
        <f>ТрЗ_ОП!$R$29</f>
        <v>-</v>
      </c>
      <c r="CO22" s="27">
        <f>IF(CN22=1,IF($B$1=1,'Документы АСУТП'!CW48,IF($B$1=2,'Документы АСУТП'!CW49,IF($B$1=3,'Документы АСУТП'!CW50,'Документы АСУТП'!CW48))),0)</f>
        <v>0</v>
      </c>
      <c r="CP22" s="312" t="str">
        <f>ТрЗ_ОП!$R$29</f>
        <v>-</v>
      </c>
      <c r="CQ22" s="27">
        <f>IF(CP22=1,IF($B$1=1,'Документы АСУТП'!CX48,IF($B$1=2,'Документы АСУТП'!CX49,IF($B$1=3,'Документы АСУТП'!CX50,'Документы АСУТП'!CX48))),0)</f>
        <v>0</v>
      </c>
      <c r="CR22" s="312" t="str">
        <f>ТрЗ_ОП!$R$29</f>
        <v>-</v>
      </c>
      <c r="CS22" s="27">
        <f>IF(CR22=1,IF($B$1=1,'Документы АСУТП'!CY48,IF($B$1=2,'Документы АСУТП'!CY49,IF($B$1=3,'Документы АСУТП'!CY50,'Документы АСУТП'!CY48))),0)</f>
        <v>0</v>
      </c>
      <c r="CT22" s="312" t="str">
        <f>ТрЗ_ОП!$R$29</f>
        <v>-</v>
      </c>
      <c r="CU22" s="27">
        <f>IF(CT22=1,IF($B$1=1,'Документы АСУТП'!CZ48,IF($B$1=2,'Документы АСУТП'!CZ49,IF($B$1=3,'Документы АСУТП'!CZ50,'Документы АСУТП'!CZ48))),0)</f>
        <v>0</v>
      </c>
      <c r="CV22" s="312" t="str">
        <f>ТрЗ_ОП!$R$29</f>
        <v>-</v>
      </c>
      <c r="CW22" s="27">
        <f>IF(CV22=1,IF($B$1=1,'Документы АСУТП'!DA48,IF($B$1=2,'Документы АСУТП'!DA49,IF($B$1=3,'Документы АСУТП'!DA50,'Документы АСУТП'!DA48))),0)</f>
        <v>0</v>
      </c>
      <c r="CX22" s="312" t="str">
        <f>ТрЗ_ОП!$R$29</f>
        <v>-</v>
      </c>
      <c r="CY22" s="27">
        <f>IF(CX22=1,IF($B$1=1,'Документы АСУТП'!DB48,IF($B$1=2,'Документы АСУТП'!DB49,IF($B$1=3,'Документы АСУТП'!DB50,'Документы АСУТП'!DB48))),0)</f>
        <v>0</v>
      </c>
      <c r="CZ22" s="312" t="str">
        <f>ТрЗ_ОП!$R$29</f>
        <v>-</v>
      </c>
      <c r="DA22" s="27">
        <f>IF(CZ22=1,IF($B$1=1,'Документы АСУТП'!DC48,IF($B$1=2,'Документы АСУТП'!DC49,IF($B$1=3,'Документы АСУТП'!DC50,'Документы АСУТП'!DC48))),0)</f>
        <v>0</v>
      </c>
      <c r="DB22" s="312" t="str">
        <f>ТрЗ_ОП!$R$29</f>
        <v>-</v>
      </c>
      <c r="DC22" s="27">
        <f>IF(DB22=1,IF($B$1=1,'Документы АСУТП'!DD48,IF($B$1=2,'Документы АСУТП'!DD49,IF($B$1=3,'Документы АСУТП'!DD50,'Документы АСУТП'!DD48))),0)</f>
        <v>0</v>
      </c>
      <c r="DD22" s="312" t="str">
        <f>ТрЗ_ОП!$R$29</f>
        <v>-</v>
      </c>
      <c r="DE22" s="27">
        <f>IF(DD22=1,IF($B$1=1,'Документы АСУТП'!DF48,IF($B$1=2,'Документы АСУТП'!DF49,IF($B$1=3,'Документы АСУТП'!DF50,'Документы АСУТП'!DF48))),0)</f>
        <v>0</v>
      </c>
      <c r="DF22" s="312" t="str">
        <f>ТрЗ_ОП!$R$29</f>
        <v>-</v>
      </c>
      <c r="DG22" s="27">
        <f>IF(DF22=1,IF($B$1=1,'Документы АСУТП'!DE48,IF($B$1=2,'Документы АСУТП'!DE49,IF($B$1=3,'Документы АСУТП'!DE50,'Документы АСУТП'!DE48))),0)</f>
        <v>0</v>
      </c>
      <c r="DH22" s="312" t="str">
        <f>ТрЗ_ОП!$R$29</f>
        <v>-</v>
      </c>
      <c r="DI22" s="27">
        <f>IF(DH22=1,IF($B$1=1,'Документы АСУТП'!DG48,IF($B$1=2,'Документы АСУТП'!DG49,IF($B$1=3,'Документы АСУТП'!DG50,'Документы АСУТП'!DG48))),0)</f>
        <v>0</v>
      </c>
      <c r="DJ22" s="312" t="str">
        <f>ТрЗ_ОП!$R$29</f>
        <v>-</v>
      </c>
      <c r="DK22" s="27">
        <f>IF(DJ22=1,IF($B$1=1,'Документы АСУТП'!DH48,IF($B$1=2,'Документы АСУТП'!DH49,IF($B$1=3,'Документы АСУТП'!DH50,'Документы АСУТП'!DH48))),0)</f>
        <v>0</v>
      </c>
      <c r="DL22" s="312" t="str">
        <f>ТрЗ_ОП!$R$29</f>
        <v>-</v>
      </c>
      <c r="DM22" s="27">
        <f>IF(DL22=1,IF($B$1=1,'Документы АСУТП'!DI48,IF($B$1=2,'Документы АСУТП'!DI49,IF($B$1=3,'Документы АСУТП'!DI50,'Документы АСУТП'!DI48))),0)</f>
        <v>0</v>
      </c>
      <c r="DN22" s="312" t="str">
        <f>ТрЗ_ОП!$R$29</f>
        <v>-</v>
      </c>
      <c r="DO22" s="27">
        <f>IF(DN22=1,IF($B$1=1,'Документы АСУТП'!DJ48,IF($B$1=2,'Документы АСУТП'!DJ49,IF($B$1=3,'Документы АСУТП'!DJ50,'Документы АСУТП'!DJ48))),0)</f>
        <v>0</v>
      </c>
      <c r="DP22" s="312" t="str">
        <f>ТрЗ_ОП!$R$29</f>
        <v>-</v>
      </c>
      <c r="DQ22" s="27">
        <f>IF(DP22=1,IF($B$1=1,'Документы АСУТП'!DK48,IF($B$1=2,'Документы АСУТП'!DK49,IF($B$1=3,'Документы АСУТП'!DK50,'Документы АСУТП'!DK48))),0)</f>
        <v>0</v>
      </c>
      <c r="DR22" s="312" t="str">
        <f>ТрЗ_ОП!$R$29</f>
        <v>-</v>
      </c>
      <c r="DS22" s="27">
        <f>IF(DR22=1,IF($B$1=1,'Документы АСУТП'!DL48,IF($B$1=2,'Документы АСУТП'!DL49,IF($B$1=3,'Документы АСУТП'!DL50,'Документы АСУТП'!DL48))),0)</f>
        <v>0</v>
      </c>
      <c r="DT22" s="312" t="str">
        <f>ТрЗ_ОП!$R$29</f>
        <v>-</v>
      </c>
      <c r="DU22" s="27">
        <f>IF(DT22=1,IF($B$1=1,'Документы АСУТП'!DM48,IF($B$1=2,'Документы АСУТП'!DM49,IF($B$1=3,'Документы АСУТП'!DM50,'Документы АСУТП'!DM48))),0)</f>
        <v>0</v>
      </c>
      <c r="DV22" s="312" t="str">
        <f>ТрЗ_ОП!$R$29</f>
        <v>-</v>
      </c>
      <c r="DW22" s="27">
        <f>IF(DV22=1,IF($B$1=1,'Документы АСУТП'!DN48,IF($B$1=2,'Документы АСУТП'!DN49,IF($B$1=3,'Документы АСУТП'!DN50,'Документы АСУТП'!DN48))),0)</f>
        <v>0</v>
      </c>
      <c r="DX22" s="312" t="str">
        <f>ТрЗ_ОП!$R$29</f>
        <v>-</v>
      </c>
      <c r="DY22" s="27">
        <f>IF(DX22=1,IF($B$1=1,'Документы АСУТП'!DO48,IF($B$1=2,'Документы АСУТП'!DO49,IF($B$1=3,'Документы АСУТП'!DO50,'Документы АСУТП'!DO48))),0)</f>
        <v>0</v>
      </c>
      <c r="DZ22" s="312" t="str">
        <f>ТрЗ_ОП!$R$29</f>
        <v>-</v>
      </c>
      <c r="EA22" s="27">
        <f>IF(DZ22=1,IF($B$1=1,'Документы АСУТП'!DP48,IF($B$1=2,'Документы АСУТП'!DP49,IF($B$1=3,'Документы АСУТП'!DP50,'Документы АСУТП'!DP48))),0)</f>
        <v>0</v>
      </c>
      <c r="EB22" s="312" t="str">
        <f>ТрЗ_ОП!$R$29</f>
        <v>-</v>
      </c>
      <c r="EC22" s="27">
        <f>IF(EB22=1,IF($B$1=1,'Документы АСУТП'!DQ48,IF($B$1=2,'Документы АСУТП'!DQ49,IF($B$1=3,'Документы АСУТП'!DQ50,'Документы АСУТП'!DQ48))),0)</f>
        <v>0</v>
      </c>
      <c r="ED22" s="312" t="str">
        <f>ТрЗ_ОП!$R$29</f>
        <v>-</v>
      </c>
      <c r="EE22" s="27">
        <f>IF(ED22=1,IF($B$1=1,'Документы АСУТП'!DR48,IF($B$1=2,'Документы АСУТП'!DR49,IF($B$1=3,'Документы АСУТП'!DR50,'Документы АСУТП'!DR48))),0)</f>
        <v>0</v>
      </c>
      <c r="EF22" s="312" t="str">
        <f>ТрЗ_ОП!$R$29</f>
        <v>-</v>
      </c>
      <c r="EG22" s="27">
        <f>IF(EF22=1,IF($B$1=1,'Документы АСУТП'!DS48,IF($B$1=2,'Документы АСУТП'!DS49,IF($B$1=3,'Документы АСУТП'!DS50,'Документы АСУТП'!DS48))),0)</f>
        <v>0</v>
      </c>
      <c r="EH22" s="312" t="str">
        <f>ТрЗ_ОП!$R$29</f>
        <v>-</v>
      </c>
      <c r="EI22" s="27">
        <f>IF(EH22=1,IF($B$1=1,'Документы АСУТП'!DT48,IF($B$1=2,'Документы АСУТП'!DT49,IF($B$1=3,'Документы АСУТП'!DT50,'Документы АСУТП'!DT48))),0)</f>
        <v>0</v>
      </c>
      <c r="EJ22" s="312" t="str">
        <f>ТрЗ_ОП!$R$29</f>
        <v>-</v>
      </c>
      <c r="EK22" s="27">
        <f>IF(EJ22=1,IF($B$1=1,'Документы АСУТП'!DU48,IF($B$1=2,'Документы АСУТП'!DU49,IF($B$1=3,'Документы АСУТП'!DU50,'Документы АСУТП'!DU48))),0)</f>
        <v>0</v>
      </c>
      <c r="EL22" s="312" t="str">
        <f>ТрЗ_ОП!$R$29</f>
        <v>-</v>
      </c>
      <c r="EM22" s="27">
        <f>IF(EL22=1,IF($B$1=1,'Документы АСУТП'!DV48,IF($B$1=2,'Документы АСУТП'!DV49,IF($B$1=3,'Документы АСУТП'!DV50,'Документы АСУТП'!DV48))),0)</f>
        <v>0</v>
      </c>
      <c r="EN22" s="312" t="str">
        <f>ТрЗ_ОП!$R$29</f>
        <v>-</v>
      </c>
      <c r="EO22" s="27">
        <f>IF(EN22=1,IF($B$1=1,'Документы АСУТП'!DW48,IF($B$1=2,'Документы АСУТП'!DW49,IF($B$1=3,'Документы АСУТП'!DW50,'Документы АСУТП'!DW48))),0)</f>
        <v>0</v>
      </c>
      <c r="EP22" s="312" t="str">
        <f>ТрЗ_ОП!$R$29</f>
        <v>-</v>
      </c>
      <c r="EQ22" s="27">
        <f>IF(EP22=1,IF($B$1=1,'Документы АСУТП'!DX48,IF($B$1=2,'Документы АСУТП'!DX49,IF($B$1=3,'Документы АСУТП'!DX50,'Документы АСУТП'!DX48))),0)</f>
        <v>0</v>
      </c>
      <c r="ER22" s="312" t="str">
        <f>ТрЗ_ОП!$R$29</f>
        <v>-</v>
      </c>
      <c r="ES22" s="27">
        <f>IF(ER22=1,IF($B$1=1,'Документы АСУТП'!DY48,IF($B$1=2,'Документы АСУТП'!DY49,IF($B$1=3,'Документы АСУТП'!DY50,'Документы АСУТП'!DY48))),0)</f>
        <v>0</v>
      </c>
      <c r="ET22" s="312" t="str">
        <f>ТрЗ_ОП!$R$29</f>
        <v>-</v>
      </c>
      <c r="EU22" s="771">
        <f>IF(ET22=1,IF($B$1=1,'Документы АСУТП'!DZ48,IF($B$1=2,'Документы АСУТП'!DZ49,IF($B$1=3,'Документы АСУТП'!DZ50,'Документы АСУТП'!DZ48))),0)</f>
        <v>0</v>
      </c>
      <c r="EV22" s="794">
        <f t="shared" si="2"/>
        <v>0</v>
      </c>
      <c r="EW22" s="796">
        <f t="shared" si="3"/>
        <v>0</v>
      </c>
      <c r="EX22" s="796">
        <f t="shared" si="4"/>
        <v>0</v>
      </c>
      <c r="EY22" s="796">
        <f t="shared" si="0"/>
        <v>0</v>
      </c>
      <c r="EZ22" s="795">
        <f t="shared" si="1"/>
        <v>0</v>
      </c>
    </row>
    <row r="23" spans="1:156" ht="15.75" x14ac:dyDescent="0.25">
      <c r="A23" s="383" t="s">
        <v>17</v>
      </c>
      <c r="B23" s="84">
        <v>0.5</v>
      </c>
      <c r="C23" s="47">
        <v>0.3</v>
      </c>
      <c r="D23" s="85">
        <v>0.2</v>
      </c>
      <c r="E23" s="84">
        <v>0.5</v>
      </c>
      <c r="F23" s="47">
        <v>0.3</v>
      </c>
      <c r="G23" s="85">
        <v>0.2</v>
      </c>
      <c r="H23" s="84">
        <v>0.5</v>
      </c>
      <c r="I23" s="47">
        <v>0.3</v>
      </c>
      <c r="J23" s="85">
        <v>0.2</v>
      </c>
      <c r="K23" s="84">
        <v>0.5</v>
      </c>
      <c r="L23" s="47">
        <v>0.3</v>
      </c>
      <c r="M23" s="85">
        <v>0.2</v>
      </c>
      <c r="N23" s="84">
        <v>0.5</v>
      </c>
      <c r="O23" s="47">
        <v>0.3</v>
      </c>
      <c r="P23" s="85">
        <v>0.2</v>
      </c>
      <c r="Q23" s="84">
        <v>0.5</v>
      </c>
      <c r="R23" s="47">
        <v>0.3</v>
      </c>
      <c r="S23" s="85">
        <v>0.2</v>
      </c>
      <c r="T23" s="84">
        <v>0.5</v>
      </c>
      <c r="U23" s="47">
        <v>0.3</v>
      </c>
      <c r="V23" s="85">
        <v>0.2</v>
      </c>
      <c r="W23" s="84">
        <v>0.5</v>
      </c>
      <c r="X23" s="47">
        <v>0.3</v>
      </c>
      <c r="Y23" s="85">
        <v>0.2</v>
      </c>
      <c r="Z23" s="84">
        <v>0.5</v>
      </c>
      <c r="AA23" s="47">
        <v>0.3</v>
      </c>
      <c r="AB23" s="85">
        <v>0.2</v>
      </c>
      <c r="AC23" s="84">
        <v>0.5</v>
      </c>
      <c r="AD23" s="47">
        <v>0.3</v>
      </c>
      <c r="AE23" s="85">
        <v>0.2</v>
      </c>
      <c r="AF23" s="84">
        <v>0.5</v>
      </c>
      <c r="AG23" s="47">
        <v>0.3</v>
      </c>
      <c r="AH23" s="85">
        <v>0.2</v>
      </c>
      <c r="AI23" s="84">
        <v>0.5</v>
      </c>
      <c r="AJ23" s="47">
        <v>0.3</v>
      </c>
      <c r="AK23" s="85">
        <v>0.2</v>
      </c>
      <c r="AL23" s="84">
        <v>0.5</v>
      </c>
      <c r="AM23" s="47">
        <v>0.3</v>
      </c>
      <c r="AN23" s="85">
        <v>0.2</v>
      </c>
      <c r="AO23" s="84">
        <v>0.5</v>
      </c>
      <c r="AP23" s="47">
        <v>0.3</v>
      </c>
      <c r="AQ23" s="85">
        <v>0.2</v>
      </c>
      <c r="AR23" s="84">
        <v>0.5</v>
      </c>
      <c r="AS23" s="47">
        <v>0.3</v>
      </c>
      <c r="AT23" s="85">
        <v>0.2</v>
      </c>
      <c r="AU23" s="84">
        <v>0.5</v>
      </c>
      <c r="AV23" s="47">
        <v>0.3</v>
      </c>
      <c r="AW23" s="85">
        <v>0.2</v>
      </c>
      <c r="AX23" s="84">
        <v>0.5</v>
      </c>
      <c r="AY23" s="47">
        <v>0.3</v>
      </c>
      <c r="AZ23" s="85">
        <v>0.2</v>
      </c>
      <c r="BA23" s="84">
        <v>0.5</v>
      </c>
      <c r="BB23" s="47">
        <v>0.3</v>
      </c>
      <c r="BC23" s="85">
        <v>0.2</v>
      </c>
      <c r="BD23" s="84">
        <v>0.5</v>
      </c>
      <c r="BE23" s="47">
        <v>0.3</v>
      </c>
      <c r="BF23" s="85">
        <v>0.2</v>
      </c>
      <c r="BG23" s="84">
        <v>0.5</v>
      </c>
      <c r="BH23" s="47">
        <v>0.3</v>
      </c>
      <c r="BI23" s="85">
        <v>0.2</v>
      </c>
      <c r="BJ23" s="84">
        <v>0.5</v>
      </c>
      <c r="BK23" s="47">
        <v>0.3</v>
      </c>
      <c r="BL23" s="85">
        <v>0.2</v>
      </c>
      <c r="BM23" s="84">
        <v>0.5</v>
      </c>
      <c r="BN23" s="47">
        <v>0.3</v>
      </c>
      <c r="BO23" s="85">
        <v>0.2</v>
      </c>
      <c r="BP23" s="84">
        <v>0.5</v>
      </c>
      <c r="BQ23" s="47">
        <v>0.3</v>
      </c>
      <c r="BR23" s="85">
        <v>0.2</v>
      </c>
      <c r="BS23" s="84">
        <v>0.5</v>
      </c>
      <c r="BT23" s="47">
        <v>0.3</v>
      </c>
      <c r="BU23" s="85">
        <v>0.2</v>
      </c>
      <c r="BV23" s="84">
        <v>0.5</v>
      </c>
      <c r="BW23" s="47">
        <v>0.3</v>
      </c>
      <c r="BX23" s="85">
        <v>0.2</v>
      </c>
      <c r="BY23" s="84">
        <v>0.5</v>
      </c>
      <c r="BZ23" s="47">
        <v>0.3</v>
      </c>
      <c r="CA23" s="85">
        <v>0.2</v>
      </c>
      <c r="CB23" s="84">
        <v>0.5</v>
      </c>
      <c r="CC23" s="47">
        <v>0.3</v>
      </c>
      <c r="CD23" s="85">
        <v>0.2</v>
      </c>
      <c r="CE23" s="84">
        <v>0.5</v>
      </c>
      <c r="CF23" s="47">
        <v>0.3</v>
      </c>
      <c r="CG23" s="85">
        <v>0.2</v>
      </c>
      <c r="CH23" s="84">
        <v>0.5</v>
      </c>
      <c r="CI23" s="47">
        <v>0.3</v>
      </c>
      <c r="CJ23" s="85">
        <v>0.2</v>
      </c>
      <c r="CK23" s="84">
        <v>0.5</v>
      </c>
      <c r="CL23" s="47">
        <v>0.3</v>
      </c>
      <c r="CM23" s="85">
        <v>0.2</v>
      </c>
      <c r="CN23" s="312" t="str">
        <f>ТрЗ_ОП!$R$30</f>
        <v>-</v>
      </c>
      <c r="CO23" s="27">
        <f>IF(CN23=1,IF($B$1=1,'Документы АСУТП'!CW51,IF($B$1=2,'Документы АСУТП'!CW52,IF($B$1=3,'Документы АСУТП'!CW53,'Документы АСУТП'!CW51))),0)</f>
        <v>0</v>
      </c>
      <c r="CP23" s="312" t="str">
        <f>ТрЗ_ОП!$R$30</f>
        <v>-</v>
      </c>
      <c r="CQ23" s="27">
        <f>IF(CP23=1,IF($B$1=1,'Документы АСУТП'!CX51,IF($B$1=2,'Документы АСУТП'!CX52,IF($B$1=3,'Документы АСУТП'!CX53,'Документы АСУТП'!CX51))),0)</f>
        <v>0</v>
      </c>
      <c r="CR23" s="312" t="str">
        <f>ТрЗ_ОП!$R$30</f>
        <v>-</v>
      </c>
      <c r="CS23" s="27">
        <f>IF(CR23=1,IF($B$1=1,'Документы АСУТП'!CY51,IF($B$1=2,'Документы АСУТП'!CY52,IF($B$1=3,'Документы АСУТП'!CY53,'Документы АСУТП'!CY51))),0)</f>
        <v>0</v>
      </c>
      <c r="CT23" s="312" t="str">
        <f>ТрЗ_ОП!$R$30</f>
        <v>-</v>
      </c>
      <c r="CU23" s="27">
        <f>IF(CT23=1,IF($B$1=1,'Документы АСУТП'!CZ51,IF($B$1=2,'Документы АСУТП'!CZ52,IF($B$1=3,'Документы АСУТП'!CZ53,'Документы АСУТП'!CZ51))),0)</f>
        <v>0</v>
      </c>
      <c r="CV23" s="312" t="str">
        <f>ТрЗ_ОП!$R$30</f>
        <v>-</v>
      </c>
      <c r="CW23" s="27">
        <f>IF(CV23=1,IF($B$1=1,'Документы АСУТП'!DA51,IF($B$1=2,'Документы АСУТП'!DA52,IF($B$1=3,'Документы АСУТП'!DA53,'Документы АСУТП'!DA51))),0)</f>
        <v>0</v>
      </c>
      <c r="CX23" s="312" t="str">
        <f>ТрЗ_ОП!$R$30</f>
        <v>-</v>
      </c>
      <c r="CY23" s="27">
        <f>IF(CX23=1,IF($B$1=1,'Документы АСУТП'!DB51,IF($B$1=2,'Документы АСУТП'!DB52,IF($B$1=3,'Документы АСУТП'!DB53,'Документы АСУТП'!DB51))),0)</f>
        <v>0</v>
      </c>
      <c r="CZ23" s="312" t="str">
        <f>ТрЗ_ОП!$R$30</f>
        <v>-</v>
      </c>
      <c r="DA23" s="27">
        <f>IF(CZ23=1,IF($B$1=1,'Документы АСУТП'!DC51,IF($B$1=2,'Документы АСУТП'!DC52,IF($B$1=3,'Документы АСУТП'!DC53,'Документы АСУТП'!DC51))),0)</f>
        <v>0</v>
      </c>
      <c r="DB23" s="312" t="str">
        <f>ТрЗ_ОП!$R$30</f>
        <v>-</v>
      </c>
      <c r="DC23" s="27">
        <f>IF(DB23=1,IF($B$1=1,'Документы АСУТП'!DD51,IF($B$1=2,'Документы АСУТП'!DD52,IF($B$1=3,'Документы АСУТП'!DD53,'Документы АСУТП'!DD51))),0)</f>
        <v>0</v>
      </c>
      <c r="DD23" s="312" t="str">
        <f>ТрЗ_ОП!$R$30</f>
        <v>-</v>
      </c>
      <c r="DE23" s="27">
        <f>IF(DD23=1,IF($B$1=1,'Документы АСУТП'!DF51,IF($B$1=2,'Документы АСУТП'!DF52,IF($B$1=3,'Документы АСУТП'!DF53,'Документы АСУТП'!DF51))),0)</f>
        <v>0</v>
      </c>
      <c r="DF23" s="312" t="str">
        <f>ТрЗ_ОП!$R$30</f>
        <v>-</v>
      </c>
      <c r="DG23" s="27">
        <f>IF(DF23=1,IF($B$1=1,'Документы АСУТП'!DE51,IF($B$1=2,'Документы АСУТП'!DE52,IF($B$1=3,'Документы АСУТП'!DE53,'Документы АСУТП'!DE51))),0)</f>
        <v>0</v>
      </c>
      <c r="DH23" s="312" t="str">
        <f>ТрЗ_ОП!$R$30</f>
        <v>-</v>
      </c>
      <c r="DI23" s="27">
        <f>IF(DH23=1,IF($B$1=1,'Документы АСУТП'!DG51,IF($B$1=2,'Документы АСУТП'!DG52,IF($B$1=3,'Документы АСУТП'!DG53,'Документы АСУТП'!DG51))),0)</f>
        <v>0</v>
      </c>
      <c r="DJ23" s="312" t="str">
        <f>ТрЗ_ОП!$R$30</f>
        <v>-</v>
      </c>
      <c r="DK23" s="27">
        <f>IF(DJ23=1,IF($B$1=1,'Документы АСУТП'!DH51,IF($B$1=2,'Документы АСУТП'!DH52,IF($B$1=3,'Документы АСУТП'!DH53,'Документы АСУТП'!DH51))),0)</f>
        <v>0</v>
      </c>
      <c r="DL23" s="312" t="str">
        <f>ТрЗ_ОП!$R$30</f>
        <v>-</v>
      </c>
      <c r="DM23" s="27">
        <f>IF(DL23=1,IF($B$1=1,'Документы АСУТП'!DI51,IF($B$1=2,'Документы АСУТП'!DI52,IF($B$1=3,'Документы АСУТП'!DI53,'Документы АСУТП'!DI51))),0)</f>
        <v>0</v>
      </c>
      <c r="DN23" s="312" t="str">
        <f>ТрЗ_ОП!$R$30</f>
        <v>-</v>
      </c>
      <c r="DO23" s="27">
        <f>IF(DN23=1,IF($B$1=1,'Документы АСУТП'!DJ51,IF($B$1=2,'Документы АСУТП'!DJ52,IF($B$1=3,'Документы АСУТП'!DJ53,'Документы АСУТП'!DJ51))),0)</f>
        <v>0</v>
      </c>
      <c r="DP23" s="312" t="str">
        <f>ТрЗ_ОП!$R$30</f>
        <v>-</v>
      </c>
      <c r="DQ23" s="27">
        <f>IF(DP23=1,IF($B$1=1,'Документы АСУТП'!DK51,IF($B$1=2,'Документы АСУТП'!DK52,IF($B$1=3,'Документы АСУТП'!DK53,'Документы АСУТП'!DK51))),0)</f>
        <v>0</v>
      </c>
      <c r="DR23" s="312" t="str">
        <f>ТрЗ_ОП!$R$30</f>
        <v>-</v>
      </c>
      <c r="DS23" s="27">
        <f>IF(DR23=1,IF($B$1=1,'Документы АСУТП'!DL51,IF($B$1=2,'Документы АСУТП'!DL52,IF($B$1=3,'Документы АСУТП'!DL53,'Документы АСУТП'!DL51))),0)</f>
        <v>0</v>
      </c>
      <c r="DT23" s="312" t="str">
        <f>ТрЗ_ОП!$R$30</f>
        <v>-</v>
      </c>
      <c r="DU23" s="27">
        <f>IF(DT23=1,IF($B$1=1,'Документы АСУТП'!DM51,IF($B$1=2,'Документы АСУТП'!DM52,IF($B$1=3,'Документы АСУТП'!DM53,'Документы АСУТП'!DM51))),0)</f>
        <v>0</v>
      </c>
      <c r="DV23" s="312" t="str">
        <f>ТрЗ_ОП!$R$30</f>
        <v>-</v>
      </c>
      <c r="DW23" s="27">
        <f>IF(DV23=1,IF($B$1=1,'Документы АСУТП'!DN51,IF($B$1=2,'Документы АСУТП'!DN52,IF($B$1=3,'Документы АСУТП'!DN53,'Документы АСУТП'!DN51))),0)</f>
        <v>0</v>
      </c>
      <c r="DX23" s="312" t="str">
        <f>ТрЗ_ОП!$R$30</f>
        <v>-</v>
      </c>
      <c r="DY23" s="27">
        <f>IF(DX23=1,IF($B$1=1,'Документы АСУТП'!DO51,IF($B$1=2,'Документы АСУТП'!DO52,IF($B$1=3,'Документы АСУТП'!DO53,'Документы АСУТП'!DO51))),0)</f>
        <v>0</v>
      </c>
      <c r="DZ23" s="312" t="str">
        <f>ТрЗ_ОП!$R$30</f>
        <v>-</v>
      </c>
      <c r="EA23" s="27">
        <f>IF(DZ23=1,IF($B$1=1,'Документы АСУТП'!DP51,IF($B$1=2,'Документы АСУТП'!DP52,IF($B$1=3,'Документы АСУТП'!DP53,'Документы АСУТП'!DP51))),0)</f>
        <v>0</v>
      </c>
      <c r="EB23" s="312" t="str">
        <f>ТрЗ_ОП!$R$30</f>
        <v>-</v>
      </c>
      <c r="EC23" s="27">
        <f>IF(EB23=1,IF($B$1=1,'Документы АСУТП'!DQ51,IF($B$1=2,'Документы АСУТП'!DQ52,IF($B$1=3,'Документы АСУТП'!DQ53,'Документы АСУТП'!DQ51))),0)</f>
        <v>0</v>
      </c>
      <c r="ED23" s="312" t="str">
        <f>ТрЗ_ОП!$R$30</f>
        <v>-</v>
      </c>
      <c r="EE23" s="27">
        <f>IF(ED23=1,IF($B$1=1,'Документы АСУТП'!DR51,IF($B$1=2,'Документы АСУТП'!DR52,IF($B$1=3,'Документы АСУТП'!DR53,'Документы АСУТП'!DR51))),0)</f>
        <v>0</v>
      </c>
      <c r="EF23" s="312" t="str">
        <f>ТрЗ_ОП!$R$30</f>
        <v>-</v>
      </c>
      <c r="EG23" s="27">
        <f>IF(EF23=1,IF($B$1=1,'Документы АСУТП'!DS51,IF($B$1=2,'Документы АСУТП'!DS52,IF($B$1=3,'Документы АСУТП'!DS53,'Документы АСУТП'!DS51))),0)</f>
        <v>0</v>
      </c>
      <c r="EH23" s="312" t="str">
        <f>ТрЗ_ОП!$R$30</f>
        <v>-</v>
      </c>
      <c r="EI23" s="27">
        <f>IF(EH23=1,IF($B$1=1,'Документы АСУТП'!DT51,IF($B$1=2,'Документы АСУТП'!DT52,IF($B$1=3,'Документы АСУТП'!DT53,'Документы АСУТП'!DT51))),0)</f>
        <v>0</v>
      </c>
      <c r="EJ23" s="312" t="str">
        <f>ТрЗ_ОП!$R$30</f>
        <v>-</v>
      </c>
      <c r="EK23" s="27">
        <f>IF(EJ23=1,IF($B$1=1,'Документы АСУТП'!DU51,IF($B$1=2,'Документы АСУТП'!DU52,IF($B$1=3,'Документы АСУТП'!DU53,'Документы АСУТП'!DU51))),0)</f>
        <v>0</v>
      </c>
      <c r="EL23" s="312" t="str">
        <f>ТрЗ_ОП!$R$30</f>
        <v>-</v>
      </c>
      <c r="EM23" s="27">
        <f>IF(EL23=1,IF($B$1=1,'Документы АСУТП'!DV51,IF($B$1=2,'Документы АСУТП'!DV52,IF($B$1=3,'Документы АСУТП'!DV53,'Документы АСУТП'!DV51))),0)</f>
        <v>0</v>
      </c>
      <c r="EN23" s="312" t="str">
        <f>ТрЗ_ОП!$R$30</f>
        <v>-</v>
      </c>
      <c r="EO23" s="27">
        <f>IF(EN23=1,IF($B$1=1,'Документы АСУТП'!DW51,IF($B$1=2,'Документы АСУТП'!DW52,IF($B$1=3,'Документы АСУТП'!DW53,'Документы АСУТП'!DW51))),0)</f>
        <v>0</v>
      </c>
      <c r="EP23" s="312" t="str">
        <f>ТрЗ_ОП!$R$30</f>
        <v>-</v>
      </c>
      <c r="EQ23" s="27">
        <f>IF(EP23=1,IF($B$1=1,'Документы АСУТП'!DX51,IF($B$1=2,'Документы АСУТП'!DX52,IF($B$1=3,'Документы АСУТП'!DX53,'Документы АСУТП'!DX51))),0)</f>
        <v>0</v>
      </c>
      <c r="ER23" s="312" t="str">
        <f>ТрЗ_ОП!$R$30</f>
        <v>-</v>
      </c>
      <c r="ES23" s="27">
        <f>IF(ER23=1,IF($B$1=1,'Документы АСУТП'!DY51,IF($B$1=2,'Документы АСУТП'!DY52,IF($B$1=3,'Документы АСУТП'!DY53,'Документы АСУТП'!DY51))),0)</f>
        <v>0</v>
      </c>
      <c r="ET23" s="312" t="str">
        <f>ТрЗ_ОП!$R$30</f>
        <v>-</v>
      </c>
      <c r="EU23" s="771">
        <f>IF(ET23=1,IF($B$1=1,'Документы АСУТП'!DZ51,IF($B$1=2,'Документы АСУТП'!DZ52,IF($B$1=3,'Документы АСУТП'!DZ53,'Документы АСУТП'!DZ51))),0)</f>
        <v>0</v>
      </c>
      <c r="EV23" s="794">
        <f t="shared" si="2"/>
        <v>0</v>
      </c>
      <c r="EW23" s="796">
        <f t="shared" si="3"/>
        <v>0</v>
      </c>
      <c r="EX23" s="796">
        <f t="shared" si="4"/>
        <v>0</v>
      </c>
      <c r="EY23" s="796">
        <f t="shared" si="0"/>
        <v>0</v>
      </c>
      <c r="EZ23" s="795">
        <f t="shared" si="1"/>
        <v>0</v>
      </c>
    </row>
    <row r="24" spans="1:156" ht="15.75" x14ac:dyDescent="0.25">
      <c r="A24" s="383" t="s">
        <v>18</v>
      </c>
      <c r="B24" s="84">
        <v>0.7</v>
      </c>
      <c r="C24" s="47">
        <v>0.2</v>
      </c>
      <c r="D24" s="85">
        <v>0.1</v>
      </c>
      <c r="E24" s="84">
        <v>0.7</v>
      </c>
      <c r="F24" s="47">
        <v>0.2</v>
      </c>
      <c r="G24" s="85">
        <v>0.1</v>
      </c>
      <c r="H24" s="84">
        <v>0.7</v>
      </c>
      <c r="I24" s="47">
        <v>0.2</v>
      </c>
      <c r="J24" s="85">
        <v>0.1</v>
      </c>
      <c r="K24" s="84">
        <v>0.7</v>
      </c>
      <c r="L24" s="47">
        <v>0.2</v>
      </c>
      <c r="M24" s="85">
        <v>0.1</v>
      </c>
      <c r="N24" s="84">
        <v>0.7</v>
      </c>
      <c r="O24" s="47">
        <v>0.2</v>
      </c>
      <c r="P24" s="85">
        <v>0.1</v>
      </c>
      <c r="Q24" s="84">
        <v>0.7</v>
      </c>
      <c r="R24" s="47">
        <v>0.2</v>
      </c>
      <c r="S24" s="85">
        <v>0.1</v>
      </c>
      <c r="T24" s="84">
        <v>0.7</v>
      </c>
      <c r="U24" s="47">
        <v>0.2</v>
      </c>
      <c r="V24" s="85">
        <v>0.1</v>
      </c>
      <c r="W24" s="84">
        <v>0.7</v>
      </c>
      <c r="X24" s="47">
        <v>0.2</v>
      </c>
      <c r="Y24" s="85">
        <v>0.1</v>
      </c>
      <c r="Z24" s="84">
        <v>0.7</v>
      </c>
      <c r="AA24" s="47">
        <v>0.2</v>
      </c>
      <c r="AB24" s="85">
        <v>0.1</v>
      </c>
      <c r="AC24" s="84">
        <v>0.7</v>
      </c>
      <c r="AD24" s="47">
        <v>0.2</v>
      </c>
      <c r="AE24" s="85">
        <v>0.1</v>
      </c>
      <c r="AF24" s="84">
        <v>0.7</v>
      </c>
      <c r="AG24" s="47">
        <v>0.2</v>
      </c>
      <c r="AH24" s="85">
        <v>0.1</v>
      </c>
      <c r="AI24" s="84">
        <v>0.7</v>
      </c>
      <c r="AJ24" s="47">
        <v>0.2</v>
      </c>
      <c r="AK24" s="85">
        <v>0.1</v>
      </c>
      <c r="AL24" s="84">
        <v>0.7</v>
      </c>
      <c r="AM24" s="47">
        <v>0.2</v>
      </c>
      <c r="AN24" s="85">
        <v>0.1</v>
      </c>
      <c r="AO24" s="84">
        <v>0.7</v>
      </c>
      <c r="AP24" s="47">
        <v>0.2</v>
      </c>
      <c r="AQ24" s="85">
        <v>0.1</v>
      </c>
      <c r="AR24" s="84">
        <v>0.7</v>
      </c>
      <c r="AS24" s="47">
        <v>0.2</v>
      </c>
      <c r="AT24" s="85">
        <v>0.1</v>
      </c>
      <c r="AU24" s="84">
        <v>0.7</v>
      </c>
      <c r="AV24" s="47">
        <v>0.2</v>
      </c>
      <c r="AW24" s="85">
        <v>0.1</v>
      </c>
      <c r="AX24" s="84">
        <v>0.7</v>
      </c>
      <c r="AY24" s="47">
        <v>0.2</v>
      </c>
      <c r="AZ24" s="85">
        <v>0.1</v>
      </c>
      <c r="BA24" s="84">
        <v>0.7</v>
      </c>
      <c r="BB24" s="47">
        <v>0.2</v>
      </c>
      <c r="BC24" s="85">
        <v>0.1</v>
      </c>
      <c r="BD24" s="84">
        <v>0.7</v>
      </c>
      <c r="BE24" s="47">
        <v>0.2</v>
      </c>
      <c r="BF24" s="85">
        <v>0.1</v>
      </c>
      <c r="BG24" s="84">
        <v>0.7</v>
      </c>
      <c r="BH24" s="47">
        <v>0.2</v>
      </c>
      <c r="BI24" s="85">
        <v>0.1</v>
      </c>
      <c r="BJ24" s="84">
        <v>0.7</v>
      </c>
      <c r="BK24" s="47">
        <v>0.2</v>
      </c>
      <c r="BL24" s="85">
        <v>0.1</v>
      </c>
      <c r="BM24" s="84">
        <v>0.7</v>
      </c>
      <c r="BN24" s="47">
        <v>0.2</v>
      </c>
      <c r="BO24" s="85">
        <v>0.1</v>
      </c>
      <c r="BP24" s="84">
        <v>0.7</v>
      </c>
      <c r="BQ24" s="47">
        <v>0.2</v>
      </c>
      <c r="BR24" s="85">
        <v>0.1</v>
      </c>
      <c r="BS24" s="84">
        <v>0.7</v>
      </c>
      <c r="BT24" s="47">
        <v>0.2</v>
      </c>
      <c r="BU24" s="85">
        <v>0.1</v>
      </c>
      <c r="BV24" s="84">
        <v>0.7</v>
      </c>
      <c r="BW24" s="47">
        <v>0.2</v>
      </c>
      <c r="BX24" s="85">
        <v>0.1</v>
      </c>
      <c r="BY24" s="84">
        <v>0.7</v>
      </c>
      <c r="BZ24" s="47">
        <v>0.2</v>
      </c>
      <c r="CA24" s="85">
        <v>0.1</v>
      </c>
      <c r="CB24" s="84">
        <v>0.7</v>
      </c>
      <c r="CC24" s="47">
        <v>0.2</v>
      </c>
      <c r="CD24" s="85">
        <v>0.1</v>
      </c>
      <c r="CE24" s="84">
        <v>0.7</v>
      </c>
      <c r="CF24" s="47">
        <v>0.2</v>
      </c>
      <c r="CG24" s="85">
        <v>0.1</v>
      </c>
      <c r="CH24" s="84">
        <v>0.7</v>
      </c>
      <c r="CI24" s="47">
        <v>0.2</v>
      </c>
      <c r="CJ24" s="85">
        <v>0.1</v>
      </c>
      <c r="CK24" s="84">
        <v>0.7</v>
      </c>
      <c r="CL24" s="47">
        <v>0.2</v>
      </c>
      <c r="CM24" s="85">
        <v>0.1</v>
      </c>
      <c r="CN24" s="312" t="str">
        <f>ТрЗ_ОП!$R$31</f>
        <v>-</v>
      </c>
      <c r="CO24" s="27">
        <f>IF(CN24=1,IF($B$1=1,'Документы АСУТП'!CW54,IF($B$1=2,'Документы АСУТП'!CW55,IF($B$1=3,'Документы АСУТП'!CW56,'Документы АСУТП'!CW54))),0)</f>
        <v>0</v>
      </c>
      <c r="CP24" s="312" t="str">
        <f>ТрЗ_ОП!$R$31</f>
        <v>-</v>
      </c>
      <c r="CQ24" s="27">
        <f>IF(CP24=1,IF($B$1=1,'Документы АСУТП'!CX54,IF($B$1=2,'Документы АСУТП'!CX55,IF($B$1=3,'Документы АСУТП'!CX56,'Документы АСУТП'!CX54))),0)</f>
        <v>0</v>
      </c>
      <c r="CR24" s="312" t="str">
        <f>ТрЗ_ОП!$R$31</f>
        <v>-</v>
      </c>
      <c r="CS24" s="27">
        <f>IF(CR24=1,IF($B$1=1,'Документы АСУТП'!CY54,IF($B$1=2,'Документы АСУТП'!CY55,IF($B$1=3,'Документы АСУТП'!CY56,'Документы АСУТП'!CY54))),0)</f>
        <v>0</v>
      </c>
      <c r="CT24" s="312" t="str">
        <f>ТрЗ_ОП!$R$31</f>
        <v>-</v>
      </c>
      <c r="CU24" s="27">
        <f>IF(CT24=1,IF($B$1=1,'Документы АСУТП'!CZ54,IF($B$1=2,'Документы АСУТП'!CZ55,IF($B$1=3,'Документы АСУТП'!CZ56,'Документы АСУТП'!CZ54))),0)</f>
        <v>0</v>
      </c>
      <c r="CV24" s="312" t="str">
        <f>ТрЗ_ОП!$R$31</f>
        <v>-</v>
      </c>
      <c r="CW24" s="27">
        <f>IF(CV24=1,IF($B$1=1,'Документы АСУТП'!DA54,IF($B$1=2,'Документы АСУТП'!DA55,IF($B$1=3,'Документы АСУТП'!DA56,'Документы АСУТП'!DA54))),0)</f>
        <v>0</v>
      </c>
      <c r="CX24" s="312" t="str">
        <f>ТрЗ_ОП!$R$31</f>
        <v>-</v>
      </c>
      <c r="CY24" s="27">
        <f>IF(CX24=1,IF($B$1=1,'Документы АСУТП'!DB54,IF($B$1=2,'Документы АСУТП'!DB55,IF($B$1=3,'Документы АСУТП'!DB56,'Документы АСУТП'!DB54))),0)</f>
        <v>0</v>
      </c>
      <c r="CZ24" s="312" t="str">
        <f>ТрЗ_ОП!$R$31</f>
        <v>-</v>
      </c>
      <c r="DA24" s="27">
        <f>IF(CZ24=1,IF($B$1=1,'Документы АСУТП'!DC54,IF($B$1=2,'Документы АСУТП'!DC55,IF($B$1=3,'Документы АСУТП'!DC56,'Документы АСУТП'!DC54))),0)</f>
        <v>0</v>
      </c>
      <c r="DB24" s="312" t="str">
        <f>ТрЗ_ОП!$R$31</f>
        <v>-</v>
      </c>
      <c r="DC24" s="27">
        <f>IF(DB24=1,IF($B$1=1,'Документы АСУТП'!DD54,IF($B$1=2,'Документы АСУТП'!DD55,IF($B$1=3,'Документы АСУТП'!DD56,'Документы АСУТП'!DD54))),0)</f>
        <v>0</v>
      </c>
      <c r="DD24" s="312" t="str">
        <f>ТрЗ_ОП!$R$31</f>
        <v>-</v>
      </c>
      <c r="DE24" s="27">
        <f>IF(DD24=1,IF($B$1=1,'Документы АСУТП'!DF54,IF($B$1=2,'Документы АСУТП'!DF55,IF($B$1=3,'Документы АСУТП'!DF56,'Документы АСУТП'!DF54))),0)</f>
        <v>0</v>
      </c>
      <c r="DF24" s="312" t="str">
        <f>ТрЗ_ОП!$R$31</f>
        <v>-</v>
      </c>
      <c r="DG24" s="27">
        <f>IF(DF24=1,IF($B$1=1,'Документы АСУТП'!DE54,IF($B$1=2,'Документы АСУТП'!DE55,IF($B$1=3,'Документы АСУТП'!DE56,'Документы АСУТП'!DE54))),0)</f>
        <v>0</v>
      </c>
      <c r="DH24" s="312" t="str">
        <f>ТрЗ_ОП!$R$31</f>
        <v>-</v>
      </c>
      <c r="DI24" s="27">
        <f>IF(DH24=1,IF($B$1=1,'Документы АСУТП'!DG54,IF($B$1=2,'Документы АСУТП'!DG55,IF($B$1=3,'Документы АСУТП'!DG56,'Документы АСУТП'!DG54))),0)</f>
        <v>0</v>
      </c>
      <c r="DJ24" s="312" t="str">
        <f>ТрЗ_ОП!$R$31</f>
        <v>-</v>
      </c>
      <c r="DK24" s="27">
        <f>IF(DJ24=1,IF($B$1=1,'Документы АСУТП'!DH54,IF($B$1=2,'Документы АСУТП'!DH55,IF($B$1=3,'Документы АСУТП'!DH56,'Документы АСУТП'!DH54))),0)</f>
        <v>0</v>
      </c>
      <c r="DL24" s="312" t="str">
        <f>ТрЗ_ОП!$R$31</f>
        <v>-</v>
      </c>
      <c r="DM24" s="27">
        <f>IF(DL24=1,IF($B$1=1,'Документы АСУТП'!DI54,IF($B$1=2,'Документы АСУТП'!DI55,IF($B$1=3,'Документы АСУТП'!DI56,'Документы АСУТП'!DI54))),0)</f>
        <v>0</v>
      </c>
      <c r="DN24" s="312" t="str">
        <f>ТрЗ_ОП!$R$31</f>
        <v>-</v>
      </c>
      <c r="DO24" s="27">
        <f>IF(DN24=1,IF($B$1=1,'Документы АСУТП'!DJ54,IF($B$1=2,'Документы АСУТП'!DJ55,IF($B$1=3,'Документы АСУТП'!DJ56,'Документы АСУТП'!DJ54))),0)</f>
        <v>0</v>
      </c>
      <c r="DP24" s="312" t="str">
        <f>ТрЗ_ОП!$R$31</f>
        <v>-</v>
      </c>
      <c r="DQ24" s="27">
        <f>IF(DP24=1,IF($B$1=1,'Документы АСУТП'!DK54,IF($B$1=2,'Документы АСУТП'!DK55,IF($B$1=3,'Документы АСУТП'!DK56,'Документы АСУТП'!DK54))),0)</f>
        <v>0</v>
      </c>
      <c r="DR24" s="312" t="str">
        <f>ТрЗ_ОП!$R$31</f>
        <v>-</v>
      </c>
      <c r="DS24" s="27">
        <f>IF(DR24=1,IF($B$1=1,'Документы АСУТП'!DL54,IF($B$1=2,'Документы АСУТП'!DL55,IF($B$1=3,'Документы АСУТП'!DL56,'Документы АСУТП'!DL54))),0)</f>
        <v>0</v>
      </c>
      <c r="DT24" s="312" t="str">
        <f>ТрЗ_ОП!$R$31</f>
        <v>-</v>
      </c>
      <c r="DU24" s="27">
        <f>IF(DT24=1,IF($B$1=1,'Документы АСУТП'!DM54,IF($B$1=2,'Документы АСУТП'!DM55,IF($B$1=3,'Документы АСУТП'!DM56,'Документы АСУТП'!DM54))),0)</f>
        <v>0</v>
      </c>
      <c r="DV24" s="312" t="str">
        <f>ТрЗ_ОП!$R$31</f>
        <v>-</v>
      </c>
      <c r="DW24" s="27">
        <f>IF(DV24=1,IF($B$1=1,'Документы АСУТП'!DN54,IF($B$1=2,'Документы АСУТП'!DN55,IF($B$1=3,'Документы АСУТП'!DN56,'Документы АСУТП'!DN54))),0)</f>
        <v>0</v>
      </c>
      <c r="DX24" s="312" t="str">
        <f>ТрЗ_ОП!$R$31</f>
        <v>-</v>
      </c>
      <c r="DY24" s="27">
        <f>IF(DX24=1,IF($B$1=1,'Документы АСУТП'!DO54,IF($B$1=2,'Документы АСУТП'!DO55,IF($B$1=3,'Документы АСУТП'!DO56,'Документы АСУТП'!DO54))),0)</f>
        <v>0</v>
      </c>
      <c r="DZ24" s="312" t="str">
        <f>ТрЗ_ОП!$R$31</f>
        <v>-</v>
      </c>
      <c r="EA24" s="27">
        <f>IF(DZ24=1,IF($B$1=1,'Документы АСУТП'!DP54,IF($B$1=2,'Документы АСУТП'!DP55,IF($B$1=3,'Документы АСУТП'!DP56,'Документы АСУТП'!DP54))),0)</f>
        <v>0</v>
      </c>
      <c r="EB24" s="312" t="str">
        <f>ТрЗ_ОП!$R$31</f>
        <v>-</v>
      </c>
      <c r="EC24" s="27">
        <f>IF(EB24=1,IF($B$1=1,'Документы АСУТП'!DQ54,IF($B$1=2,'Документы АСУТП'!DQ55,IF($B$1=3,'Документы АСУТП'!DQ56,'Документы АСУТП'!DQ54))),0)</f>
        <v>0</v>
      </c>
      <c r="ED24" s="312" t="str">
        <f>ТрЗ_ОП!$R$31</f>
        <v>-</v>
      </c>
      <c r="EE24" s="27">
        <f>IF(ED24=1,IF($B$1=1,'Документы АСУТП'!DR54,IF($B$1=2,'Документы АСУТП'!DR55,IF($B$1=3,'Документы АСУТП'!DR56,'Документы АСУТП'!DR54))),0)</f>
        <v>0</v>
      </c>
      <c r="EF24" s="312" t="str">
        <f>ТрЗ_ОП!$R$31</f>
        <v>-</v>
      </c>
      <c r="EG24" s="27">
        <f>IF(EF24=1,IF($B$1=1,'Документы АСУТП'!DS54,IF($B$1=2,'Документы АСУТП'!DS55,IF($B$1=3,'Документы АСУТП'!DS56,'Документы АСУТП'!DS54))),0)</f>
        <v>0</v>
      </c>
      <c r="EH24" s="312" t="str">
        <f>ТрЗ_ОП!$R$31</f>
        <v>-</v>
      </c>
      <c r="EI24" s="27">
        <f>IF(EH24=1,IF($B$1=1,'Документы АСУТП'!DT54,IF($B$1=2,'Документы АСУТП'!DT55,IF($B$1=3,'Документы АСУТП'!DT56,'Документы АСУТП'!DT54))),0)</f>
        <v>0</v>
      </c>
      <c r="EJ24" s="312" t="str">
        <f>ТрЗ_ОП!$R$31</f>
        <v>-</v>
      </c>
      <c r="EK24" s="27">
        <f>IF(EJ24=1,IF($B$1=1,'Документы АСУТП'!DU54,IF($B$1=2,'Документы АСУТП'!DU55,IF($B$1=3,'Документы АСУТП'!DU56,'Документы АСУТП'!DU54))),0)</f>
        <v>0</v>
      </c>
      <c r="EL24" s="312" t="str">
        <f>ТрЗ_ОП!$R$31</f>
        <v>-</v>
      </c>
      <c r="EM24" s="27">
        <f>IF(EL24=1,IF($B$1=1,'Документы АСУТП'!DV54,IF($B$1=2,'Документы АСУТП'!DV55,IF($B$1=3,'Документы АСУТП'!DV56,'Документы АСУТП'!DV54))),0)</f>
        <v>0</v>
      </c>
      <c r="EN24" s="312" t="str">
        <f>ТрЗ_ОП!$R$31</f>
        <v>-</v>
      </c>
      <c r="EO24" s="27">
        <f>IF(EN24=1,IF($B$1=1,'Документы АСУТП'!DW54,IF($B$1=2,'Документы АСУТП'!DW55,IF($B$1=3,'Документы АСУТП'!DW56,'Документы АСУТП'!DW54))),0)</f>
        <v>0</v>
      </c>
      <c r="EP24" s="312" t="str">
        <f>ТрЗ_ОП!$R$31</f>
        <v>-</v>
      </c>
      <c r="EQ24" s="27">
        <f>IF(EP24=1,IF($B$1=1,'Документы АСУТП'!DX54,IF($B$1=2,'Документы АСУТП'!DX55,IF($B$1=3,'Документы АСУТП'!DX56,'Документы АСУТП'!DX54))),0)</f>
        <v>0</v>
      </c>
      <c r="ER24" s="312" t="str">
        <f>ТрЗ_ОП!$R$31</f>
        <v>-</v>
      </c>
      <c r="ES24" s="27">
        <f>IF(ER24=1,IF($B$1=1,'Документы АСУТП'!DY54,IF($B$1=2,'Документы АСУТП'!DY55,IF($B$1=3,'Документы АСУТП'!DY56,'Документы АСУТП'!DY54))),0)</f>
        <v>0</v>
      </c>
      <c r="ET24" s="312" t="str">
        <f>ТрЗ_ОП!$R$31</f>
        <v>-</v>
      </c>
      <c r="EU24" s="771">
        <f>IF(ET24=1,IF($B$1=1,'Документы АСУТП'!DZ54,IF($B$1=2,'Документы АСУТП'!DZ55,IF($B$1=3,'Документы АСУТП'!DZ56,'Документы АСУТП'!DZ54))),0)</f>
        <v>0</v>
      </c>
      <c r="EV24" s="794">
        <f t="shared" si="2"/>
        <v>0</v>
      </c>
      <c r="EW24" s="796">
        <f t="shared" si="3"/>
        <v>0</v>
      </c>
      <c r="EX24" s="796">
        <f t="shared" si="4"/>
        <v>0</v>
      </c>
      <c r="EY24" s="796">
        <f t="shared" si="0"/>
        <v>0</v>
      </c>
      <c r="EZ24" s="795">
        <f t="shared" si="1"/>
        <v>0</v>
      </c>
    </row>
    <row r="25" spans="1:156" ht="15.75" x14ac:dyDescent="0.25">
      <c r="A25" s="383" t="s">
        <v>19</v>
      </c>
      <c r="B25" s="84">
        <v>0.6</v>
      </c>
      <c r="C25" s="47">
        <v>0.3</v>
      </c>
      <c r="D25" s="85">
        <v>0.1</v>
      </c>
      <c r="E25" s="84">
        <v>0.6</v>
      </c>
      <c r="F25" s="47">
        <v>0.3</v>
      </c>
      <c r="G25" s="85">
        <v>0.1</v>
      </c>
      <c r="H25" s="84">
        <v>0.6</v>
      </c>
      <c r="I25" s="47">
        <v>0.3</v>
      </c>
      <c r="J25" s="85">
        <v>0.1</v>
      </c>
      <c r="K25" s="84">
        <v>0.6</v>
      </c>
      <c r="L25" s="47">
        <v>0.3</v>
      </c>
      <c r="M25" s="85">
        <v>0.1</v>
      </c>
      <c r="N25" s="84">
        <v>0.6</v>
      </c>
      <c r="O25" s="47">
        <v>0.3</v>
      </c>
      <c r="P25" s="85">
        <v>0.1</v>
      </c>
      <c r="Q25" s="84">
        <v>0.6</v>
      </c>
      <c r="R25" s="47">
        <v>0.3</v>
      </c>
      <c r="S25" s="85">
        <v>0.1</v>
      </c>
      <c r="T25" s="84">
        <v>0.6</v>
      </c>
      <c r="U25" s="47">
        <v>0.3</v>
      </c>
      <c r="V25" s="85">
        <v>0.1</v>
      </c>
      <c r="W25" s="84">
        <v>0.6</v>
      </c>
      <c r="X25" s="47">
        <v>0.3</v>
      </c>
      <c r="Y25" s="85">
        <v>0.1</v>
      </c>
      <c r="Z25" s="84">
        <v>0.6</v>
      </c>
      <c r="AA25" s="47">
        <v>0.3</v>
      </c>
      <c r="AB25" s="85">
        <v>0.1</v>
      </c>
      <c r="AC25" s="84">
        <v>0.6</v>
      </c>
      <c r="AD25" s="47">
        <v>0.3</v>
      </c>
      <c r="AE25" s="85">
        <v>0.1</v>
      </c>
      <c r="AF25" s="84">
        <v>0.6</v>
      </c>
      <c r="AG25" s="47">
        <v>0.3</v>
      </c>
      <c r="AH25" s="85">
        <v>0.1</v>
      </c>
      <c r="AI25" s="84">
        <v>0.6</v>
      </c>
      <c r="AJ25" s="47">
        <v>0.3</v>
      </c>
      <c r="AK25" s="85">
        <v>0.1</v>
      </c>
      <c r="AL25" s="84">
        <v>0.6</v>
      </c>
      <c r="AM25" s="47">
        <v>0.3</v>
      </c>
      <c r="AN25" s="85">
        <v>0.1</v>
      </c>
      <c r="AO25" s="84">
        <v>0.6</v>
      </c>
      <c r="AP25" s="47">
        <v>0.3</v>
      </c>
      <c r="AQ25" s="85">
        <v>0.1</v>
      </c>
      <c r="AR25" s="84">
        <v>0.6</v>
      </c>
      <c r="AS25" s="47">
        <v>0.3</v>
      </c>
      <c r="AT25" s="85">
        <v>0.1</v>
      </c>
      <c r="AU25" s="84">
        <v>0.6</v>
      </c>
      <c r="AV25" s="47">
        <v>0.3</v>
      </c>
      <c r="AW25" s="85">
        <v>0.1</v>
      </c>
      <c r="AX25" s="84">
        <v>0.6</v>
      </c>
      <c r="AY25" s="47">
        <v>0.3</v>
      </c>
      <c r="AZ25" s="85">
        <v>0.1</v>
      </c>
      <c r="BA25" s="84">
        <v>0.6</v>
      </c>
      <c r="BB25" s="47">
        <v>0.3</v>
      </c>
      <c r="BC25" s="85">
        <v>0.1</v>
      </c>
      <c r="BD25" s="84">
        <v>0.6</v>
      </c>
      <c r="BE25" s="47">
        <v>0.3</v>
      </c>
      <c r="BF25" s="85">
        <v>0.1</v>
      </c>
      <c r="BG25" s="84">
        <v>0.6</v>
      </c>
      <c r="BH25" s="47">
        <v>0.3</v>
      </c>
      <c r="BI25" s="85">
        <v>0.1</v>
      </c>
      <c r="BJ25" s="84">
        <v>0.6</v>
      </c>
      <c r="BK25" s="47">
        <v>0.3</v>
      </c>
      <c r="BL25" s="85">
        <v>0.1</v>
      </c>
      <c r="BM25" s="84">
        <v>0.6</v>
      </c>
      <c r="BN25" s="47">
        <v>0.3</v>
      </c>
      <c r="BO25" s="85">
        <v>0.1</v>
      </c>
      <c r="BP25" s="84">
        <v>0.6</v>
      </c>
      <c r="BQ25" s="47">
        <v>0.3</v>
      </c>
      <c r="BR25" s="85">
        <v>0.1</v>
      </c>
      <c r="BS25" s="84">
        <v>0.6</v>
      </c>
      <c r="BT25" s="47">
        <v>0.3</v>
      </c>
      <c r="BU25" s="85">
        <v>0.1</v>
      </c>
      <c r="BV25" s="84">
        <v>0.6</v>
      </c>
      <c r="BW25" s="47">
        <v>0.3</v>
      </c>
      <c r="BX25" s="85">
        <v>0.1</v>
      </c>
      <c r="BY25" s="84">
        <v>0.6</v>
      </c>
      <c r="BZ25" s="47">
        <v>0.3</v>
      </c>
      <c r="CA25" s="85">
        <v>0.1</v>
      </c>
      <c r="CB25" s="84">
        <v>0.6</v>
      </c>
      <c r="CC25" s="47">
        <v>0.3</v>
      </c>
      <c r="CD25" s="85">
        <v>0.1</v>
      </c>
      <c r="CE25" s="84">
        <v>0.6</v>
      </c>
      <c r="CF25" s="47">
        <v>0.3</v>
      </c>
      <c r="CG25" s="85">
        <v>0.1</v>
      </c>
      <c r="CH25" s="84">
        <v>0.6</v>
      </c>
      <c r="CI25" s="47">
        <v>0.3</v>
      </c>
      <c r="CJ25" s="85">
        <v>0.1</v>
      </c>
      <c r="CK25" s="84">
        <v>0.6</v>
      </c>
      <c r="CL25" s="47">
        <v>0.3</v>
      </c>
      <c r="CM25" s="85">
        <v>0.1</v>
      </c>
      <c r="CN25" s="312" t="str">
        <f>ТрЗ_ОП!$R$32</f>
        <v>-</v>
      </c>
      <c r="CO25" s="27">
        <f>IF(CN25=1,IF($B$1=1,'Документы АСУТП'!CW57,IF($B$1=2,'Документы АСУТП'!CW58,IF($B$1=3,'Документы АСУТП'!CW59,'Документы АСУТП'!CW57))),0)</f>
        <v>0</v>
      </c>
      <c r="CP25" s="312" t="str">
        <f>ТрЗ_ОП!$R$32</f>
        <v>-</v>
      </c>
      <c r="CQ25" s="27">
        <f>IF(CP25=1,IF($B$1=1,'Документы АСУТП'!CX57,IF($B$1=2,'Документы АСУТП'!CX58,IF($B$1=3,'Документы АСУТП'!CX59,'Документы АСУТП'!CX57))),0)</f>
        <v>0</v>
      </c>
      <c r="CR25" s="312" t="str">
        <f>ТрЗ_ОП!$R$32</f>
        <v>-</v>
      </c>
      <c r="CS25" s="27">
        <f>IF(CR25=1,IF($B$1=1,'Документы АСУТП'!CY57,IF($B$1=2,'Документы АСУТП'!CY58,IF($B$1=3,'Документы АСУТП'!CY59,'Документы АСУТП'!CY57))),0)</f>
        <v>0</v>
      </c>
      <c r="CT25" s="312" t="str">
        <f>ТрЗ_ОП!$R$32</f>
        <v>-</v>
      </c>
      <c r="CU25" s="27">
        <f>IF(CT25=1,IF($B$1=1,'Документы АСУТП'!CZ57,IF($B$1=2,'Документы АСУТП'!CZ58,IF($B$1=3,'Документы АСУТП'!CZ59,'Документы АСУТП'!CZ57))),0)</f>
        <v>0</v>
      </c>
      <c r="CV25" s="312" t="str">
        <f>ТрЗ_ОП!$R$32</f>
        <v>-</v>
      </c>
      <c r="CW25" s="27">
        <f>IF(CV25=1,IF($B$1=1,'Документы АСУТП'!DA57,IF($B$1=2,'Документы АСУТП'!DA58,IF($B$1=3,'Документы АСУТП'!DA59,'Документы АСУТП'!DA57))),0)</f>
        <v>0</v>
      </c>
      <c r="CX25" s="312" t="str">
        <f>ТрЗ_ОП!$R$32</f>
        <v>-</v>
      </c>
      <c r="CY25" s="27">
        <f>IF(CX25=1,IF($B$1=1,'Документы АСУТП'!DB57,IF($B$1=2,'Документы АСУТП'!DB58,IF($B$1=3,'Документы АСУТП'!DB59,'Документы АСУТП'!DB57))),0)</f>
        <v>0</v>
      </c>
      <c r="CZ25" s="312" t="str">
        <f>ТрЗ_ОП!$R$32</f>
        <v>-</v>
      </c>
      <c r="DA25" s="27">
        <f>IF(CZ25=1,IF($B$1=1,'Документы АСУТП'!DC57,IF($B$1=2,'Документы АСУТП'!DC58,IF($B$1=3,'Документы АСУТП'!DC59,'Документы АСУТП'!DC57))),0)</f>
        <v>0</v>
      </c>
      <c r="DB25" s="312" t="str">
        <f>ТрЗ_ОП!$R$32</f>
        <v>-</v>
      </c>
      <c r="DC25" s="27">
        <f>IF(DB25=1,IF($B$1=1,'Документы АСУТП'!DD57,IF($B$1=2,'Документы АСУТП'!DD58,IF($B$1=3,'Документы АСУТП'!DD59,'Документы АСУТП'!DD57))),0)</f>
        <v>0</v>
      </c>
      <c r="DD25" s="312" t="str">
        <f>ТрЗ_ОП!$R$32</f>
        <v>-</v>
      </c>
      <c r="DE25" s="27">
        <f>IF(DD25=1,IF($B$1=1,'Документы АСУТП'!DF57,IF($B$1=2,'Документы АСУТП'!DF58,IF($B$1=3,'Документы АСУТП'!DF59,'Документы АСУТП'!DF57))),0)</f>
        <v>0</v>
      </c>
      <c r="DF25" s="312" t="str">
        <f>ТрЗ_ОП!$R$32</f>
        <v>-</v>
      </c>
      <c r="DG25" s="27">
        <f>IF(DF25=1,IF($B$1=1,'Документы АСУТП'!DE57,IF($B$1=2,'Документы АСУТП'!DE58,IF($B$1=3,'Документы АСУТП'!DE59,'Документы АСУТП'!DE57))),0)</f>
        <v>0</v>
      </c>
      <c r="DH25" s="312" t="str">
        <f>ТрЗ_ОП!$R$32</f>
        <v>-</v>
      </c>
      <c r="DI25" s="27">
        <f>IF(DH25=1,IF($B$1=1,'Документы АСУТП'!DG57,IF($B$1=2,'Документы АСУТП'!DG58,IF($B$1=3,'Документы АСУТП'!DG59,'Документы АСУТП'!DG57))),0)</f>
        <v>0</v>
      </c>
      <c r="DJ25" s="312" t="str">
        <f>ТрЗ_ОП!$R$32</f>
        <v>-</v>
      </c>
      <c r="DK25" s="27">
        <f>IF(DJ25=1,IF($B$1=1,'Документы АСУТП'!DH57,IF($B$1=2,'Документы АСУТП'!DH58,IF($B$1=3,'Документы АСУТП'!DH59,'Документы АСУТП'!DH57))),0)</f>
        <v>0</v>
      </c>
      <c r="DL25" s="312" t="str">
        <f>ТрЗ_ОП!$R$32</f>
        <v>-</v>
      </c>
      <c r="DM25" s="27">
        <f>IF(DL25=1,IF($B$1=1,'Документы АСУТП'!DI57,IF($B$1=2,'Документы АСУТП'!DI58,IF($B$1=3,'Документы АСУТП'!DI59,'Документы АСУТП'!DI57))),0)</f>
        <v>0</v>
      </c>
      <c r="DN25" s="312" t="str">
        <f>ТрЗ_ОП!$R$32</f>
        <v>-</v>
      </c>
      <c r="DO25" s="27">
        <f>IF(DN25=1,IF($B$1=1,'Документы АСУТП'!DJ57,IF($B$1=2,'Документы АСУТП'!DJ58,IF($B$1=3,'Документы АСУТП'!DJ59,'Документы АСУТП'!DJ57))),0)</f>
        <v>0</v>
      </c>
      <c r="DP25" s="312" t="str">
        <f>ТрЗ_ОП!$R$32</f>
        <v>-</v>
      </c>
      <c r="DQ25" s="27">
        <f>IF(DP25=1,IF($B$1=1,'Документы АСУТП'!DK57,IF($B$1=2,'Документы АСУТП'!DK58,IF($B$1=3,'Документы АСУТП'!DK59,'Документы АСУТП'!DK57))),0)</f>
        <v>0</v>
      </c>
      <c r="DR25" s="312" t="str">
        <f>ТрЗ_ОП!$R$32</f>
        <v>-</v>
      </c>
      <c r="DS25" s="27">
        <f>IF(DR25=1,IF($B$1=1,'Документы АСУТП'!DL57,IF($B$1=2,'Документы АСУТП'!DL58,IF($B$1=3,'Документы АСУТП'!DL59,'Документы АСУТП'!DL57))),0)</f>
        <v>0</v>
      </c>
      <c r="DT25" s="312" t="str">
        <f>ТрЗ_ОП!$R$32</f>
        <v>-</v>
      </c>
      <c r="DU25" s="27">
        <f>IF(DT25=1,IF($B$1=1,'Документы АСУТП'!DM57,IF($B$1=2,'Документы АСУТП'!DM58,IF($B$1=3,'Документы АСУТП'!DM59,'Документы АСУТП'!DM57))),0)</f>
        <v>0</v>
      </c>
      <c r="DV25" s="312" t="str">
        <f>ТрЗ_ОП!$R$32</f>
        <v>-</v>
      </c>
      <c r="DW25" s="27">
        <f>IF(DV25=1,IF($B$1=1,'Документы АСУТП'!DN57,IF($B$1=2,'Документы АСУТП'!DN58,IF($B$1=3,'Документы АСУТП'!DN59,'Документы АСУТП'!DN57))),0)</f>
        <v>0</v>
      </c>
      <c r="DX25" s="312" t="str">
        <f>ТрЗ_ОП!$R$32</f>
        <v>-</v>
      </c>
      <c r="DY25" s="27">
        <f>IF(DX25=1,IF($B$1=1,'Документы АСУТП'!DO57,IF($B$1=2,'Документы АСУТП'!DO58,IF($B$1=3,'Документы АСУТП'!DO59,'Документы АСУТП'!DO57))),0)</f>
        <v>0</v>
      </c>
      <c r="DZ25" s="312" t="str">
        <f>ТрЗ_ОП!$R$32</f>
        <v>-</v>
      </c>
      <c r="EA25" s="27">
        <f>IF(DZ25=1,IF($B$1=1,'Документы АСУТП'!DP57,IF($B$1=2,'Документы АСУТП'!DP58,IF($B$1=3,'Документы АСУТП'!DP59,'Документы АСУТП'!DP57))),0)</f>
        <v>0</v>
      </c>
      <c r="EB25" s="312" t="str">
        <f>ТрЗ_ОП!$R$32</f>
        <v>-</v>
      </c>
      <c r="EC25" s="27">
        <f>IF(EB25=1,IF($B$1=1,'Документы АСУТП'!DQ57,IF($B$1=2,'Документы АСУТП'!DQ58,IF($B$1=3,'Документы АСУТП'!DQ59,'Документы АСУТП'!DQ57))),0)</f>
        <v>0</v>
      </c>
      <c r="ED25" s="312" t="str">
        <f>ТрЗ_ОП!$R$32</f>
        <v>-</v>
      </c>
      <c r="EE25" s="27">
        <f>IF(ED25=1,IF($B$1=1,'Документы АСУТП'!DR57,IF($B$1=2,'Документы АСУТП'!DR58,IF($B$1=3,'Документы АСУТП'!DR59,'Документы АСУТП'!DR57))),0)</f>
        <v>0</v>
      </c>
      <c r="EF25" s="312" t="str">
        <f>ТрЗ_ОП!$R$32</f>
        <v>-</v>
      </c>
      <c r="EG25" s="27">
        <f>IF(EF25=1,IF($B$1=1,'Документы АСУТП'!DS57,IF($B$1=2,'Документы АСУТП'!DS58,IF($B$1=3,'Документы АСУТП'!DS59,'Документы АСУТП'!DS57))),0)</f>
        <v>0</v>
      </c>
      <c r="EH25" s="312" t="str">
        <f>ТрЗ_ОП!$R$32</f>
        <v>-</v>
      </c>
      <c r="EI25" s="27">
        <f>IF(EH25=1,IF($B$1=1,'Документы АСУТП'!DT57,IF($B$1=2,'Документы АСУТП'!DT58,IF($B$1=3,'Документы АСУТП'!DT59,'Документы АСУТП'!DT57))),0)</f>
        <v>0</v>
      </c>
      <c r="EJ25" s="312" t="str">
        <f>ТрЗ_ОП!$R$32</f>
        <v>-</v>
      </c>
      <c r="EK25" s="27">
        <f>IF(EJ25=1,IF($B$1=1,'Документы АСУТП'!DU57,IF($B$1=2,'Документы АСУТП'!DU58,IF($B$1=3,'Документы АСУТП'!DU59,'Документы АСУТП'!DU57))),0)</f>
        <v>0</v>
      </c>
      <c r="EL25" s="312" t="str">
        <f>ТрЗ_ОП!$R$32</f>
        <v>-</v>
      </c>
      <c r="EM25" s="27">
        <f>IF(EL25=1,IF($B$1=1,'Документы АСУТП'!DV57,IF($B$1=2,'Документы АСУТП'!DV58,IF($B$1=3,'Документы АСУТП'!DV59,'Документы АСУТП'!DV57))),0)</f>
        <v>0</v>
      </c>
      <c r="EN25" s="312" t="str">
        <f>ТрЗ_ОП!$R$32</f>
        <v>-</v>
      </c>
      <c r="EO25" s="27">
        <f>IF(EN25=1,IF($B$1=1,'Документы АСУТП'!DW57,IF($B$1=2,'Документы АСУТП'!DW58,IF($B$1=3,'Документы АСУТП'!DW59,'Документы АСУТП'!DW57))),0)</f>
        <v>0</v>
      </c>
      <c r="EP25" s="312" t="str">
        <f>ТрЗ_ОП!$R$32</f>
        <v>-</v>
      </c>
      <c r="EQ25" s="27">
        <f>IF(EP25=1,IF($B$1=1,'Документы АСУТП'!DX57,IF($B$1=2,'Документы АСУТП'!DX58,IF($B$1=3,'Документы АСУТП'!DX59,'Документы АСУТП'!DX57))),0)</f>
        <v>0</v>
      </c>
      <c r="ER25" s="312" t="str">
        <f>ТрЗ_ОП!$R$32</f>
        <v>-</v>
      </c>
      <c r="ES25" s="27">
        <f>IF(ER25=1,IF($B$1=1,'Документы АСУТП'!DY57,IF($B$1=2,'Документы АСУТП'!DY58,IF($B$1=3,'Документы АСУТП'!DY59,'Документы АСУТП'!DY57))),0)</f>
        <v>0</v>
      </c>
      <c r="ET25" s="312" t="str">
        <f>ТрЗ_ОП!$R$32</f>
        <v>-</v>
      </c>
      <c r="EU25" s="771">
        <f>IF(ET25=1,IF($B$1=1,'Документы АСУТП'!DZ57,IF($B$1=2,'Документы АСУТП'!DZ58,IF($B$1=3,'Документы АСУТП'!DZ59,'Документы АСУТП'!DZ57))),0)</f>
        <v>0</v>
      </c>
      <c r="EV25" s="794">
        <f t="shared" si="2"/>
        <v>0</v>
      </c>
      <c r="EW25" s="796">
        <f t="shared" si="3"/>
        <v>0</v>
      </c>
      <c r="EX25" s="796">
        <f t="shared" si="4"/>
        <v>0</v>
      </c>
      <c r="EY25" s="796">
        <f t="shared" si="0"/>
        <v>0</v>
      </c>
      <c r="EZ25" s="795">
        <f t="shared" si="1"/>
        <v>0</v>
      </c>
    </row>
    <row r="26" spans="1:156" ht="15.75" x14ac:dyDescent="0.25">
      <c r="A26" s="383" t="s">
        <v>20</v>
      </c>
      <c r="B26" s="84">
        <v>0.7</v>
      </c>
      <c r="C26" s="47">
        <v>0.25</v>
      </c>
      <c r="D26" s="85">
        <v>0.05</v>
      </c>
      <c r="E26" s="84">
        <v>0.5</v>
      </c>
      <c r="F26" s="47">
        <v>0.3</v>
      </c>
      <c r="G26" s="85">
        <v>0.2</v>
      </c>
      <c r="H26" s="84">
        <v>0.7</v>
      </c>
      <c r="I26" s="47">
        <v>0.25</v>
      </c>
      <c r="J26" s="85">
        <v>0.05</v>
      </c>
      <c r="K26" s="84">
        <v>0.6</v>
      </c>
      <c r="L26" s="47">
        <v>0.3</v>
      </c>
      <c r="M26" s="85">
        <v>0.1</v>
      </c>
      <c r="N26" s="84">
        <v>0.5</v>
      </c>
      <c r="O26" s="47">
        <v>0.3</v>
      </c>
      <c r="P26" s="85">
        <v>0.2</v>
      </c>
      <c r="Q26" s="84">
        <v>0.6</v>
      </c>
      <c r="R26" s="47">
        <v>0.3</v>
      </c>
      <c r="S26" s="85">
        <v>0.1</v>
      </c>
      <c r="T26" s="84">
        <v>0.7</v>
      </c>
      <c r="U26" s="47">
        <v>0.25</v>
      </c>
      <c r="V26" s="85">
        <v>0.05</v>
      </c>
      <c r="W26" s="84">
        <v>0.6</v>
      </c>
      <c r="X26" s="47">
        <v>0.3</v>
      </c>
      <c r="Y26" s="85">
        <v>0.1</v>
      </c>
      <c r="Z26" s="84">
        <v>0.6</v>
      </c>
      <c r="AA26" s="47">
        <v>0.3</v>
      </c>
      <c r="AB26" s="85">
        <v>0.1</v>
      </c>
      <c r="AC26" s="84">
        <v>0.4</v>
      </c>
      <c r="AD26" s="47">
        <v>0.3</v>
      </c>
      <c r="AE26" s="85">
        <v>0.3</v>
      </c>
      <c r="AF26" s="84">
        <v>0.6</v>
      </c>
      <c r="AG26" s="47">
        <v>0.3</v>
      </c>
      <c r="AH26" s="85">
        <v>0.1</v>
      </c>
      <c r="AI26" s="84">
        <v>0.5</v>
      </c>
      <c r="AJ26" s="47">
        <v>0.3</v>
      </c>
      <c r="AK26" s="85">
        <v>0.2</v>
      </c>
      <c r="AL26" s="84">
        <v>0.4</v>
      </c>
      <c r="AM26" s="47">
        <v>0.3</v>
      </c>
      <c r="AN26" s="85">
        <v>0.3</v>
      </c>
      <c r="AO26" s="84">
        <v>0.4</v>
      </c>
      <c r="AP26" s="47">
        <v>0.3</v>
      </c>
      <c r="AQ26" s="85">
        <v>0.3</v>
      </c>
      <c r="AR26" s="84">
        <v>0.5</v>
      </c>
      <c r="AS26" s="47">
        <v>0.3</v>
      </c>
      <c r="AT26" s="85">
        <v>0.2</v>
      </c>
      <c r="AU26" s="84">
        <v>0.5</v>
      </c>
      <c r="AV26" s="47">
        <v>0.3</v>
      </c>
      <c r="AW26" s="85">
        <v>0.2</v>
      </c>
      <c r="AX26" s="84">
        <v>0.4</v>
      </c>
      <c r="AY26" s="47">
        <v>0.3</v>
      </c>
      <c r="AZ26" s="85">
        <v>0.3</v>
      </c>
      <c r="BA26" s="84">
        <v>0.5</v>
      </c>
      <c r="BB26" s="47">
        <v>0.3</v>
      </c>
      <c r="BC26" s="85">
        <v>0.2</v>
      </c>
      <c r="BD26" s="84">
        <v>0.5</v>
      </c>
      <c r="BE26" s="47">
        <v>0.3</v>
      </c>
      <c r="BF26" s="85">
        <v>0.2</v>
      </c>
      <c r="BG26" s="84">
        <v>0.5</v>
      </c>
      <c r="BH26" s="47">
        <v>0.3</v>
      </c>
      <c r="BI26" s="85">
        <v>0.2</v>
      </c>
      <c r="BJ26" s="84">
        <v>0.4</v>
      </c>
      <c r="BK26" s="47">
        <v>0.3</v>
      </c>
      <c r="BL26" s="85">
        <v>0.3</v>
      </c>
      <c r="BM26" s="84">
        <v>0.4</v>
      </c>
      <c r="BN26" s="47">
        <v>0.3</v>
      </c>
      <c r="BO26" s="85">
        <v>0.3</v>
      </c>
      <c r="BP26" s="84">
        <v>0.4</v>
      </c>
      <c r="BQ26" s="47">
        <v>0.3</v>
      </c>
      <c r="BR26" s="85">
        <v>0.3</v>
      </c>
      <c r="BS26" s="84">
        <v>0.5</v>
      </c>
      <c r="BT26" s="47">
        <v>0.3</v>
      </c>
      <c r="BU26" s="85">
        <v>0.2</v>
      </c>
      <c r="BV26" s="84">
        <v>0.5</v>
      </c>
      <c r="BW26" s="47">
        <v>0.3</v>
      </c>
      <c r="BX26" s="85">
        <v>0.2</v>
      </c>
      <c r="BY26" s="84">
        <v>0.4</v>
      </c>
      <c r="BZ26" s="47">
        <v>0.3</v>
      </c>
      <c r="CA26" s="85">
        <v>0.3</v>
      </c>
      <c r="CB26" s="84">
        <v>0.5</v>
      </c>
      <c r="CC26" s="47">
        <v>0.3</v>
      </c>
      <c r="CD26" s="85">
        <v>0.2</v>
      </c>
      <c r="CE26" s="84">
        <v>0.5</v>
      </c>
      <c r="CF26" s="47">
        <v>0.3</v>
      </c>
      <c r="CG26" s="85">
        <v>0.2</v>
      </c>
      <c r="CH26" s="84">
        <v>0.4</v>
      </c>
      <c r="CI26" s="47">
        <v>0.3</v>
      </c>
      <c r="CJ26" s="85">
        <v>0.3</v>
      </c>
      <c r="CK26" s="84">
        <v>0.4</v>
      </c>
      <c r="CL26" s="47">
        <v>0.3</v>
      </c>
      <c r="CM26" s="85">
        <v>0.3</v>
      </c>
      <c r="CN26" s="312">
        <f>ТрЗ_ОП!$R$33</f>
        <v>1</v>
      </c>
      <c r="CO26" s="27">
        <f>IF(CN26=1,IF($B$1=1,'Документы АСУТП'!CW60,IF($B$1=2,'Документы АСУТП'!CW61,IF($B$1=3,'Документы АСУТП'!CW62,'Документы АСУТП'!CW60))),0)</f>
        <v>1.5</v>
      </c>
      <c r="CP26" s="312">
        <f>ТрЗ_ОП!$R$33</f>
        <v>1</v>
      </c>
      <c r="CQ26" s="27">
        <f>IF(CP26=1,IF($B$1=1,'Документы АСУТП'!CX60,IF($B$1=2,'Документы АСУТП'!CX61,IF($B$1=3,'Документы АСУТП'!CX62,'Документы АСУТП'!CX60))),0)</f>
        <v>2.5</v>
      </c>
      <c r="CR26" s="312">
        <f>ТрЗ_ОП!$R$33</f>
        <v>1</v>
      </c>
      <c r="CS26" s="27">
        <f>IF(CR26=1,IF($B$1=1,'Документы АСУТП'!CY60,IF($B$1=2,'Документы АСУТП'!CY61,IF($B$1=3,'Документы АСУТП'!CY62,'Документы АСУТП'!CY60))),0)</f>
        <v>0</v>
      </c>
      <c r="CT26" s="312">
        <f>ТрЗ_ОП!$R$33</f>
        <v>1</v>
      </c>
      <c r="CU26" s="27">
        <f>IF(CT26=1,IF($B$1=1,'Документы АСУТП'!CZ60,IF($B$1=2,'Документы АСУТП'!CZ61,IF($B$1=3,'Документы АСУТП'!CZ62,'Документы АСУТП'!CZ60))),0)</f>
        <v>0</v>
      </c>
      <c r="CV26" s="312">
        <f>ТрЗ_ОП!$R$33</f>
        <v>1</v>
      </c>
      <c r="CW26" s="27">
        <f>IF(CV26=1,IF($B$1=1,'Документы АСУТП'!DA60,IF($B$1=2,'Документы АСУТП'!DA61,IF($B$1=3,'Документы АСУТП'!DA62,'Документы АСУТП'!DA60))),0)</f>
        <v>0</v>
      </c>
      <c r="CX26" s="312">
        <f>ТрЗ_ОП!$R$33</f>
        <v>1</v>
      </c>
      <c r="CY26" s="27">
        <f>IF(CX26=1,IF($B$1=1,'Документы АСУТП'!DB60,IF($B$1=2,'Документы АСУТП'!DB61,IF($B$1=3,'Документы АСУТП'!DB62,'Документы АСУТП'!DB60))),0)</f>
        <v>0</v>
      </c>
      <c r="CZ26" s="312">
        <f>ТрЗ_ОП!$R$33</f>
        <v>1</v>
      </c>
      <c r="DA26" s="27">
        <f>IF(CZ26=1,IF($B$1=1,'Документы АСУТП'!DC60,IF($B$1=2,'Документы АСУТП'!DC61,IF($B$1=3,'Документы АСУТП'!DC62,'Документы АСУТП'!DC60))),0)</f>
        <v>0</v>
      </c>
      <c r="DB26" s="312">
        <f>ТрЗ_ОП!$R$33</f>
        <v>1</v>
      </c>
      <c r="DC26" s="27">
        <f>IF(DB26=1,IF($B$1=1,'Документы АСУТП'!DD60,IF($B$1=2,'Документы АСУТП'!DD61,IF($B$1=3,'Документы АСУТП'!DD62,'Документы АСУТП'!DD60))),0)</f>
        <v>0</v>
      </c>
      <c r="DD26" s="312">
        <f>ТрЗ_ОП!$R$33</f>
        <v>1</v>
      </c>
      <c r="DE26" s="27">
        <f>IF(DD26=1,IF($B$1=1,'Документы АСУТП'!DF60,IF($B$1=2,'Документы АСУТП'!DF61,IF($B$1=3,'Документы АСУТП'!DF62,'Документы АСУТП'!DF60))),0)</f>
        <v>0</v>
      </c>
      <c r="DF26" s="312">
        <f>ТрЗ_ОП!$R$33</f>
        <v>1</v>
      </c>
      <c r="DG26" s="27">
        <f>IF(DF26=1,IF($B$1=1,'Документы АСУТП'!DE60,IF($B$1=2,'Документы АСУТП'!DE61,IF($B$1=3,'Документы АСУТП'!DE62,'Документы АСУТП'!DE60))),0)</f>
        <v>0</v>
      </c>
      <c r="DH26" s="312">
        <f>ТрЗ_ОП!$R$33</f>
        <v>1</v>
      </c>
      <c r="DI26" s="27">
        <f>IF(DH26=1,IF($B$1=1,'Документы АСУТП'!DG60,IF($B$1=2,'Документы АСУТП'!DG61,IF($B$1=3,'Документы АСУТП'!DG62,'Документы АСУТП'!DG60))),0)</f>
        <v>0</v>
      </c>
      <c r="DJ26" s="312">
        <f>ТрЗ_ОП!$R$33</f>
        <v>1</v>
      </c>
      <c r="DK26" s="27">
        <f>IF(DJ26=1,IF($B$1=1,'Документы АСУТП'!DH60,IF($B$1=2,'Документы АСУТП'!DH61,IF($B$1=3,'Документы АСУТП'!DH62,'Документы АСУТП'!DH60))),0)</f>
        <v>0</v>
      </c>
      <c r="DL26" s="312">
        <f>ТрЗ_ОП!$R$33</f>
        <v>1</v>
      </c>
      <c r="DM26" s="27">
        <f>IF(DL26=1,IF($B$1=1,'Документы АСУТП'!DI60,IF($B$1=2,'Документы АСУТП'!DI61,IF($B$1=3,'Документы АСУТП'!DI62,'Документы АСУТП'!DI60))),0)</f>
        <v>0</v>
      </c>
      <c r="DN26" s="312">
        <f>ТрЗ_ОП!$R$33</f>
        <v>1</v>
      </c>
      <c r="DO26" s="27" t="e">
        <f>IF(DN26=1,IF($B$1=1,'Документы АСУТП'!DJ60,IF($B$1=2,'Документы АСУТП'!DJ61,IF($B$1=3,'Документы АСУТП'!DJ62,'Документы АСУТП'!DJ60))),0)</f>
        <v>#REF!</v>
      </c>
      <c r="DP26" s="312">
        <f>ТрЗ_ОП!$R$33</f>
        <v>1</v>
      </c>
      <c r="DQ26" s="27">
        <f>IF(DP26=1,IF($B$1=1,'Документы АСУТП'!DK60,IF($B$1=2,'Документы АСУТП'!DK61,IF($B$1=3,'Документы АСУТП'!DK62,'Документы АСУТП'!DK60))),0)</f>
        <v>0</v>
      </c>
      <c r="DR26" s="312">
        <f>ТрЗ_ОП!$R$33</f>
        <v>1</v>
      </c>
      <c r="DS26" s="27">
        <f>IF(DR26=1,IF($B$1=1,'Документы АСУТП'!DL60,IF($B$1=2,'Документы АСУТП'!DL61,IF($B$1=3,'Документы АСУТП'!DL62,'Документы АСУТП'!DL60))),0)</f>
        <v>0</v>
      </c>
      <c r="DT26" s="312">
        <f>ТрЗ_ОП!$R$33</f>
        <v>1</v>
      </c>
      <c r="DU26" s="27">
        <f>IF(DT26=1,IF($B$1=1,'Документы АСУТП'!DM60,IF($B$1=2,'Документы АСУТП'!DM61,IF($B$1=3,'Документы АСУТП'!DM62,'Документы АСУТП'!DM60))),0)</f>
        <v>0</v>
      </c>
      <c r="DV26" s="312">
        <f>ТрЗ_ОП!$R$33</f>
        <v>1</v>
      </c>
      <c r="DW26" s="27">
        <f>IF(DV26=1,IF($B$1=1,'Документы АСУТП'!DN60,IF($B$1=2,'Документы АСУТП'!DN61,IF($B$1=3,'Документы АСУТП'!DN62,'Документы АСУТП'!DN60))),0)</f>
        <v>0</v>
      </c>
      <c r="DX26" s="312">
        <f>ТрЗ_ОП!$R$33</f>
        <v>1</v>
      </c>
      <c r="DY26" s="27">
        <f>IF(DX26=1,IF($B$1=1,'Документы АСУТП'!DO60,IF($B$1=2,'Документы АСУТП'!DO61,IF($B$1=3,'Документы АСУТП'!DO62,'Документы АСУТП'!DO60))),0)</f>
        <v>0</v>
      </c>
      <c r="DZ26" s="312">
        <f>ТрЗ_ОП!$R$33</f>
        <v>1</v>
      </c>
      <c r="EA26" s="27">
        <f>IF(DZ26=1,IF($B$1=1,'Документы АСУТП'!DP60,IF($B$1=2,'Документы АСУТП'!DP61,IF($B$1=3,'Документы АСУТП'!DP62,'Документы АСУТП'!DP60))),0)</f>
        <v>0</v>
      </c>
      <c r="EB26" s="312">
        <f>ТрЗ_ОП!$R$33</f>
        <v>1</v>
      </c>
      <c r="EC26" s="27">
        <f>IF(EB26=1,IF($B$1=1,'Документы АСУТП'!DQ60,IF($B$1=2,'Документы АСУТП'!DQ61,IF($B$1=3,'Документы АСУТП'!DQ62,'Документы АСУТП'!DQ60))),0)</f>
        <v>0</v>
      </c>
      <c r="ED26" s="312">
        <f>ТрЗ_ОП!$R$33</f>
        <v>1</v>
      </c>
      <c r="EE26" s="27">
        <f>IF(ED26=1,IF($B$1=1,'Документы АСУТП'!DR60,IF($B$1=2,'Документы АСУТП'!DR61,IF($B$1=3,'Документы АСУТП'!DR62,'Документы АСУТП'!DR60))),0)</f>
        <v>0</v>
      </c>
      <c r="EF26" s="312">
        <f>ТрЗ_ОП!$R$33</f>
        <v>1</v>
      </c>
      <c r="EG26" s="27">
        <f>IF(EF26=1,IF($B$1=1,'Документы АСУТП'!DS60,IF($B$1=2,'Документы АСУТП'!DS61,IF($B$1=3,'Документы АСУТП'!DS62,'Документы АСУТП'!DS60))),0)</f>
        <v>0</v>
      </c>
      <c r="EH26" s="312">
        <f>ТрЗ_ОП!$R$33</f>
        <v>1</v>
      </c>
      <c r="EI26" s="27">
        <f>IF(EH26=1,IF($B$1=1,'Документы АСУТП'!DT60,IF($B$1=2,'Документы АСУТП'!DT61,IF($B$1=3,'Документы АСУТП'!DT62,'Документы АСУТП'!DT60))),0)</f>
        <v>0</v>
      </c>
      <c r="EJ26" s="312">
        <f>ТрЗ_ОП!$R$33</f>
        <v>1</v>
      </c>
      <c r="EK26" s="27">
        <f>IF(EJ26=1,IF($B$1=1,'Документы АСУТП'!DU60,IF($B$1=2,'Документы АСУТП'!DU61,IF($B$1=3,'Документы АСУТП'!DU62,'Документы АСУТП'!DU60))),0)</f>
        <v>0</v>
      </c>
      <c r="EL26" s="312">
        <f>ТрЗ_ОП!$R$33</f>
        <v>1</v>
      </c>
      <c r="EM26" s="27">
        <f>IF(EL26=1,IF($B$1=1,'Документы АСУТП'!DV60,IF($B$1=2,'Документы АСУТП'!DV61,IF($B$1=3,'Документы АСУТП'!DV62,'Документы АСУТП'!DV60))),0)</f>
        <v>0</v>
      </c>
      <c r="EN26" s="312">
        <f>ТрЗ_ОП!$R$33</f>
        <v>1</v>
      </c>
      <c r="EO26" s="27">
        <f>IF(EN26=1,IF($B$1=1,'Документы АСУТП'!DW60,IF($B$1=2,'Документы АСУТП'!DW61,IF($B$1=3,'Документы АСУТП'!DW62,'Документы АСУТП'!DW60))),0)</f>
        <v>0</v>
      </c>
      <c r="EP26" s="312">
        <f>ТрЗ_ОП!$R$33</f>
        <v>1</v>
      </c>
      <c r="EQ26" s="27">
        <f>IF(EP26=1,IF($B$1=1,'Документы АСУТП'!DX60,IF($B$1=2,'Документы АСУТП'!DX61,IF($B$1=3,'Документы АСУТП'!DX62,'Документы АСУТП'!DX60))),0)</f>
        <v>0</v>
      </c>
      <c r="ER26" s="312">
        <f>ТрЗ_ОП!$R$33</f>
        <v>1</v>
      </c>
      <c r="ES26" s="27">
        <f>IF(ER26=1,IF($B$1=1,'Документы АСУТП'!DY60,IF($B$1=2,'Документы АСУТП'!DY61,IF($B$1=3,'Документы АСУТП'!DY62,'Документы АСУТП'!DY60))),0)</f>
        <v>0</v>
      </c>
      <c r="ET26" s="312">
        <f>ТрЗ_ОП!$R$33</f>
        <v>1</v>
      </c>
      <c r="EU26" s="771">
        <f>IF(ET26=1,IF($B$1=1,'Документы АСУТП'!DZ60,IF($B$1=2,'Документы АСУТП'!DZ61,IF($B$1=3,'Документы АСУТП'!DZ62,'Документы АСУТП'!DZ60))),0)</f>
        <v>0</v>
      </c>
      <c r="EV26" s="794" t="e">
        <f t="shared" si="2"/>
        <v>#REF!</v>
      </c>
      <c r="EW26" s="796" t="e">
        <f t="shared" si="3"/>
        <v>#REF!</v>
      </c>
      <c r="EX26" s="796" t="e">
        <f t="shared" si="4"/>
        <v>#REF!</v>
      </c>
      <c r="EY26" s="796" t="e">
        <f t="shared" si="0"/>
        <v>#REF!</v>
      </c>
      <c r="EZ26" s="795" t="e">
        <f t="shared" si="1"/>
        <v>#REF!</v>
      </c>
    </row>
    <row r="27" spans="1:156" ht="15.75" x14ac:dyDescent="0.25">
      <c r="A27" s="383" t="s">
        <v>451</v>
      </c>
      <c r="B27" s="84">
        <v>0.7</v>
      </c>
      <c r="C27" s="47">
        <v>0.2</v>
      </c>
      <c r="D27" s="85">
        <v>0.1</v>
      </c>
      <c r="E27" s="84">
        <v>0.7</v>
      </c>
      <c r="F27" s="47">
        <v>0.2</v>
      </c>
      <c r="G27" s="85">
        <v>0.1</v>
      </c>
      <c r="H27" s="84">
        <v>0.7</v>
      </c>
      <c r="I27" s="47">
        <v>0.2</v>
      </c>
      <c r="J27" s="85">
        <v>0.1</v>
      </c>
      <c r="K27" s="84">
        <v>0.7</v>
      </c>
      <c r="L27" s="47">
        <v>0.2</v>
      </c>
      <c r="M27" s="85">
        <v>0.1</v>
      </c>
      <c r="N27" s="84">
        <v>0.7</v>
      </c>
      <c r="O27" s="47">
        <v>0.2</v>
      </c>
      <c r="P27" s="85">
        <v>0.1</v>
      </c>
      <c r="Q27" s="84">
        <v>0.7</v>
      </c>
      <c r="R27" s="47">
        <v>0.2</v>
      </c>
      <c r="S27" s="85">
        <v>0.1</v>
      </c>
      <c r="T27" s="84">
        <v>0.7</v>
      </c>
      <c r="U27" s="47">
        <v>0.2</v>
      </c>
      <c r="V27" s="85">
        <v>0.1</v>
      </c>
      <c r="W27" s="84">
        <v>0.7</v>
      </c>
      <c r="X27" s="47">
        <v>0.2</v>
      </c>
      <c r="Y27" s="85">
        <v>0.1</v>
      </c>
      <c r="Z27" s="84">
        <v>0.7</v>
      </c>
      <c r="AA27" s="47">
        <v>0.2</v>
      </c>
      <c r="AB27" s="85">
        <v>0.1</v>
      </c>
      <c r="AC27" s="84">
        <v>0.7</v>
      </c>
      <c r="AD27" s="47">
        <v>0.2</v>
      </c>
      <c r="AE27" s="85">
        <v>0.1</v>
      </c>
      <c r="AF27" s="84">
        <v>0.7</v>
      </c>
      <c r="AG27" s="47">
        <v>0.2</v>
      </c>
      <c r="AH27" s="85">
        <v>0.1</v>
      </c>
      <c r="AI27" s="84">
        <v>0.7</v>
      </c>
      <c r="AJ27" s="47">
        <v>0.2</v>
      </c>
      <c r="AK27" s="85">
        <v>0.1</v>
      </c>
      <c r="AL27" s="84">
        <v>0.7</v>
      </c>
      <c r="AM27" s="47">
        <v>0.2</v>
      </c>
      <c r="AN27" s="85">
        <v>0.1</v>
      </c>
      <c r="AO27" s="84">
        <v>0.7</v>
      </c>
      <c r="AP27" s="47">
        <v>0.2</v>
      </c>
      <c r="AQ27" s="85">
        <v>0.1</v>
      </c>
      <c r="AR27" s="84">
        <v>0.7</v>
      </c>
      <c r="AS27" s="47">
        <v>0.2</v>
      </c>
      <c r="AT27" s="85">
        <v>0.1</v>
      </c>
      <c r="AU27" s="84">
        <v>0.7</v>
      </c>
      <c r="AV27" s="47">
        <v>0.2</v>
      </c>
      <c r="AW27" s="85">
        <v>0.1</v>
      </c>
      <c r="AX27" s="84">
        <v>0.7</v>
      </c>
      <c r="AY27" s="47">
        <v>0.2</v>
      </c>
      <c r="AZ27" s="85">
        <v>0.1</v>
      </c>
      <c r="BA27" s="84">
        <v>0.7</v>
      </c>
      <c r="BB27" s="47">
        <v>0.2</v>
      </c>
      <c r="BC27" s="85">
        <v>0.1</v>
      </c>
      <c r="BD27" s="84">
        <v>0.7</v>
      </c>
      <c r="BE27" s="47">
        <v>0.2</v>
      </c>
      <c r="BF27" s="85">
        <v>0.1</v>
      </c>
      <c r="BG27" s="84">
        <v>0.7</v>
      </c>
      <c r="BH27" s="47">
        <v>0.2</v>
      </c>
      <c r="BI27" s="85">
        <v>0.1</v>
      </c>
      <c r="BJ27" s="84">
        <v>0.7</v>
      </c>
      <c r="BK27" s="47">
        <v>0.2</v>
      </c>
      <c r="BL27" s="85">
        <v>0.1</v>
      </c>
      <c r="BM27" s="84">
        <v>0.7</v>
      </c>
      <c r="BN27" s="47">
        <v>0.2</v>
      </c>
      <c r="BO27" s="85">
        <v>0.1</v>
      </c>
      <c r="BP27" s="84">
        <v>0.7</v>
      </c>
      <c r="BQ27" s="47">
        <v>0.2</v>
      </c>
      <c r="BR27" s="85">
        <v>0.1</v>
      </c>
      <c r="BS27" s="84">
        <v>0.7</v>
      </c>
      <c r="BT27" s="47">
        <v>0.2</v>
      </c>
      <c r="BU27" s="85">
        <v>0.1</v>
      </c>
      <c r="BV27" s="84">
        <v>0.7</v>
      </c>
      <c r="BW27" s="47">
        <v>0.2</v>
      </c>
      <c r="BX27" s="85">
        <v>0.1</v>
      </c>
      <c r="BY27" s="84">
        <v>0.7</v>
      </c>
      <c r="BZ27" s="47">
        <v>0.2</v>
      </c>
      <c r="CA27" s="85">
        <v>0.1</v>
      </c>
      <c r="CB27" s="84">
        <v>0.7</v>
      </c>
      <c r="CC27" s="47">
        <v>0.2</v>
      </c>
      <c r="CD27" s="85">
        <v>0.1</v>
      </c>
      <c r="CE27" s="84">
        <v>0.7</v>
      </c>
      <c r="CF27" s="47">
        <v>0.2</v>
      </c>
      <c r="CG27" s="85">
        <v>0.1</v>
      </c>
      <c r="CH27" s="84">
        <v>0.7</v>
      </c>
      <c r="CI27" s="47">
        <v>0.2</v>
      </c>
      <c r="CJ27" s="85">
        <v>0.1</v>
      </c>
      <c r="CK27" s="84">
        <v>0.7</v>
      </c>
      <c r="CL27" s="47">
        <v>0.2</v>
      </c>
      <c r="CM27" s="85">
        <v>0.1</v>
      </c>
      <c r="CN27" s="312">
        <f>ТрЗ_ОП!$R$34</f>
        <v>1</v>
      </c>
      <c r="CO27" s="27">
        <f>IF(CN27=1,IF($B$1=1,'Документы АСУТП'!CW63,IF($B$1=2,'Документы АСУТП'!CW64,IF($B$1=3,'Документы АСУТП'!CW65,'Документы АСУТП'!CW63))),0)</f>
        <v>0</v>
      </c>
      <c r="CP27" s="312">
        <f>ТрЗ_ОП!$R$34</f>
        <v>1</v>
      </c>
      <c r="CQ27" s="27">
        <f>IF(CP27=1,IF($B$1=1,'Документы АСУТП'!CX63,IF($B$1=2,'Документы АСУТП'!CX64,IF($B$1=3,'Документы АСУТП'!CX65,'Документы АСУТП'!CX63))),0)</f>
        <v>0</v>
      </c>
      <c r="CR27" s="312">
        <f>ТрЗ_ОП!$R$34</f>
        <v>1</v>
      </c>
      <c r="CS27" s="27">
        <f>IF(CR27=1,IF($B$1=1,'Документы АСУТП'!CY63,IF($B$1=2,'Документы АСУТП'!CY64,IF($B$1=3,'Документы АСУТП'!CY65,'Документы АСУТП'!CY63))),0)</f>
        <v>0</v>
      </c>
      <c r="CT27" s="312">
        <f>ТрЗ_ОП!$R$34</f>
        <v>1</v>
      </c>
      <c r="CU27" s="27">
        <f>IF(CT27=1,IF($B$1=1,'Документы АСУТП'!CZ63,IF($B$1=2,'Документы АСУТП'!CZ64,IF($B$1=3,'Документы АСУТП'!CZ65,'Документы АСУТП'!CZ63))),0)</f>
        <v>0</v>
      </c>
      <c r="CV27" s="312">
        <f>ТрЗ_ОП!$R$34</f>
        <v>1</v>
      </c>
      <c r="CW27" s="27">
        <f>IF(CV27=1,IF($B$1=1,'Документы АСУТП'!DA63,IF($B$1=2,'Документы АСУТП'!DA64,IF($B$1=3,'Документы АСУТП'!DA65,'Документы АСУТП'!DA63))),0)</f>
        <v>0</v>
      </c>
      <c r="CX27" s="312">
        <f>ТрЗ_ОП!$R$34</f>
        <v>1</v>
      </c>
      <c r="CY27" s="27">
        <f>IF(CX27=1,IF($B$1=1,'Документы АСУТП'!DB63,IF($B$1=2,'Документы АСУТП'!DB64,IF($B$1=3,'Документы АСУТП'!DB65,'Документы АСУТП'!DB63))),0)</f>
        <v>0</v>
      </c>
      <c r="CZ27" s="312">
        <f>ТрЗ_ОП!$R$34</f>
        <v>1</v>
      </c>
      <c r="DA27" s="27">
        <f>IF(CZ27=1,IF($B$1=1,'Документы АСУТП'!DC63,IF($B$1=2,'Документы АСУТП'!DC64,IF($B$1=3,'Документы АСУТП'!DC65,'Документы АСУТП'!DC63))),0)</f>
        <v>0</v>
      </c>
      <c r="DB27" s="312">
        <f>ТрЗ_ОП!$R$34</f>
        <v>1</v>
      </c>
      <c r="DC27" s="27">
        <f>IF(DB27=1,IF($B$1=1,'Документы АСУТП'!DD63,IF($B$1=2,'Документы АСУТП'!DD64,IF($B$1=3,'Документы АСУТП'!DD65,'Документы АСУТП'!DD63))),0)</f>
        <v>0</v>
      </c>
      <c r="DD27" s="312">
        <f>ТрЗ_ОП!$R$34</f>
        <v>1</v>
      </c>
      <c r="DE27" s="27">
        <f>IF(DD27=1,IF($B$1=1,'Документы АСУТП'!DF63,IF($B$1=2,'Документы АСУТП'!DF64,IF($B$1=3,'Документы АСУТП'!DF65,'Документы АСУТП'!DF63))),0)</f>
        <v>0</v>
      </c>
      <c r="DF27" s="312">
        <f>ТрЗ_ОП!$R$34</f>
        <v>1</v>
      </c>
      <c r="DG27" s="27">
        <f>IF(DF27=1,IF($B$1=1,'Документы АСУТП'!DE63,IF($B$1=2,'Документы АСУТП'!DE64,IF($B$1=3,'Документы АСУТП'!DE65,'Документы АСУТП'!DE63))),0)</f>
        <v>0</v>
      </c>
      <c r="DH27" s="312">
        <f>ТрЗ_ОП!$R$34</f>
        <v>1</v>
      </c>
      <c r="DI27" s="27">
        <f>IF(DH27=1,IF($B$1=1,'Документы АСУТП'!DG63,IF($B$1=2,'Документы АСУТП'!DG64,IF($B$1=3,'Документы АСУТП'!DG65,'Документы АСУТП'!DG63))),0)</f>
        <v>0</v>
      </c>
      <c r="DJ27" s="312">
        <f>ТрЗ_ОП!$R$34</f>
        <v>1</v>
      </c>
      <c r="DK27" s="27">
        <f>IF(DJ27=1,IF($B$1=1,'Документы АСУТП'!DH63,IF($B$1=2,'Документы АСУТП'!DH64,IF($B$1=3,'Документы АСУТП'!DH65,'Документы АСУТП'!DH63))),0)</f>
        <v>0</v>
      </c>
      <c r="DL27" s="312">
        <f>ТрЗ_ОП!$R$34</f>
        <v>1</v>
      </c>
      <c r="DM27" s="27">
        <f>IF(DL27=1,IF($B$1=1,'Документы АСУТП'!DI63,IF($B$1=2,'Документы АСУТП'!DI64,IF($B$1=3,'Документы АСУТП'!DI65,'Документы АСУТП'!DI63))),0)</f>
        <v>0</v>
      </c>
      <c r="DN27" s="312">
        <f>ТрЗ_ОП!$R$34</f>
        <v>1</v>
      </c>
      <c r="DO27" s="27" t="e">
        <f>IF(DN27=1,IF($B$1=1,'Документы АСУТП'!DJ63,IF($B$1=2,'Документы АСУТП'!DJ64,IF($B$1=3,'Документы АСУТП'!DJ65,'Документы АСУТП'!DJ63))),0)</f>
        <v>#REF!</v>
      </c>
      <c r="DP27" s="312">
        <f>ТрЗ_ОП!$R$34</f>
        <v>1</v>
      </c>
      <c r="DQ27" s="27">
        <f>IF(DP27=1,IF($B$1=1,'Документы АСУТП'!DK63,IF($B$1=2,'Документы АСУТП'!DK64,IF($B$1=3,'Документы АСУТП'!DK65,'Документы АСУТП'!DK63))),0)</f>
        <v>0</v>
      </c>
      <c r="DR27" s="312">
        <f>ТрЗ_ОП!$R$34</f>
        <v>1</v>
      </c>
      <c r="DS27" s="27">
        <f>IF(DR27=1,IF($B$1=1,'Документы АСУТП'!DL63,IF($B$1=2,'Документы АСУТП'!DL64,IF($B$1=3,'Документы АСУТП'!DL65,'Документы АСУТП'!DL63))),0)</f>
        <v>0</v>
      </c>
      <c r="DT27" s="312">
        <f>ТрЗ_ОП!$R$34</f>
        <v>1</v>
      </c>
      <c r="DU27" s="27">
        <f>IF(DT27=1,IF($B$1=1,'Документы АСУТП'!DM63,IF($B$1=2,'Документы АСУТП'!DM64,IF($B$1=3,'Документы АСУТП'!DM65,'Документы АСУТП'!DM63))),0)</f>
        <v>0</v>
      </c>
      <c r="DV27" s="312">
        <f>ТрЗ_ОП!$R$34</f>
        <v>1</v>
      </c>
      <c r="DW27" s="27">
        <f>IF(DV27=1,IF($B$1=1,'Документы АСУТП'!DN63,IF($B$1=2,'Документы АСУТП'!DN64,IF($B$1=3,'Документы АСУТП'!DN65,'Документы АСУТП'!DN63))),0)</f>
        <v>0</v>
      </c>
      <c r="DX27" s="312">
        <f>ТрЗ_ОП!$R$34</f>
        <v>1</v>
      </c>
      <c r="DY27" s="27">
        <f>IF(DX27=1,IF($B$1=1,'Документы АСУТП'!DO63,IF($B$1=2,'Документы АСУТП'!DO64,IF($B$1=3,'Документы АСУТП'!DO65,'Документы АСУТП'!DO63))),0)</f>
        <v>0</v>
      </c>
      <c r="DZ27" s="312">
        <f>ТрЗ_ОП!$R$34</f>
        <v>1</v>
      </c>
      <c r="EA27" s="27">
        <f>IF(DZ27=1,IF($B$1=1,'Документы АСУТП'!DP63,IF($B$1=2,'Документы АСУТП'!DP64,IF($B$1=3,'Документы АСУТП'!DP65,'Документы АСУТП'!DP63))),0)</f>
        <v>0</v>
      </c>
      <c r="EB27" s="312">
        <f>ТрЗ_ОП!$R$34</f>
        <v>1</v>
      </c>
      <c r="EC27" s="27">
        <f>IF(EB27=1,IF($B$1=1,'Документы АСУТП'!DQ63,IF($B$1=2,'Документы АСУТП'!DQ64,IF($B$1=3,'Документы АСУТП'!DQ65,'Документы АСУТП'!DQ63))),0)</f>
        <v>0</v>
      </c>
      <c r="ED27" s="312">
        <f>ТрЗ_ОП!$R$34</f>
        <v>1</v>
      </c>
      <c r="EE27" s="27">
        <f>IF(ED27=1,IF($B$1=1,'Документы АСУТП'!DR63,IF($B$1=2,'Документы АСУТП'!DR64,IF($B$1=3,'Документы АСУТП'!DR65,'Документы АСУТП'!DR63))),0)</f>
        <v>0</v>
      </c>
      <c r="EF27" s="312">
        <f>ТрЗ_ОП!$R$34</f>
        <v>1</v>
      </c>
      <c r="EG27" s="27">
        <f>IF(EF27=1,IF($B$1=1,'Документы АСУТП'!DS63,IF($B$1=2,'Документы АСУТП'!DS64,IF($B$1=3,'Документы АСУТП'!DS65,'Документы АСУТП'!DS63))),0)</f>
        <v>0</v>
      </c>
      <c r="EH27" s="312">
        <f>ТрЗ_ОП!$R$34</f>
        <v>1</v>
      </c>
      <c r="EI27" s="27">
        <f>IF(EH27=1,IF($B$1=1,'Документы АСУТП'!DT63,IF($B$1=2,'Документы АСУТП'!DT64,IF($B$1=3,'Документы АСУТП'!DT65,'Документы АСУТП'!DT63))),0)</f>
        <v>0</v>
      </c>
      <c r="EJ27" s="312">
        <f>ТрЗ_ОП!$R$34</f>
        <v>1</v>
      </c>
      <c r="EK27" s="27">
        <f>IF(EJ27=1,IF($B$1=1,'Документы АСУТП'!DU63,IF($B$1=2,'Документы АСУТП'!DU64,IF($B$1=3,'Документы АСУТП'!DU65,'Документы АСУТП'!DU63))),0)</f>
        <v>0</v>
      </c>
      <c r="EL27" s="312">
        <f>ТрЗ_ОП!$R$34</f>
        <v>1</v>
      </c>
      <c r="EM27" s="27">
        <f>IF(EL27=1,IF($B$1=1,'Документы АСУТП'!DV63,IF($B$1=2,'Документы АСУТП'!DV64,IF($B$1=3,'Документы АСУТП'!DV65,'Документы АСУТП'!DV63))),0)</f>
        <v>0</v>
      </c>
      <c r="EN27" s="312">
        <f>ТрЗ_ОП!$R$34</f>
        <v>1</v>
      </c>
      <c r="EO27" s="27">
        <f>IF(EN27=1,IF($B$1=1,'Документы АСУТП'!DW63,IF($B$1=2,'Документы АСУТП'!DW64,IF($B$1=3,'Документы АСУТП'!DW65,'Документы АСУТП'!DW63))),0)</f>
        <v>0</v>
      </c>
      <c r="EP27" s="312">
        <f>ТрЗ_ОП!$R$34</f>
        <v>1</v>
      </c>
      <c r="EQ27" s="27">
        <f>IF(EP27=1,IF($B$1=1,'Документы АСУТП'!DX63,IF($B$1=2,'Документы АСУТП'!DX64,IF($B$1=3,'Документы АСУТП'!DX65,'Документы АСУТП'!DX63))),0)</f>
        <v>0</v>
      </c>
      <c r="ER27" s="312">
        <f>ТрЗ_ОП!$R$34</f>
        <v>1</v>
      </c>
      <c r="ES27" s="27">
        <f>IF(ER27=1,IF($B$1=1,'Документы АСУТП'!DY63,IF($B$1=2,'Документы АСУТП'!DY64,IF($B$1=3,'Документы АСУТП'!DY65,'Документы АСУТП'!DY63))),0)</f>
        <v>0</v>
      </c>
      <c r="ET27" s="312">
        <f>ТрЗ_ОП!$R$34</f>
        <v>1</v>
      </c>
      <c r="EU27" s="771">
        <f>IF(ET27=1,IF($B$1=1,'Документы АСУТП'!DZ63,IF($B$1=2,'Документы АСУТП'!DZ64,IF($B$1=3,'Документы АСУТП'!DZ65,'Документы АСУТП'!DZ63))),0)</f>
        <v>0</v>
      </c>
      <c r="EV27" s="794" t="e">
        <f t="shared" si="2"/>
        <v>#REF!</v>
      </c>
      <c r="EW27" s="796" t="e">
        <f t="shared" si="3"/>
        <v>#REF!</v>
      </c>
      <c r="EX27" s="796" t="e">
        <f t="shared" si="4"/>
        <v>#REF!</v>
      </c>
      <c r="EY27" s="796" t="e">
        <f t="shared" si="0"/>
        <v>#REF!</v>
      </c>
      <c r="EZ27" s="795" t="e">
        <f t="shared" si="1"/>
        <v>#REF!</v>
      </c>
    </row>
    <row r="28" spans="1:156" ht="15.75" x14ac:dyDescent="0.25">
      <c r="A28" s="383" t="s">
        <v>452</v>
      </c>
      <c r="B28" s="84">
        <v>0.7</v>
      </c>
      <c r="C28" s="47">
        <v>0.2</v>
      </c>
      <c r="D28" s="85">
        <v>0.1</v>
      </c>
      <c r="E28" s="84">
        <v>0.7</v>
      </c>
      <c r="F28" s="47">
        <v>0.2</v>
      </c>
      <c r="G28" s="85">
        <v>0.1</v>
      </c>
      <c r="H28" s="84">
        <v>0.7</v>
      </c>
      <c r="I28" s="47">
        <v>0.2</v>
      </c>
      <c r="J28" s="85">
        <v>0.1</v>
      </c>
      <c r="K28" s="84">
        <v>0.7</v>
      </c>
      <c r="L28" s="47">
        <v>0.2</v>
      </c>
      <c r="M28" s="85">
        <v>0.1</v>
      </c>
      <c r="N28" s="84">
        <v>0.7</v>
      </c>
      <c r="O28" s="47">
        <v>0.2</v>
      </c>
      <c r="P28" s="85">
        <v>0.1</v>
      </c>
      <c r="Q28" s="84">
        <v>0.7</v>
      </c>
      <c r="R28" s="47">
        <v>0.2</v>
      </c>
      <c r="S28" s="85">
        <v>0.1</v>
      </c>
      <c r="T28" s="84">
        <v>0.7</v>
      </c>
      <c r="U28" s="47">
        <v>0.2</v>
      </c>
      <c r="V28" s="85">
        <v>0.1</v>
      </c>
      <c r="W28" s="84">
        <v>0.7</v>
      </c>
      <c r="X28" s="47">
        <v>0.2</v>
      </c>
      <c r="Y28" s="85">
        <v>0.1</v>
      </c>
      <c r="Z28" s="84">
        <v>0.7</v>
      </c>
      <c r="AA28" s="47">
        <v>0.2</v>
      </c>
      <c r="AB28" s="85">
        <v>0.1</v>
      </c>
      <c r="AC28" s="84">
        <v>0.7</v>
      </c>
      <c r="AD28" s="47">
        <v>0.2</v>
      </c>
      <c r="AE28" s="85">
        <v>0.1</v>
      </c>
      <c r="AF28" s="84">
        <v>0.7</v>
      </c>
      <c r="AG28" s="47">
        <v>0.2</v>
      </c>
      <c r="AH28" s="85">
        <v>0.1</v>
      </c>
      <c r="AI28" s="84">
        <v>0.7</v>
      </c>
      <c r="AJ28" s="47">
        <v>0.2</v>
      </c>
      <c r="AK28" s="85">
        <v>0.1</v>
      </c>
      <c r="AL28" s="84">
        <v>0.7</v>
      </c>
      <c r="AM28" s="47">
        <v>0.2</v>
      </c>
      <c r="AN28" s="85">
        <v>0.1</v>
      </c>
      <c r="AO28" s="84">
        <v>0.7</v>
      </c>
      <c r="AP28" s="47">
        <v>0.2</v>
      </c>
      <c r="AQ28" s="85">
        <v>0.1</v>
      </c>
      <c r="AR28" s="84">
        <v>0.7</v>
      </c>
      <c r="AS28" s="47">
        <v>0.2</v>
      </c>
      <c r="AT28" s="85">
        <v>0.1</v>
      </c>
      <c r="AU28" s="84">
        <v>0.7</v>
      </c>
      <c r="AV28" s="47">
        <v>0.2</v>
      </c>
      <c r="AW28" s="85">
        <v>0.1</v>
      </c>
      <c r="AX28" s="84">
        <v>0.7</v>
      </c>
      <c r="AY28" s="47">
        <v>0.2</v>
      </c>
      <c r="AZ28" s="85">
        <v>0.1</v>
      </c>
      <c r="BA28" s="84">
        <v>0.7</v>
      </c>
      <c r="BB28" s="47">
        <v>0.2</v>
      </c>
      <c r="BC28" s="85">
        <v>0.1</v>
      </c>
      <c r="BD28" s="84">
        <v>0.7</v>
      </c>
      <c r="BE28" s="47">
        <v>0.2</v>
      </c>
      <c r="BF28" s="85">
        <v>0.1</v>
      </c>
      <c r="BG28" s="84">
        <v>0.7</v>
      </c>
      <c r="BH28" s="47">
        <v>0.2</v>
      </c>
      <c r="BI28" s="85">
        <v>0.1</v>
      </c>
      <c r="BJ28" s="84">
        <v>0.7</v>
      </c>
      <c r="BK28" s="47">
        <v>0.2</v>
      </c>
      <c r="BL28" s="85">
        <v>0.1</v>
      </c>
      <c r="BM28" s="84">
        <v>0.7</v>
      </c>
      <c r="BN28" s="47">
        <v>0.2</v>
      </c>
      <c r="BO28" s="85">
        <v>0.1</v>
      </c>
      <c r="BP28" s="84">
        <v>0.7</v>
      </c>
      <c r="BQ28" s="47">
        <v>0.2</v>
      </c>
      <c r="BR28" s="85">
        <v>0.1</v>
      </c>
      <c r="BS28" s="84">
        <v>0.7</v>
      </c>
      <c r="BT28" s="47">
        <v>0.2</v>
      </c>
      <c r="BU28" s="85">
        <v>0.1</v>
      </c>
      <c r="BV28" s="84">
        <v>0.7</v>
      </c>
      <c r="BW28" s="47">
        <v>0.2</v>
      </c>
      <c r="BX28" s="85">
        <v>0.1</v>
      </c>
      <c r="BY28" s="84">
        <v>0.7</v>
      </c>
      <c r="BZ28" s="47">
        <v>0.2</v>
      </c>
      <c r="CA28" s="85">
        <v>0.1</v>
      </c>
      <c r="CB28" s="84">
        <v>0.7</v>
      </c>
      <c r="CC28" s="47">
        <v>0.2</v>
      </c>
      <c r="CD28" s="85">
        <v>0.1</v>
      </c>
      <c r="CE28" s="84">
        <v>0.7</v>
      </c>
      <c r="CF28" s="47">
        <v>0.2</v>
      </c>
      <c r="CG28" s="85">
        <v>0.1</v>
      </c>
      <c r="CH28" s="84">
        <v>0.7</v>
      </c>
      <c r="CI28" s="47">
        <v>0.2</v>
      </c>
      <c r="CJ28" s="85">
        <v>0.1</v>
      </c>
      <c r="CK28" s="84">
        <v>0.7</v>
      </c>
      <c r="CL28" s="47">
        <v>0.2</v>
      </c>
      <c r="CM28" s="85">
        <v>0.1</v>
      </c>
      <c r="CN28" s="312">
        <f>ТрЗ_ОП!$R$35</f>
        <v>1</v>
      </c>
      <c r="CO28" s="27">
        <f>IF(CN28=1,IF($B$1=1,'Документы АСУТП'!CW66,IF($B$1=2,'Документы АСУТП'!CW67,IF($B$1=3,'Документы АСУТП'!CW68,'Документы АСУТП'!CW66))),0)</f>
        <v>0.5</v>
      </c>
      <c r="CP28" s="312">
        <f>ТрЗ_ОП!$R$35</f>
        <v>1</v>
      </c>
      <c r="CQ28" s="27">
        <f>IF(CP28=1,IF($B$1=1,'Документы АСУТП'!CX66,IF($B$1=2,'Документы АСУТП'!CX67,IF($B$1=3,'Документы АСУТП'!CX68,'Документы АСУТП'!CX66))),0)</f>
        <v>0.5</v>
      </c>
      <c r="CR28" s="312">
        <f>ТрЗ_ОП!$R$35</f>
        <v>1</v>
      </c>
      <c r="CS28" s="27">
        <f>IF(CR28=1,IF($B$1=1,'Документы АСУТП'!CY66,IF($B$1=2,'Документы АСУТП'!CY67,IF($B$1=3,'Документы АСУТП'!CY68,'Документы АСУТП'!CY66))),0)</f>
        <v>0</v>
      </c>
      <c r="CT28" s="312">
        <f>ТрЗ_ОП!$R$35</f>
        <v>1</v>
      </c>
      <c r="CU28" s="27">
        <f>IF(CT28=1,IF($B$1=1,'Документы АСУТП'!CZ66,IF($B$1=2,'Документы АСУТП'!CZ67,IF($B$1=3,'Документы АСУТП'!CZ68,'Документы АСУТП'!CZ66))),0)</f>
        <v>0</v>
      </c>
      <c r="CV28" s="312">
        <f>ТрЗ_ОП!$R$35</f>
        <v>1</v>
      </c>
      <c r="CW28" s="27">
        <f>IF(CV28=1,IF($B$1=1,'Документы АСУТП'!DA66,IF($B$1=2,'Документы АСУТП'!DA67,IF($B$1=3,'Документы АСУТП'!DA68,'Документы АСУТП'!DA66))),0)</f>
        <v>0</v>
      </c>
      <c r="CX28" s="312">
        <f>ТрЗ_ОП!$R$35</f>
        <v>1</v>
      </c>
      <c r="CY28" s="27">
        <f>IF(CX28=1,IF($B$1=1,'Документы АСУТП'!DB66,IF($B$1=2,'Документы АСУТП'!DB67,IF($B$1=3,'Документы АСУТП'!DB68,'Документы АСУТП'!DB66))),0)</f>
        <v>0</v>
      </c>
      <c r="CZ28" s="312">
        <f>ТрЗ_ОП!$R$35</f>
        <v>1</v>
      </c>
      <c r="DA28" s="27">
        <f>IF(CZ28=1,IF($B$1=1,'Документы АСУТП'!DC66,IF($B$1=2,'Документы АСУТП'!DC67,IF($B$1=3,'Документы АСУТП'!DC68,'Документы АСУТП'!DC66))),0)</f>
        <v>0</v>
      </c>
      <c r="DB28" s="312">
        <f>ТрЗ_ОП!$R$35</f>
        <v>1</v>
      </c>
      <c r="DC28" s="27">
        <f>IF(DB28=1,IF($B$1=1,'Документы АСУТП'!DD66,IF($B$1=2,'Документы АСУТП'!DD67,IF($B$1=3,'Документы АСУТП'!DD68,'Документы АСУТП'!DD66))),0)</f>
        <v>0</v>
      </c>
      <c r="DD28" s="312">
        <f>ТрЗ_ОП!$R$35</f>
        <v>1</v>
      </c>
      <c r="DE28" s="27">
        <f>IF(DD28=1,IF($B$1=1,'Документы АСУТП'!DF66,IF($B$1=2,'Документы АСУТП'!DF67,IF($B$1=3,'Документы АСУТП'!DF68,'Документы АСУТП'!DF66))),0)</f>
        <v>0</v>
      </c>
      <c r="DF28" s="312">
        <f>ТрЗ_ОП!$R$35</f>
        <v>1</v>
      </c>
      <c r="DG28" s="27">
        <f>IF(DF28=1,IF($B$1=1,'Документы АСУТП'!DE66,IF($B$1=2,'Документы АСУТП'!DE67,IF($B$1=3,'Документы АСУТП'!DE68,'Документы АСУТП'!DE66))),0)</f>
        <v>0</v>
      </c>
      <c r="DH28" s="312">
        <f>ТрЗ_ОП!$R$35</f>
        <v>1</v>
      </c>
      <c r="DI28" s="27">
        <f>IF(DH28=1,IF($B$1=1,'Документы АСУТП'!DG66,IF($B$1=2,'Документы АСУТП'!DG67,IF($B$1=3,'Документы АСУТП'!DG68,'Документы АСУТП'!DG66))),0)</f>
        <v>0</v>
      </c>
      <c r="DJ28" s="312">
        <f>ТрЗ_ОП!$R$35</f>
        <v>1</v>
      </c>
      <c r="DK28" s="27">
        <f>IF(DJ28=1,IF($B$1=1,'Документы АСУТП'!DH66,IF($B$1=2,'Документы АСУТП'!DH67,IF($B$1=3,'Документы АСУТП'!DH68,'Документы АСУТП'!DH66))),0)</f>
        <v>0</v>
      </c>
      <c r="DL28" s="312">
        <f>ТрЗ_ОП!$R$35</f>
        <v>1</v>
      </c>
      <c r="DM28" s="27">
        <f>IF(DL28=1,IF($B$1=1,'Документы АСУТП'!DI66,IF($B$1=2,'Документы АСУТП'!DI67,IF($B$1=3,'Документы АСУТП'!DI68,'Документы АСУТП'!DI66))),0)</f>
        <v>0</v>
      </c>
      <c r="DN28" s="312">
        <f>ТрЗ_ОП!$R$35</f>
        <v>1</v>
      </c>
      <c r="DO28" s="27" t="e">
        <f>IF(DN28=1,IF($B$1=1,'Документы АСУТП'!DJ66,IF($B$1=2,'Документы АСУТП'!DJ67,IF($B$1=3,'Документы АСУТП'!DJ68,'Документы АСУТП'!DJ66))),0)</f>
        <v>#REF!</v>
      </c>
      <c r="DP28" s="312">
        <f>ТрЗ_ОП!$R$35</f>
        <v>1</v>
      </c>
      <c r="DQ28" s="27">
        <f>IF(DP28=1,IF($B$1=1,'Документы АСУТП'!DK66,IF($B$1=2,'Документы АСУТП'!DK67,IF($B$1=3,'Документы АСУТП'!DK68,'Документы АСУТП'!DK66))),0)</f>
        <v>0</v>
      </c>
      <c r="DR28" s="312">
        <f>ТрЗ_ОП!$R$35</f>
        <v>1</v>
      </c>
      <c r="DS28" s="27">
        <f>IF(DR28=1,IF($B$1=1,'Документы АСУТП'!DL66,IF($B$1=2,'Документы АСУТП'!DL67,IF($B$1=3,'Документы АСУТП'!DL68,'Документы АСУТП'!DL66))),0)</f>
        <v>0</v>
      </c>
      <c r="DT28" s="312">
        <f>ТрЗ_ОП!$R$35</f>
        <v>1</v>
      </c>
      <c r="DU28" s="27">
        <f>IF(DT28=1,IF($B$1=1,'Документы АСУТП'!DM66,IF($B$1=2,'Документы АСУТП'!DM67,IF($B$1=3,'Документы АСУТП'!DM68,'Документы АСУТП'!DM66))),0)</f>
        <v>0</v>
      </c>
      <c r="DV28" s="312">
        <f>ТрЗ_ОП!$R$35</f>
        <v>1</v>
      </c>
      <c r="DW28" s="27">
        <f>IF(DV28=1,IF($B$1=1,'Документы АСУТП'!DN66,IF($B$1=2,'Документы АСУТП'!DN67,IF($B$1=3,'Документы АСУТП'!DN68,'Документы АСУТП'!DN66))),0)</f>
        <v>0</v>
      </c>
      <c r="DX28" s="312">
        <f>ТрЗ_ОП!$R$35</f>
        <v>1</v>
      </c>
      <c r="DY28" s="27">
        <f>IF(DX28=1,IF($B$1=1,'Документы АСУТП'!DO66,IF($B$1=2,'Документы АСУТП'!DO67,IF($B$1=3,'Документы АСУТП'!DO68,'Документы АСУТП'!DO66))),0)</f>
        <v>0</v>
      </c>
      <c r="DZ28" s="312">
        <f>ТрЗ_ОП!$R$35</f>
        <v>1</v>
      </c>
      <c r="EA28" s="27">
        <f>IF(DZ28=1,IF($B$1=1,'Документы АСУТП'!DP66,IF($B$1=2,'Документы АСУТП'!DP67,IF($B$1=3,'Документы АСУТП'!DP68,'Документы АСУТП'!DP66))),0)</f>
        <v>0</v>
      </c>
      <c r="EB28" s="312">
        <f>ТрЗ_ОП!$R$35</f>
        <v>1</v>
      </c>
      <c r="EC28" s="27">
        <f>IF(EB28=1,IF($B$1=1,'Документы АСУТП'!DQ66,IF($B$1=2,'Документы АСУТП'!DQ67,IF($B$1=3,'Документы АСУТП'!DQ68,'Документы АСУТП'!DQ66))),0)</f>
        <v>0</v>
      </c>
      <c r="ED28" s="312">
        <f>ТрЗ_ОП!$R$35</f>
        <v>1</v>
      </c>
      <c r="EE28" s="27">
        <f>IF(ED28=1,IF($B$1=1,'Документы АСУТП'!DR66,IF($B$1=2,'Документы АСУТП'!DR67,IF($B$1=3,'Документы АСУТП'!DR68,'Документы АСУТП'!DR66))),0)</f>
        <v>0</v>
      </c>
      <c r="EF28" s="312">
        <f>ТрЗ_ОП!$R$35</f>
        <v>1</v>
      </c>
      <c r="EG28" s="27">
        <f>IF(EF28=1,IF($B$1=1,'Документы АСУТП'!DS66,IF($B$1=2,'Документы АСУТП'!DS67,IF($B$1=3,'Документы АСУТП'!DS68,'Документы АСУТП'!DS66))),0)</f>
        <v>0</v>
      </c>
      <c r="EH28" s="312">
        <f>ТрЗ_ОП!$R$35</f>
        <v>1</v>
      </c>
      <c r="EI28" s="27">
        <f>IF(EH28=1,IF($B$1=1,'Документы АСУТП'!DT66,IF($B$1=2,'Документы АСУТП'!DT67,IF($B$1=3,'Документы АСУТП'!DT68,'Документы АСУТП'!DT66))),0)</f>
        <v>0</v>
      </c>
      <c r="EJ28" s="312">
        <f>ТрЗ_ОП!$R$35</f>
        <v>1</v>
      </c>
      <c r="EK28" s="27">
        <f>IF(EJ28=1,IF($B$1=1,'Документы АСУТП'!DU66,IF($B$1=2,'Документы АСУТП'!DU67,IF($B$1=3,'Документы АСУТП'!DU68,'Документы АСУТП'!DU66))),0)</f>
        <v>0</v>
      </c>
      <c r="EL28" s="312">
        <f>ТрЗ_ОП!$R$35</f>
        <v>1</v>
      </c>
      <c r="EM28" s="27">
        <f>IF(EL28=1,IF($B$1=1,'Документы АСУТП'!DV66,IF($B$1=2,'Документы АСУТП'!DV67,IF($B$1=3,'Документы АСУТП'!DV68,'Документы АСУТП'!DV66))),0)</f>
        <v>0</v>
      </c>
      <c r="EN28" s="312">
        <f>ТрЗ_ОП!$R$35</f>
        <v>1</v>
      </c>
      <c r="EO28" s="27">
        <f>IF(EN28=1,IF($B$1=1,'Документы АСУТП'!DW66,IF($B$1=2,'Документы АСУТП'!DW67,IF($B$1=3,'Документы АСУТП'!DW68,'Документы АСУТП'!DW66))),0)</f>
        <v>0</v>
      </c>
      <c r="EP28" s="312">
        <f>ТрЗ_ОП!$R$35</f>
        <v>1</v>
      </c>
      <c r="EQ28" s="27">
        <f>IF(EP28=1,IF($B$1=1,'Документы АСУТП'!DX66,IF($B$1=2,'Документы АСУТП'!DX67,IF($B$1=3,'Документы АСУТП'!DX68,'Документы АСУТП'!DX66))),0)</f>
        <v>0</v>
      </c>
      <c r="ER28" s="312">
        <f>ТрЗ_ОП!$R$35</f>
        <v>1</v>
      </c>
      <c r="ES28" s="27">
        <f>IF(ER28=1,IF($B$1=1,'Документы АСУТП'!DY66,IF($B$1=2,'Документы АСУТП'!DY67,IF($B$1=3,'Документы АСУТП'!DY68,'Документы АСУТП'!DY66))),0)</f>
        <v>0</v>
      </c>
      <c r="ET28" s="312">
        <f>ТрЗ_ОП!$R$35</f>
        <v>1</v>
      </c>
      <c r="EU28" s="771">
        <f>IF(ET28=1,IF($B$1=1,'Документы АСУТП'!DZ66,IF($B$1=2,'Документы АСУТП'!DZ67,IF($B$1=3,'Документы АСУТП'!DZ68,'Документы АСУТП'!DZ66))),0)</f>
        <v>0</v>
      </c>
      <c r="EV28" s="794" t="e">
        <f t="shared" si="2"/>
        <v>#REF!</v>
      </c>
      <c r="EW28" s="796" t="e">
        <f t="shared" si="3"/>
        <v>#REF!</v>
      </c>
      <c r="EX28" s="796" t="e">
        <f t="shared" si="4"/>
        <v>#REF!</v>
      </c>
      <c r="EY28" s="796" t="e">
        <f t="shared" si="0"/>
        <v>#REF!</v>
      </c>
      <c r="EZ28" s="795" t="e">
        <f t="shared" si="1"/>
        <v>#REF!</v>
      </c>
    </row>
    <row r="29" spans="1:156" ht="15.75" x14ac:dyDescent="0.25">
      <c r="A29" s="383" t="s">
        <v>533</v>
      </c>
      <c r="B29" s="84">
        <v>0.2</v>
      </c>
      <c r="C29" s="47">
        <v>0.4</v>
      </c>
      <c r="D29" s="85">
        <v>0.4</v>
      </c>
      <c r="E29" s="84">
        <v>0.2</v>
      </c>
      <c r="F29" s="47">
        <v>0.4</v>
      </c>
      <c r="G29" s="85">
        <v>0.4</v>
      </c>
      <c r="H29" s="84">
        <v>0.2</v>
      </c>
      <c r="I29" s="47">
        <v>0.4</v>
      </c>
      <c r="J29" s="85">
        <v>0.4</v>
      </c>
      <c r="K29" s="84">
        <v>0.2</v>
      </c>
      <c r="L29" s="47">
        <v>0.4</v>
      </c>
      <c r="M29" s="85">
        <v>0.4</v>
      </c>
      <c r="N29" s="84">
        <v>0.2</v>
      </c>
      <c r="O29" s="47">
        <v>0.4</v>
      </c>
      <c r="P29" s="85">
        <v>0.4</v>
      </c>
      <c r="Q29" s="84">
        <v>0.2</v>
      </c>
      <c r="R29" s="47">
        <v>0.4</v>
      </c>
      <c r="S29" s="85">
        <v>0.4</v>
      </c>
      <c r="T29" s="84">
        <v>0.2</v>
      </c>
      <c r="U29" s="47">
        <v>0.4</v>
      </c>
      <c r="V29" s="85">
        <v>0.4</v>
      </c>
      <c r="W29" s="84">
        <v>0.2</v>
      </c>
      <c r="X29" s="47">
        <v>0.4</v>
      </c>
      <c r="Y29" s="85">
        <v>0.4</v>
      </c>
      <c r="Z29" s="84">
        <v>0.2</v>
      </c>
      <c r="AA29" s="47">
        <v>0.4</v>
      </c>
      <c r="AB29" s="85">
        <v>0.4</v>
      </c>
      <c r="AC29" s="84">
        <v>0.2</v>
      </c>
      <c r="AD29" s="47">
        <v>0.4</v>
      </c>
      <c r="AE29" s="85">
        <v>0.4</v>
      </c>
      <c r="AF29" s="84">
        <v>0.2</v>
      </c>
      <c r="AG29" s="47">
        <v>0.4</v>
      </c>
      <c r="AH29" s="85">
        <v>0.4</v>
      </c>
      <c r="AI29" s="84">
        <v>0.2</v>
      </c>
      <c r="AJ29" s="47">
        <v>0.4</v>
      </c>
      <c r="AK29" s="85">
        <v>0.4</v>
      </c>
      <c r="AL29" s="84">
        <v>0.2</v>
      </c>
      <c r="AM29" s="47">
        <v>0.4</v>
      </c>
      <c r="AN29" s="85">
        <v>0.4</v>
      </c>
      <c r="AO29" s="84">
        <v>0.2</v>
      </c>
      <c r="AP29" s="47">
        <v>0.4</v>
      </c>
      <c r="AQ29" s="85">
        <v>0.4</v>
      </c>
      <c r="AR29" s="84">
        <v>0.2</v>
      </c>
      <c r="AS29" s="47">
        <v>0.4</v>
      </c>
      <c r="AT29" s="85">
        <v>0.4</v>
      </c>
      <c r="AU29" s="84">
        <v>0.2</v>
      </c>
      <c r="AV29" s="47">
        <v>0.4</v>
      </c>
      <c r="AW29" s="85">
        <v>0.4</v>
      </c>
      <c r="AX29" s="84">
        <v>0.2</v>
      </c>
      <c r="AY29" s="47">
        <v>0.4</v>
      </c>
      <c r="AZ29" s="85">
        <v>0.4</v>
      </c>
      <c r="BA29" s="84">
        <v>0.2</v>
      </c>
      <c r="BB29" s="47">
        <v>0.4</v>
      </c>
      <c r="BC29" s="85">
        <v>0.4</v>
      </c>
      <c r="BD29" s="84">
        <v>0.2</v>
      </c>
      <c r="BE29" s="47">
        <v>0.4</v>
      </c>
      <c r="BF29" s="85">
        <v>0.4</v>
      </c>
      <c r="BG29" s="84">
        <v>0.2</v>
      </c>
      <c r="BH29" s="47">
        <v>0.4</v>
      </c>
      <c r="BI29" s="85">
        <v>0.4</v>
      </c>
      <c r="BJ29" s="84">
        <v>0.2</v>
      </c>
      <c r="BK29" s="47">
        <v>0.4</v>
      </c>
      <c r="BL29" s="85">
        <v>0.4</v>
      </c>
      <c r="BM29" s="84">
        <v>0.2</v>
      </c>
      <c r="BN29" s="47">
        <v>0.4</v>
      </c>
      <c r="BO29" s="85">
        <v>0.4</v>
      </c>
      <c r="BP29" s="84">
        <v>0.2</v>
      </c>
      <c r="BQ29" s="47">
        <v>0.4</v>
      </c>
      <c r="BR29" s="85">
        <v>0.4</v>
      </c>
      <c r="BS29" s="84">
        <v>0.2</v>
      </c>
      <c r="BT29" s="47">
        <v>0.4</v>
      </c>
      <c r="BU29" s="85">
        <v>0.4</v>
      </c>
      <c r="BV29" s="84">
        <v>0.2</v>
      </c>
      <c r="BW29" s="47">
        <v>0.4</v>
      </c>
      <c r="BX29" s="85">
        <v>0.4</v>
      </c>
      <c r="BY29" s="84">
        <v>0.2</v>
      </c>
      <c r="BZ29" s="47">
        <v>0.4</v>
      </c>
      <c r="CA29" s="85">
        <v>0.4</v>
      </c>
      <c r="CB29" s="84">
        <v>0.2</v>
      </c>
      <c r="CC29" s="47">
        <v>0.4</v>
      </c>
      <c r="CD29" s="85">
        <v>0.4</v>
      </c>
      <c r="CE29" s="84">
        <v>0.2</v>
      </c>
      <c r="CF29" s="47">
        <v>0.4</v>
      </c>
      <c r="CG29" s="85">
        <v>0.4</v>
      </c>
      <c r="CH29" s="84">
        <v>0.2</v>
      </c>
      <c r="CI29" s="47">
        <v>0.4</v>
      </c>
      <c r="CJ29" s="85">
        <v>0.4</v>
      </c>
      <c r="CK29" s="84">
        <v>0.2</v>
      </c>
      <c r="CL29" s="47">
        <v>0.4</v>
      </c>
      <c r="CM29" s="85">
        <v>0.4</v>
      </c>
      <c r="CN29" s="312">
        <f>ТрЗ_ОП!$R$36</f>
        <v>1</v>
      </c>
      <c r="CO29" s="27">
        <f>IF(CN29=1,IF($B$1=1,'Документы АСУТП'!CW69,IF($B$1=2,'Документы АСУТП'!CW70,IF($B$1=3,'Документы АСУТП'!CW71,'Документы АСУТП'!CW69))),0)</f>
        <v>0</v>
      </c>
      <c r="CP29" s="312">
        <f>ТрЗ_ОП!$R$36</f>
        <v>1</v>
      </c>
      <c r="CQ29" s="27">
        <f>IF(CP29=1,IF($B$1=1,'Документы АСУТП'!CX69,IF($B$1=2,'Документы АСУТП'!CX70,IF($B$1=3,'Документы АСУТП'!CX71,'Документы АСУТП'!CX69))),0)</f>
        <v>0</v>
      </c>
      <c r="CR29" s="312">
        <f>ТрЗ_ОП!$R$36</f>
        <v>1</v>
      </c>
      <c r="CS29" s="27">
        <f>IF(CR29=1,IF($B$1=1,'Документы АСУТП'!CY69,IF($B$1=2,'Документы АСУТП'!CY70,IF($B$1=3,'Документы АСУТП'!CY71,'Документы АСУТП'!CY69))),0)</f>
        <v>0</v>
      </c>
      <c r="CT29" s="312">
        <f>ТрЗ_ОП!$R$36</f>
        <v>1</v>
      </c>
      <c r="CU29" s="27">
        <f>IF(CT29=1,IF($B$1=1,'Документы АСУТП'!CZ69,IF($B$1=2,'Документы АСУТП'!CZ70,IF($B$1=3,'Документы АСУТП'!CZ71,'Документы АСУТП'!CZ69))),0)</f>
        <v>0</v>
      </c>
      <c r="CV29" s="312">
        <f>ТрЗ_ОП!$R$36</f>
        <v>1</v>
      </c>
      <c r="CW29" s="27">
        <f>IF(CV29=1,IF($B$1=1,'Документы АСУТП'!DA69,IF($B$1=2,'Документы АСУТП'!DA70,IF($B$1=3,'Документы АСУТП'!DA71,'Документы АСУТП'!DA69))),0)</f>
        <v>0</v>
      </c>
      <c r="CX29" s="312">
        <f>ТрЗ_ОП!$R$36</f>
        <v>1</v>
      </c>
      <c r="CY29" s="27">
        <f>IF(CX29=1,IF($B$1=1,'Документы АСУТП'!DB69,IF($B$1=2,'Документы АСУТП'!DB70,IF($B$1=3,'Документы АСУТП'!DB71,'Документы АСУТП'!DB69))),0)</f>
        <v>0</v>
      </c>
      <c r="CZ29" s="312">
        <f>ТрЗ_ОП!$R$36</f>
        <v>1</v>
      </c>
      <c r="DA29" s="27">
        <f>IF(CZ29=1,IF($B$1=1,'Документы АСУТП'!DC69,IF($B$1=2,'Документы АСУТП'!DC70,IF($B$1=3,'Документы АСУТП'!DC71,'Документы АСУТП'!DC69))),0)</f>
        <v>0</v>
      </c>
      <c r="DB29" s="312">
        <f>ТрЗ_ОП!$R$36</f>
        <v>1</v>
      </c>
      <c r="DC29" s="27">
        <f>IF(DB29=1,IF($B$1=1,'Документы АСУТП'!DD69,IF($B$1=2,'Документы АСУТП'!DD70,IF($B$1=3,'Документы АСУТП'!DD71,'Документы АСУТП'!DD69))),0)</f>
        <v>0</v>
      </c>
      <c r="DD29" s="312">
        <f>ТрЗ_ОП!$R$36</f>
        <v>1</v>
      </c>
      <c r="DE29" s="27">
        <f>IF(DD29=1,IF($B$1=1,'Документы АСУТП'!DF69,IF($B$1=2,'Документы АСУТП'!DF70,IF($B$1=3,'Документы АСУТП'!DF71,'Документы АСУТП'!DF69))),0)</f>
        <v>0</v>
      </c>
      <c r="DF29" s="312">
        <f>ТрЗ_ОП!$R$36</f>
        <v>1</v>
      </c>
      <c r="DG29" s="27">
        <f>IF(DF29=1,IF($B$1=1,'Документы АСУТП'!DE69,IF($B$1=2,'Документы АСУТП'!DE70,IF($B$1=3,'Документы АСУТП'!DE71,'Документы АСУТП'!DE69))),0)</f>
        <v>0</v>
      </c>
      <c r="DH29" s="312">
        <f>ТрЗ_ОП!$R$36</f>
        <v>1</v>
      </c>
      <c r="DI29" s="27">
        <f>IF(DH29=1,IF($B$1=1,'Документы АСУТП'!DG69,IF($B$1=2,'Документы АСУТП'!DG70,IF($B$1=3,'Документы АСУТП'!DG71,'Документы АСУТП'!DG69))),0)</f>
        <v>0</v>
      </c>
      <c r="DJ29" s="312">
        <f>ТрЗ_ОП!$R$36</f>
        <v>1</v>
      </c>
      <c r="DK29" s="27">
        <f>IF(DJ29=1,IF($B$1=1,'Документы АСУТП'!DH69,IF($B$1=2,'Документы АСУТП'!DH70,IF($B$1=3,'Документы АСУТП'!DH71,'Документы АСУТП'!DH69))),0)</f>
        <v>0</v>
      </c>
      <c r="DL29" s="312">
        <f>ТрЗ_ОП!$R$36</f>
        <v>1</v>
      </c>
      <c r="DM29" s="27">
        <f>IF(DL29=1,IF($B$1=1,'Документы АСУТП'!DI69,IF($B$1=2,'Документы АСУТП'!DI70,IF($B$1=3,'Документы АСУТП'!DI71,'Документы АСУТП'!DI69))),0)</f>
        <v>0</v>
      </c>
      <c r="DN29" s="312">
        <f>ТрЗ_ОП!$R$36</f>
        <v>1</v>
      </c>
      <c r="DO29" s="27" t="e">
        <f>IF(DN29=1,IF($B$1=1,'Документы АСУТП'!DJ69,IF($B$1=2,'Документы АСУТП'!DJ70,IF($B$1=3,'Документы АСУТП'!DJ71,'Документы АСУТП'!DJ69))),0)</f>
        <v>#REF!</v>
      </c>
      <c r="DP29" s="312">
        <f>ТрЗ_ОП!$R$36</f>
        <v>1</v>
      </c>
      <c r="DQ29" s="27">
        <f>IF(DP29=1,IF($B$1=1,'Документы АСУТП'!DK69,IF($B$1=2,'Документы АСУТП'!DK70,IF($B$1=3,'Документы АСУТП'!DK71,'Документы АСУТП'!DK69))),0)</f>
        <v>0</v>
      </c>
      <c r="DR29" s="312">
        <f>ТрЗ_ОП!$R$36</f>
        <v>1</v>
      </c>
      <c r="DS29" s="27">
        <f>IF(DR29=1,IF($B$1=1,'Документы АСУТП'!DL69,IF($B$1=2,'Документы АСУТП'!DL70,IF($B$1=3,'Документы АСУТП'!DL71,'Документы АСУТП'!DL69))),0)</f>
        <v>0</v>
      </c>
      <c r="DT29" s="312">
        <f>ТрЗ_ОП!$R$36</f>
        <v>1</v>
      </c>
      <c r="DU29" s="27">
        <f>IF(DT29=1,IF($B$1=1,'Документы АСУТП'!DM69,IF($B$1=2,'Документы АСУТП'!DM70,IF($B$1=3,'Документы АСУТП'!DM71,'Документы АСУТП'!DM69))),0)</f>
        <v>0</v>
      </c>
      <c r="DV29" s="312">
        <f>ТрЗ_ОП!$R$36</f>
        <v>1</v>
      </c>
      <c r="DW29" s="27">
        <f>IF(DV29=1,IF($B$1=1,'Документы АСУТП'!DN69,IF($B$1=2,'Документы АСУТП'!DN70,IF($B$1=3,'Документы АСУТП'!DN71,'Документы АСУТП'!DN69))),0)</f>
        <v>0</v>
      </c>
      <c r="DX29" s="312">
        <f>ТрЗ_ОП!$R$36</f>
        <v>1</v>
      </c>
      <c r="DY29" s="27">
        <f>IF(DX29=1,IF($B$1=1,'Документы АСУТП'!DO69,IF($B$1=2,'Документы АСУТП'!DO70,IF($B$1=3,'Документы АСУТП'!DO71,'Документы АСУТП'!DO69))),0)</f>
        <v>0</v>
      </c>
      <c r="DZ29" s="312">
        <f>ТрЗ_ОП!$R$36</f>
        <v>1</v>
      </c>
      <c r="EA29" s="27">
        <f>IF(DZ29=1,IF($B$1=1,'Документы АСУТП'!DP69,IF($B$1=2,'Документы АСУТП'!DP70,IF($B$1=3,'Документы АСУТП'!DP71,'Документы АСУТП'!DP69))),0)</f>
        <v>0</v>
      </c>
      <c r="EB29" s="312">
        <f>ТрЗ_ОП!$R$36</f>
        <v>1</v>
      </c>
      <c r="EC29" s="27">
        <f>IF(EB29=1,IF($B$1=1,'Документы АСУТП'!DQ69,IF($B$1=2,'Документы АСУТП'!DQ70,IF($B$1=3,'Документы АСУТП'!DQ71,'Документы АСУТП'!DQ69))),0)</f>
        <v>0</v>
      </c>
      <c r="ED29" s="312">
        <f>ТрЗ_ОП!$R$36</f>
        <v>1</v>
      </c>
      <c r="EE29" s="27">
        <f>IF(ED29=1,IF($B$1=1,'Документы АСУТП'!DR69,IF($B$1=2,'Документы АСУТП'!DR70,IF($B$1=3,'Документы АСУТП'!DR71,'Документы АСУТП'!DR69))),0)</f>
        <v>0</v>
      </c>
      <c r="EF29" s="312">
        <f>ТрЗ_ОП!$R$36</f>
        <v>1</v>
      </c>
      <c r="EG29" s="27">
        <f>IF(EF29=1,IF($B$1=1,'Документы АСУТП'!DS69,IF($B$1=2,'Документы АСУТП'!DS70,IF($B$1=3,'Документы АСУТП'!DS71,'Документы АСУТП'!DS69))),0)</f>
        <v>0</v>
      </c>
      <c r="EH29" s="312">
        <f>ТрЗ_ОП!$R$36</f>
        <v>1</v>
      </c>
      <c r="EI29" s="27">
        <f>IF(EH29=1,IF($B$1=1,'Документы АСУТП'!DT69,IF($B$1=2,'Документы АСУТП'!DT70,IF($B$1=3,'Документы АСУТП'!DT71,'Документы АСУТП'!DT69))),0)</f>
        <v>0</v>
      </c>
      <c r="EJ29" s="312">
        <f>ТрЗ_ОП!$R$36</f>
        <v>1</v>
      </c>
      <c r="EK29" s="27">
        <f>IF(EJ29=1,IF($B$1=1,'Документы АСУТП'!DU69,IF($B$1=2,'Документы АСУТП'!DU70,IF($B$1=3,'Документы АСУТП'!DU71,'Документы АСУТП'!DU69))),0)</f>
        <v>0</v>
      </c>
      <c r="EL29" s="312">
        <f>ТрЗ_ОП!$R$36</f>
        <v>1</v>
      </c>
      <c r="EM29" s="27">
        <f>IF(EL29=1,IF($B$1=1,'Документы АСУТП'!DV69,IF($B$1=2,'Документы АСУТП'!DV70,IF($B$1=3,'Документы АСУТП'!DV71,'Документы АСУТП'!DV69))),0)</f>
        <v>0</v>
      </c>
      <c r="EN29" s="312">
        <f>ТрЗ_ОП!$R$36</f>
        <v>1</v>
      </c>
      <c r="EO29" s="27">
        <f>IF(EN29=1,IF($B$1=1,'Документы АСУТП'!DW69,IF($B$1=2,'Документы АСУТП'!DW70,IF($B$1=3,'Документы АСУТП'!DW71,'Документы АСУТП'!DW69))),0)</f>
        <v>0</v>
      </c>
      <c r="EP29" s="312">
        <f>ТрЗ_ОП!$R$36</f>
        <v>1</v>
      </c>
      <c r="EQ29" s="27">
        <f>IF(EP29=1,IF($B$1=1,'Документы АСУТП'!DX69,IF($B$1=2,'Документы АСУТП'!DX70,IF($B$1=3,'Документы АСУТП'!DX71,'Документы АСУТП'!DX69))),0)</f>
        <v>0</v>
      </c>
      <c r="ER29" s="312">
        <f>ТрЗ_ОП!$R$36</f>
        <v>1</v>
      </c>
      <c r="ES29" s="27">
        <f>IF(ER29=1,IF($B$1=1,'Документы АСУТП'!DY69,IF($B$1=2,'Документы АСУТП'!DY70,IF($B$1=3,'Документы АСУТП'!DY71,'Документы АСУТП'!DY69))),0)</f>
        <v>0</v>
      </c>
      <c r="ET29" s="312">
        <f>ТрЗ_ОП!$R$36</f>
        <v>1</v>
      </c>
      <c r="EU29" s="771">
        <f>IF(ET29=1,IF($B$1=1,'Документы АСУТП'!DZ69,IF($B$1=2,'Документы АСУТП'!DZ70,IF($B$1=3,'Документы АСУТП'!DZ71,'Документы АСУТП'!DZ69))),0)</f>
        <v>0</v>
      </c>
      <c r="EV29" s="794" t="e">
        <f t="shared" si="2"/>
        <v>#REF!</v>
      </c>
      <c r="EW29" s="796" t="e">
        <f t="shared" si="3"/>
        <v>#REF!</v>
      </c>
      <c r="EX29" s="796" t="e">
        <f t="shared" si="4"/>
        <v>#REF!</v>
      </c>
      <c r="EY29" s="796" t="e">
        <f t="shared" si="0"/>
        <v>#REF!</v>
      </c>
      <c r="EZ29" s="795" t="e">
        <f t="shared" si="1"/>
        <v>#REF!</v>
      </c>
    </row>
    <row r="30" spans="1:156" ht="15.75" x14ac:dyDescent="0.25">
      <c r="A30" s="383" t="s">
        <v>534</v>
      </c>
      <c r="B30" s="84">
        <v>0.2</v>
      </c>
      <c r="C30" s="47">
        <v>0.4</v>
      </c>
      <c r="D30" s="85">
        <v>0.4</v>
      </c>
      <c r="E30" s="84">
        <v>0.2</v>
      </c>
      <c r="F30" s="47">
        <v>0.4</v>
      </c>
      <c r="G30" s="85">
        <v>0.4</v>
      </c>
      <c r="H30" s="84">
        <v>0.2</v>
      </c>
      <c r="I30" s="47">
        <v>0.4</v>
      </c>
      <c r="J30" s="85">
        <v>0.4</v>
      </c>
      <c r="K30" s="84">
        <v>0.2</v>
      </c>
      <c r="L30" s="47">
        <v>0.4</v>
      </c>
      <c r="M30" s="85">
        <v>0.4</v>
      </c>
      <c r="N30" s="84">
        <v>0.2</v>
      </c>
      <c r="O30" s="47">
        <v>0.4</v>
      </c>
      <c r="P30" s="85">
        <v>0.4</v>
      </c>
      <c r="Q30" s="84">
        <v>0.2</v>
      </c>
      <c r="R30" s="47">
        <v>0.4</v>
      </c>
      <c r="S30" s="85">
        <v>0.4</v>
      </c>
      <c r="T30" s="84">
        <v>0.2</v>
      </c>
      <c r="U30" s="47">
        <v>0.4</v>
      </c>
      <c r="V30" s="85">
        <v>0.4</v>
      </c>
      <c r="W30" s="84">
        <v>0.2</v>
      </c>
      <c r="X30" s="47">
        <v>0.4</v>
      </c>
      <c r="Y30" s="85">
        <v>0.4</v>
      </c>
      <c r="Z30" s="84">
        <v>0.2</v>
      </c>
      <c r="AA30" s="47">
        <v>0.4</v>
      </c>
      <c r="AB30" s="85">
        <v>0.4</v>
      </c>
      <c r="AC30" s="84">
        <v>0.2</v>
      </c>
      <c r="AD30" s="47">
        <v>0.4</v>
      </c>
      <c r="AE30" s="85">
        <v>0.4</v>
      </c>
      <c r="AF30" s="84">
        <v>0.2</v>
      </c>
      <c r="AG30" s="47">
        <v>0.4</v>
      </c>
      <c r="AH30" s="85">
        <v>0.4</v>
      </c>
      <c r="AI30" s="84">
        <v>0.2</v>
      </c>
      <c r="AJ30" s="47">
        <v>0.4</v>
      </c>
      <c r="AK30" s="85">
        <v>0.4</v>
      </c>
      <c r="AL30" s="84">
        <v>0.2</v>
      </c>
      <c r="AM30" s="47">
        <v>0.4</v>
      </c>
      <c r="AN30" s="85">
        <v>0.4</v>
      </c>
      <c r="AO30" s="84">
        <v>0.2</v>
      </c>
      <c r="AP30" s="47">
        <v>0.4</v>
      </c>
      <c r="AQ30" s="85">
        <v>0.4</v>
      </c>
      <c r="AR30" s="84">
        <v>0.2</v>
      </c>
      <c r="AS30" s="47">
        <v>0.4</v>
      </c>
      <c r="AT30" s="85">
        <v>0.4</v>
      </c>
      <c r="AU30" s="84">
        <v>0.2</v>
      </c>
      <c r="AV30" s="47">
        <v>0.4</v>
      </c>
      <c r="AW30" s="85">
        <v>0.4</v>
      </c>
      <c r="AX30" s="84">
        <v>0.2</v>
      </c>
      <c r="AY30" s="47">
        <v>0.4</v>
      </c>
      <c r="AZ30" s="85">
        <v>0.4</v>
      </c>
      <c r="BA30" s="84">
        <v>0.2</v>
      </c>
      <c r="BB30" s="47">
        <v>0.4</v>
      </c>
      <c r="BC30" s="85">
        <v>0.4</v>
      </c>
      <c r="BD30" s="84">
        <v>0.2</v>
      </c>
      <c r="BE30" s="47">
        <v>0.4</v>
      </c>
      <c r="BF30" s="85">
        <v>0.4</v>
      </c>
      <c r="BG30" s="84">
        <v>0.2</v>
      </c>
      <c r="BH30" s="47">
        <v>0.4</v>
      </c>
      <c r="BI30" s="85">
        <v>0.4</v>
      </c>
      <c r="BJ30" s="84">
        <v>0.2</v>
      </c>
      <c r="BK30" s="47">
        <v>0.4</v>
      </c>
      <c r="BL30" s="85">
        <v>0.4</v>
      </c>
      <c r="BM30" s="84">
        <v>0.2</v>
      </c>
      <c r="BN30" s="47">
        <v>0.4</v>
      </c>
      <c r="BO30" s="85">
        <v>0.4</v>
      </c>
      <c r="BP30" s="84">
        <v>0.2</v>
      </c>
      <c r="BQ30" s="47">
        <v>0.4</v>
      </c>
      <c r="BR30" s="85">
        <v>0.4</v>
      </c>
      <c r="BS30" s="84">
        <v>0.2</v>
      </c>
      <c r="BT30" s="47">
        <v>0.4</v>
      </c>
      <c r="BU30" s="85">
        <v>0.4</v>
      </c>
      <c r="BV30" s="84">
        <v>0.2</v>
      </c>
      <c r="BW30" s="47">
        <v>0.4</v>
      </c>
      <c r="BX30" s="85">
        <v>0.4</v>
      </c>
      <c r="BY30" s="84">
        <v>0.2</v>
      </c>
      <c r="BZ30" s="47">
        <v>0.4</v>
      </c>
      <c r="CA30" s="85">
        <v>0.4</v>
      </c>
      <c r="CB30" s="84">
        <v>0.2</v>
      </c>
      <c r="CC30" s="47">
        <v>0.4</v>
      </c>
      <c r="CD30" s="85">
        <v>0.4</v>
      </c>
      <c r="CE30" s="84">
        <v>0.2</v>
      </c>
      <c r="CF30" s="47">
        <v>0.4</v>
      </c>
      <c r="CG30" s="85">
        <v>0.4</v>
      </c>
      <c r="CH30" s="84">
        <v>0.2</v>
      </c>
      <c r="CI30" s="47">
        <v>0.4</v>
      </c>
      <c r="CJ30" s="85">
        <v>0.4</v>
      </c>
      <c r="CK30" s="84">
        <v>0.2</v>
      </c>
      <c r="CL30" s="47">
        <v>0.4</v>
      </c>
      <c r="CM30" s="85">
        <v>0.4</v>
      </c>
      <c r="CN30" s="312">
        <f>ТрЗ_ОП!$R$37</f>
        <v>1</v>
      </c>
      <c r="CO30" s="27">
        <f>IF(CN30=1,IF($B$1=1,'Документы АСУТП'!CW72,IF($B$1=2,'Документы АСУТП'!CW73,IF($B$1=3,'Документы АСУТП'!CW74,'Документы АСУТП'!CW72))),0)</f>
        <v>0</v>
      </c>
      <c r="CP30" s="312">
        <f>ТрЗ_ОП!$R$37</f>
        <v>1</v>
      </c>
      <c r="CQ30" s="27">
        <f>IF(CP30=1,IF($B$1=1,'Документы АСУТП'!CX72,IF($B$1=2,'Документы АСУТП'!CX73,IF($B$1=3,'Документы АСУТП'!CX74,'Документы АСУТП'!CX72))),0)</f>
        <v>0</v>
      </c>
      <c r="CR30" s="312">
        <f>ТрЗ_ОП!$R$37</f>
        <v>1</v>
      </c>
      <c r="CS30" s="27">
        <f>IF(CR30=1,IF($B$1=1,'Документы АСУТП'!CY72,IF($B$1=2,'Документы АСУТП'!CY73,IF($B$1=3,'Документы АСУТП'!CY74,'Документы АСУТП'!CY72))),0)</f>
        <v>0</v>
      </c>
      <c r="CT30" s="312">
        <f>ТрЗ_ОП!$R$37</f>
        <v>1</v>
      </c>
      <c r="CU30" s="27">
        <f>IF(CT30=1,IF($B$1=1,'Документы АСУТП'!CZ72,IF($B$1=2,'Документы АСУТП'!CZ73,IF($B$1=3,'Документы АСУТП'!CZ74,'Документы АСУТП'!CZ72))),0)</f>
        <v>0</v>
      </c>
      <c r="CV30" s="312">
        <f>ТрЗ_ОП!$R$37</f>
        <v>1</v>
      </c>
      <c r="CW30" s="27">
        <f>IF(CV30=1,IF($B$1=1,'Документы АСУТП'!DA72,IF($B$1=2,'Документы АСУТП'!DA73,IF($B$1=3,'Документы АСУТП'!DA74,'Документы АСУТП'!DA72))),0)</f>
        <v>0</v>
      </c>
      <c r="CX30" s="312">
        <f>ТрЗ_ОП!$R$37</f>
        <v>1</v>
      </c>
      <c r="CY30" s="27">
        <f>IF(CX30=1,IF($B$1=1,'Документы АСУТП'!DB72,IF($B$1=2,'Документы АСУТП'!DB73,IF($B$1=3,'Документы АСУТП'!DB74,'Документы АСУТП'!DB72))),0)</f>
        <v>0</v>
      </c>
      <c r="CZ30" s="312">
        <f>ТрЗ_ОП!$R$37</f>
        <v>1</v>
      </c>
      <c r="DA30" s="27">
        <f>IF(CZ30=1,IF($B$1=1,'Документы АСУТП'!DC72,IF($B$1=2,'Документы АСУТП'!DC73,IF($B$1=3,'Документы АСУТП'!DC74,'Документы АСУТП'!DC72))),0)</f>
        <v>0</v>
      </c>
      <c r="DB30" s="312">
        <f>ТрЗ_ОП!$R$37</f>
        <v>1</v>
      </c>
      <c r="DC30" s="27">
        <f>IF(DB30=1,IF($B$1=1,'Документы АСУТП'!DD72,IF($B$1=2,'Документы АСУТП'!DD73,IF($B$1=3,'Документы АСУТП'!DD74,'Документы АСУТП'!DD72))),0)</f>
        <v>0</v>
      </c>
      <c r="DD30" s="312">
        <f>ТрЗ_ОП!$R$37</f>
        <v>1</v>
      </c>
      <c r="DE30" s="27">
        <f>IF(DD30=1,IF($B$1=1,'Документы АСУТП'!DF72,IF($B$1=2,'Документы АСУТП'!DF73,IF($B$1=3,'Документы АСУТП'!DF74,'Документы АСУТП'!DF72))),0)</f>
        <v>0</v>
      </c>
      <c r="DF30" s="312">
        <f>ТрЗ_ОП!$R$37</f>
        <v>1</v>
      </c>
      <c r="DG30" s="27">
        <f>IF(DF30=1,IF($B$1=1,'Документы АСУТП'!DE72,IF($B$1=2,'Документы АСУТП'!DE73,IF($B$1=3,'Документы АСУТП'!DE74,'Документы АСУТП'!DE72))),0)</f>
        <v>0</v>
      </c>
      <c r="DH30" s="312">
        <f>ТрЗ_ОП!$R$37</f>
        <v>1</v>
      </c>
      <c r="DI30" s="27">
        <f>IF(DH30=1,IF($B$1=1,'Документы АСУТП'!DG72,IF($B$1=2,'Документы АСУТП'!DG73,IF($B$1=3,'Документы АСУТП'!DG74,'Документы АСУТП'!DG72))),0)</f>
        <v>0</v>
      </c>
      <c r="DJ30" s="312">
        <f>ТрЗ_ОП!$R$37</f>
        <v>1</v>
      </c>
      <c r="DK30" s="27">
        <f>IF(DJ30=1,IF($B$1=1,'Документы АСУТП'!DH72,IF($B$1=2,'Документы АСУТП'!DH73,IF($B$1=3,'Документы АСУТП'!DH74,'Документы АСУТП'!DH72))),0)</f>
        <v>0</v>
      </c>
      <c r="DL30" s="312">
        <f>ТрЗ_ОП!$R$37</f>
        <v>1</v>
      </c>
      <c r="DM30" s="27">
        <f>IF(DL30=1,IF($B$1=1,'Документы АСУТП'!DI72,IF($B$1=2,'Документы АСУТП'!DI73,IF($B$1=3,'Документы АСУТП'!DI74,'Документы АСУТП'!DI72))),0)</f>
        <v>0</v>
      </c>
      <c r="DN30" s="312">
        <f>ТрЗ_ОП!$R$37</f>
        <v>1</v>
      </c>
      <c r="DO30" s="27" t="e">
        <f>IF(DN30=1,IF($B$1=1,'Документы АСУТП'!DJ72,IF($B$1=2,'Документы АСУТП'!DJ73,IF($B$1=3,'Документы АСУТП'!DJ74,'Документы АСУТП'!DJ72))),0)</f>
        <v>#REF!</v>
      </c>
      <c r="DP30" s="312">
        <f>ТрЗ_ОП!$R$37</f>
        <v>1</v>
      </c>
      <c r="DQ30" s="27">
        <f>IF(DP30=1,IF($B$1=1,'Документы АСУТП'!DK72,IF($B$1=2,'Документы АСУТП'!DK73,IF($B$1=3,'Документы АСУТП'!DK74,'Документы АСУТП'!DK72))),0)</f>
        <v>0</v>
      </c>
      <c r="DR30" s="312">
        <f>ТрЗ_ОП!$R$37</f>
        <v>1</v>
      </c>
      <c r="DS30" s="27">
        <f>IF(DR30=1,IF($B$1=1,'Документы АСУТП'!DL72,IF($B$1=2,'Документы АСУТП'!DL73,IF($B$1=3,'Документы АСУТП'!DL74,'Документы АСУТП'!DL72))),0)</f>
        <v>0</v>
      </c>
      <c r="DT30" s="312">
        <f>ТрЗ_ОП!$R$37</f>
        <v>1</v>
      </c>
      <c r="DU30" s="27">
        <f>IF(DT30=1,IF($B$1=1,'Документы АСУТП'!DM72,IF($B$1=2,'Документы АСУТП'!DM73,IF($B$1=3,'Документы АСУТП'!DM74,'Документы АСУТП'!DM72))),0)</f>
        <v>0</v>
      </c>
      <c r="DV30" s="312">
        <f>ТрЗ_ОП!$R$37</f>
        <v>1</v>
      </c>
      <c r="DW30" s="27">
        <f>IF(DV30=1,IF($B$1=1,'Документы АСУТП'!DN72,IF($B$1=2,'Документы АСУТП'!DN73,IF($B$1=3,'Документы АСУТП'!DN74,'Документы АСУТП'!DN72))),0)</f>
        <v>0</v>
      </c>
      <c r="DX30" s="312">
        <f>ТрЗ_ОП!$R$37</f>
        <v>1</v>
      </c>
      <c r="DY30" s="27">
        <f>IF(DX30=1,IF($B$1=1,'Документы АСУТП'!DO72,IF($B$1=2,'Документы АСУТП'!DO73,IF($B$1=3,'Документы АСУТП'!DO74,'Документы АСУТП'!DO72))),0)</f>
        <v>0</v>
      </c>
      <c r="DZ30" s="312">
        <f>ТрЗ_ОП!$R$37</f>
        <v>1</v>
      </c>
      <c r="EA30" s="27">
        <f>IF(DZ30=1,IF($B$1=1,'Документы АСУТП'!DP72,IF($B$1=2,'Документы АСУТП'!DP73,IF($B$1=3,'Документы АСУТП'!DP74,'Документы АСУТП'!DP72))),0)</f>
        <v>0</v>
      </c>
      <c r="EB30" s="312">
        <f>ТрЗ_ОП!$R$37</f>
        <v>1</v>
      </c>
      <c r="EC30" s="27">
        <f>IF(EB30=1,IF($B$1=1,'Документы АСУТП'!DQ72,IF($B$1=2,'Документы АСУТП'!DQ73,IF($B$1=3,'Документы АСУТП'!DQ74,'Документы АСУТП'!DQ72))),0)</f>
        <v>0</v>
      </c>
      <c r="ED30" s="312">
        <f>ТрЗ_ОП!$R$37</f>
        <v>1</v>
      </c>
      <c r="EE30" s="27">
        <f>IF(ED30=1,IF($B$1=1,'Документы АСУТП'!DR72,IF($B$1=2,'Документы АСУТП'!DR73,IF($B$1=3,'Документы АСУТП'!DR74,'Документы АСУТП'!DR72))),0)</f>
        <v>0</v>
      </c>
      <c r="EF30" s="312">
        <f>ТрЗ_ОП!$R$37</f>
        <v>1</v>
      </c>
      <c r="EG30" s="27">
        <f>IF(EF30=1,IF($B$1=1,'Документы АСУТП'!DS72,IF($B$1=2,'Документы АСУТП'!DS73,IF($B$1=3,'Документы АСУТП'!DS74,'Документы АСУТП'!DS72))),0)</f>
        <v>0</v>
      </c>
      <c r="EH30" s="312">
        <f>ТрЗ_ОП!$R$37</f>
        <v>1</v>
      </c>
      <c r="EI30" s="27">
        <f>IF(EH30=1,IF($B$1=1,'Документы АСУТП'!DT72,IF($B$1=2,'Документы АСУТП'!DT73,IF($B$1=3,'Документы АСУТП'!DT74,'Документы АСУТП'!DT72))),0)</f>
        <v>0</v>
      </c>
      <c r="EJ30" s="312">
        <f>ТрЗ_ОП!$R$37</f>
        <v>1</v>
      </c>
      <c r="EK30" s="27">
        <f>IF(EJ30=1,IF($B$1=1,'Документы АСУТП'!DU72,IF($B$1=2,'Документы АСУТП'!DU73,IF($B$1=3,'Документы АСУТП'!DU74,'Документы АСУТП'!DU72))),0)</f>
        <v>0</v>
      </c>
      <c r="EL30" s="312">
        <f>ТрЗ_ОП!$R$37</f>
        <v>1</v>
      </c>
      <c r="EM30" s="27">
        <f>IF(EL30=1,IF($B$1=1,'Документы АСУТП'!DV72,IF($B$1=2,'Документы АСУТП'!DV73,IF($B$1=3,'Документы АСУТП'!DV74,'Документы АСУТП'!DV72))),0)</f>
        <v>0</v>
      </c>
      <c r="EN30" s="312">
        <f>ТрЗ_ОП!$R$37</f>
        <v>1</v>
      </c>
      <c r="EO30" s="27">
        <f>IF(EN30=1,IF($B$1=1,'Документы АСУТП'!DW72,IF($B$1=2,'Документы АСУТП'!DW73,IF($B$1=3,'Документы АСУТП'!DW74,'Документы АСУТП'!DW72))),0)</f>
        <v>0</v>
      </c>
      <c r="EP30" s="312">
        <f>ТрЗ_ОП!$R$37</f>
        <v>1</v>
      </c>
      <c r="EQ30" s="27">
        <f>IF(EP30=1,IF($B$1=1,'Документы АСУТП'!DX72,IF($B$1=2,'Документы АСУТП'!DX73,IF($B$1=3,'Документы АСУТП'!DX74,'Документы АСУТП'!DX72))),0)</f>
        <v>0</v>
      </c>
      <c r="ER30" s="312">
        <f>ТрЗ_ОП!$R$37</f>
        <v>1</v>
      </c>
      <c r="ES30" s="27">
        <f>IF(ER30=1,IF($B$1=1,'Документы АСУТП'!DY72,IF($B$1=2,'Документы АСУТП'!DY73,IF($B$1=3,'Документы АСУТП'!DY74,'Документы АСУТП'!DY72))),0)</f>
        <v>0</v>
      </c>
      <c r="ET30" s="312">
        <f>ТрЗ_ОП!$R$37</f>
        <v>1</v>
      </c>
      <c r="EU30" s="771">
        <f>IF(ET30=1,IF($B$1=1,'Документы АСУТП'!DZ72,IF($B$1=2,'Документы АСУТП'!DZ73,IF($B$1=3,'Документы АСУТП'!DZ74,'Документы АСУТП'!DZ72))),0)</f>
        <v>0</v>
      </c>
      <c r="EV30" s="794" t="e">
        <f t="shared" si="2"/>
        <v>#REF!</v>
      </c>
      <c r="EW30" s="796" t="e">
        <f t="shared" si="3"/>
        <v>#REF!</v>
      </c>
      <c r="EX30" s="796" t="e">
        <f t="shared" si="4"/>
        <v>#REF!</v>
      </c>
      <c r="EY30" s="796" t="e">
        <f t="shared" si="0"/>
        <v>#REF!</v>
      </c>
      <c r="EZ30" s="795" t="e">
        <f t="shared" si="1"/>
        <v>#REF!</v>
      </c>
    </row>
    <row r="31" spans="1:156" ht="15.75" x14ac:dyDescent="0.25">
      <c r="A31" s="383" t="s">
        <v>21</v>
      </c>
      <c r="B31" s="84">
        <v>0.2</v>
      </c>
      <c r="C31" s="47">
        <v>0.5</v>
      </c>
      <c r="D31" s="85">
        <v>0.3</v>
      </c>
      <c r="E31" s="84">
        <v>0.2</v>
      </c>
      <c r="F31" s="47">
        <v>0.5</v>
      </c>
      <c r="G31" s="85">
        <v>0.3</v>
      </c>
      <c r="H31" s="84">
        <v>0.2</v>
      </c>
      <c r="I31" s="47">
        <v>0.5</v>
      </c>
      <c r="J31" s="85">
        <v>0.3</v>
      </c>
      <c r="K31" s="84">
        <v>0.2</v>
      </c>
      <c r="L31" s="47">
        <v>0.5</v>
      </c>
      <c r="M31" s="85">
        <v>0.3</v>
      </c>
      <c r="N31" s="84">
        <v>0.2</v>
      </c>
      <c r="O31" s="47">
        <v>0.5</v>
      </c>
      <c r="P31" s="85">
        <v>0.3</v>
      </c>
      <c r="Q31" s="84">
        <v>0.2</v>
      </c>
      <c r="R31" s="47">
        <v>0.5</v>
      </c>
      <c r="S31" s="85">
        <v>0.3</v>
      </c>
      <c r="T31" s="84">
        <v>0.2</v>
      </c>
      <c r="U31" s="47">
        <v>0.5</v>
      </c>
      <c r="V31" s="85">
        <v>0.3</v>
      </c>
      <c r="W31" s="84">
        <v>0.2</v>
      </c>
      <c r="X31" s="47">
        <v>0.5</v>
      </c>
      <c r="Y31" s="85">
        <v>0.3</v>
      </c>
      <c r="Z31" s="84">
        <v>0.2</v>
      </c>
      <c r="AA31" s="47">
        <v>0.5</v>
      </c>
      <c r="AB31" s="85">
        <v>0.3</v>
      </c>
      <c r="AC31" s="84">
        <v>0.2</v>
      </c>
      <c r="AD31" s="47">
        <v>0.5</v>
      </c>
      <c r="AE31" s="85">
        <v>0.3</v>
      </c>
      <c r="AF31" s="84">
        <v>0.2</v>
      </c>
      <c r="AG31" s="47">
        <v>0.5</v>
      </c>
      <c r="AH31" s="85">
        <v>0.3</v>
      </c>
      <c r="AI31" s="84">
        <v>0.2</v>
      </c>
      <c r="AJ31" s="47">
        <v>0.5</v>
      </c>
      <c r="AK31" s="85">
        <v>0.3</v>
      </c>
      <c r="AL31" s="84">
        <v>0.2</v>
      </c>
      <c r="AM31" s="47">
        <v>0.5</v>
      </c>
      <c r="AN31" s="85">
        <v>0.3</v>
      </c>
      <c r="AO31" s="84">
        <v>0.2</v>
      </c>
      <c r="AP31" s="47">
        <v>0.5</v>
      </c>
      <c r="AQ31" s="85">
        <v>0.3</v>
      </c>
      <c r="AR31" s="84">
        <v>0.2</v>
      </c>
      <c r="AS31" s="47">
        <v>0.5</v>
      </c>
      <c r="AT31" s="85">
        <v>0.3</v>
      </c>
      <c r="AU31" s="84">
        <v>0.2</v>
      </c>
      <c r="AV31" s="47">
        <v>0.5</v>
      </c>
      <c r="AW31" s="85">
        <v>0.3</v>
      </c>
      <c r="AX31" s="84">
        <v>0.2</v>
      </c>
      <c r="AY31" s="47">
        <v>0.5</v>
      </c>
      <c r="AZ31" s="85">
        <v>0.3</v>
      </c>
      <c r="BA31" s="84">
        <v>0.2</v>
      </c>
      <c r="BB31" s="47">
        <v>0.5</v>
      </c>
      <c r="BC31" s="85">
        <v>0.3</v>
      </c>
      <c r="BD31" s="84">
        <v>0.2</v>
      </c>
      <c r="BE31" s="47">
        <v>0.5</v>
      </c>
      <c r="BF31" s="85">
        <v>0.3</v>
      </c>
      <c r="BG31" s="84">
        <v>0.2</v>
      </c>
      <c r="BH31" s="47">
        <v>0.5</v>
      </c>
      <c r="BI31" s="85">
        <v>0.3</v>
      </c>
      <c r="BJ31" s="84">
        <v>0.2</v>
      </c>
      <c r="BK31" s="47">
        <v>0.5</v>
      </c>
      <c r="BL31" s="85">
        <v>0.3</v>
      </c>
      <c r="BM31" s="84">
        <v>0.2</v>
      </c>
      <c r="BN31" s="47">
        <v>0.5</v>
      </c>
      <c r="BO31" s="85">
        <v>0.3</v>
      </c>
      <c r="BP31" s="84">
        <v>0.2</v>
      </c>
      <c r="BQ31" s="47">
        <v>0.5</v>
      </c>
      <c r="BR31" s="85">
        <v>0.3</v>
      </c>
      <c r="BS31" s="84">
        <v>0.2</v>
      </c>
      <c r="BT31" s="47">
        <v>0.5</v>
      </c>
      <c r="BU31" s="85">
        <v>0.3</v>
      </c>
      <c r="BV31" s="84">
        <v>0.2</v>
      </c>
      <c r="BW31" s="47">
        <v>0.5</v>
      </c>
      <c r="BX31" s="85">
        <v>0.3</v>
      </c>
      <c r="BY31" s="84">
        <v>0.2</v>
      </c>
      <c r="BZ31" s="47">
        <v>0.5</v>
      </c>
      <c r="CA31" s="85">
        <v>0.3</v>
      </c>
      <c r="CB31" s="84">
        <v>0.2</v>
      </c>
      <c r="CC31" s="47">
        <v>0.5</v>
      </c>
      <c r="CD31" s="85">
        <v>0.3</v>
      </c>
      <c r="CE31" s="84">
        <v>0.2</v>
      </c>
      <c r="CF31" s="47">
        <v>0.5</v>
      </c>
      <c r="CG31" s="85">
        <v>0.3</v>
      </c>
      <c r="CH31" s="84">
        <v>0.2</v>
      </c>
      <c r="CI31" s="47">
        <v>0.5</v>
      </c>
      <c r="CJ31" s="85">
        <v>0.3</v>
      </c>
      <c r="CK31" s="84">
        <v>0.2</v>
      </c>
      <c r="CL31" s="47">
        <v>0.5</v>
      </c>
      <c r="CM31" s="85">
        <v>0.3</v>
      </c>
      <c r="CN31" s="312" t="str">
        <f>ТрЗ_ОП!$R$38</f>
        <v>-</v>
      </c>
      <c r="CO31" s="27">
        <f>IF(CN31=1,IF($B$1=1,'Документы АСУТП'!CW75,IF($B$1=2,'Документы АСУТП'!CW76,IF($B$1=3,'Документы АСУТП'!CW77,'Документы АСУТП'!CW75))),0)</f>
        <v>0</v>
      </c>
      <c r="CP31" s="312" t="str">
        <f>ТрЗ_ОП!$R$38</f>
        <v>-</v>
      </c>
      <c r="CQ31" s="27">
        <f>IF(CP31=1,IF($B$1=1,'Документы АСУТП'!CX75,IF($B$1=2,'Документы АСУТП'!CX76,IF($B$1=3,'Документы АСУТП'!CX77,'Документы АСУТП'!CX75))),0)</f>
        <v>0</v>
      </c>
      <c r="CR31" s="312" t="str">
        <f>ТрЗ_ОП!$R$38</f>
        <v>-</v>
      </c>
      <c r="CS31" s="27">
        <f>IF(CR31=1,IF($B$1=1,'Документы АСУТП'!CY75,IF($B$1=2,'Документы АСУТП'!CY76,IF($B$1=3,'Документы АСУТП'!CY77,'Документы АСУТП'!CY75))),0)</f>
        <v>0</v>
      </c>
      <c r="CT31" s="312" t="str">
        <f>ТрЗ_ОП!$R$38</f>
        <v>-</v>
      </c>
      <c r="CU31" s="27">
        <f>IF(CT31=1,IF($B$1=1,'Документы АСУТП'!CZ75,IF($B$1=2,'Документы АСУТП'!CZ76,IF($B$1=3,'Документы АСУТП'!CZ77,'Документы АСУТП'!CZ75))),0)</f>
        <v>0</v>
      </c>
      <c r="CV31" s="312" t="str">
        <f>ТрЗ_ОП!$R$38</f>
        <v>-</v>
      </c>
      <c r="CW31" s="27">
        <f>IF(CV31=1,IF($B$1=1,'Документы АСУТП'!DA75,IF($B$1=2,'Документы АСУТП'!DA76,IF($B$1=3,'Документы АСУТП'!DA77,'Документы АСУТП'!DA75))),0)</f>
        <v>0</v>
      </c>
      <c r="CX31" s="312" t="str">
        <f>ТрЗ_ОП!$R$38</f>
        <v>-</v>
      </c>
      <c r="CY31" s="27">
        <f>IF(CX31=1,IF($B$1=1,'Документы АСУТП'!DB75,IF($B$1=2,'Документы АСУТП'!DB76,IF($B$1=3,'Документы АСУТП'!DB77,'Документы АСУТП'!DB75))),0)</f>
        <v>0</v>
      </c>
      <c r="CZ31" s="312" t="str">
        <f>ТрЗ_ОП!$R$38</f>
        <v>-</v>
      </c>
      <c r="DA31" s="27">
        <f>IF(CZ31=1,IF($B$1=1,'Документы АСУТП'!DC75,IF($B$1=2,'Документы АСУТП'!DC76,IF($B$1=3,'Документы АСУТП'!DC77,'Документы АСУТП'!DC75))),0)</f>
        <v>0</v>
      </c>
      <c r="DB31" s="312" t="str">
        <f>ТрЗ_ОП!$R$38</f>
        <v>-</v>
      </c>
      <c r="DC31" s="27">
        <f>IF(DB31=1,IF($B$1=1,'Документы АСУТП'!DD75,IF($B$1=2,'Документы АСУТП'!DD76,IF($B$1=3,'Документы АСУТП'!DD77,'Документы АСУТП'!DD75))),0)</f>
        <v>0</v>
      </c>
      <c r="DD31" s="312" t="str">
        <f>ТрЗ_ОП!$R$38</f>
        <v>-</v>
      </c>
      <c r="DE31" s="27">
        <f>IF(DD31=1,IF($B$1=1,'Документы АСУТП'!DF75,IF($B$1=2,'Документы АСУТП'!DF76,IF($B$1=3,'Документы АСУТП'!DF77,'Документы АСУТП'!DF75))),0)</f>
        <v>0</v>
      </c>
      <c r="DF31" s="312" t="str">
        <f>ТрЗ_ОП!$R$38</f>
        <v>-</v>
      </c>
      <c r="DG31" s="27">
        <f>IF(DF31=1,IF($B$1=1,'Документы АСУТП'!DE75,IF($B$1=2,'Документы АСУТП'!DE76,IF($B$1=3,'Документы АСУТП'!DE77,'Документы АСУТП'!DE75))),0)</f>
        <v>0</v>
      </c>
      <c r="DH31" s="312" t="str">
        <f>ТрЗ_ОП!$R$38</f>
        <v>-</v>
      </c>
      <c r="DI31" s="27">
        <f>IF(DH31=1,IF($B$1=1,'Документы АСУТП'!DG75,IF($B$1=2,'Документы АСУТП'!DG76,IF($B$1=3,'Документы АСУТП'!DG77,'Документы АСУТП'!DG75))),0)</f>
        <v>0</v>
      </c>
      <c r="DJ31" s="312" t="str">
        <f>ТрЗ_ОП!$R$38</f>
        <v>-</v>
      </c>
      <c r="DK31" s="27">
        <f>IF(DJ31=1,IF($B$1=1,'Документы АСУТП'!DH75,IF($B$1=2,'Документы АСУТП'!DH76,IF($B$1=3,'Документы АСУТП'!DH77,'Документы АСУТП'!DH75))),0)</f>
        <v>0</v>
      </c>
      <c r="DL31" s="312" t="str">
        <f>ТрЗ_ОП!$R$38</f>
        <v>-</v>
      </c>
      <c r="DM31" s="27">
        <f>IF(DL31=1,IF($B$1=1,'Документы АСУТП'!DI75,IF($B$1=2,'Документы АСУТП'!DI76,IF($B$1=3,'Документы АСУТП'!DI77,'Документы АСУТП'!DI75))),0)</f>
        <v>0</v>
      </c>
      <c r="DN31" s="312" t="str">
        <f>ТрЗ_ОП!$R$38</f>
        <v>-</v>
      </c>
      <c r="DO31" s="27">
        <f>IF(DN31=1,IF($B$1=1,'Документы АСУТП'!DJ75,IF($B$1=2,'Документы АСУТП'!DJ76,IF($B$1=3,'Документы АСУТП'!DJ77,'Документы АСУТП'!DJ75))),0)</f>
        <v>0</v>
      </c>
      <c r="DP31" s="312" t="str">
        <f>ТрЗ_ОП!$R$38</f>
        <v>-</v>
      </c>
      <c r="DQ31" s="27">
        <f>IF(DP31=1,IF($B$1=1,'Документы АСУТП'!DK75,IF($B$1=2,'Документы АСУТП'!DK76,IF($B$1=3,'Документы АСУТП'!DK77,'Документы АСУТП'!DK75))),0)</f>
        <v>0</v>
      </c>
      <c r="DR31" s="312" t="str">
        <f>ТрЗ_ОП!$R$38</f>
        <v>-</v>
      </c>
      <c r="DS31" s="27">
        <f>IF(DR31=1,IF($B$1=1,'Документы АСУТП'!DL75,IF($B$1=2,'Документы АСУТП'!DL76,IF($B$1=3,'Документы АСУТП'!DL77,'Документы АСУТП'!DL75))),0)</f>
        <v>0</v>
      </c>
      <c r="DT31" s="312" t="str">
        <f>ТрЗ_ОП!$R$38</f>
        <v>-</v>
      </c>
      <c r="DU31" s="27">
        <f>IF(DT31=1,IF($B$1=1,'Документы АСУТП'!DM75,IF($B$1=2,'Документы АСУТП'!DM76,IF($B$1=3,'Документы АСУТП'!DM77,'Документы АСУТП'!DM75))),0)</f>
        <v>0</v>
      </c>
      <c r="DV31" s="312" t="str">
        <f>ТрЗ_ОП!$R$38</f>
        <v>-</v>
      </c>
      <c r="DW31" s="27">
        <f>IF(DV31=1,IF($B$1=1,'Документы АСУТП'!DN75,IF($B$1=2,'Документы АСУТП'!DN76,IF($B$1=3,'Документы АСУТП'!DN77,'Документы АСУТП'!DN75))),0)</f>
        <v>0</v>
      </c>
      <c r="DX31" s="312" t="str">
        <f>ТрЗ_ОП!$R$38</f>
        <v>-</v>
      </c>
      <c r="DY31" s="27">
        <f>IF(DX31=1,IF($B$1=1,'Документы АСУТП'!DO75,IF($B$1=2,'Документы АСУТП'!DO76,IF($B$1=3,'Документы АСУТП'!DO77,'Документы АСУТП'!DO75))),0)</f>
        <v>0</v>
      </c>
      <c r="DZ31" s="312" t="str">
        <f>ТрЗ_ОП!$R$38</f>
        <v>-</v>
      </c>
      <c r="EA31" s="27">
        <f>IF(DZ31=1,IF($B$1=1,'Документы АСУТП'!DP75,IF($B$1=2,'Документы АСУТП'!DP76,IF($B$1=3,'Документы АСУТП'!DP77,'Документы АСУТП'!DP75))),0)</f>
        <v>0</v>
      </c>
      <c r="EB31" s="312" t="str">
        <f>ТрЗ_ОП!$R$38</f>
        <v>-</v>
      </c>
      <c r="EC31" s="27">
        <f>IF(EB31=1,IF($B$1=1,'Документы АСУТП'!DQ75,IF($B$1=2,'Документы АСУТП'!DQ76,IF($B$1=3,'Документы АСУТП'!DQ77,'Документы АСУТП'!DQ75))),0)</f>
        <v>0</v>
      </c>
      <c r="ED31" s="312" t="str">
        <f>ТрЗ_ОП!$R$38</f>
        <v>-</v>
      </c>
      <c r="EE31" s="27">
        <f>IF(ED31=1,IF($B$1=1,'Документы АСУТП'!DR75,IF($B$1=2,'Документы АСУТП'!DR76,IF($B$1=3,'Документы АСУТП'!DR77,'Документы АСУТП'!DR75))),0)</f>
        <v>0</v>
      </c>
      <c r="EF31" s="312" t="str">
        <f>ТрЗ_ОП!$R$38</f>
        <v>-</v>
      </c>
      <c r="EG31" s="27">
        <f>IF(EF31=1,IF($B$1=1,'Документы АСУТП'!DS75,IF($B$1=2,'Документы АСУТП'!DS76,IF($B$1=3,'Документы АСУТП'!DS77,'Документы АСУТП'!DS75))),0)</f>
        <v>0</v>
      </c>
      <c r="EH31" s="312" t="str">
        <f>ТрЗ_ОП!$R$38</f>
        <v>-</v>
      </c>
      <c r="EI31" s="27">
        <f>IF(EH31=1,IF($B$1=1,'Документы АСУТП'!DT75,IF($B$1=2,'Документы АСУТП'!DT76,IF($B$1=3,'Документы АСУТП'!DT77,'Документы АСУТП'!DT75))),0)</f>
        <v>0</v>
      </c>
      <c r="EJ31" s="312" t="str">
        <f>ТрЗ_ОП!$R$38</f>
        <v>-</v>
      </c>
      <c r="EK31" s="27">
        <f>IF(EJ31=1,IF($B$1=1,'Документы АСУТП'!DU75,IF($B$1=2,'Документы АСУТП'!DU76,IF($B$1=3,'Документы АСУТП'!DU77,'Документы АСУТП'!DU75))),0)</f>
        <v>0</v>
      </c>
      <c r="EL31" s="312" t="str">
        <f>ТрЗ_ОП!$R$38</f>
        <v>-</v>
      </c>
      <c r="EM31" s="27">
        <f>IF(EL31=1,IF($B$1=1,'Документы АСУТП'!DV75,IF($B$1=2,'Документы АСУТП'!DV76,IF($B$1=3,'Документы АСУТП'!DV77,'Документы АСУТП'!DV75))),0)</f>
        <v>0</v>
      </c>
      <c r="EN31" s="312" t="str">
        <f>ТрЗ_ОП!$R$38</f>
        <v>-</v>
      </c>
      <c r="EO31" s="27">
        <f>IF(EN31=1,IF($B$1=1,'Документы АСУТП'!DW75,IF($B$1=2,'Документы АСУТП'!DW76,IF($B$1=3,'Документы АСУТП'!DW77,'Документы АСУТП'!DW75))),0)</f>
        <v>0</v>
      </c>
      <c r="EP31" s="312" t="str">
        <f>ТрЗ_ОП!$R$38</f>
        <v>-</v>
      </c>
      <c r="EQ31" s="27">
        <f>IF(EP31=1,IF($B$1=1,'Документы АСУТП'!DX75,IF($B$1=2,'Документы АСУТП'!DX76,IF($B$1=3,'Документы АСУТП'!DX77,'Документы АСУТП'!DX75))),0)</f>
        <v>0</v>
      </c>
      <c r="ER31" s="312" t="str">
        <f>ТрЗ_ОП!$R$38</f>
        <v>-</v>
      </c>
      <c r="ES31" s="27">
        <f>IF(ER31=1,IF($B$1=1,'Документы АСУТП'!DY75,IF($B$1=2,'Документы АСУТП'!DY76,IF($B$1=3,'Документы АСУТП'!DY77,'Документы АСУТП'!DY75))),0)</f>
        <v>0</v>
      </c>
      <c r="ET31" s="312" t="str">
        <f>ТрЗ_ОП!$R$38</f>
        <v>-</v>
      </c>
      <c r="EU31" s="771">
        <f>IF(ET31=1,IF($B$1=1,'Документы АСУТП'!DZ75,IF($B$1=2,'Документы АСУТП'!DZ76,IF($B$1=3,'Документы АСУТП'!DZ77,'Документы АСУТП'!DZ75))),0)</f>
        <v>0</v>
      </c>
      <c r="EV31" s="794">
        <f t="shared" si="2"/>
        <v>0</v>
      </c>
      <c r="EW31" s="796">
        <f t="shared" si="3"/>
        <v>0</v>
      </c>
      <c r="EX31" s="796">
        <f t="shared" si="4"/>
        <v>0</v>
      </c>
      <c r="EY31" s="796">
        <f t="shared" si="0"/>
        <v>0</v>
      </c>
      <c r="EZ31" s="795">
        <f t="shared" si="1"/>
        <v>0</v>
      </c>
    </row>
    <row r="32" spans="1:156" ht="15.75" x14ac:dyDescent="0.25">
      <c r="A32" s="383" t="s">
        <v>181</v>
      </c>
      <c r="B32" s="84">
        <v>0.5</v>
      </c>
      <c r="C32" s="47">
        <v>0.3</v>
      </c>
      <c r="D32" s="85">
        <v>0.2</v>
      </c>
      <c r="E32" s="84">
        <v>0.5</v>
      </c>
      <c r="F32" s="47">
        <v>0.3</v>
      </c>
      <c r="G32" s="85">
        <v>0.2</v>
      </c>
      <c r="H32" s="84">
        <v>0.5</v>
      </c>
      <c r="I32" s="47">
        <v>0.3</v>
      </c>
      <c r="J32" s="85">
        <v>0.2</v>
      </c>
      <c r="K32" s="84">
        <v>0.5</v>
      </c>
      <c r="L32" s="47">
        <v>0.3</v>
      </c>
      <c r="M32" s="85">
        <v>0.2</v>
      </c>
      <c r="N32" s="84">
        <v>0.5</v>
      </c>
      <c r="O32" s="47">
        <v>0.3</v>
      </c>
      <c r="P32" s="85">
        <v>0.2</v>
      </c>
      <c r="Q32" s="84">
        <v>0.5</v>
      </c>
      <c r="R32" s="47">
        <v>0.3</v>
      </c>
      <c r="S32" s="85">
        <v>0.2</v>
      </c>
      <c r="T32" s="84">
        <v>0.5</v>
      </c>
      <c r="U32" s="47">
        <v>0.3</v>
      </c>
      <c r="V32" s="85">
        <v>0.2</v>
      </c>
      <c r="W32" s="84">
        <v>0.5</v>
      </c>
      <c r="X32" s="47">
        <v>0.3</v>
      </c>
      <c r="Y32" s="85">
        <v>0.2</v>
      </c>
      <c r="Z32" s="84">
        <v>0.5</v>
      </c>
      <c r="AA32" s="47">
        <v>0.3</v>
      </c>
      <c r="AB32" s="85">
        <v>0.2</v>
      </c>
      <c r="AC32" s="84">
        <v>0.5</v>
      </c>
      <c r="AD32" s="47">
        <v>0.3</v>
      </c>
      <c r="AE32" s="85">
        <v>0.2</v>
      </c>
      <c r="AF32" s="84">
        <v>0.5</v>
      </c>
      <c r="AG32" s="47">
        <v>0.3</v>
      </c>
      <c r="AH32" s="85">
        <v>0.2</v>
      </c>
      <c r="AI32" s="84">
        <v>0.5</v>
      </c>
      <c r="AJ32" s="47">
        <v>0.3</v>
      </c>
      <c r="AK32" s="85">
        <v>0.2</v>
      </c>
      <c r="AL32" s="84">
        <v>0.5</v>
      </c>
      <c r="AM32" s="47">
        <v>0.3</v>
      </c>
      <c r="AN32" s="85">
        <v>0.2</v>
      </c>
      <c r="AO32" s="84">
        <v>0.5</v>
      </c>
      <c r="AP32" s="47">
        <v>0.3</v>
      </c>
      <c r="AQ32" s="85">
        <v>0.2</v>
      </c>
      <c r="AR32" s="84">
        <v>0.5</v>
      </c>
      <c r="AS32" s="47">
        <v>0.3</v>
      </c>
      <c r="AT32" s="85">
        <v>0.2</v>
      </c>
      <c r="AU32" s="84">
        <v>0.5</v>
      </c>
      <c r="AV32" s="47">
        <v>0.3</v>
      </c>
      <c r="AW32" s="85">
        <v>0.2</v>
      </c>
      <c r="AX32" s="84">
        <v>0.5</v>
      </c>
      <c r="AY32" s="47">
        <v>0.3</v>
      </c>
      <c r="AZ32" s="85">
        <v>0.2</v>
      </c>
      <c r="BA32" s="84">
        <v>0.5</v>
      </c>
      <c r="BB32" s="47">
        <v>0.3</v>
      </c>
      <c r="BC32" s="85">
        <v>0.2</v>
      </c>
      <c r="BD32" s="84">
        <v>0.5</v>
      </c>
      <c r="BE32" s="47">
        <v>0.3</v>
      </c>
      <c r="BF32" s="85">
        <v>0.2</v>
      </c>
      <c r="BG32" s="84">
        <v>0.5</v>
      </c>
      <c r="BH32" s="47">
        <v>0.3</v>
      </c>
      <c r="BI32" s="85">
        <v>0.2</v>
      </c>
      <c r="BJ32" s="84">
        <v>0.5</v>
      </c>
      <c r="BK32" s="47">
        <v>0.3</v>
      </c>
      <c r="BL32" s="85">
        <v>0.2</v>
      </c>
      <c r="BM32" s="84">
        <v>0.5</v>
      </c>
      <c r="BN32" s="47">
        <v>0.3</v>
      </c>
      <c r="BO32" s="85">
        <v>0.2</v>
      </c>
      <c r="BP32" s="84">
        <v>0.5</v>
      </c>
      <c r="BQ32" s="47">
        <v>0.3</v>
      </c>
      <c r="BR32" s="85">
        <v>0.2</v>
      </c>
      <c r="BS32" s="84">
        <v>0.5</v>
      </c>
      <c r="BT32" s="47">
        <v>0.3</v>
      </c>
      <c r="BU32" s="85">
        <v>0.2</v>
      </c>
      <c r="BV32" s="84">
        <v>0.5</v>
      </c>
      <c r="BW32" s="47">
        <v>0.3</v>
      </c>
      <c r="BX32" s="85">
        <v>0.2</v>
      </c>
      <c r="BY32" s="84">
        <v>0.5</v>
      </c>
      <c r="BZ32" s="47">
        <v>0.3</v>
      </c>
      <c r="CA32" s="85">
        <v>0.2</v>
      </c>
      <c r="CB32" s="84">
        <v>0.5</v>
      </c>
      <c r="CC32" s="47">
        <v>0.3</v>
      </c>
      <c r="CD32" s="85">
        <v>0.2</v>
      </c>
      <c r="CE32" s="84">
        <v>0.5</v>
      </c>
      <c r="CF32" s="47">
        <v>0.3</v>
      </c>
      <c r="CG32" s="85">
        <v>0.2</v>
      </c>
      <c r="CH32" s="84">
        <v>0.5</v>
      </c>
      <c r="CI32" s="47">
        <v>0.3</v>
      </c>
      <c r="CJ32" s="85">
        <v>0.2</v>
      </c>
      <c r="CK32" s="84">
        <v>0.5</v>
      </c>
      <c r="CL32" s="47">
        <v>0.3</v>
      </c>
      <c r="CM32" s="85">
        <v>0.2</v>
      </c>
      <c r="CN32" s="312" t="str">
        <f>ТрЗ_ОП!$R$39</f>
        <v>-</v>
      </c>
      <c r="CO32" s="27">
        <f>IF(CN32=1,IF($B$1=1,'Документы АСУТП'!CW78,IF($B$1=2,'Документы АСУТП'!CW79,IF($B$1=3,'Документы АСУТП'!CW80,'Документы АСУТП'!CW78))),0)</f>
        <v>0</v>
      </c>
      <c r="CP32" s="312" t="str">
        <f>ТрЗ_ОП!$R$39</f>
        <v>-</v>
      </c>
      <c r="CQ32" s="27">
        <f>IF(CP32=1,IF($B$1=1,'Документы АСУТП'!CX78,IF($B$1=2,'Документы АСУТП'!CX79,IF($B$1=3,'Документы АСУТП'!CX80,'Документы АСУТП'!CX78))),0)</f>
        <v>0</v>
      </c>
      <c r="CR32" s="312" t="str">
        <f>ТрЗ_ОП!$R$39</f>
        <v>-</v>
      </c>
      <c r="CS32" s="27">
        <f>IF(CR32=1,IF($B$1=1,'Документы АСУТП'!CY78,IF($B$1=2,'Документы АСУТП'!CY79,IF($B$1=3,'Документы АСУТП'!CY80,'Документы АСУТП'!CY78))),0)</f>
        <v>0</v>
      </c>
      <c r="CT32" s="312" t="str">
        <f>ТрЗ_ОП!$R$39</f>
        <v>-</v>
      </c>
      <c r="CU32" s="27">
        <f>IF(CT32=1,IF($B$1=1,'Документы АСУТП'!CZ78,IF($B$1=2,'Документы АСУТП'!CZ79,IF($B$1=3,'Документы АСУТП'!CZ80,'Документы АСУТП'!CZ78))),0)</f>
        <v>0</v>
      </c>
      <c r="CV32" s="312" t="str">
        <f>ТрЗ_ОП!$R$39</f>
        <v>-</v>
      </c>
      <c r="CW32" s="27">
        <f>IF(CV32=1,IF($B$1=1,'Документы АСУТП'!DA78,IF($B$1=2,'Документы АСУТП'!DA79,IF($B$1=3,'Документы АСУТП'!DA80,'Документы АСУТП'!DA78))),0)</f>
        <v>0</v>
      </c>
      <c r="CX32" s="312" t="str">
        <f>ТрЗ_ОП!$R$39</f>
        <v>-</v>
      </c>
      <c r="CY32" s="27">
        <f>IF(CX32=1,IF($B$1=1,'Документы АСУТП'!DB78,IF($B$1=2,'Документы АСУТП'!DB79,IF($B$1=3,'Документы АСУТП'!DB80,'Документы АСУТП'!DB78))),0)</f>
        <v>0</v>
      </c>
      <c r="CZ32" s="312" t="str">
        <f>ТрЗ_ОП!$R$39</f>
        <v>-</v>
      </c>
      <c r="DA32" s="27">
        <f>IF(CZ32=1,IF($B$1=1,'Документы АСУТП'!DC78,IF($B$1=2,'Документы АСУТП'!DC79,IF($B$1=3,'Документы АСУТП'!DC80,'Документы АСУТП'!DC78))),0)</f>
        <v>0</v>
      </c>
      <c r="DB32" s="312" t="str">
        <f>ТрЗ_ОП!$R$39</f>
        <v>-</v>
      </c>
      <c r="DC32" s="27">
        <f>IF(DB32=1,IF($B$1=1,'Документы АСУТП'!DD78,IF($B$1=2,'Документы АСУТП'!DD79,IF($B$1=3,'Документы АСУТП'!DD80,'Документы АСУТП'!DD78))),0)</f>
        <v>0</v>
      </c>
      <c r="DD32" s="312" t="str">
        <f>ТрЗ_ОП!$R$39</f>
        <v>-</v>
      </c>
      <c r="DE32" s="27">
        <f>IF(DD32=1,IF($B$1=1,'Документы АСУТП'!DF78,IF($B$1=2,'Документы АСУТП'!DF79,IF($B$1=3,'Документы АСУТП'!DF80,'Документы АСУТП'!DF78))),0)</f>
        <v>0</v>
      </c>
      <c r="DF32" s="312" t="str">
        <f>ТрЗ_ОП!$R$39</f>
        <v>-</v>
      </c>
      <c r="DG32" s="27">
        <f>IF(DF32=1,IF($B$1=1,'Документы АСУТП'!DE78,IF($B$1=2,'Документы АСУТП'!DE79,IF($B$1=3,'Документы АСУТП'!DE80,'Документы АСУТП'!DE78))),0)</f>
        <v>0</v>
      </c>
      <c r="DH32" s="312" t="str">
        <f>ТрЗ_ОП!$R$39</f>
        <v>-</v>
      </c>
      <c r="DI32" s="27">
        <f>IF(DH32=1,IF($B$1=1,'Документы АСУТП'!DG78,IF($B$1=2,'Документы АСУТП'!DG79,IF($B$1=3,'Документы АСУТП'!DG80,'Документы АСУТП'!DG78))),0)</f>
        <v>0</v>
      </c>
      <c r="DJ32" s="312" t="str">
        <f>ТрЗ_ОП!$R$39</f>
        <v>-</v>
      </c>
      <c r="DK32" s="27">
        <f>IF(DJ32=1,IF($B$1=1,'Документы АСУТП'!DH78,IF($B$1=2,'Документы АСУТП'!DH79,IF($B$1=3,'Документы АСУТП'!DH80,'Документы АСУТП'!DH78))),0)</f>
        <v>0</v>
      </c>
      <c r="DL32" s="312" t="str">
        <f>ТрЗ_ОП!$R$39</f>
        <v>-</v>
      </c>
      <c r="DM32" s="27">
        <f>IF(DL32=1,IF($B$1=1,'Документы АСУТП'!DI78,IF($B$1=2,'Документы АСУТП'!DI79,IF($B$1=3,'Документы АСУТП'!DI80,'Документы АСУТП'!DI78))),0)</f>
        <v>0</v>
      </c>
      <c r="DN32" s="312" t="str">
        <f>ТрЗ_ОП!$R$39</f>
        <v>-</v>
      </c>
      <c r="DO32" s="27">
        <f>IF(DN32=1,IF($B$1=1,'Документы АСУТП'!DJ78,IF($B$1=2,'Документы АСУТП'!DJ79,IF($B$1=3,'Документы АСУТП'!DJ80,'Документы АСУТП'!DJ78))),0)</f>
        <v>0</v>
      </c>
      <c r="DP32" s="312" t="str">
        <f>ТрЗ_ОП!$R$39</f>
        <v>-</v>
      </c>
      <c r="DQ32" s="27">
        <f>IF(DP32=1,IF($B$1=1,'Документы АСУТП'!DK78,IF($B$1=2,'Документы АСУТП'!DK79,IF($B$1=3,'Документы АСУТП'!DK80,'Документы АСУТП'!DK78))),0)</f>
        <v>0</v>
      </c>
      <c r="DR32" s="312" t="str">
        <f>ТрЗ_ОП!$R$39</f>
        <v>-</v>
      </c>
      <c r="DS32" s="27">
        <f>IF(DR32=1,IF($B$1=1,'Документы АСУТП'!DL78,IF($B$1=2,'Документы АСУТП'!DL79,IF($B$1=3,'Документы АСУТП'!DL80,'Документы АСУТП'!DL78))),0)</f>
        <v>0</v>
      </c>
      <c r="DT32" s="312" t="str">
        <f>ТрЗ_ОП!$R$39</f>
        <v>-</v>
      </c>
      <c r="DU32" s="27">
        <f>IF(DT32=1,IF($B$1=1,'Документы АСУТП'!DM78,IF($B$1=2,'Документы АСУТП'!DM79,IF($B$1=3,'Документы АСУТП'!DM80,'Документы АСУТП'!DM78))),0)</f>
        <v>0</v>
      </c>
      <c r="DV32" s="312" t="str">
        <f>ТрЗ_ОП!$R$39</f>
        <v>-</v>
      </c>
      <c r="DW32" s="27">
        <f>IF(DV32=1,IF($B$1=1,'Документы АСУТП'!DN78,IF($B$1=2,'Документы АСУТП'!DN79,IF($B$1=3,'Документы АСУТП'!DN80,'Документы АСУТП'!DN78))),0)</f>
        <v>0</v>
      </c>
      <c r="DX32" s="312" t="str">
        <f>ТрЗ_ОП!$R$39</f>
        <v>-</v>
      </c>
      <c r="DY32" s="27">
        <f>IF(DX32=1,IF($B$1=1,'Документы АСУТП'!DO78,IF($B$1=2,'Документы АСУТП'!DO79,IF($B$1=3,'Документы АСУТП'!DO80,'Документы АСУТП'!DO78))),0)</f>
        <v>0</v>
      </c>
      <c r="DZ32" s="312" t="str">
        <f>ТрЗ_ОП!$R$39</f>
        <v>-</v>
      </c>
      <c r="EA32" s="27">
        <f>IF(DZ32=1,IF($B$1=1,'Документы АСУТП'!DP78,IF($B$1=2,'Документы АСУТП'!DP79,IF($B$1=3,'Документы АСУТП'!DP80,'Документы АСУТП'!DP78))),0)</f>
        <v>0</v>
      </c>
      <c r="EB32" s="312" t="str">
        <f>ТрЗ_ОП!$R$39</f>
        <v>-</v>
      </c>
      <c r="EC32" s="27">
        <f>IF(EB32=1,IF($B$1=1,'Документы АСУТП'!DQ78,IF($B$1=2,'Документы АСУТП'!DQ79,IF($B$1=3,'Документы АСУТП'!DQ80,'Документы АСУТП'!DQ78))),0)</f>
        <v>0</v>
      </c>
      <c r="ED32" s="312" t="str">
        <f>ТрЗ_ОП!$R$39</f>
        <v>-</v>
      </c>
      <c r="EE32" s="27">
        <f>IF(ED32=1,IF($B$1=1,'Документы АСУТП'!DR78,IF($B$1=2,'Документы АСУТП'!DR79,IF($B$1=3,'Документы АСУТП'!DR80,'Документы АСУТП'!DR78))),0)</f>
        <v>0</v>
      </c>
      <c r="EF32" s="312" t="str">
        <f>ТрЗ_ОП!$R$39</f>
        <v>-</v>
      </c>
      <c r="EG32" s="27">
        <f>IF(EF32=1,IF($B$1=1,'Документы АСУТП'!DS78,IF($B$1=2,'Документы АСУТП'!DS79,IF($B$1=3,'Документы АСУТП'!DS80,'Документы АСУТП'!DS78))),0)</f>
        <v>0</v>
      </c>
      <c r="EH32" s="312" t="str">
        <f>ТрЗ_ОП!$R$39</f>
        <v>-</v>
      </c>
      <c r="EI32" s="27">
        <f>IF(EH32=1,IF($B$1=1,'Документы АСУТП'!DT78,IF($B$1=2,'Документы АСУТП'!DT79,IF($B$1=3,'Документы АСУТП'!DT80,'Документы АСУТП'!DT78))),0)</f>
        <v>0</v>
      </c>
      <c r="EJ32" s="312" t="str">
        <f>ТрЗ_ОП!$R$39</f>
        <v>-</v>
      </c>
      <c r="EK32" s="27">
        <f>IF(EJ32=1,IF($B$1=1,'Документы АСУТП'!DU78,IF($B$1=2,'Документы АСУТП'!DU79,IF($B$1=3,'Документы АСУТП'!DU80,'Документы АСУТП'!DU78))),0)</f>
        <v>0</v>
      </c>
      <c r="EL32" s="312" t="str">
        <f>ТрЗ_ОП!$R$39</f>
        <v>-</v>
      </c>
      <c r="EM32" s="27">
        <f>IF(EL32=1,IF($B$1=1,'Документы АСУТП'!DV78,IF($B$1=2,'Документы АСУТП'!DV79,IF($B$1=3,'Документы АСУТП'!DV80,'Документы АСУТП'!DV78))),0)</f>
        <v>0</v>
      </c>
      <c r="EN32" s="312" t="str">
        <f>ТрЗ_ОП!$R$39</f>
        <v>-</v>
      </c>
      <c r="EO32" s="27">
        <f>IF(EN32=1,IF($B$1=1,'Документы АСУТП'!DW78,IF($B$1=2,'Документы АСУТП'!DW79,IF($B$1=3,'Документы АСУТП'!DW80,'Документы АСУТП'!DW78))),0)</f>
        <v>0</v>
      </c>
      <c r="EP32" s="312" t="str">
        <f>ТрЗ_ОП!$R$39</f>
        <v>-</v>
      </c>
      <c r="EQ32" s="27">
        <f>IF(EP32=1,IF($B$1=1,'Документы АСУТП'!DX78,IF($B$1=2,'Документы АСУТП'!DX79,IF($B$1=3,'Документы АСУТП'!DX80,'Документы АСУТП'!DX78))),0)</f>
        <v>0</v>
      </c>
      <c r="ER32" s="312" t="str">
        <f>ТрЗ_ОП!$R$39</f>
        <v>-</v>
      </c>
      <c r="ES32" s="27">
        <f>IF(ER32=1,IF($B$1=1,'Документы АСУТП'!DY78,IF($B$1=2,'Документы АСУТП'!DY79,IF($B$1=3,'Документы АСУТП'!DY80,'Документы АСУТП'!DY78))),0)</f>
        <v>0</v>
      </c>
      <c r="ET32" s="312" t="str">
        <f>ТрЗ_ОП!$R$39</f>
        <v>-</v>
      </c>
      <c r="EU32" s="771">
        <f>IF(ET32=1,IF($B$1=1,'Документы АСУТП'!DZ78,IF($B$1=2,'Документы АСУТП'!DZ79,IF($B$1=3,'Документы АСУТП'!DZ80,'Документы АСУТП'!DZ78))),0)</f>
        <v>0</v>
      </c>
      <c r="EV32" s="794">
        <f t="shared" si="2"/>
        <v>0</v>
      </c>
      <c r="EW32" s="796">
        <f t="shared" si="3"/>
        <v>0</v>
      </c>
      <c r="EX32" s="796">
        <f t="shared" si="4"/>
        <v>0</v>
      </c>
      <c r="EY32" s="796">
        <f t="shared" si="0"/>
        <v>0</v>
      </c>
      <c r="EZ32" s="795">
        <f t="shared" si="1"/>
        <v>0</v>
      </c>
    </row>
    <row r="33" spans="1:158" ht="15.75" x14ac:dyDescent="0.25">
      <c r="A33" s="383" t="s">
        <v>182</v>
      </c>
      <c r="B33" s="84">
        <v>0.5</v>
      </c>
      <c r="C33" s="47">
        <v>0.3</v>
      </c>
      <c r="D33" s="85">
        <v>0.2</v>
      </c>
      <c r="E33" s="84">
        <v>0.5</v>
      </c>
      <c r="F33" s="47">
        <v>0.3</v>
      </c>
      <c r="G33" s="85">
        <v>0.2</v>
      </c>
      <c r="H33" s="84">
        <v>0.5</v>
      </c>
      <c r="I33" s="47">
        <v>0.3</v>
      </c>
      <c r="J33" s="85">
        <v>0.2</v>
      </c>
      <c r="K33" s="84">
        <v>0.5</v>
      </c>
      <c r="L33" s="47">
        <v>0.3</v>
      </c>
      <c r="M33" s="85">
        <v>0.2</v>
      </c>
      <c r="N33" s="84">
        <v>0.5</v>
      </c>
      <c r="O33" s="47">
        <v>0.3</v>
      </c>
      <c r="P33" s="85">
        <v>0.2</v>
      </c>
      <c r="Q33" s="84">
        <v>0.5</v>
      </c>
      <c r="R33" s="47">
        <v>0.3</v>
      </c>
      <c r="S33" s="85">
        <v>0.2</v>
      </c>
      <c r="T33" s="84">
        <v>0.5</v>
      </c>
      <c r="U33" s="47">
        <v>0.3</v>
      </c>
      <c r="V33" s="85">
        <v>0.2</v>
      </c>
      <c r="W33" s="84">
        <v>0.5</v>
      </c>
      <c r="X33" s="47">
        <v>0.3</v>
      </c>
      <c r="Y33" s="85">
        <v>0.2</v>
      </c>
      <c r="Z33" s="84">
        <v>0.5</v>
      </c>
      <c r="AA33" s="47">
        <v>0.3</v>
      </c>
      <c r="AB33" s="85">
        <v>0.2</v>
      </c>
      <c r="AC33" s="84">
        <v>0.5</v>
      </c>
      <c r="AD33" s="47">
        <v>0.3</v>
      </c>
      <c r="AE33" s="85">
        <v>0.2</v>
      </c>
      <c r="AF33" s="84">
        <v>0.5</v>
      </c>
      <c r="AG33" s="47">
        <v>0.3</v>
      </c>
      <c r="AH33" s="85">
        <v>0.2</v>
      </c>
      <c r="AI33" s="84">
        <v>0.5</v>
      </c>
      <c r="AJ33" s="47">
        <v>0.3</v>
      </c>
      <c r="AK33" s="85">
        <v>0.2</v>
      </c>
      <c r="AL33" s="84">
        <v>0.5</v>
      </c>
      <c r="AM33" s="47">
        <v>0.3</v>
      </c>
      <c r="AN33" s="85">
        <v>0.2</v>
      </c>
      <c r="AO33" s="84">
        <v>0.5</v>
      </c>
      <c r="AP33" s="47">
        <v>0.3</v>
      </c>
      <c r="AQ33" s="85">
        <v>0.2</v>
      </c>
      <c r="AR33" s="84">
        <v>0.5</v>
      </c>
      <c r="AS33" s="47">
        <v>0.3</v>
      </c>
      <c r="AT33" s="85">
        <v>0.2</v>
      </c>
      <c r="AU33" s="84">
        <v>0.5</v>
      </c>
      <c r="AV33" s="47">
        <v>0.3</v>
      </c>
      <c r="AW33" s="85">
        <v>0.2</v>
      </c>
      <c r="AX33" s="84">
        <v>0.5</v>
      </c>
      <c r="AY33" s="47">
        <v>0.3</v>
      </c>
      <c r="AZ33" s="85">
        <v>0.2</v>
      </c>
      <c r="BA33" s="84">
        <v>0.5</v>
      </c>
      <c r="BB33" s="47">
        <v>0.3</v>
      </c>
      <c r="BC33" s="85">
        <v>0.2</v>
      </c>
      <c r="BD33" s="84">
        <v>0.5</v>
      </c>
      <c r="BE33" s="47">
        <v>0.3</v>
      </c>
      <c r="BF33" s="85">
        <v>0.2</v>
      </c>
      <c r="BG33" s="84">
        <v>0.5</v>
      </c>
      <c r="BH33" s="47">
        <v>0.3</v>
      </c>
      <c r="BI33" s="85">
        <v>0.2</v>
      </c>
      <c r="BJ33" s="84">
        <v>0.5</v>
      </c>
      <c r="BK33" s="47">
        <v>0.3</v>
      </c>
      <c r="BL33" s="85">
        <v>0.2</v>
      </c>
      <c r="BM33" s="84">
        <v>0.5</v>
      </c>
      <c r="BN33" s="47">
        <v>0.3</v>
      </c>
      <c r="BO33" s="85">
        <v>0.2</v>
      </c>
      <c r="BP33" s="84">
        <v>0.5</v>
      </c>
      <c r="BQ33" s="47">
        <v>0.3</v>
      </c>
      <c r="BR33" s="85">
        <v>0.2</v>
      </c>
      <c r="BS33" s="84">
        <v>0.5</v>
      </c>
      <c r="BT33" s="47">
        <v>0.3</v>
      </c>
      <c r="BU33" s="85">
        <v>0.2</v>
      </c>
      <c r="BV33" s="84">
        <v>0.5</v>
      </c>
      <c r="BW33" s="47">
        <v>0.3</v>
      </c>
      <c r="BX33" s="85">
        <v>0.2</v>
      </c>
      <c r="BY33" s="84">
        <v>0.5</v>
      </c>
      <c r="BZ33" s="47">
        <v>0.3</v>
      </c>
      <c r="CA33" s="85">
        <v>0.2</v>
      </c>
      <c r="CB33" s="84">
        <v>0.5</v>
      </c>
      <c r="CC33" s="47">
        <v>0.3</v>
      </c>
      <c r="CD33" s="85">
        <v>0.2</v>
      </c>
      <c r="CE33" s="84">
        <v>0.5</v>
      </c>
      <c r="CF33" s="47">
        <v>0.3</v>
      </c>
      <c r="CG33" s="85">
        <v>0.2</v>
      </c>
      <c r="CH33" s="84">
        <v>0.5</v>
      </c>
      <c r="CI33" s="47">
        <v>0.3</v>
      </c>
      <c r="CJ33" s="85">
        <v>0.2</v>
      </c>
      <c r="CK33" s="84">
        <v>0.5</v>
      </c>
      <c r="CL33" s="47">
        <v>0.3</v>
      </c>
      <c r="CM33" s="85">
        <v>0.2</v>
      </c>
      <c r="CN33" s="312" t="str">
        <f>ТрЗ_ОП!$R$40</f>
        <v>-</v>
      </c>
      <c r="CO33" s="27">
        <f>IF(CN33=1,IF($B$1=1,'Документы АСУТП'!CW81,IF($B$1=2,'Документы АСУТП'!CW82,IF($B$1=3,'Документы АСУТП'!CW83,'Документы АСУТП'!CW81))),0)</f>
        <v>0</v>
      </c>
      <c r="CP33" s="312" t="str">
        <f>ТрЗ_ОП!$R$40</f>
        <v>-</v>
      </c>
      <c r="CQ33" s="27">
        <f>IF(CP33=1,IF($B$1=1,'Документы АСУТП'!CX81,IF($B$1=2,'Документы АСУТП'!CX82,IF($B$1=3,'Документы АСУТП'!CX83,'Документы АСУТП'!CX81))),0)</f>
        <v>0</v>
      </c>
      <c r="CR33" s="312" t="str">
        <f>ТрЗ_ОП!$R$40</f>
        <v>-</v>
      </c>
      <c r="CS33" s="27">
        <f>IF(CR33=1,IF($B$1=1,'Документы АСУТП'!CY81,IF($B$1=2,'Документы АСУТП'!CY82,IF($B$1=3,'Документы АСУТП'!CY83,'Документы АСУТП'!CY81))),0)</f>
        <v>0</v>
      </c>
      <c r="CT33" s="312" t="str">
        <f>ТрЗ_ОП!$R$40</f>
        <v>-</v>
      </c>
      <c r="CU33" s="27">
        <f>IF(CT33=1,IF($B$1=1,'Документы АСУТП'!CZ81,IF($B$1=2,'Документы АСУТП'!CZ82,IF($B$1=3,'Документы АСУТП'!CZ83,'Документы АСУТП'!CZ81))),0)</f>
        <v>0</v>
      </c>
      <c r="CV33" s="312" t="str">
        <f>ТрЗ_ОП!$R$40</f>
        <v>-</v>
      </c>
      <c r="CW33" s="27">
        <f>IF(CV33=1,IF($B$1=1,'Документы АСУТП'!DA81,IF($B$1=2,'Документы АСУТП'!DA82,IF($B$1=3,'Документы АСУТП'!DA83,'Документы АСУТП'!DA81))),0)</f>
        <v>0</v>
      </c>
      <c r="CX33" s="312" t="str">
        <f>ТрЗ_ОП!$R$40</f>
        <v>-</v>
      </c>
      <c r="CY33" s="27">
        <f>IF(CX33=1,IF($B$1=1,'Документы АСУТП'!DB81,IF($B$1=2,'Документы АСУТП'!DB82,IF($B$1=3,'Документы АСУТП'!DB83,'Документы АСУТП'!DB81))),0)</f>
        <v>0</v>
      </c>
      <c r="CZ33" s="312" t="str">
        <f>ТрЗ_ОП!$R$40</f>
        <v>-</v>
      </c>
      <c r="DA33" s="27">
        <f>IF(CZ33=1,IF($B$1=1,'Документы АСУТП'!DC81,IF($B$1=2,'Документы АСУТП'!DC82,IF($B$1=3,'Документы АСУТП'!DC83,'Документы АСУТП'!DC81))),0)</f>
        <v>0</v>
      </c>
      <c r="DB33" s="312" t="str">
        <f>ТрЗ_ОП!$R$40</f>
        <v>-</v>
      </c>
      <c r="DC33" s="27">
        <f>IF(DB33=1,IF($B$1=1,'Документы АСУТП'!DD81,IF($B$1=2,'Документы АСУТП'!DD82,IF($B$1=3,'Документы АСУТП'!DD83,'Документы АСУТП'!DD81))),0)</f>
        <v>0</v>
      </c>
      <c r="DD33" s="312" t="str">
        <f>ТрЗ_ОП!$R$40</f>
        <v>-</v>
      </c>
      <c r="DE33" s="27">
        <f>IF(DD33=1,IF($B$1=1,'Документы АСУТП'!DF81,IF($B$1=2,'Документы АСУТП'!DF82,IF($B$1=3,'Документы АСУТП'!DF83,'Документы АСУТП'!DF81))),0)</f>
        <v>0</v>
      </c>
      <c r="DF33" s="312" t="str">
        <f>ТрЗ_ОП!$R$40</f>
        <v>-</v>
      </c>
      <c r="DG33" s="27">
        <f>IF(DF33=1,IF($B$1=1,'Документы АСУТП'!DE81,IF($B$1=2,'Документы АСУТП'!DE82,IF($B$1=3,'Документы АСУТП'!DE83,'Документы АСУТП'!DE81))),0)</f>
        <v>0</v>
      </c>
      <c r="DH33" s="312" t="str">
        <f>ТрЗ_ОП!$R$40</f>
        <v>-</v>
      </c>
      <c r="DI33" s="27">
        <f>IF(DH33=1,IF($B$1=1,'Документы АСУТП'!DG81,IF($B$1=2,'Документы АСУТП'!DG82,IF($B$1=3,'Документы АСУТП'!DG83,'Документы АСУТП'!DG81))),0)</f>
        <v>0</v>
      </c>
      <c r="DJ33" s="312" t="str">
        <f>ТрЗ_ОП!$R$40</f>
        <v>-</v>
      </c>
      <c r="DK33" s="27">
        <f>IF(DJ33=1,IF($B$1=1,'Документы АСУТП'!DH81,IF($B$1=2,'Документы АСУТП'!DH82,IF($B$1=3,'Документы АСУТП'!DH83,'Документы АСУТП'!DH81))),0)</f>
        <v>0</v>
      </c>
      <c r="DL33" s="312" t="str">
        <f>ТрЗ_ОП!$R$40</f>
        <v>-</v>
      </c>
      <c r="DM33" s="27">
        <f>IF(DL33=1,IF($B$1=1,'Документы АСУТП'!DI81,IF($B$1=2,'Документы АСУТП'!DI82,IF($B$1=3,'Документы АСУТП'!DI83,'Документы АСУТП'!DI81))),0)</f>
        <v>0</v>
      </c>
      <c r="DN33" s="312" t="str">
        <f>ТрЗ_ОП!$R$40</f>
        <v>-</v>
      </c>
      <c r="DO33" s="27">
        <f>IF(DN33=1,IF($B$1=1,'Документы АСУТП'!DJ81,IF($B$1=2,'Документы АСУТП'!DJ82,IF($B$1=3,'Документы АСУТП'!DJ83,'Документы АСУТП'!DJ81))),0)</f>
        <v>0</v>
      </c>
      <c r="DP33" s="312" t="str">
        <f>ТрЗ_ОП!$R$40</f>
        <v>-</v>
      </c>
      <c r="DQ33" s="27">
        <f>IF(DP33=1,IF($B$1=1,'Документы АСУТП'!DK81,IF($B$1=2,'Документы АСУТП'!DK82,IF($B$1=3,'Документы АСУТП'!DK83,'Документы АСУТП'!DK81))),0)</f>
        <v>0</v>
      </c>
      <c r="DR33" s="312" t="str">
        <f>ТрЗ_ОП!$R$40</f>
        <v>-</v>
      </c>
      <c r="DS33" s="27">
        <f>IF(DR33=1,IF($B$1=1,'Документы АСУТП'!DL81,IF($B$1=2,'Документы АСУТП'!DL82,IF($B$1=3,'Документы АСУТП'!DL83,'Документы АСУТП'!DL81))),0)</f>
        <v>0</v>
      </c>
      <c r="DT33" s="312" t="str">
        <f>ТрЗ_ОП!$R$40</f>
        <v>-</v>
      </c>
      <c r="DU33" s="27">
        <f>IF(DT33=1,IF($B$1=1,'Документы АСУТП'!DM81,IF($B$1=2,'Документы АСУТП'!DM82,IF($B$1=3,'Документы АСУТП'!DM83,'Документы АСУТП'!DM81))),0)</f>
        <v>0</v>
      </c>
      <c r="DV33" s="312" t="str">
        <f>ТрЗ_ОП!$R$40</f>
        <v>-</v>
      </c>
      <c r="DW33" s="27">
        <f>IF(DV33=1,IF($B$1=1,'Документы АСУТП'!DN81,IF($B$1=2,'Документы АСУТП'!DN82,IF($B$1=3,'Документы АСУТП'!DN83,'Документы АСУТП'!DN81))),0)</f>
        <v>0</v>
      </c>
      <c r="DX33" s="312" t="str">
        <f>ТрЗ_ОП!$R$40</f>
        <v>-</v>
      </c>
      <c r="DY33" s="27">
        <f>IF(DX33=1,IF($B$1=1,'Документы АСУТП'!DO81,IF($B$1=2,'Документы АСУТП'!DO82,IF($B$1=3,'Документы АСУТП'!DO83,'Документы АСУТП'!DO81))),0)</f>
        <v>0</v>
      </c>
      <c r="DZ33" s="312" t="str">
        <f>ТрЗ_ОП!$R$40</f>
        <v>-</v>
      </c>
      <c r="EA33" s="27">
        <f>IF(DZ33=1,IF($B$1=1,'Документы АСУТП'!DP81,IF($B$1=2,'Документы АСУТП'!DP82,IF($B$1=3,'Документы АСУТП'!DP83,'Документы АСУТП'!DP81))),0)</f>
        <v>0</v>
      </c>
      <c r="EB33" s="312" t="str">
        <f>ТрЗ_ОП!$R$40</f>
        <v>-</v>
      </c>
      <c r="EC33" s="27">
        <f>IF(EB33=1,IF($B$1=1,'Документы АСУТП'!DQ81,IF($B$1=2,'Документы АСУТП'!DQ82,IF($B$1=3,'Документы АСУТП'!DQ83,'Документы АСУТП'!DQ81))),0)</f>
        <v>0</v>
      </c>
      <c r="ED33" s="312" t="str">
        <f>ТрЗ_ОП!$R$40</f>
        <v>-</v>
      </c>
      <c r="EE33" s="27">
        <f>IF(ED33=1,IF($B$1=1,'Документы АСУТП'!DR81,IF($B$1=2,'Документы АСУТП'!DR82,IF($B$1=3,'Документы АСУТП'!DR83,'Документы АСУТП'!DR81))),0)</f>
        <v>0</v>
      </c>
      <c r="EF33" s="312" t="str">
        <f>ТрЗ_ОП!$R$40</f>
        <v>-</v>
      </c>
      <c r="EG33" s="27">
        <f>IF(EF33=1,IF($B$1=1,'Документы АСУТП'!DS81,IF($B$1=2,'Документы АСУТП'!DS82,IF($B$1=3,'Документы АСУТП'!DS83,'Документы АСУТП'!DS81))),0)</f>
        <v>0</v>
      </c>
      <c r="EH33" s="312" t="str">
        <f>ТрЗ_ОП!$R$40</f>
        <v>-</v>
      </c>
      <c r="EI33" s="27">
        <f>IF(EH33=1,IF($B$1=1,'Документы АСУТП'!DT81,IF($B$1=2,'Документы АСУТП'!DT82,IF($B$1=3,'Документы АСУТП'!DT83,'Документы АСУТП'!DT81))),0)</f>
        <v>0</v>
      </c>
      <c r="EJ33" s="312" t="str">
        <f>ТрЗ_ОП!$R$40</f>
        <v>-</v>
      </c>
      <c r="EK33" s="27">
        <f>IF(EJ33=1,IF($B$1=1,'Документы АСУТП'!DU81,IF($B$1=2,'Документы АСУТП'!DU82,IF($B$1=3,'Документы АСУТП'!DU83,'Документы АСУТП'!DU81))),0)</f>
        <v>0</v>
      </c>
      <c r="EL33" s="312" t="str">
        <f>ТрЗ_ОП!$R$40</f>
        <v>-</v>
      </c>
      <c r="EM33" s="27">
        <f>IF(EL33=1,IF($B$1=1,'Документы АСУТП'!DV81,IF($B$1=2,'Документы АСУТП'!DV82,IF($B$1=3,'Документы АСУТП'!DV83,'Документы АСУТП'!DV81))),0)</f>
        <v>0</v>
      </c>
      <c r="EN33" s="312" t="str">
        <f>ТрЗ_ОП!$R$40</f>
        <v>-</v>
      </c>
      <c r="EO33" s="27">
        <f>IF(EN33=1,IF($B$1=1,'Документы АСУТП'!DW81,IF($B$1=2,'Документы АСУТП'!DW82,IF($B$1=3,'Документы АСУТП'!DW83,'Документы АСУТП'!DW81))),0)</f>
        <v>0</v>
      </c>
      <c r="EP33" s="312" t="str">
        <f>ТрЗ_ОП!$R$40</f>
        <v>-</v>
      </c>
      <c r="EQ33" s="27">
        <f>IF(EP33=1,IF($B$1=1,'Документы АСУТП'!DX81,IF($B$1=2,'Документы АСУТП'!DX82,IF($B$1=3,'Документы АСУТП'!DX83,'Документы АСУТП'!DX81))),0)</f>
        <v>0</v>
      </c>
      <c r="ER33" s="312" t="str">
        <f>ТрЗ_ОП!$R$40</f>
        <v>-</v>
      </c>
      <c r="ES33" s="27">
        <f>IF(ER33=1,IF($B$1=1,'Документы АСУТП'!DY81,IF($B$1=2,'Документы АСУТП'!DY82,IF($B$1=3,'Документы АСУТП'!DY83,'Документы АСУТП'!DY81))),0)</f>
        <v>0</v>
      </c>
      <c r="ET33" s="312" t="str">
        <f>ТрЗ_ОП!$R$40</f>
        <v>-</v>
      </c>
      <c r="EU33" s="771">
        <f>IF(ET33=1,IF($B$1=1,'Документы АСУТП'!DZ81,IF($B$1=2,'Документы АСУТП'!DZ82,IF($B$1=3,'Документы АСУТП'!DZ83,'Документы АСУТП'!DZ81))),0)</f>
        <v>0</v>
      </c>
      <c r="EV33" s="794">
        <f t="shared" si="2"/>
        <v>0</v>
      </c>
      <c r="EW33" s="796">
        <f t="shared" si="3"/>
        <v>0</v>
      </c>
      <c r="EX33" s="796">
        <f t="shared" si="4"/>
        <v>0</v>
      </c>
      <c r="EY33" s="796">
        <f t="shared" si="0"/>
        <v>0</v>
      </c>
      <c r="EZ33" s="795">
        <f t="shared" si="1"/>
        <v>0</v>
      </c>
    </row>
    <row r="34" spans="1:158" ht="15.75" x14ac:dyDescent="0.25">
      <c r="A34" s="383" t="s">
        <v>183</v>
      </c>
      <c r="B34" s="84">
        <v>0.5</v>
      </c>
      <c r="C34" s="47">
        <v>0.3</v>
      </c>
      <c r="D34" s="85">
        <v>0.2</v>
      </c>
      <c r="E34" s="84">
        <v>0.5</v>
      </c>
      <c r="F34" s="47">
        <v>0.3</v>
      </c>
      <c r="G34" s="85">
        <v>0.2</v>
      </c>
      <c r="H34" s="84">
        <v>0.5</v>
      </c>
      <c r="I34" s="47">
        <v>0.3</v>
      </c>
      <c r="J34" s="85">
        <v>0.2</v>
      </c>
      <c r="K34" s="84">
        <v>0.5</v>
      </c>
      <c r="L34" s="47">
        <v>0.3</v>
      </c>
      <c r="M34" s="85">
        <v>0.2</v>
      </c>
      <c r="N34" s="84">
        <v>0.5</v>
      </c>
      <c r="O34" s="47">
        <v>0.3</v>
      </c>
      <c r="P34" s="85">
        <v>0.2</v>
      </c>
      <c r="Q34" s="84">
        <v>0.5</v>
      </c>
      <c r="R34" s="47">
        <v>0.3</v>
      </c>
      <c r="S34" s="85">
        <v>0.2</v>
      </c>
      <c r="T34" s="84">
        <v>0.5</v>
      </c>
      <c r="U34" s="47">
        <v>0.3</v>
      </c>
      <c r="V34" s="85">
        <v>0.2</v>
      </c>
      <c r="W34" s="84">
        <v>0.5</v>
      </c>
      <c r="X34" s="47">
        <v>0.3</v>
      </c>
      <c r="Y34" s="85">
        <v>0.2</v>
      </c>
      <c r="Z34" s="84">
        <v>0.5</v>
      </c>
      <c r="AA34" s="47">
        <v>0.3</v>
      </c>
      <c r="AB34" s="85">
        <v>0.2</v>
      </c>
      <c r="AC34" s="84">
        <v>0.5</v>
      </c>
      <c r="AD34" s="47">
        <v>0.3</v>
      </c>
      <c r="AE34" s="85">
        <v>0.2</v>
      </c>
      <c r="AF34" s="84">
        <v>0.5</v>
      </c>
      <c r="AG34" s="47">
        <v>0.3</v>
      </c>
      <c r="AH34" s="85">
        <v>0.2</v>
      </c>
      <c r="AI34" s="84">
        <v>0.5</v>
      </c>
      <c r="AJ34" s="47">
        <v>0.3</v>
      </c>
      <c r="AK34" s="85">
        <v>0.2</v>
      </c>
      <c r="AL34" s="84">
        <v>0.5</v>
      </c>
      <c r="AM34" s="47">
        <v>0.3</v>
      </c>
      <c r="AN34" s="85">
        <v>0.2</v>
      </c>
      <c r="AO34" s="84">
        <v>0.5</v>
      </c>
      <c r="AP34" s="47">
        <v>0.3</v>
      </c>
      <c r="AQ34" s="85">
        <v>0.2</v>
      </c>
      <c r="AR34" s="84">
        <v>0.5</v>
      </c>
      <c r="AS34" s="47">
        <v>0.3</v>
      </c>
      <c r="AT34" s="85">
        <v>0.2</v>
      </c>
      <c r="AU34" s="84">
        <v>0.5</v>
      </c>
      <c r="AV34" s="47">
        <v>0.3</v>
      </c>
      <c r="AW34" s="85">
        <v>0.2</v>
      </c>
      <c r="AX34" s="84">
        <v>0.5</v>
      </c>
      <c r="AY34" s="47">
        <v>0.3</v>
      </c>
      <c r="AZ34" s="85">
        <v>0.2</v>
      </c>
      <c r="BA34" s="84">
        <v>0.5</v>
      </c>
      <c r="BB34" s="47">
        <v>0.3</v>
      </c>
      <c r="BC34" s="85">
        <v>0.2</v>
      </c>
      <c r="BD34" s="84">
        <v>0.5</v>
      </c>
      <c r="BE34" s="47">
        <v>0.3</v>
      </c>
      <c r="BF34" s="85">
        <v>0.2</v>
      </c>
      <c r="BG34" s="84">
        <v>0.5</v>
      </c>
      <c r="BH34" s="47">
        <v>0.3</v>
      </c>
      <c r="BI34" s="85">
        <v>0.2</v>
      </c>
      <c r="BJ34" s="84">
        <v>0.5</v>
      </c>
      <c r="BK34" s="47">
        <v>0.3</v>
      </c>
      <c r="BL34" s="85">
        <v>0.2</v>
      </c>
      <c r="BM34" s="84">
        <v>0.5</v>
      </c>
      <c r="BN34" s="47">
        <v>0.3</v>
      </c>
      <c r="BO34" s="85">
        <v>0.2</v>
      </c>
      <c r="BP34" s="84">
        <v>0.5</v>
      </c>
      <c r="BQ34" s="47">
        <v>0.3</v>
      </c>
      <c r="BR34" s="85">
        <v>0.2</v>
      </c>
      <c r="BS34" s="84">
        <v>0.5</v>
      </c>
      <c r="BT34" s="47">
        <v>0.3</v>
      </c>
      <c r="BU34" s="85">
        <v>0.2</v>
      </c>
      <c r="BV34" s="84">
        <v>0.5</v>
      </c>
      <c r="BW34" s="47">
        <v>0.3</v>
      </c>
      <c r="BX34" s="85">
        <v>0.2</v>
      </c>
      <c r="BY34" s="84">
        <v>0.5</v>
      </c>
      <c r="BZ34" s="47">
        <v>0.3</v>
      </c>
      <c r="CA34" s="85">
        <v>0.2</v>
      </c>
      <c r="CB34" s="84">
        <v>0.5</v>
      </c>
      <c r="CC34" s="47">
        <v>0.3</v>
      </c>
      <c r="CD34" s="85">
        <v>0.2</v>
      </c>
      <c r="CE34" s="84">
        <v>0.5</v>
      </c>
      <c r="CF34" s="47">
        <v>0.3</v>
      </c>
      <c r="CG34" s="85">
        <v>0.2</v>
      </c>
      <c r="CH34" s="84">
        <v>0.5</v>
      </c>
      <c r="CI34" s="47">
        <v>0.3</v>
      </c>
      <c r="CJ34" s="85">
        <v>0.2</v>
      </c>
      <c r="CK34" s="84">
        <v>0.5</v>
      </c>
      <c r="CL34" s="47">
        <v>0.3</v>
      </c>
      <c r="CM34" s="85">
        <v>0.2</v>
      </c>
      <c r="CN34" s="312" t="str">
        <f>ТрЗ_ОП!$R$41</f>
        <v>-</v>
      </c>
      <c r="CO34" s="27">
        <f>IF(CN34=1,IF($B$1=1,'Документы АСУТП'!CW84,IF($B$1=2,'Документы АСУТП'!CW85,IF($B$1=3,'Документы АСУТП'!CW86,'Документы АСУТП'!CW84))),0)</f>
        <v>0</v>
      </c>
      <c r="CP34" s="312" t="str">
        <f>ТрЗ_ОП!$R$41</f>
        <v>-</v>
      </c>
      <c r="CQ34" s="27">
        <f>IF(CP34=1,IF($B$1=1,'Документы АСУТП'!CX84,IF($B$1=2,'Документы АСУТП'!CX85,IF($B$1=3,'Документы АСУТП'!CX86,'Документы АСУТП'!CX84))),0)</f>
        <v>0</v>
      </c>
      <c r="CR34" s="312" t="str">
        <f>ТрЗ_ОП!$R$41</f>
        <v>-</v>
      </c>
      <c r="CS34" s="27">
        <f>IF(CR34=1,IF($B$1=1,'Документы АСУТП'!CY84,IF($B$1=2,'Документы АСУТП'!CY85,IF($B$1=3,'Документы АСУТП'!CY86,'Документы АСУТП'!CY84))),0)</f>
        <v>0</v>
      </c>
      <c r="CT34" s="312" t="str">
        <f>ТрЗ_ОП!$R$41</f>
        <v>-</v>
      </c>
      <c r="CU34" s="27">
        <f>IF(CT34=1,IF($B$1=1,'Документы АСУТП'!CZ84,IF($B$1=2,'Документы АСУТП'!CZ85,IF($B$1=3,'Документы АСУТП'!CZ86,'Документы АСУТП'!CZ84))),0)</f>
        <v>0</v>
      </c>
      <c r="CV34" s="312" t="str">
        <f>ТрЗ_ОП!$R$41</f>
        <v>-</v>
      </c>
      <c r="CW34" s="27">
        <f>IF(CV34=1,IF($B$1=1,'Документы АСУТП'!DA84,IF($B$1=2,'Документы АСУТП'!DA85,IF($B$1=3,'Документы АСУТП'!DA86,'Документы АСУТП'!DA84))),0)</f>
        <v>0</v>
      </c>
      <c r="CX34" s="312" t="str">
        <f>ТрЗ_ОП!$R$41</f>
        <v>-</v>
      </c>
      <c r="CY34" s="27">
        <f>IF(CX34=1,IF($B$1=1,'Документы АСУТП'!DB84,IF($B$1=2,'Документы АСУТП'!DB85,IF($B$1=3,'Документы АСУТП'!DB86,'Документы АСУТП'!DB84))),0)</f>
        <v>0</v>
      </c>
      <c r="CZ34" s="312" t="str">
        <f>ТрЗ_ОП!$R$41</f>
        <v>-</v>
      </c>
      <c r="DA34" s="27">
        <f>IF(CZ34=1,IF($B$1=1,'Документы АСУТП'!DC84,IF($B$1=2,'Документы АСУТП'!DC85,IF($B$1=3,'Документы АСУТП'!DC86,'Документы АСУТП'!DC84))),0)</f>
        <v>0</v>
      </c>
      <c r="DB34" s="312" t="str">
        <f>ТрЗ_ОП!$R$41</f>
        <v>-</v>
      </c>
      <c r="DC34" s="27">
        <f>IF(DB34=1,IF($B$1=1,'Документы АСУТП'!DD84,IF($B$1=2,'Документы АСУТП'!DD85,IF($B$1=3,'Документы АСУТП'!DD86,'Документы АСУТП'!DD84))),0)</f>
        <v>0</v>
      </c>
      <c r="DD34" s="312" t="str">
        <f>ТрЗ_ОП!$R$41</f>
        <v>-</v>
      </c>
      <c r="DE34" s="27">
        <f>IF(DD34=1,IF($B$1=1,'Документы АСУТП'!DF84,IF($B$1=2,'Документы АСУТП'!DF85,IF($B$1=3,'Документы АСУТП'!DF86,'Документы АСУТП'!DF84))),0)</f>
        <v>0</v>
      </c>
      <c r="DF34" s="312" t="str">
        <f>ТрЗ_ОП!$R$41</f>
        <v>-</v>
      </c>
      <c r="DG34" s="27">
        <f>IF(DF34=1,IF($B$1=1,'Документы АСУТП'!DE84,IF($B$1=2,'Документы АСУТП'!DE85,IF($B$1=3,'Документы АСУТП'!DE86,'Документы АСУТП'!DE84))),0)</f>
        <v>0</v>
      </c>
      <c r="DH34" s="312" t="str">
        <f>ТрЗ_ОП!$R$41</f>
        <v>-</v>
      </c>
      <c r="DI34" s="27">
        <f>IF(DH34=1,IF($B$1=1,'Документы АСУТП'!DG84,IF($B$1=2,'Документы АСУТП'!DG85,IF($B$1=3,'Документы АСУТП'!DG86,'Документы АСУТП'!DG84))),0)</f>
        <v>0</v>
      </c>
      <c r="DJ34" s="312" t="str">
        <f>ТрЗ_ОП!$R$41</f>
        <v>-</v>
      </c>
      <c r="DK34" s="27">
        <f>IF(DJ34=1,IF($B$1=1,'Документы АСУТП'!DH84,IF($B$1=2,'Документы АСУТП'!DH85,IF($B$1=3,'Документы АСУТП'!DH86,'Документы АСУТП'!DH84))),0)</f>
        <v>0</v>
      </c>
      <c r="DL34" s="312" t="str">
        <f>ТрЗ_ОП!$R$41</f>
        <v>-</v>
      </c>
      <c r="DM34" s="27">
        <f>IF(DL34=1,IF($B$1=1,'Документы АСУТП'!DI84,IF($B$1=2,'Документы АСУТП'!DI85,IF($B$1=3,'Документы АСУТП'!DI86,'Документы АСУТП'!DI84))),0)</f>
        <v>0</v>
      </c>
      <c r="DN34" s="312" t="str">
        <f>ТрЗ_ОП!$R$41</f>
        <v>-</v>
      </c>
      <c r="DO34" s="27">
        <f>IF(DN34=1,IF($B$1=1,'Документы АСУТП'!DJ84,IF($B$1=2,'Документы АСУТП'!DJ85,IF($B$1=3,'Документы АСУТП'!DJ86,'Документы АСУТП'!DJ84))),0)</f>
        <v>0</v>
      </c>
      <c r="DP34" s="312" t="str">
        <f>ТрЗ_ОП!$R$41</f>
        <v>-</v>
      </c>
      <c r="DQ34" s="27">
        <f>IF(DP34=1,IF($B$1=1,'Документы АСУТП'!DK84,IF($B$1=2,'Документы АСУТП'!DK85,IF($B$1=3,'Документы АСУТП'!DK86,'Документы АСУТП'!DK84))),0)</f>
        <v>0</v>
      </c>
      <c r="DR34" s="312" t="str">
        <f>ТрЗ_ОП!$R$41</f>
        <v>-</v>
      </c>
      <c r="DS34" s="27">
        <f>IF(DR34=1,IF($B$1=1,'Документы АСУТП'!DL84,IF($B$1=2,'Документы АСУТП'!DL85,IF($B$1=3,'Документы АСУТП'!DL86,'Документы АСУТП'!DL84))),0)</f>
        <v>0</v>
      </c>
      <c r="DT34" s="312" t="str">
        <f>ТрЗ_ОП!$R$41</f>
        <v>-</v>
      </c>
      <c r="DU34" s="27">
        <f>IF(DT34=1,IF($B$1=1,'Документы АСУТП'!DM84,IF($B$1=2,'Документы АСУТП'!DM85,IF($B$1=3,'Документы АСУТП'!DM86,'Документы АСУТП'!DM84))),0)</f>
        <v>0</v>
      </c>
      <c r="DV34" s="312" t="str">
        <f>ТрЗ_ОП!$R$41</f>
        <v>-</v>
      </c>
      <c r="DW34" s="27">
        <f>IF(DV34=1,IF($B$1=1,'Документы АСУТП'!DN84,IF($B$1=2,'Документы АСУТП'!DN85,IF($B$1=3,'Документы АСУТП'!DN86,'Документы АСУТП'!DN84))),0)</f>
        <v>0</v>
      </c>
      <c r="DX34" s="312" t="str">
        <f>ТрЗ_ОП!$R$41</f>
        <v>-</v>
      </c>
      <c r="DY34" s="27">
        <f>IF(DX34=1,IF($B$1=1,'Документы АСУТП'!DO84,IF($B$1=2,'Документы АСУТП'!DO85,IF($B$1=3,'Документы АСУТП'!DO86,'Документы АСУТП'!DO84))),0)</f>
        <v>0</v>
      </c>
      <c r="DZ34" s="312" t="str">
        <f>ТрЗ_ОП!$R$41</f>
        <v>-</v>
      </c>
      <c r="EA34" s="27">
        <f>IF(DZ34=1,IF($B$1=1,'Документы АСУТП'!DP84,IF($B$1=2,'Документы АСУТП'!DP85,IF($B$1=3,'Документы АСУТП'!DP86,'Документы АСУТП'!DP84))),0)</f>
        <v>0</v>
      </c>
      <c r="EB34" s="312" t="str">
        <f>ТрЗ_ОП!$R$41</f>
        <v>-</v>
      </c>
      <c r="EC34" s="27">
        <f>IF(EB34=1,IF($B$1=1,'Документы АСУТП'!DQ84,IF($B$1=2,'Документы АСУТП'!DQ85,IF($B$1=3,'Документы АСУТП'!DQ86,'Документы АСУТП'!DQ84))),0)</f>
        <v>0</v>
      </c>
      <c r="ED34" s="312" t="str">
        <f>ТрЗ_ОП!$R$41</f>
        <v>-</v>
      </c>
      <c r="EE34" s="27">
        <f>IF(ED34=1,IF($B$1=1,'Документы АСУТП'!DR84,IF($B$1=2,'Документы АСУТП'!DR85,IF($B$1=3,'Документы АСУТП'!DR86,'Документы АСУТП'!DR84))),0)</f>
        <v>0</v>
      </c>
      <c r="EF34" s="312" t="str">
        <f>ТрЗ_ОП!$R$41</f>
        <v>-</v>
      </c>
      <c r="EG34" s="27">
        <f>IF(EF34=1,IF($B$1=1,'Документы АСУТП'!DS84,IF($B$1=2,'Документы АСУТП'!DS85,IF($B$1=3,'Документы АСУТП'!DS86,'Документы АСУТП'!DS84))),0)</f>
        <v>0</v>
      </c>
      <c r="EH34" s="312" t="str">
        <f>ТрЗ_ОП!$R$41</f>
        <v>-</v>
      </c>
      <c r="EI34" s="27">
        <f>IF(EH34=1,IF($B$1=1,'Документы АСУТП'!DT84,IF($B$1=2,'Документы АСУТП'!DT85,IF($B$1=3,'Документы АСУТП'!DT86,'Документы АСУТП'!DT84))),0)</f>
        <v>0</v>
      </c>
      <c r="EJ34" s="312" t="str">
        <f>ТрЗ_ОП!$R$41</f>
        <v>-</v>
      </c>
      <c r="EK34" s="27">
        <f>IF(EJ34=1,IF($B$1=1,'Документы АСУТП'!DU84,IF($B$1=2,'Документы АСУТП'!DU85,IF($B$1=3,'Документы АСУТП'!DU86,'Документы АСУТП'!DU84))),0)</f>
        <v>0</v>
      </c>
      <c r="EL34" s="312" t="str">
        <f>ТрЗ_ОП!$R$41</f>
        <v>-</v>
      </c>
      <c r="EM34" s="27">
        <f>IF(EL34=1,IF($B$1=1,'Документы АСУТП'!DV84,IF($B$1=2,'Документы АСУТП'!DV85,IF($B$1=3,'Документы АСУТП'!DV86,'Документы АСУТП'!DV84))),0)</f>
        <v>0</v>
      </c>
      <c r="EN34" s="312" t="str">
        <f>ТрЗ_ОП!$R$41</f>
        <v>-</v>
      </c>
      <c r="EO34" s="27">
        <f>IF(EN34=1,IF($B$1=1,'Документы АСУТП'!DW84,IF($B$1=2,'Документы АСУТП'!DW85,IF($B$1=3,'Документы АСУТП'!DW86,'Документы АСУТП'!DW84))),0)</f>
        <v>0</v>
      </c>
      <c r="EP34" s="312" t="str">
        <f>ТрЗ_ОП!$R$41</f>
        <v>-</v>
      </c>
      <c r="EQ34" s="27">
        <f>IF(EP34=1,IF($B$1=1,'Документы АСУТП'!DX84,IF($B$1=2,'Документы АСУТП'!DX85,IF($B$1=3,'Документы АСУТП'!DX86,'Документы АСУТП'!DX84))),0)</f>
        <v>0</v>
      </c>
      <c r="ER34" s="312" t="str">
        <f>ТрЗ_ОП!$R$41</f>
        <v>-</v>
      </c>
      <c r="ES34" s="27">
        <f>IF(ER34=1,IF($B$1=1,'Документы АСУТП'!DY84,IF($B$1=2,'Документы АСУТП'!DY85,IF($B$1=3,'Документы АСУТП'!DY86,'Документы АСУТП'!DY84))),0)</f>
        <v>0</v>
      </c>
      <c r="ET34" s="312" t="str">
        <f>ТрЗ_ОП!$R$41</f>
        <v>-</v>
      </c>
      <c r="EU34" s="771">
        <f>IF(ET34=1,IF($B$1=1,'Документы АСУТП'!DZ84,IF($B$1=2,'Документы АСУТП'!DZ85,IF($B$1=3,'Документы АСУТП'!DZ86,'Документы АСУТП'!DZ84))),0)</f>
        <v>0</v>
      </c>
      <c r="EV34" s="794">
        <f t="shared" si="2"/>
        <v>0</v>
      </c>
      <c r="EW34" s="796">
        <f t="shared" si="3"/>
        <v>0</v>
      </c>
      <c r="EX34" s="796">
        <f t="shared" si="4"/>
        <v>0</v>
      </c>
      <c r="EY34" s="796">
        <f t="shared" si="0"/>
        <v>0</v>
      </c>
      <c r="EZ34" s="795">
        <f t="shared" si="1"/>
        <v>0</v>
      </c>
    </row>
    <row r="35" spans="1:158" ht="15.75" x14ac:dyDescent="0.25">
      <c r="A35" s="2" t="s">
        <v>22</v>
      </c>
      <c r="B35" s="4"/>
      <c r="C35" s="311"/>
      <c r="D35" s="5"/>
      <c r="E35" s="4"/>
      <c r="F35" s="311"/>
      <c r="G35" s="5"/>
      <c r="H35" s="4"/>
      <c r="I35" s="311"/>
      <c r="J35" s="5"/>
      <c r="K35" s="4"/>
      <c r="L35" s="311"/>
      <c r="M35" s="5"/>
      <c r="N35" s="4"/>
      <c r="O35" s="311"/>
      <c r="P35" s="5"/>
      <c r="Q35" s="4"/>
      <c r="R35" s="311"/>
      <c r="S35" s="5"/>
      <c r="T35" s="4"/>
      <c r="U35" s="311"/>
      <c r="V35" s="5"/>
      <c r="W35" s="4"/>
      <c r="X35" s="311"/>
      <c r="Y35" s="5"/>
      <c r="Z35" s="4"/>
      <c r="AA35" s="311"/>
      <c r="AB35" s="5"/>
      <c r="AC35" s="4"/>
      <c r="AD35" s="311"/>
      <c r="AE35" s="5"/>
      <c r="AF35" s="4"/>
      <c r="AG35" s="311"/>
      <c r="AH35" s="5"/>
      <c r="AI35" s="4"/>
      <c r="AJ35" s="311"/>
      <c r="AK35" s="5"/>
      <c r="AL35" s="4"/>
      <c r="AM35" s="311"/>
      <c r="AN35" s="5"/>
      <c r="AO35" s="4"/>
      <c r="AP35" s="311"/>
      <c r="AQ35" s="5"/>
      <c r="AR35" s="4"/>
      <c r="AS35" s="311"/>
      <c r="AT35" s="5"/>
      <c r="AU35" s="4"/>
      <c r="AV35" s="311"/>
      <c r="AW35" s="5"/>
      <c r="AX35" s="4"/>
      <c r="AY35" s="311"/>
      <c r="AZ35" s="5"/>
      <c r="BA35" s="4"/>
      <c r="BB35" s="311"/>
      <c r="BC35" s="5"/>
      <c r="BD35" s="4"/>
      <c r="BE35" s="311"/>
      <c r="BF35" s="5"/>
      <c r="BG35" s="4"/>
      <c r="BH35" s="311"/>
      <c r="BI35" s="5"/>
      <c r="BJ35" s="4"/>
      <c r="BK35" s="311"/>
      <c r="BL35" s="5"/>
      <c r="BM35" s="4"/>
      <c r="BN35" s="311"/>
      <c r="BO35" s="5"/>
      <c r="BP35" s="4"/>
      <c r="BQ35" s="311"/>
      <c r="BR35" s="5"/>
      <c r="BS35" s="4"/>
      <c r="BT35" s="311"/>
      <c r="BU35" s="5"/>
      <c r="BV35" s="4"/>
      <c r="BW35" s="311"/>
      <c r="BX35" s="5"/>
      <c r="BY35" s="4"/>
      <c r="BZ35" s="311"/>
      <c r="CA35" s="5"/>
      <c r="CB35" s="4"/>
      <c r="CC35" s="311"/>
      <c r="CD35" s="5"/>
      <c r="CE35" s="4"/>
      <c r="CF35" s="311"/>
      <c r="CG35" s="5"/>
      <c r="CH35" s="4"/>
      <c r="CI35" s="311"/>
      <c r="CJ35" s="5"/>
      <c r="CK35" s="4"/>
      <c r="CL35" s="311"/>
      <c r="CM35" s="5"/>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773"/>
      <c r="ER35" s="6"/>
      <c r="ES35" s="6"/>
      <c r="ET35" s="6"/>
      <c r="EU35" s="775"/>
      <c r="EV35" s="1566"/>
      <c r="EW35" s="1564"/>
      <c r="EX35" s="1564"/>
      <c r="EY35" s="1564"/>
      <c r="EZ35" s="1565"/>
    </row>
    <row r="36" spans="1:158" ht="15.75" x14ac:dyDescent="0.25">
      <c r="A36" s="383" t="s">
        <v>23</v>
      </c>
      <c r="B36" s="84">
        <v>0.95</v>
      </c>
      <c r="C36" s="47">
        <v>0.05</v>
      </c>
      <c r="D36" s="85">
        <v>0</v>
      </c>
      <c r="E36" s="84">
        <v>0.95</v>
      </c>
      <c r="F36" s="47">
        <v>0.05</v>
      </c>
      <c r="G36" s="85">
        <v>0</v>
      </c>
      <c r="H36" s="84">
        <v>0.95</v>
      </c>
      <c r="I36" s="47">
        <v>0.05</v>
      </c>
      <c r="J36" s="85">
        <v>0</v>
      </c>
      <c r="K36" s="84">
        <v>0.95</v>
      </c>
      <c r="L36" s="47">
        <v>0.05</v>
      </c>
      <c r="M36" s="85">
        <v>0</v>
      </c>
      <c r="N36" s="84">
        <v>0.95</v>
      </c>
      <c r="O36" s="47">
        <v>0.05</v>
      </c>
      <c r="P36" s="85">
        <v>0</v>
      </c>
      <c r="Q36" s="84">
        <v>0.95</v>
      </c>
      <c r="R36" s="47">
        <v>0.05</v>
      </c>
      <c r="S36" s="85">
        <v>0</v>
      </c>
      <c r="T36" s="84">
        <v>0.95</v>
      </c>
      <c r="U36" s="47">
        <v>0.05</v>
      </c>
      <c r="V36" s="85">
        <v>0</v>
      </c>
      <c r="W36" s="84">
        <v>0.95</v>
      </c>
      <c r="X36" s="47">
        <v>0.05</v>
      </c>
      <c r="Y36" s="85">
        <v>0</v>
      </c>
      <c r="Z36" s="84">
        <v>0.95</v>
      </c>
      <c r="AA36" s="47">
        <v>0.05</v>
      </c>
      <c r="AB36" s="85">
        <v>0</v>
      </c>
      <c r="AC36" s="84">
        <v>0.95</v>
      </c>
      <c r="AD36" s="47">
        <v>0.05</v>
      </c>
      <c r="AE36" s="85">
        <v>0</v>
      </c>
      <c r="AF36" s="84">
        <v>0.95</v>
      </c>
      <c r="AG36" s="47">
        <v>0.05</v>
      </c>
      <c r="AH36" s="85">
        <v>0</v>
      </c>
      <c r="AI36" s="84">
        <v>0.95</v>
      </c>
      <c r="AJ36" s="47">
        <v>0.05</v>
      </c>
      <c r="AK36" s="85">
        <v>0</v>
      </c>
      <c r="AL36" s="84">
        <v>0.95</v>
      </c>
      <c r="AM36" s="47">
        <v>0.05</v>
      </c>
      <c r="AN36" s="85">
        <v>0</v>
      </c>
      <c r="AO36" s="84">
        <v>0.95</v>
      </c>
      <c r="AP36" s="47">
        <v>0.05</v>
      </c>
      <c r="AQ36" s="85">
        <v>0</v>
      </c>
      <c r="AR36" s="84">
        <v>0.95</v>
      </c>
      <c r="AS36" s="47">
        <v>0.05</v>
      </c>
      <c r="AT36" s="85">
        <v>0</v>
      </c>
      <c r="AU36" s="84">
        <v>0.95</v>
      </c>
      <c r="AV36" s="47">
        <v>0.05</v>
      </c>
      <c r="AW36" s="85">
        <v>0</v>
      </c>
      <c r="AX36" s="84">
        <v>0.95</v>
      </c>
      <c r="AY36" s="47">
        <v>0.05</v>
      </c>
      <c r="AZ36" s="85">
        <v>0</v>
      </c>
      <c r="BA36" s="84">
        <v>0.95</v>
      </c>
      <c r="BB36" s="47">
        <v>0.05</v>
      </c>
      <c r="BC36" s="85">
        <v>0</v>
      </c>
      <c r="BD36" s="84">
        <v>0.95</v>
      </c>
      <c r="BE36" s="47">
        <v>0.05</v>
      </c>
      <c r="BF36" s="85">
        <v>0</v>
      </c>
      <c r="BG36" s="84">
        <v>0.95</v>
      </c>
      <c r="BH36" s="47">
        <v>0.05</v>
      </c>
      <c r="BI36" s="85">
        <v>0</v>
      </c>
      <c r="BJ36" s="84">
        <v>0.95</v>
      </c>
      <c r="BK36" s="47">
        <v>0.05</v>
      </c>
      <c r="BL36" s="85">
        <v>0</v>
      </c>
      <c r="BM36" s="84">
        <v>0.95</v>
      </c>
      <c r="BN36" s="47">
        <v>0.05</v>
      </c>
      <c r="BO36" s="85">
        <v>0</v>
      </c>
      <c r="BP36" s="84">
        <v>0.95</v>
      </c>
      <c r="BQ36" s="47">
        <v>0.05</v>
      </c>
      <c r="BR36" s="85">
        <v>0</v>
      </c>
      <c r="BS36" s="84">
        <v>0.95</v>
      </c>
      <c r="BT36" s="47">
        <v>0.05</v>
      </c>
      <c r="BU36" s="85">
        <v>0</v>
      </c>
      <c r="BV36" s="84">
        <v>0.95</v>
      </c>
      <c r="BW36" s="47">
        <v>0.05</v>
      </c>
      <c r="BX36" s="85">
        <v>0</v>
      </c>
      <c r="BY36" s="84">
        <v>0.95</v>
      </c>
      <c r="BZ36" s="47">
        <v>0.05</v>
      </c>
      <c r="CA36" s="85">
        <v>0</v>
      </c>
      <c r="CB36" s="84">
        <v>0.95</v>
      </c>
      <c r="CC36" s="47">
        <v>0.05</v>
      </c>
      <c r="CD36" s="85">
        <v>0</v>
      </c>
      <c r="CE36" s="84">
        <v>0.95</v>
      </c>
      <c r="CF36" s="47">
        <v>0.05</v>
      </c>
      <c r="CG36" s="85">
        <v>0</v>
      </c>
      <c r="CH36" s="84">
        <v>0.95</v>
      </c>
      <c r="CI36" s="47">
        <v>0.05</v>
      </c>
      <c r="CJ36" s="85">
        <v>0</v>
      </c>
      <c r="CK36" s="84">
        <v>0.95</v>
      </c>
      <c r="CL36" s="47">
        <v>0.05</v>
      </c>
      <c r="CM36" s="85">
        <v>0</v>
      </c>
      <c r="CN36" s="8" t="str">
        <f>ТрЗ_ОП!$R$43</f>
        <v>-</v>
      </c>
      <c r="CO36" s="27">
        <f>IF(CN36=1,IF($B$1=1,'Документы АСУТП'!CW88,IF($B$1=2,'Документы АСУТП'!CW89,IF($B$1=3,'Документы АСУТП'!CW90,'Документы АСУТП'!CW88))),0)</f>
        <v>0</v>
      </c>
      <c r="CP36" s="8" t="str">
        <f>ТрЗ_ОП!$R$43</f>
        <v>-</v>
      </c>
      <c r="CQ36" s="27">
        <f>IF(CP36=1,IF($B$1=1,'Документы АСУТП'!CX88,IF($B$1=2,'Документы АСУТП'!CX89,IF($B$1=3,'Документы АСУТП'!CX90,'Документы АСУТП'!CX88))),0)</f>
        <v>0</v>
      </c>
      <c r="CR36" s="8" t="str">
        <f>ТрЗ_ОП!$R$43</f>
        <v>-</v>
      </c>
      <c r="CS36" s="27">
        <f>IF(CR36=1,IF($B$1=1,'Документы АСУТП'!CY88,IF($B$1=2,'Документы АСУТП'!CY89,IF($B$1=3,'Документы АСУТП'!CY90,'Документы АСУТП'!CY88))),0)</f>
        <v>0</v>
      </c>
      <c r="CT36" s="8" t="str">
        <f>ТрЗ_ОП!$R$43</f>
        <v>-</v>
      </c>
      <c r="CU36" s="27">
        <f>IF(CT36=1,IF($B$1=1,'Документы АСУТП'!CZ88,IF($B$1=2,'Документы АСУТП'!CZ89,IF($B$1=3,'Документы АСУТП'!CZ90,'Документы АСУТП'!CZ88))),0)</f>
        <v>0</v>
      </c>
      <c r="CV36" s="8" t="str">
        <f>ТрЗ_ОП!$R$43</f>
        <v>-</v>
      </c>
      <c r="CW36" s="27">
        <f>IF(CV36=1,IF($B$1=1,'Документы АСУТП'!DA88,IF($B$1=2,'Документы АСУТП'!DA89,IF($B$1=3,'Документы АСУТП'!DA90,'Документы АСУТП'!DA88))),0)</f>
        <v>0</v>
      </c>
      <c r="CX36" s="8" t="str">
        <f>ТрЗ_ОП!$R$43</f>
        <v>-</v>
      </c>
      <c r="CY36" s="27">
        <f>IF(CX36=1,IF($B$1=1,'Документы АСУТП'!DB88,IF($B$1=2,'Документы АСУТП'!DB89,IF($B$1=3,'Документы АСУТП'!DB90,'Документы АСУТП'!DB88))),0)</f>
        <v>0</v>
      </c>
      <c r="CZ36" s="8" t="str">
        <f>ТрЗ_ОП!$R$43</f>
        <v>-</v>
      </c>
      <c r="DA36" s="27">
        <f>IF(CZ36=1,IF($B$1=1,'Документы АСУТП'!DC88,IF($B$1=2,'Документы АСУТП'!DC89,IF($B$1=3,'Документы АСУТП'!DC90,'Документы АСУТП'!DC88))),0)</f>
        <v>0</v>
      </c>
      <c r="DB36" s="8" t="str">
        <f>ТрЗ_ОП!$R$43</f>
        <v>-</v>
      </c>
      <c r="DC36" s="27">
        <f>IF(DB36=1,IF($B$1=1,'Документы АСУТП'!DD88,IF($B$1=2,'Документы АСУТП'!DD89,IF($B$1=3,'Документы АСУТП'!DD90,'Документы АСУТП'!DD88))),0)</f>
        <v>0</v>
      </c>
      <c r="DD36" s="8" t="str">
        <f>ТрЗ_ОП!$R$43</f>
        <v>-</v>
      </c>
      <c r="DE36" s="27">
        <f>IF(DD36=1,IF($B$1=1,'Документы АСУТП'!DF88,IF($B$1=2,'Документы АСУТП'!DF89,IF($B$1=3,'Документы АСУТП'!DF90,'Документы АСУТП'!DF88))),0)</f>
        <v>0</v>
      </c>
      <c r="DF36" s="8" t="str">
        <f>ТрЗ_ОП!$R$43</f>
        <v>-</v>
      </c>
      <c r="DG36" s="27">
        <f>IF(DF36=1,IF($B$1=1,'Документы АСУТП'!DE88,IF($B$1=2,'Документы АСУТП'!DE89,IF($B$1=3,'Документы АСУТП'!DE90,'Документы АСУТП'!DE88))),0)</f>
        <v>0</v>
      </c>
      <c r="DH36" s="8" t="str">
        <f>ТрЗ_ОП!$R$43</f>
        <v>-</v>
      </c>
      <c r="DI36" s="27">
        <f>IF(DH36=1,IF($B$1=1,'Документы АСУТП'!DG88,IF($B$1=2,'Документы АСУТП'!DG89,IF($B$1=3,'Документы АСУТП'!DG90,'Документы АСУТП'!DG88))),0)</f>
        <v>0</v>
      </c>
      <c r="DJ36" s="8" t="str">
        <f>ТрЗ_ОП!$R$43</f>
        <v>-</v>
      </c>
      <c r="DK36" s="27">
        <f>IF(DJ36=1,IF($B$1=1,'Документы АСУТП'!DH88,IF($B$1=2,'Документы АСУТП'!DH89,IF($B$1=3,'Документы АСУТП'!DH90,'Документы АСУТП'!DH88))),0)</f>
        <v>0</v>
      </c>
      <c r="DL36" s="8" t="str">
        <f>ТрЗ_ОП!$R$43</f>
        <v>-</v>
      </c>
      <c r="DM36" s="27">
        <f>IF(DL36=1,IF($B$1=1,'Документы АСУТП'!DI88,IF($B$1=2,'Документы АСУТП'!DI89,IF($B$1=3,'Документы АСУТП'!DI90,'Документы АСУТП'!DI88))),0)</f>
        <v>0</v>
      </c>
      <c r="DN36" s="8" t="str">
        <f>ТрЗ_ОП!$R$43</f>
        <v>-</v>
      </c>
      <c r="DO36" s="27">
        <f>IF(DN36=1,IF($B$1=1,'Документы АСУТП'!DJ88,IF($B$1=2,'Документы АСУТП'!DJ89,IF($B$1=3,'Документы АСУТП'!DJ90,'Документы АСУТП'!DJ88))),0)</f>
        <v>0</v>
      </c>
      <c r="DP36" s="8" t="str">
        <f>ТрЗ_ОП!$R$43</f>
        <v>-</v>
      </c>
      <c r="DQ36" s="27">
        <f>IF(DP36=1,IF($B$1=1,'Документы АСУТП'!DK88,IF($B$1=2,'Документы АСУТП'!DK89,IF($B$1=3,'Документы АСУТП'!DK90,'Документы АСУТП'!DK88))),0)</f>
        <v>0</v>
      </c>
      <c r="DR36" s="8" t="str">
        <f>ТрЗ_ОП!$R$43</f>
        <v>-</v>
      </c>
      <c r="DS36" s="27">
        <f>IF(DR36=1,IF($B$1=1,'Документы АСУТП'!DL88,IF($B$1=2,'Документы АСУТП'!DL89,IF($B$1=3,'Документы АСУТП'!DL90,'Документы АСУТП'!DL88))),0)</f>
        <v>0</v>
      </c>
      <c r="DT36" s="8" t="str">
        <f>ТрЗ_ОП!$R$43</f>
        <v>-</v>
      </c>
      <c r="DU36" s="27">
        <f>IF(DT36=1,IF($B$1=1,'Документы АСУТП'!DM88,IF($B$1=2,'Документы АСУТП'!DM89,IF($B$1=3,'Документы АСУТП'!DM90,'Документы АСУТП'!DM88))),0)</f>
        <v>0</v>
      </c>
      <c r="DV36" s="8" t="str">
        <f>ТрЗ_ОП!$R$43</f>
        <v>-</v>
      </c>
      <c r="DW36" s="27">
        <f>IF(DV36=1,IF($B$1=1,'Документы АСУТП'!DN88,IF($B$1=2,'Документы АСУТП'!DN89,IF($B$1=3,'Документы АСУТП'!DN90,'Документы АСУТП'!DN88))),0)</f>
        <v>0</v>
      </c>
      <c r="DX36" s="8" t="str">
        <f>ТрЗ_ОП!$R$43</f>
        <v>-</v>
      </c>
      <c r="DY36" s="27">
        <f>IF(DX36=1,IF($B$1=1,'Документы АСУТП'!DO88,IF($B$1=2,'Документы АСУТП'!DO89,IF($B$1=3,'Документы АСУТП'!DO90,'Документы АСУТП'!DO88))),0)</f>
        <v>0</v>
      </c>
      <c r="DZ36" s="8" t="str">
        <f>ТрЗ_ОП!$R$43</f>
        <v>-</v>
      </c>
      <c r="EA36" s="27">
        <f>IF(DZ36=1,IF($B$1=1,'Документы АСУТП'!DP88,IF($B$1=2,'Документы АСУТП'!DP89,IF($B$1=3,'Документы АСУТП'!DP90,'Документы АСУТП'!DP88))),0)</f>
        <v>0</v>
      </c>
      <c r="EB36" s="8" t="str">
        <f>ТрЗ_ОП!$R$43</f>
        <v>-</v>
      </c>
      <c r="EC36" s="27">
        <f>IF(EB36=1,IF($B$1=1,'Документы АСУТП'!DQ88,IF($B$1=2,'Документы АСУТП'!DQ89,IF($B$1=3,'Документы АСУТП'!DQ90,'Документы АСУТП'!DQ88))),0)</f>
        <v>0</v>
      </c>
      <c r="ED36" s="8" t="str">
        <f>ТрЗ_ОП!$R$43</f>
        <v>-</v>
      </c>
      <c r="EE36" s="27">
        <f>IF(ED36=1,IF($B$1=1,'Документы АСУТП'!DR88,IF($B$1=2,'Документы АСУТП'!DR89,IF($B$1=3,'Документы АСУТП'!DR90,'Документы АСУТП'!DR88))),0)</f>
        <v>0</v>
      </c>
      <c r="EF36" s="8" t="str">
        <f>ТрЗ_ОП!$R$43</f>
        <v>-</v>
      </c>
      <c r="EG36" s="27">
        <f>IF(EF36=1,IF($B$1=1,'Документы АСУТП'!DS88,IF($B$1=2,'Документы АСУТП'!DS89,IF($B$1=3,'Документы АСУТП'!DS90,'Документы АСУТП'!DS88))),0)</f>
        <v>0</v>
      </c>
      <c r="EH36" s="8" t="str">
        <f>ТрЗ_ОП!$R$43</f>
        <v>-</v>
      </c>
      <c r="EI36" s="27">
        <f>IF(EH36=1,IF($B$1=1,'Документы АСУТП'!DT88,IF($B$1=2,'Документы АСУТП'!DT89,IF($B$1=3,'Документы АСУТП'!DT90,'Документы АСУТП'!DT88))),0)</f>
        <v>0</v>
      </c>
      <c r="EJ36" s="8" t="str">
        <f>ТрЗ_ОП!$R$43</f>
        <v>-</v>
      </c>
      <c r="EK36" s="27">
        <f>IF(EJ36=1,IF($B$1=1,'Документы АСУТП'!DU88,IF($B$1=2,'Документы АСУТП'!DU89,IF($B$1=3,'Документы АСУТП'!DU90,'Документы АСУТП'!DU88))),0)</f>
        <v>0</v>
      </c>
      <c r="EL36" s="8" t="str">
        <f>ТрЗ_ОП!$R$43</f>
        <v>-</v>
      </c>
      <c r="EM36" s="27">
        <f>IF(EL36=1,IF($B$1=1,'Документы АСУТП'!DV88,IF($B$1=2,'Документы АСУТП'!DV89,IF($B$1=3,'Документы АСУТП'!DV90,'Документы АСУТП'!DV88))),0)</f>
        <v>0</v>
      </c>
      <c r="EN36" s="8" t="str">
        <f>ТрЗ_ОП!$R$43</f>
        <v>-</v>
      </c>
      <c r="EO36" s="27">
        <f>IF(EN36=1,IF($B$1=1,'Документы АСУТП'!DW88,IF($B$1=2,'Документы АСУТП'!DW89,IF($B$1=3,'Документы АСУТП'!DW90,'Документы АСУТП'!DW88))),0)</f>
        <v>0</v>
      </c>
      <c r="EP36" s="8" t="str">
        <f>ТрЗ_ОП!$R$43</f>
        <v>-</v>
      </c>
      <c r="EQ36" s="27">
        <f>IF(EP36=1,IF($B$1=1,'Документы АСУТП'!DX88,IF($B$1=2,'Документы АСУТП'!DX89,IF($B$1=3,'Документы АСУТП'!DX90,'Документы АСУТП'!DX88))),0)</f>
        <v>0</v>
      </c>
      <c r="ER36" s="8" t="str">
        <f>ТрЗ_ОП!$R$43</f>
        <v>-</v>
      </c>
      <c r="ES36" s="27">
        <f>IF(ER36=1,IF($B$1=1,'Документы АСУТП'!DY88,IF($B$1=2,'Документы АСУТП'!DY89,IF($B$1=3,'Документы АСУТП'!DY90,'Документы АСУТП'!DY88))),0)</f>
        <v>0</v>
      </c>
      <c r="ET36" s="8" t="str">
        <f>ТрЗ_ОП!$R$43</f>
        <v>-</v>
      </c>
      <c r="EU36" s="771">
        <f>IF(ET36=1,IF($B$1=1,'Документы АСУТП'!DZ88,IF($B$1=2,'Документы АСУТП'!DZ89,IF($B$1=3,'Документы АСУТП'!DZ90,'Документы АСУТП'!DZ88))),0)</f>
        <v>0</v>
      </c>
      <c r="EV36" s="794">
        <f t="shared" si="2"/>
        <v>0</v>
      </c>
      <c r="EW36" s="796">
        <f t="shared" si="3"/>
        <v>0</v>
      </c>
      <c r="EX36" s="796">
        <f t="shared" si="4"/>
        <v>0</v>
      </c>
      <c r="EY36" s="796">
        <f t="shared" si="0"/>
        <v>0</v>
      </c>
      <c r="EZ36" s="795">
        <f t="shared" si="1"/>
        <v>0</v>
      </c>
    </row>
    <row r="37" spans="1:158" ht="15.75" x14ac:dyDescent="0.25">
      <c r="A37" s="383" t="s">
        <v>24</v>
      </c>
      <c r="B37" s="84">
        <v>0.7</v>
      </c>
      <c r="C37" s="47">
        <v>0.2</v>
      </c>
      <c r="D37" s="85">
        <v>0.1</v>
      </c>
      <c r="E37" s="84">
        <v>0.7</v>
      </c>
      <c r="F37" s="47">
        <v>0.2</v>
      </c>
      <c r="G37" s="85">
        <v>0.1</v>
      </c>
      <c r="H37" s="84">
        <v>0.7</v>
      </c>
      <c r="I37" s="47">
        <v>0.2</v>
      </c>
      <c r="J37" s="85">
        <v>0.1</v>
      </c>
      <c r="K37" s="84">
        <v>0.7</v>
      </c>
      <c r="L37" s="47">
        <v>0.2</v>
      </c>
      <c r="M37" s="85">
        <v>0.1</v>
      </c>
      <c r="N37" s="84">
        <v>0.7</v>
      </c>
      <c r="O37" s="47">
        <v>0.2</v>
      </c>
      <c r="P37" s="85">
        <v>0.1</v>
      </c>
      <c r="Q37" s="84">
        <v>0.7</v>
      </c>
      <c r="R37" s="47">
        <v>0.2</v>
      </c>
      <c r="S37" s="85">
        <v>0.1</v>
      </c>
      <c r="T37" s="84">
        <v>0.7</v>
      </c>
      <c r="U37" s="47">
        <v>0.2</v>
      </c>
      <c r="V37" s="85">
        <v>0.1</v>
      </c>
      <c r="W37" s="84">
        <v>0.7</v>
      </c>
      <c r="X37" s="47">
        <v>0.2</v>
      </c>
      <c r="Y37" s="85">
        <v>0.1</v>
      </c>
      <c r="Z37" s="84">
        <v>0.7</v>
      </c>
      <c r="AA37" s="47">
        <v>0.2</v>
      </c>
      <c r="AB37" s="85">
        <v>0.1</v>
      </c>
      <c r="AC37" s="84">
        <v>0.7</v>
      </c>
      <c r="AD37" s="47">
        <v>0.2</v>
      </c>
      <c r="AE37" s="85">
        <v>0.1</v>
      </c>
      <c r="AF37" s="84">
        <v>0.7</v>
      </c>
      <c r="AG37" s="47">
        <v>0.2</v>
      </c>
      <c r="AH37" s="85">
        <v>0.1</v>
      </c>
      <c r="AI37" s="84">
        <v>0.7</v>
      </c>
      <c r="AJ37" s="47">
        <v>0.2</v>
      </c>
      <c r="AK37" s="85">
        <v>0.1</v>
      </c>
      <c r="AL37" s="84">
        <v>0.7</v>
      </c>
      <c r="AM37" s="47">
        <v>0.2</v>
      </c>
      <c r="AN37" s="85">
        <v>0.1</v>
      </c>
      <c r="AO37" s="84">
        <v>0.7</v>
      </c>
      <c r="AP37" s="47">
        <v>0.2</v>
      </c>
      <c r="AQ37" s="85">
        <v>0.1</v>
      </c>
      <c r="AR37" s="84">
        <v>0.7</v>
      </c>
      <c r="AS37" s="47">
        <v>0.2</v>
      </c>
      <c r="AT37" s="85">
        <v>0.1</v>
      </c>
      <c r="AU37" s="84">
        <v>0.7</v>
      </c>
      <c r="AV37" s="47">
        <v>0.2</v>
      </c>
      <c r="AW37" s="85">
        <v>0.1</v>
      </c>
      <c r="AX37" s="84">
        <v>0.7</v>
      </c>
      <c r="AY37" s="47">
        <v>0.2</v>
      </c>
      <c r="AZ37" s="85">
        <v>0.1</v>
      </c>
      <c r="BA37" s="84">
        <v>0.7</v>
      </c>
      <c r="BB37" s="47">
        <v>0.2</v>
      </c>
      <c r="BC37" s="85">
        <v>0.1</v>
      </c>
      <c r="BD37" s="84">
        <v>0.7</v>
      </c>
      <c r="BE37" s="47">
        <v>0.2</v>
      </c>
      <c r="BF37" s="85">
        <v>0.1</v>
      </c>
      <c r="BG37" s="84">
        <v>0.7</v>
      </c>
      <c r="BH37" s="47">
        <v>0.2</v>
      </c>
      <c r="BI37" s="85">
        <v>0.1</v>
      </c>
      <c r="BJ37" s="84">
        <v>0.7</v>
      </c>
      <c r="BK37" s="47">
        <v>0.2</v>
      </c>
      <c r="BL37" s="85">
        <v>0.1</v>
      </c>
      <c r="BM37" s="84">
        <v>0.7</v>
      </c>
      <c r="BN37" s="47">
        <v>0.2</v>
      </c>
      <c r="BO37" s="85">
        <v>0.1</v>
      </c>
      <c r="BP37" s="84">
        <v>0.7</v>
      </c>
      <c r="BQ37" s="47">
        <v>0.2</v>
      </c>
      <c r="BR37" s="85">
        <v>0.1</v>
      </c>
      <c r="BS37" s="84">
        <v>0.7</v>
      </c>
      <c r="BT37" s="47">
        <v>0.2</v>
      </c>
      <c r="BU37" s="85">
        <v>0.1</v>
      </c>
      <c r="BV37" s="84">
        <v>0.7</v>
      </c>
      <c r="BW37" s="47">
        <v>0.2</v>
      </c>
      <c r="BX37" s="85">
        <v>0.1</v>
      </c>
      <c r="BY37" s="84">
        <v>0.7</v>
      </c>
      <c r="BZ37" s="47">
        <v>0.2</v>
      </c>
      <c r="CA37" s="85">
        <v>0.1</v>
      </c>
      <c r="CB37" s="84">
        <v>0.7</v>
      </c>
      <c r="CC37" s="47">
        <v>0.2</v>
      </c>
      <c r="CD37" s="85">
        <v>0.1</v>
      </c>
      <c r="CE37" s="84">
        <v>0.7</v>
      </c>
      <c r="CF37" s="47">
        <v>0.2</v>
      </c>
      <c r="CG37" s="85">
        <v>0.1</v>
      </c>
      <c r="CH37" s="84">
        <v>0.7</v>
      </c>
      <c r="CI37" s="47">
        <v>0.2</v>
      </c>
      <c r="CJ37" s="85">
        <v>0.1</v>
      </c>
      <c r="CK37" s="84">
        <v>0.7</v>
      </c>
      <c r="CL37" s="47">
        <v>0.2</v>
      </c>
      <c r="CM37" s="85">
        <v>0.1</v>
      </c>
      <c r="CN37" s="8">
        <f>ТрЗ_ОП!$R$44</f>
        <v>1</v>
      </c>
      <c r="CO37" s="27">
        <f>IF(CN37=1,IF($B$1=1,'Документы АСУТП'!CW91,IF($B$1=2,'Документы АСУТП'!CW92,IF($B$1=3,'Документы АСУТП'!CW93,'Документы АСУТП'!CW91))),0)</f>
        <v>1.5</v>
      </c>
      <c r="CP37" s="8">
        <f>ТрЗ_ОП!$R$44</f>
        <v>1</v>
      </c>
      <c r="CQ37" s="27">
        <f>IF(CP37=1,IF($B$1=1,'Документы АСУТП'!CX91,IF($B$1=2,'Документы АСУТП'!CX92,IF($B$1=3,'Документы АСУТП'!CX93,'Документы АСУТП'!CX91))),0)</f>
        <v>3</v>
      </c>
      <c r="CR37" s="8">
        <f>ТрЗ_ОП!$R$44</f>
        <v>1</v>
      </c>
      <c r="CS37" s="27">
        <f>IF(CR37=1,IF($B$1=1,'Документы АСУТП'!CY91,IF($B$1=2,'Документы АСУТП'!CY92,IF($B$1=3,'Документы АСУТП'!CY93,'Документы АСУТП'!CY91))),0)</f>
        <v>0</v>
      </c>
      <c r="CT37" s="8">
        <f>ТрЗ_ОП!$R$44</f>
        <v>1</v>
      </c>
      <c r="CU37" s="27">
        <f>IF(CT37=1,IF($B$1=1,'Документы АСУТП'!CZ91,IF($B$1=2,'Документы АСУТП'!CZ92,IF($B$1=3,'Документы АСУТП'!CZ93,'Документы АСУТП'!CZ91))),0)</f>
        <v>0</v>
      </c>
      <c r="CV37" s="8">
        <f>ТрЗ_ОП!$R$44</f>
        <v>1</v>
      </c>
      <c r="CW37" s="27">
        <f>IF(CV37=1,IF($B$1=1,'Документы АСУТП'!DA91,IF($B$1=2,'Документы АСУТП'!DA92,IF($B$1=3,'Документы АСУТП'!DA93,'Документы АСУТП'!DA91))),0)</f>
        <v>0</v>
      </c>
      <c r="CX37" s="8">
        <f>ТрЗ_ОП!$R$44</f>
        <v>1</v>
      </c>
      <c r="CY37" s="27">
        <f>IF(CX37=1,IF($B$1=1,'Документы АСУТП'!DB91,IF($B$1=2,'Документы АСУТП'!DB92,IF($B$1=3,'Документы АСУТП'!DB93,'Документы АСУТП'!DB91))),0)</f>
        <v>0</v>
      </c>
      <c r="CZ37" s="8">
        <f>ТрЗ_ОП!$R$44</f>
        <v>1</v>
      </c>
      <c r="DA37" s="27">
        <f>IF(CZ37=1,IF($B$1=1,'Документы АСУТП'!DC91,IF($B$1=2,'Документы АСУТП'!DC92,IF($B$1=3,'Документы АСУТП'!DC93,'Документы АСУТП'!DC91))),0)</f>
        <v>0</v>
      </c>
      <c r="DB37" s="8">
        <f>ТрЗ_ОП!$R$44</f>
        <v>1</v>
      </c>
      <c r="DC37" s="27">
        <f>IF(DB37=1,IF($B$1=1,'Документы АСУТП'!DD91,IF($B$1=2,'Документы АСУТП'!DD92,IF($B$1=3,'Документы АСУТП'!DD93,'Документы АСУТП'!DD91))),0)</f>
        <v>0</v>
      </c>
      <c r="DD37" s="8">
        <f>ТрЗ_ОП!$R$44</f>
        <v>1</v>
      </c>
      <c r="DE37" s="27">
        <f>IF(DD37=1,IF($B$1=1,'Документы АСУТП'!DF91,IF($B$1=2,'Документы АСУТП'!DF92,IF($B$1=3,'Документы АСУТП'!DF93,'Документы АСУТП'!DF91))),0)</f>
        <v>0</v>
      </c>
      <c r="DF37" s="8">
        <f>ТрЗ_ОП!$R$44</f>
        <v>1</v>
      </c>
      <c r="DG37" s="27">
        <f>IF(DF37=1,IF($B$1=1,'Документы АСУТП'!DE91,IF($B$1=2,'Документы АСУТП'!DE92,IF($B$1=3,'Документы АСУТП'!DE93,'Документы АСУТП'!DE91))),0)</f>
        <v>0</v>
      </c>
      <c r="DH37" s="8">
        <f>ТрЗ_ОП!$R$44</f>
        <v>1</v>
      </c>
      <c r="DI37" s="27">
        <f>IF(DH37=1,IF($B$1=1,'Документы АСУТП'!DG91,IF($B$1=2,'Документы АСУТП'!DG92,IF($B$1=3,'Документы АСУТП'!DG93,'Документы АСУТП'!DG91))),0)</f>
        <v>0</v>
      </c>
      <c r="DJ37" s="8">
        <f>ТрЗ_ОП!$R$44</f>
        <v>1</v>
      </c>
      <c r="DK37" s="27">
        <f>IF(DJ37=1,IF($B$1=1,'Документы АСУТП'!DH91,IF($B$1=2,'Документы АСУТП'!DH92,IF($B$1=3,'Документы АСУТП'!DH93,'Документы АСУТП'!DH91))),0)</f>
        <v>0</v>
      </c>
      <c r="DL37" s="8">
        <f>ТрЗ_ОП!$R$44</f>
        <v>1</v>
      </c>
      <c r="DM37" s="27">
        <f>IF(DL37=1,IF($B$1=1,'Документы АСУТП'!DI91,IF($B$1=2,'Документы АСУТП'!DI92,IF($B$1=3,'Документы АСУТП'!DI93,'Документы АСУТП'!DI91))),0)</f>
        <v>0</v>
      </c>
      <c r="DN37" s="8">
        <f>ТрЗ_ОП!$R$44</f>
        <v>1</v>
      </c>
      <c r="DO37" s="27" t="e">
        <f>IF(DN37=1,IF($B$1=1,'Документы АСУТП'!DJ91,IF($B$1=2,'Документы АСУТП'!DJ92,IF($B$1=3,'Документы АСУТП'!DJ93,'Документы АСУТП'!DJ91))),0)</f>
        <v>#REF!</v>
      </c>
      <c r="DP37" s="8">
        <f>ТрЗ_ОП!$R$44</f>
        <v>1</v>
      </c>
      <c r="DQ37" s="27">
        <f>IF(DP37=1,IF($B$1=1,'Документы АСУТП'!DK91,IF($B$1=2,'Документы АСУТП'!DK92,IF($B$1=3,'Документы АСУТП'!DK93,'Документы АСУТП'!DK91))),0)</f>
        <v>0</v>
      </c>
      <c r="DR37" s="8">
        <f>ТрЗ_ОП!$R$44</f>
        <v>1</v>
      </c>
      <c r="DS37" s="27">
        <f>IF(DR37=1,IF($B$1=1,'Документы АСУТП'!DL91,IF($B$1=2,'Документы АСУТП'!DL92,IF($B$1=3,'Документы АСУТП'!DL93,'Документы АСУТП'!DL91))),0)</f>
        <v>0</v>
      </c>
      <c r="DT37" s="8">
        <f>ТрЗ_ОП!$R$44</f>
        <v>1</v>
      </c>
      <c r="DU37" s="27">
        <f>IF(DT37=1,IF($B$1=1,'Документы АСУТП'!DM91,IF($B$1=2,'Документы АСУТП'!DM92,IF($B$1=3,'Документы АСУТП'!DM93,'Документы АСУТП'!DM91))),0)</f>
        <v>0</v>
      </c>
      <c r="DV37" s="8">
        <f>ТрЗ_ОП!$R$44</f>
        <v>1</v>
      </c>
      <c r="DW37" s="27">
        <f>IF(DV37=1,IF($B$1=1,'Документы АСУТП'!DN91,IF($B$1=2,'Документы АСУТП'!DN92,IF($B$1=3,'Документы АСУТП'!DN93,'Документы АСУТП'!DN91))),0)</f>
        <v>0</v>
      </c>
      <c r="DX37" s="8">
        <f>ТрЗ_ОП!$R$44</f>
        <v>1</v>
      </c>
      <c r="DY37" s="27">
        <f>IF(DX37=1,IF($B$1=1,'Документы АСУТП'!DO91,IF($B$1=2,'Документы АСУТП'!DO92,IF($B$1=3,'Документы АСУТП'!DO93,'Документы АСУТП'!DO91))),0)</f>
        <v>0</v>
      </c>
      <c r="DZ37" s="8">
        <f>ТрЗ_ОП!$R$44</f>
        <v>1</v>
      </c>
      <c r="EA37" s="27">
        <f>IF(DZ37=1,IF($B$1=1,'Документы АСУТП'!DP91,IF($B$1=2,'Документы АСУТП'!DP92,IF($B$1=3,'Документы АСУТП'!DP93,'Документы АСУТП'!DP91))),0)</f>
        <v>0</v>
      </c>
      <c r="EB37" s="8">
        <f>ТрЗ_ОП!$R$44</f>
        <v>1</v>
      </c>
      <c r="EC37" s="27">
        <f>IF(EB37=1,IF($B$1=1,'Документы АСУТП'!DQ91,IF($B$1=2,'Документы АСУТП'!DQ92,IF($B$1=3,'Документы АСУТП'!DQ93,'Документы АСУТП'!DQ91))),0)</f>
        <v>0</v>
      </c>
      <c r="ED37" s="8">
        <f>ТрЗ_ОП!$R$44</f>
        <v>1</v>
      </c>
      <c r="EE37" s="27">
        <f>IF(ED37=1,IF($B$1=1,'Документы АСУТП'!DR91,IF($B$1=2,'Документы АСУТП'!DR92,IF($B$1=3,'Документы АСУТП'!DR93,'Документы АСУТП'!DR91))),0)</f>
        <v>0</v>
      </c>
      <c r="EF37" s="8">
        <f>ТрЗ_ОП!$R$44</f>
        <v>1</v>
      </c>
      <c r="EG37" s="27">
        <f>IF(EF37=1,IF($B$1=1,'Документы АСУТП'!DS91,IF($B$1=2,'Документы АСУТП'!DS92,IF($B$1=3,'Документы АСУТП'!DS93,'Документы АСУТП'!DS91))),0)</f>
        <v>0</v>
      </c>
      <c r="EH37" s="8">
        <f>ТрЗ_ОП!$R$44</f>
        <v>1</v>
      </c>
      <c r="EI37" s="27">
        <f>IF(EH37=1,IF($B$1=1,'Документы АСУТП'!DT91,IF($B$1=2,'Документы АСУТП'!DT92,IF($B$1=3,'Документы АСУТП'!DT93,'Документы АСУТП'!DT91))),0)</f>
        <v>0</v>
      </c>
      <c r="EJ37" s="8">
        <f>ТрЗ_ОП!$R$44</f>
        <v>1</v>
      </c>
      <c r="EK37" s="27">
        <f>IF(EJ37=1,IF($B$1=1,'Документы АСУТП'!DU91,IF($B$1=2,'Документы АСУТП'!DU92,IF($B$1=3,'Документы АСУТП'!DU93,'Документы АСУТП'!DU91))),0)</f>
        <v>0</v>
      </c>
      <c r="EL37" s="8">
        <f>ТрЗ_ОП!$R$44</f>
        <v>1</v>
      </c>
      <c r="EM37" s="27">
        <f>IF(EL37=1,IF($B$1=1,'Документы АСУТП'!DV91,IF($B$1=2,'Документы АСУТП'!DV92,IF($B$1=3,'Документы АСУТП'!DV93,'Документы АСУТП'!DV91))),0)</f>
        <v>0</v>
      </c>
      <c r="EN37" s="8">
        <f>ТрЗ_ОП!$R$44</f>
        <v>1</v>
      </c>
      <c r="EO37" s="27">
        <f>IF(EN37=1,IF($B$1=1,'Документы АСУТП'!DW91,IF($B$1=2,'Документы АСУТП'!DW92,IF($B$1=3,'Документы АСУТП'!DW93,'Документы АСУТП'!DW91))),0)</f>
        <v>0</v>
      </c>
      <c r="EP37" s="8">
        <f>ТрЗ_ОП!$R$44</f>
        <v>1</v>
      </c>
      <c r="EQ37" s="27">
        <f>IF(EP37=1,IF($B$1=1,'Документы АСУТП'!DX91,IF($B$1=2,'Документы АСУТП'!DX92,IF($B$1=3,'Документы АСУТП'!DX93,'Документы АСУТП'!DX91))),0)</f>
        <v>0</v>
      </c>
      <c r="ER37" s="8">
        <f>ТрЗ_ОП!$R$44</f>
        <v>1</v>
      </c>
      <c r="ES37" s="27">
        <f>IF(ER37=1,IF($B$1=1,'Документы АСУТП'!DY91,IF($B$1=2,'Документы АСУТП'!DY92,IF($B$1=3,'Документы АСУТП'!DY93,'Документы АСУТП'!DY91))),0)</f>
        <v>0</v>
      </c>
      <c r="ET37" s="8">
        <f>ТрЗ_ОП!$R$44</f>
        <v>1</v>
      </c>
      <c r="EU37" s="771">
        <f>IF(ET37=1,IF($B$1=1,'Документы АСУТП'!DZ91,IF($B$1=2,'Документы АСУТП'!DZ92,IF($B$1=3,'Документы АСУТП'!DZ93,'Документы АСУТП'!DZ91))),0)</f>
        <v>0</v>
      </c>
      <c r="EV37" s="794" t="e">
        <f t="shared" si="2"/>
        <v>#REF!</v>
      </c>
      <c r="EW37" s="796" t="e">
        <f t="shared" si="3"/>
        <v>#REF!</v>
      </c>
      <c r="EX37" s="796" t="e">
        <f t="shared" si="4"/>
        <v>#REF!</v>
      </c>
      <c r="EY37" s="796" t="e">
        <f t="shared" si="0"/>
        <v>#REF!</v>
      </c>
      <c r="EZ37" s="795" t="e">
        <f t="shared" si="1"/>
        <v>#REF!</v>
      </c>
    </row>
    <row r="38" spans="1:158" ht="15.75" x14ac:dyDescent="0.25">
      <c r="A38" s="383" t="s">
        <v>25</v>
      </c>
      <c r="B38" s="84">
        <v>0.7</v>
      </c>
      <c r="C38" s="47">
        <v>0.2</v>
      </c>
      <c r="D38" s="85">
        <v>0.1</v>
      </c>
      <c r="E38" s="84">
        <v>0.7</v>
      </c>
      <c r="F38" s="47">
        <v>0.2</v>
      </c>
      <c r="G38" s="85">
        <v>0.1</v>
      </c>
      <c r="H38" s="84">
        <v>0.7</v>
      </c>
      <c r="I38" s="47">
        <v>0.2</v>
      </c>
      <c r="J38" s="85">
        <v>0.1</v>
      </c>
      <c r="K38" s="84">
        <v>0.7</v>
      </c>
      <c r="L38" s="47">
        <v>0.2</v>
      </c>
      <c r="M38" s="85">
        <v>0.1</v>
      </c>
      <c r="N38" s="84">
        <v>0.7</v>
      </c>
      <c r="O38" s="47">
        <v>0.2</v>
      </c>
      <c r="P38" s="85">
        <v>0.1</v>
      </c>
      <c r="Q38" s="84">
        <v>0.7</v>
      </c>
      <c r="R38" s="47">
        <v>0.2</v>
      </c>
      <c r="S38" s="85">
        <v>0.1</v>
      </c>
      <c r="T38" s="84">
        <v>0.7</v>
      </c>
      <c r="U38" s="47">
        <v>0.2</v>
      </c>
      <c r="V38" s="85">
        <v>0.1</v>
      </c>
      <c r="W38" s="84">
        <v>0.7</v>
      </c>
      <c r="X38" s="47">
        <v>0.2</v>
      </c>
      <c r="Y38" s="85">
        <v>0.1</v>
      </c>
      <c r="Z38" s="84">
        <v>0.7</v>
      </c>
      <c r="AA38" s="47">
        <v>0.2</v>
      </c>
      <c r="AB38" s="85">
        <v>0.1</v>
      </c>
      <c r="AC38" s="84">
        <v>0.7</v>
      </c>
      <c r="AD38" s="47">
        <v>0.2</v>
      </c>
      <c r="AE38" s="85">
        <v>0.1</v>
      </c>
      <c r="AF38" s="84">
        <v>0.7</v>
      </c>
      <c r="AG38" s="47">
        <v>0.2</v>
      </c>
      <c r="AH38" s="85">
        <v>0.1</v>
      </c>
      <c r="AI38" s="84">
        <v>0.7</v>
      </c>
      <c r="AJ38" s="47">
        <v>0.2</v>
      </c>
      <c r="AK38" s="85">
        <v>0.1</v>
      </c>
      <c r="AL38" s="84">
        <v>0.7</v>
      </c>
      <c r="AM38" s="47">
        <v>0.2</v>
      </c>
      <c r="AN38" s="85">
        <v>0.1</v>
      </c>
      <c r="AO38" s="84">
        <v>0.7</v>
      </c>
      <c r="AP38" s="47">
        <v>0.2</v>
      </c>
      <c r="AQ38" s="85">
        <v>0.1</v>
      </c>
      <c r="AR38" s="84">
        <v>0.7</v>
      </c>
      <c r="AS38" s="47">
        <v>0.2</v>
      </c>
      <c r="AT38" s="85">
        <v>0.1</v>
      </c>
      <c r="AU38" s="84">
        <v>0.7</v>
      </c>
      <c r="AV38" s="47">
        <v>0.2</v>
      </c>
      <c r="AW38" s="85">
        <v>0.1</v>
      </c>
      <c r="AX38" s="84">
        <v>0.7</v>
      </c>
      <c r="AY38" s="47">
        <v>0.2</v>
      </c>
      <c r="AZ38" s="85">
        <v>0.1</v>
      </c>
      <c r="BA38" s="84">
        <v>0.7</v>
      </c>
      <c r="BB38" s="47">
        <v>0.2</v>
      </c>
      <c r="BC38" s="85">
        <v>0.1</v>
      </c>
      <c r="BD38" s="84">
        <v>0.7</v>
      </c>
      <c r="BE38" s="47">
        <v>0.2</v>
      </c>
      <c r="BF38" s="85">
        <v>0.1</v>
      </c>
      <c r="BG38" s="84">
        <v>0.7</v>
      </c>
      <c r="BH38" s="47">
        <v>0.2</v>
      </c>
      <c r="BI38" s="85">
        <v>0.1</v>
      </c>
      <c r="BJ38" s="84">
        <v>0.7</v>
      </c>
      <c r="BK38" s="47">
        <v>0.2</v>
      </c>
      <c r="BL38" s="85">
        <v>0.1</v>
      </c>
      <c r="BM38" s="84">
        <v>0.7</v>
      </c>
      <c r="BN38" s="47">
        <v>0.2</v>
      </c>
      <c r="BO38" s="85">
        <v>0.1</v>
      </c>
      <c r="BP38" s="84">
        <v>0.7</v>
      </c>
      <c r="BQ38" s="47">
        <v>0.2</v>
      </c>
      <c r="BR38" s="85">
        <v>0.1</v>
      </c>
      <c r="BS38" s="84">
        <v>0.7</v>
      </c>
      <c r="BT38" s="47">
        <v>0.2</v>
      </c>
      <c r="BU38" s="85">
        <v>0.1</v>
      </c>
      <c r="BV38" s="84">
        <v>0.7</v>
      </c>
      <c r="BW38" s="47">
        <v>0.2</v>
      </c>
      <c r="BX38" s="85">
        <v>0.1</v>
      </c>
      <c r="BY38" s="84">
        <v>0.7</v>
      </c>
      <c r="BZ38" s="47">
        <v>0.2</v>
      </c>
      <c r="CA38" s="85">
        <v>0.1</v>
      </c>
      <c r="CB38" s="84">
        <v>0.7</v>
      </c>
      <c r="CC38" s="47">
        <v>0.2</v>
      </c>
      <c r="CD38" s="85">
        <v>0.1</v>
      </c>
      <c r="CE38" s="84">
        <v>0.7</v>
      </c>
      <c r="CF38" s="47">
        <v>0.2</v>
      </c>
      <c r="CG38" s="85">
        <v>0.1</v>
      </c>
      <c r="CH38" s="84">
        <v>0.7</v>
      </c>
      <c r="CI38" s="47">
        <v>0.2</v>
      </c>
      <c r="CJ38" s="85">
        <v>0.1</v>
      </c>
      <c r="CK38" s="84">
        <v>0.7</v>
      </c>
      <c r="CL38" s="47">
        <v>0.2</v>
      </c>
      <c r="CM38" s="85">
        <v>0.1</v>
      </c>
      <c r="CN38" s="8">
        <f>ТрЗ_ОП!$R$45</f>
        <v>1</v>
      </c>
      <c r="CO38" s="27">
        <f>IF(CN38=1,IF($B$1=1,'Документы АСУТП'!CW94,IF($B$1=2,'Документы АСУТП'!CW95,IF($B$1=3,'Документы АСУТП'!CW96,'Документы АСУТП'!CW94))),0)</f>
        <v>1.5</v>
      </c>
      <c r="CP38" s="8">
        <f>ТрЗ_ОП!$R$45</f>
        <v>1</v>
      </c>
      <c r="CQ38" s="27">
        <f>IF(CP38=1,IF($B$1=1,'Документы АСУТП'!CX94,IF($B$1=2,'Документы АСУТП'!CX95,IF($B$1=3,'Документы АСУТП'!CX96,'Документы АСУТП'!CX94))),0)</f>
        <v>2</v>
      </c>
      <c r="CR38" s="8">
        <f>ТрЗ_ОП!$R$45</f>
        <v>1</v>
      </c>
      <c r="CS38" s="27">
        <f>IF(CR38=1,IF($B$1=1,'Документы АСУТП'!CY94,IF($B$1=2,'Документы АСУТП'!CY95,IF($B$1=3,'Документы АСУТП'!CY96,'Документы АСУТП'!CY94))),0)</f>
        <v>0</v>
      </c>
      <c r="CT38" s="8">
        <f>ТрЗ_ОП!$R$45</f>
        <v>1</v>
      </c>
      <c r="CU38" s="27">
        <f>IF(CT38=1,IF($B$1=1,'Документы АСУТП'!CZ94,IF($B$1=2,'Документы АСУТП'!CZ95,IF($B$1=3,'Документы АСУТП'!CZ96,'Документы АСУТП'!CZ94))),0)</f>
        <v>0</v>
      </c>
      <c r="CV38" s="8">
        <f>ТрЗ_ОП!$R$45</f>
        <v>1</v>
      </c>
      <c r="CW38" s="27">
        <f>IF(CV38=1,IF($B$1=1,'Документы АСУТП'!DA94,IF($B$1=2,'Документы АСУТП'!DA95,IF($B$1=3,'Документы АСУТП'!DA96,'Документы АСУТП'!DA94))),0)</f>
        <v>0</v>
      </c>
      <c r="CX38" s="8">
        <f>ТрЗ_ОП!$R$45</f>
        <v>1</v>
      </c>
      <c r="CY38" s="27">
        <f>IF(CX38=1,IF($B$1=1,'Документы АСУТП'!DB94,IF($B$1=2,'Документы АСУТП'!DB95,IF($B$1=3,'Документы АСУТП'!DB96,'Документы АСУТП'!DB94))),0)</f>
        <v>0</v>
      </c>
      <c r="CZ38" s="8">
        <f>ТрЗ_ОП!$R$45</f>
        <v>1</v>
      </c>
      <c r="DA38" s="27">
        <f>IF(CZ38=1,IF($B$1=1,'Документы АСУТП'!DC94,IF($B$1=2,'Документы АСУТП'!DC95,IF($B$1=3,'Документы АСУТП'!DC96,'Документы АСУТП'!DC94))),0)</f>
        <v>0</v>
      </c>
      <c r="DB38" s="8">
        <f>ТрЗ_ОП!$R$45</f>
        <v>1</v>
      </c>
      <c r="DC38" s="27">
        <f>IF(DB38=1,IF($B$1=1,'Документы АСУТП'!DD94,IF($B$1=2,'Документы АСУТП'!DD95,IF($B$1=3,'Документы АСУТП'!DD96,'Документы АСУТП'!DD94))),0)</f>
        <v>0</v>
      </c>
      <c r="DD38" s="8">
        <f>ТрЗ_ОП!$R$45</f>
        <v>1</v>
      </c>
      <c r="DE38" s="27">
        <f>IF(DD38=1,IF($B$1=1,'Документы АСУТП'!DF94,IF($B$1=2,'Документы АСУТП'!DF95,IF($B$1=3,'Документы АСУТП'!DF96,'Документы АСУТП'!DF94))),0)</f>
        <v>0</v>
      </c>
      <c r="DF38" s="8">
        <f>ТрЗ_ОП!$R$45</f>
        <v>1</v>
      </c>
      <c r="DG38" s="27">
        <f>IF(DF38=1,IF($B$1=1,'Документы АСУТП'!DE94,IF($B$1=2,'Документы АСУТП'!DE95,IF($B$1=3,'Документы АСУТП'!DE96,'Документы АСУТП'!DE94))),0)</f>
        <v>0</v>
      </c>
      <c r="DH38" s="8">
        <f>ТрЗ_ОП!$R$45</f>
        <v>1</v>
      </c>
      <c r="DI38" s="27">
        <f>IF(DH38=1,IF($B$1=1,'Документы АСУТП'!DG94,IF($B$1=2,'Документы АСУТП'!DG95,IF($B$1=3,'Документы АСУТП'!DG96,'Документы АСУТП'!DG94))),0)</f>
        <v>0</v>
      </c>
      <c r="DJ38" s="8">
        <f>ТрЗ_ОП!$R$45</f>
        <v>1</v>
      </c>
      <c r="DK38" s="27">
        <f>IF(DJ38=1,IF($B$1=1,'Документы АСУТП'!DH94,IF($B$1=2,'Документы АСУТП'!DH95,IF($B$1=3,'Документы АСУТП'!DH96,'Документы АСУТП'!DH94))),0)</f>
        <v>0</v>
      </c>
      <c r="DL38" s="8">
        <f>ТрЗ_ОП!$R$45</f>
        <v>1</v>
      </c>
      <c r="DM38" s="27">
        <f>IF(DL38=1,IF($B$1=1,'Документы АСУТП'!DI94,IF($B$1=2,'Документы АСУТП'!DI95,IF($B$1=3,'Документы АСУТП'!DI96,'Документы АСУТП'!DI94))),0)</f>
        <v>0</v>
      </c>
      <c r="DN38" s="8">
        <f>ТрЗ_ОП!$R$45</f>
        <v>1</v>
      </c>
      <c r="DO38" s="27" t="e">
        <f>IF(DN38=1,IF($B$1=1,'Документы АСУТП'!DJ94,IF($B$1=2,'Документы АСУТП'!DJ95,IF($B$1=3,'Документы АСУТП'!DJ96,'Документы АСУТП'!DJ94))),0)</f>
        <v>#REF!</v>
      </c>
      <c r="DP38" s="8">
        <f>ТрЗ_ОП!$R$45</f>
        <v>1</v>
      </c>
      <c r="DQ38" s="27">
        <f>IF(DP38=1,IF($B$1=1,'Документы АСУТП'!DK94,IF($B$1=2,'Документы АСУТП'!DK95,IF($B$1=3,'Документы АСУТП'!DK96,'Документы АСУТП'!DK94))),0)</f>
        <v>0</v>
      </c>
      <c r="DR38" s="8">
        <f>ТрЗ_ОП!$R$45</f>
        <v>1</v>
      </c>
      <c r="DS38" s="27">
        <f>IF(DR38=1,IF($B$1=1,'Документы АСУТП'!DL94,IF($B$1=2,'Документы АСУТП'!DL95,IF($B$1=3,'Документы АСУТП'!DL96,'Документы АСУТП'!DL94))),0)</f>
        <v>0</v>
      </c>
      <c r="DT38" s="8">
        <f>ТрЗ_ОП!$R$45</f>
        <v>1</v>
      </c>
      <c r="DU38" s="27">
        <f>IF(DT38=1,IF($B$1=1,'Документы АСУТП'!DM94,IF($B$1=2,'Документы АСУТП'!DM95,IF($B$1=3,'Документы АСУТП'!DM96,'Документы АСУТП'!DM94))),0)</f>
        <v>0</v>
      </c>
      <c r="DV38" s="8">
        <f>ТрЗ_ОП!$R$45</f>
        <v>1</v>
      </c>
      <c r="DW38" s="27">
        <f>IF(DV38=1,IF($B$1=1,'Документы АСУТП'!DN94,IF($B$1=2,'Документы АСУТП'!DN95,IF($B$1=3,'Документы АСУТП'!DN96,'Документы АСУТП'!DN94))),0)</f>
        <v>0</v>
      </c>
      <c r="DX38" s="8">
        <f>ТрЗ_ОП!$R$45</f>
        <v>1</v>
      </c>
      <c r="DY38" s="27">
        <f>IF(DX38=1,IF($B$1=1,'Документы АСУТП'!DO94,IF($B$1=2,'Документы АСУТП'!DO95,IF($B$1=3,'Документы АСУТП'!DO96,'Документы АСУТП'!DO94))),0)</f>
        <v>0</v>
      </c>
      <c r="DZ38" s="8">
        <f>ТрЗ_ОП!$R$45</f>
        <v>1</v>
      </c>
      <c r="EA38" s="27">
        <f>IF(DZ38=1,IF($B$1=1,'Документы АСУТП'!DP94,IF($B$1=2,'Документы АСУТП'!DP95,IF($B$1=3,'Документы АСУТП'!DP96,'Документы АСУТП'!DP94))),0)</f>
        <v>0</v>
      </c>
      <c r="EB38" s="8">
        <f>ТрЗ_ОП!$R$45</f>
        <v>1</v>
      </c>
      <c r="EC38" s="27">
        <f>IF(EB38=1,IF($B$1=1,'Документы АСУТП'!DQ94,IF($B$1=2,'Документы АСУТП'!DQ95,IF($B$1=3,'Документы АСУТП'!DQ96,'Документы АСУТП'!DQ94))),0)</f>
        <v>0</v>
      </c>
      <c r="ED38" s="8">
        <f>ТрЗ_ОП!$R$45</f>
        <v>1</v>
      </c>
      <c r="EE38" s="27">
        <f>IF(ED38=1,IF($B$1=1,'Документы АСУТП'!DR94,IF($B$1=2,'Документы АСУТП'!DR95,IF($B$1=3,'Документы АСУТП'!DR96,'Документы АСУТП'!DR94))),0)</f>
        <v>0</v>
      </c>
      <c r="EF38" s="8">
        <f>ТрЗ_ОП!$R$45</f>
        <v>1</v>
      </c>
      <c r="EG38" s="27">
        <f>IF(EF38=1,IF($B$1=1,'Документы АСУТП'!DS94,IF($B$1=2,'Документы АСУТП'!DS95,IF($B$1=3,'Документы АСУТП'!DS96,'Документы АСУТП'!DS94))),0)</f>
        <v>0</v>
      </c>
      <c r="EH38" s="8">
        <f>ТрЗ_ОП!$R$45</f>
        <v>1</v>
      </c>
      <c r="EI38" s="27">
        <f>IF(EH38=1,IF($B$1=1,'Документы АСУТП'!DT94,IF($B$1=2,'Документы АСУТП'!DT95,IF($B$1=3,'Документы АСУТП'!DT96,'Документы АСУТП'!DT94))),0)</f>
        <v>0</v>
      </c>
      <c r="EJ38" s="8">
        <f>ТрЗ_ОП!$R$45</f>
        <v>1</v>
      </c>
      <c r="EK38" s="27">
        <f>IF(EJ38=1,IF($B$1=1,'Документы АСУТП'!DU94,IF($B$1=2,'Документы АСУТП'!DU95,IF($B$1=3,'Документы АСУТП'!DU96,'Документы АСУТП'!DU94))),0)</f>
        <v>0</v>
      </c>
      <c r="EL38" s="8">
        <f>ТрЗ_ОП!$R$45</f>
        <v>1</v>
      </c>
      <c r="EM38" s="27">
        <f>IF(EL38=1,IF($B$1=1,'Документы АСУТП'!DV94,IF($B$1=2,'Документы АСУТП'!DV95,IF($B$1=3,'Документы АСУТП'!DV96,'Документы АСУТП'!DV94))),0)</f>
        <v>0</v>
      </c>
      <c r="EN38" s="8">
        <f>ТрЗ_ОП!$R$45</f>
        <v>1</v>
      </c>
      <c r="EO38" s="27">
        <f>IF(EN38=1,IF($B$1=1,'Документы АСУТП'!DW94,IF($B$1=2,'Документы АСУТП'!DW95,IF($B$1=3,'Документы АСУТП'!DW96,'Документы АСУТП'!DW94))),0)</f>
        <v>0</v>
      </c>
      <c r="EP38" s="8">
        <f>ТрЗ_ОП!$R$45</f>
        <v>1</v>
      </c>
      <c r="EQ38" s="27">
        <f>IF(EP38=1,IF($B$1=1,'Документы АСУТП'!DX94,IF($B$1=2,'Документы АСУТП'!DX95,IF($B$1=3,'Документы АСУТП'!DX96,'Документы АСУТП'!DX94))),0)</f>
        <v>0</v>
      </c>
      <c r="ER38" s="8">
        <f>ТрЗ_ОП!$R$45</f>
        <v>1</v>
      </c>
      <c r="ES38" s="27">
        <f>IF(ER38=1,IF($B$1=1,'Документы АСУТП'!DY94,IF($B$1=2,'Документы АСУТП'!DY95,IF($B$1=3,'Документы АСУТП'!DY96,'Документы АСУТП'!DY94))),0)</f>
        <v>0</v>
      </c>
      <c r="ET38" s="8">
        <f>ТрЗ_ОП!$R$45</f>
        <v>1</v>
      </c>
      <c r="EU38" s="771">
        <f>IF(ET38=1,IF($B$1=1,'Документы АСУТП'!DZ94,IF($B$1=2,'Документы АСУТП'!DZ95,IF($B$1=3,'Документы АСУТП'!DZ96,'Документы АСУТП'!DZ94))),0)</f>
        <v>0</v>
      </c>
      <c r="EV38" s="794" t="e">
        <f t="shared" si="2"/>
        <v>#REF!</v>
      </c>
      <c r="EW38" s="796" t="e">
        <f t="shared" si="3"/>
        <v>#REF!</v>
      </c>
      <c r="EX38" s="796" t="e">
        <f t="shared" si="4"/>
        <v>#REF!</v>
      </c>
      <c r="EY38" s="796" t="e">
        <f t="shared" si="0"/>
        <v>#REF!</v>
      </c>
      <c r="EZ38" s="795" t="e">
        <f t="shared" si="1"/>
        <v>#REF!</v>
      </c>
    </row>
    <row r="39" spans="1:158" ht="15.75" x14ac:dyDescent="0.25">
      <c r="A39" s="383" t="s">
        <v>26</v>
      </c>
      <c r="B39" s="84">
        <v>0.4</v>
      </c>
      <c r="C39" s="47">
        <v>0.3</v>
      </c>
      <c r="D39" s="85">
        <v>0.3</v>
      </c>
      <c r="E39" s="84">
        <v>0.4</v>
      </c>
      <c r="F39" s="47">
        <v>0.3</v>
      </c>
      <c r="G39" s="85">
        <v>0.3</v>
      </c>
      <c r="H39" s="84">
        <v>0.4</v>
      </c>
      <c r="I39" s="47">
        <v>0.3</v>
      </c>
      <c r="J39" s="85">
        <v>0.3</v>
      </c>
      <c r="K39" s="84">
        <v>0.4</v>
      </c>
      <c r="L39" s="47">
        <v>0.3</v>
      </c>
      <c r="M39" s="85">
        <v>0.3</v>
      </c>
      <c r="N39" s="84">
        <v>0.4</v>
      </c>
      <c r="O39" s="47">
        <v>0.3</v>
      </c>
      <c r="P39" s="85">
        <v>0.3</v>
      </c>
      <c r="Q39" s="84">
        <v>0.4</v>
      </c>
      <c r="R39" s="47">
        <v>0.3</v>
      </c>
      <c r="S39" s="85">
        <v>0.3</v>
      </c>
      <c r="T39" s="84">
        <v>0.4</v>
      </c>
      <c r="U39" s="47">
        <v>0.3</v>
      </c>
      <c r="V39" s="85">
        <v>0.3</v>
      </c>
      <c r="W39" s="84">
        <v>0.4</v>
      </c>
      <c r="X39" s="47">
        <v>0.3</v>
      </c>
      <c r="Y39" s="85">
        <v>0.3</v>
      </c>
      <c r="Z39" s="84">
        <v>0.4</v>
      </c>
      <c r="AA39" s="47">
        <v>0.3</v>
      </c>
      <c r="AB39" s="85">
        <v>0.3</v>
      </c>
      <c r="AC39" s="84">
        <v>0.4</v>
      </c>
      <c r="AD39" s="47">
        <v>0.3</v>
      </c>
      <c r="AE39" s="85">
        <v>0.3</v>
      </c>
      <c r="AF39" s="84">
        <v>0.4</v>
      </c>
      <c r="AG39" s="47">
        <v>0.3</v>
      </c>
      <c r="AH39" s="85">
        <v>0.3</v>
      </c>
      <c r="AI39" s="84">
        <v>0.4</v>
      </c>
      <c r="AJ39" s="47">
        <v>0.3</v>
      </c>
      <c r="AK39" s="85">
        <v>0.3</v>
      </c>
      <c r="AL39" s="84">
        <v>0.4</v>
      </c>
      <c r="AM39" s="47">
        <v>0.3</v>
      </c>
      <c r="AN39" s="85">
        <v>0.3</v>
      </c>
      <c r="AO39" s="84">
        <v>0.4</v>
      </c>
      <c r="AP39" s="47">
        <v>0.3</v>
      </c>
      <c r="AQ39" s="85">
        <v>0.3</v>
      </c>
      <c r="AR39" s="84">
        <v>0.4</v>
      </c>
      <c r="AS39" s="47">
        <v>0.3</v>
      </c>
      <c r="AT39" s="85">
        <v>0.3</v>
      </c>
      <c r="AU39" s="84">
        <v>0.4</v>
      </c>
      <c r="AV39" s="47">
        <v>0.3</v>
      </c>
      <c r="AW39" s="85">
        <v>0.3</v>
      </c>
      <c r="AX39" s="84">
        <v>0.4</v>
      </c>
      <c r="AY39" s="47">
        <v>0.3</v>
      </c>
      <c r="AZ39" s="85">
        <v>0.3</v>
      </c>
      <c r="BA39" s="84">
        <v>0.4</v>
      </c>
      <c r="BB39" s="47">
        <v>0.3</v>
      </c>
      <c r="BC39" s="85">
        <v>0.3</v>
      </c>
      <c r="BD39" s="84">
        <v>0.4</v>
      </c>
      <c r="BE39" s="47">
        <v>0.3</v>
      </c>
      <c r="BF39" s="85">
        <v>0.3</v>
      </c>
      <c r="BG39" s="84">
        <v>0.4</v>
      </c>
      <c r="BH39" s="47">
        <v>0.3</v>
      </c>
      <c r="BI39" s="85">
        <v>0.3</v>
      </c>
      <c r="BJ39" s="84">
        <v>0.4</v>
      </c>
      <c r="BK39" s="47">
        <v>0.3</v>
      </c>
      <c r="BL39" s="85">
        <v>0.3</v>
      </c>
      <c r="BM39" s="84">
        <v>0.4</v>
      </c>
      <c r="BN39" s="47">
        <v>0.3</v>
      </c>
      <c r="BO39" s="85">
        <v>0.3</v>
      </c>
      <c r="BP39" s="84">
        <v>0.4</v>
      </c>
      <c r="BQ39" s="47">
        <v>0.3</v>
      </c>
      <c r="BR39" s="85">
        <v>0.3</v>
      </c>
      <c r="BS39" s="84">
        <v>0.4</v>
      </c>
      <c r="BT39" s="47">
        <v>0.3</v>
      </c>
      <c r="BU39" s="85">
        <v>0.3</v>
      </c>
      <c r="BV39" s="84">
        <v>0.4</v>
      </c>
      <c r="BW39" s="47">
        <v>0.3</v>
      </c>
      <c r="BX39" s="85">
        <v>0.3</v>
      </c>
      <c r="BY39" s="84">
        <v>0.4</v>
      </c>
      <c r="BZ39" s="47">
        <v>0.3</v>
      </c>
      <c r="CA39" s="85">
        <v>0.3</v>
      </c>
      <c r="CB39" s="84">
        <v>0.4</v>
      </c>
      <c r="CC39" s="47">
        <v>0.3</v>
      </c>
      <c r="CD39" s="85">
        <v>0.3</v>
      </c>
      <c r="CE39" s="84">
        <v>0.4</v>
      </c>
      <c r="CF39" s="47">
        <v>0.3</v>
      </c>
      <c r="CG39" s="85">
        <v>0.3</v>
      </c>
      <c r="CH39" s="84">
        <v>0.4</v>
      </c>
      <c r="CI39" s="47">
        <v>0.3</v>
      </c>
      <c r="CJ39" s="85">
        <v>0.3</v>
      </c>
      <c r="CK39" s="84">
        <v>0.4</v>
      </c>
      <c r="CL39" s="47">
        <v>0.3</v>
      </c>
      <c r="CM39" s="85">
        <v>0.3</v>
      </c>
      <c r="CN39" s="8" t="str">
        <f>ТрЗ_ОП!$R$46</f>
        <v>-</v>
      </c>
      <c r="CO39" s="27">
        <f>IF(CN39=1,IF($B$1=1,'Документы АСУТП'!CW97,IF($B$1=2,'Документы АСУТП'!CW98,IF($B$1=3,'Документы АСУТП'!CW99,'Документы АСУТП'!CW97))),0)</f>
        <v>0</v>
      </c>
      <c r="CP39" s="8" t="str">
        <f>ТрЗ_ОП!$R$46</f>
        <v>-</v>
      </c>
      <c r="CQ39" s="27">
        <f>IF(CP39=1,IF($B$1=1,'Документы АСУТП'!CX97,IF($B$1=2,'Документы АСУТП'!CX98,IF($B$1=3,'Документы АСУТП'!CX99,'Документы АСУТП'!CX97))),0)</f>
        <v>0</v>
      </c>
      <c r="CR39" s="8" t="str">
        <f>ТрЗ_ОП!$R$46</f>
        <v>-</v>
      </c>
      <c r="CS39" s="27">
        <f>IF(CR39=1,IF($B$1=1,'Документы АСУТП'!CY97,IF($B$1=2,'Документы АСУТП'!CY98,IF($B$1=3,'Документы АСУТП'!CY99,'Документы АСУТП'!CY97))),0)</f>
        <v>0</v>
      </c>
      <c r="CT39" s="8" t="str">
        <f>ТрЗ_ОП!$R$46</f>
        <v>-</v>
      </c>
      <c r="CU39" s="27">
        <f>IF(CT39=1,IF($B$1=1,'Документы АСУТП'!CZ97,IF($B$1=2,'Документы АСУТП'!CZ98,IF($B$1=3,'Документы АСУТП'!CZ99,'Документы АСУТП'!CZ97))),0)</f>
        <v>0</v>
      </c>
      <c r="CV39" s="8" t="str">
        <f>ТрЗ_ОП!$R$46</f>
        <v>-</v>
      </c>
      <c r="CW39" s="27">
        <f>IF(CV39=1,IF($B$1=1,'Документы АСУТП'!DA97,IF($B$1=2,'Документы АСУТП'!DA98,IF($B$1=3,'Документы АСУТП'!DA99,'Документы АСУТП'!DA97))),0)</f>
        <v>0</v>
      </c>
      <c r="CX39" s="8" t="str">
        <f>ТрЗ_ОП!$R$46</f>
        <v>-</v>
      </c>
      <c r="CY39" s="27">
        <f>IF(CX39=1,IF($B$1=1,'Документы АСУТП'!DB97,IF($B$1=2,'Документы АСУТП'!DB98,IF($B$1=3,'Документы АСУТП'!DB99,'Документы АСУТП'!DB97))),0)</f>
        <v>0</v>
      </c>
      <c r="CZ39" s="8" t="str">
        <f>ТрЗ_ОП!$R$46</f>
        <v>-</v>
      </c>
      <c r="DA39" s="27">
        <f>IF(CZ39=1,IF($B$1=1,'Документы АСУТП'!DC97,IF($B$1=2,'Документы АСУТП'!DC98,IF($B$1=3,'Документы АСУТП'!DC99,'Документы АСУТП'!DC97))),0)</f>
        <v>0</v>
      </c>
      <c r="DB39" s="8" t="str">
        <f>ТрЗ_ОП!$R$46</f>
        <v>-</v>
      </c>
      <c r="DC39" s="27">
        <f>IF(DB39=1,IF($B$1=1,'Документы АСУТП'!DD97,IF($B$1=2,'Документы АСУТП'!DD98,IF($B$1=3,'Документы АСУТП'!DD99,'Документы АСУТП'!DD97))),0)</f>
        <v>0</v>
      </c>
      <c r="DD39" s="8" t="str">
        <f>ТрЗ_ОП!$R$46</f>
        <v>-</v>
      </c>
      <c r="DE39" s="27">
        <f>IF(DD39=1,IF($B$1=1,'Документы АСУТП'!DF97,IF($B$1=2,'Документы АСУТП'!DF98,IF($B$1=3,'Документы АСУТП'!DF99,'Документы АСУТП'!DF97))),0)</f>
        <v>0</v>
      </c>
      <c r="DF39" s="8" t="str">
        <f>ТрЗ_ОП!$R$46</f>
        <v>-</v>
      </c>
      <c r="DG39" s="27">
        <f>IF(DF39=1,IF($B$1=1,'Документы АСУТП'!DE97,IF($B$1=2,'Документы АСУТП'!DE98,IF($B$1=3,'Документы АСУТП'!DE99,'Документы АСУТП'!DE97))),0)</f>
        <v>0</v>
      </c>
      <c r="DH39" s="8" t="str">
        <f>ТрЗ_ОП!$R$46</f>
        <v>-</v>
      </c>
      <c r="DI39" s="27">
        <f>IF(DH39=1,IF($B$1=1,'Документы АСУТП'!DG97,IF($B$1=2,'Документы АСУТП'!DG98,IF($B$1=3,'Документы АСУТП'!DG99,'Документы АСУТП'!DG97))),0)</f>
        <v>0</v>
      </c>
      <c r="DJ39" s="8" t="str">
        <f>ТрЗ_ОП!$R$46</f>
        <v>-</v>
      </c>
      <c r="DK39" s="27">
        <f>IF(DJ39=1,IF($B$1=1,'Документы АСУТП'!DH97,IF($B$1=2,'Документы АСУТП'!DH98,IF($B$1=3,'Документы АСУТП'!DH99,'Документы АСУТП'!DH97))),0)</f>
        <v>0</v>
      </c>
      <c r="DL39" s="8" t="str">
        <f>ТрЗ_ОП!$R$46</f>
        <v>-</v>
      </c>
      <c r="DM39" s="27">
        <f>IF(DL39=1,IF($B$1=1,'Документы АСУТП'!DI97,IF($B$1=2,'Документы АСУТП'!DI98,IF($B$1=3,'Документы АСУТП'!DI99,'Документы АСУТП'!DI97))),0)</f>
        <v>0</v>
      </c>
      <c r="DN39" s="8" t="str">
        <f>ТрЗ_ОП!$R$46</f>
        <v>-</v>
      </c>
      <c r="DO39" s="27">
        <f>IF(DN39=1,IF($B$1=1,'Документы АСУТП'!DJ97,IF($B$1=2,'Документы АСУТП'!DJ98,IF($B$1=3,'Документы АСУТП'!DJ99,'Документы АСУТП'!DJ97))),0)</f>
        <v>0</v>
      </c>
      <c r="DP39" s="8" t="str">
        <f>ТрЗ_ОП!$R$46</f>
        <v>-</v>
      </c>
      <c r="DQ39" s="27">
        <f>IF(DP39=1,IF($B$1=1,'Документы АСУТП'!DK97,IF($B$1=2,'Документы АСУТП'!DK98,IF($B$1=3,'Документы АСУТП'!DK99,'Документы АСУТП'!DK97))),0)</f>
        <v>0</v>
      </c>
      <c r="DR39" s="8" t="str">
        <f>ТрЗ_ОП!$R$46</f>
        <v>-</v>
      </c>
      <c r="DS39" s="27">
        <f>IF(DR39=1,IF($B$1=1,'Документы АСУТП'!DL97,IF($B$1=2,'Документы АСУТП'!DL98,IF($B$1=3,'Документы АСУТП'!DL99,'Документы АСУТП'!DL97))),0)</f>
        <v>0</v>
      </c>
      <c r="DT39" s="8" t="str">
        <f>ТрЗ_ОП!$R$46</f>
        <v>-</v>
      </c>
      <c r="DU39" s="27">
        <f>IF(DT39=1,IF($B$1=1,'Документы АСУТП'!DM97,IF($B$1=2,'Документы АСУТП'!DM98,IF($B$1=3,'Документы АСУТП'!DM99,'Документы АСУТП'!DM97))),0)</f>
        <v>0</v>
      </c>
      <c r="DV39" s="8" t="str">
        <f>ТрЗ_ОП!$R$46</f>
        <v>-</v>
      </c>
      <c r="DW39" s="27">
        <f>IF(DV39=1,IF($B$1=1,'Документы АСУТП'!DN97,IF($B$1=2,'Документы АСУТП'!DN98,IF($B$1=3,'Документы АСУТП'!DN99,'Документы АСУТП'!DN97))),0)</f>
        <v>0</v>
      </c>
      <c r="DX39" s="8" t="str">
        <f>ТрЗ_ОП!$R$46</f>
        <v>-</v>
      </c>
      <c r="DY39" s="27">
        <f>IF(DX39=1,IF($B$1=1,'Документы АСУТП'!DO97,IF($B$1=2,'Документы АСУТП'!DO98,IF($B$1=3,'Документы АСУТП'!DO99,'Документы АСУТП'!DO97))),0)</f>
        <v>0</v>
      </c>
      <c r="DZ39" s="8" t="str">
        <f>ТрЗ_ОП!$R$46</f>
        <v>-</v>
      </c>
      <c r="EA39" s="27">
        <f>IF(DZ39=1,IF($B$1=1,'Документы АСУТП'!DP97,IF($B$1=2,'Документы АСУТП'!DP98,IF($B$1=3,'Документы АСУТП'!DP99,'Документы АСУТП'!DP97))),0)</f>
        <v>0</v>
      </c>
      <c r="EB39" s="8" t="str">
        <f>ТрЗ_ОП!$R$46</f>
        <v>-</v>
      </c>
      <c r="EC39" s="27">
        <f>IF(EB39=1,IF($B$1=1,'Документы АСУТП'!DQ97,IF($B$1=2,'Документы АСУТП'!DQ98,IF($B$1=3,'Документы АСУТП'!DQ99,'Документы АСУТП'!DQ97))),0)</f>
        <v>0</v>
      </c>
      <c r="ED39" s="8" t="str">
        <f>ТрЗ_ОП!$R$46</f>
        <v>-</v>
      </c>
      <c r="EE39" s="27">
        <f>IF(ED39=1,IF($B$1=1,'Документы АСУТП'!DR97,IF($B$1=2,'Документы АСУТП'!DR98,IF($B$1=3,'Документы АСУТП'!DR99,'Документы АСУТП'!DR97))),0)</f>
        <v>0</v>
      </c>
      <c r="EF39" s="8" t="str">
        <f>ТрЗ_ОП!$R$46</f>
        <v>-</v>
      </c>
      <c r="EG39" s="27">
        <f>IF(EF39=1,IF($B$1=1,'Документы АСУТП'!DS97,IF($B$1=2,'Документы АСУТП'!DS98,IF($B$1=3,'Документы АСУТП'!DS99,'Документы АСУТП'!DS97))),0)</f>
        <v>0</v>
      </c>
      <c r="EH39" s="8" t="str">
        <f>ТрЗ_ОП!$R$46</f>
        <v>-</v>
      </c>
      <c r="EI39" s="27">
        <f>IF(EH39=1,IF($B$1=1,'Документы АСУТП'!DT97,IF($B$1=2,'Документы АСУТП'!DT98,IF($B$1=3,'Документы АСУТП'!DT99,'Документы АСУТП'!DT97))),0)</f>
        <v>0</v>
      </c>
      <c r="EJ39" s="8" t="str">
        <f>ТрЗ_ОП!$R$46</f>
        <v>-</v>
      </c>
      <c r="EK39" s="27">
        <f>IF(EJ39=1,IF($B$1=1,'Документы АСУТП'!DU97,IF($B$1=2,'Документы АСУТП'!DU98,IF($B$1=3,'Документы АСУТП'!DU99,'Документы АСУТП'!DU97))),0)</f>
        <v>0</v>
      </c>
      <c r="EL39" s="8" t="str">
        <f>ТрЗ_ОП!$R$46</f>
        <v>-</v>
      </c>
      <c r="EM39" s="27">
        <f>IF(EL39=1,IF($B$1=1,'Документы АСУТП'!DV97,IF($B$1=2,'Документы АСУТП'!DV98,IF($B$1=3,'Документы АСУТП'!DV99,'Документы АСУТП'!DV97))),0)</f>
        <v>0</v>
      </c>
      <c r="EN39" s="8" t="str">
        <f>ТрЗ_ОП!$R$46</f>
        <v>-</v>
      </c>
      <c r="EO39" s="27">
        <f>IF(EN39=1,IF($B$1=1,'Документы АСУТП'!DW97,IF($B$1=2,'Документы АСУТП'!DW98,IF($B$1=3,'Документы АСУТП'!DW99,'Документы АСУТП'!DW97))),0)</f>
        <v>0</v>
      </c>
      <c r="EP39" s="8" t="str">
        <f>ТрЗ_ОП!$R$46</f>
        <v>-</v>
      </c>
      <c r="EQ39" s="27">
        <f>IF(EP39=1,IF($B$1=1,'Документы АСУТП'!DX97,IF($B$1=2,'Документы АСУТП'!DX98,IF($B$1=3,'Документы АСУТП'!DX99,'Документы АСУТП'!DX97))),0)</f>
        <v>0</v>
      </c>
      <c r="ER39" s="8" t="str">
        <f>ТрЗ_ОП!$R$46</f>
        <v>-</v>
      </c>
      <c r="ES39" s="27">
        <f>IF(ER39=1,IF($B$1=1,'Документы АСУТП'!DY97,IF($B$1=2,'Документы АСУТП'!DY98,IF($B$1=3,'Документы АСУТП'!DY99,'Документы АСУТП'!DY97))),0)</f>
        <v>0</v>
      </c>
      <c r="ET39" s="8" t="str">
        <f>ТрЗ_ОП!$R$46</f>
        <v>-</v>
      </c>
      <c r="EU39" s="771">
        <f>IF(ET39=1,IF($B$1=1,'Документы АСУТП'!DZ97,IF($B$1=2,'Документы АСУТП'!DZ98,IF($B$1=3,'Документы АСУТП'!DZ99,'Документы АСУТП'!DZ97))),0)</f>
        <v>0</v>
      </c>
      <c r="EV39" s="794">
        <f t="shared" si="2"/>
        <v>0</v>
      </c>
      <c r="EW39" s="796">
        <f t="shared" si="3"/>
        <v>0</v>
      </c>
      <c r="EX39" s="796">
        <f t="shared" si="4"/>
        <v>0</v>
      </c>
      <c r="EY39" s="796">
        <f t="shared" si="0"/>
        <v>0</v>
      </c>
      <c r="EZ39" s="795">
        <f t="shared" si="1"/>
        <v>0</v>
      </c>
    </row>
    <row r="40" spans="1:158" ht="15.75" x14ac:dyDescent="0.25">
      <c r="A40" s="383" t="s">
        <v>27</v>
      </c>
      <c r="B40" s="84">
        <v>0.4</v>
      </c>
      <c r="C40" s="47">
        <v>0.3</v>
      </c>
      <c r="D40" s="85">
        <v>0.3</v>
      </c>
      <c r="E40" s="84">
        <v>0.4</v>
      </c>
      <c r="F40" s="47">
        <v>0.3</v>
      </c>
      <c r="G40" s="85">
        <v>0.3</v>
      </c>
      <c r="H40" s="84">
        <v>0.4</v>
      </c>
      <c r="I40" s="47">
        <v>0.3</v>
      </c>
      <c r="J40" s="85">
        <v>0.3</v>
      </c>
      <c r="K40" s="84">
        <v>0.4</v>
      </c>
      <c r="L40" s="47">
        <v>0.3</v>
      </c>
      <c r="M40" s="85">
        <v>0.3</v>
      </c>
      <c r="N40" s="84">
        <v>0.4</v>
      </c>
      <c r="O40" s="47">
        <v>0.3</v>
      </c>
      <c r="P40" s="85">
        <v>0.3</v>
      </c>
      <c r="Q40" s="84">
        <v>0.4</v>
      </c>
      <c r="R40" s="47">
        <v>0.3</v>
      </c>
      <c r="S40" s="85">
        <v>0.3</v>
      </c>
      <c r="T40" s="84">
        <v>0.4</v>
      </c>
      <c r="U40" s="47">
        <v>0.3</v>
      </c>
      <c r="V40" s="85">
        <v>0.3</v>
      </c>
      <c r="W40" s="84">
        <v>0.4</v>
      </c>
      <c r="X40" s="47">
        <v>0.3</v>
      </c>
      <c r="Y40" s="85">
        <v>0.3</v>
      </c>
      <c r="Z40" s="84">
        <v>0.4</v>
      </c>
      <c r="AA40" s="47">
        <v>0.3</v>
      </c>
      <c r="AB40" s="85">
        <v>0.3</v>
      </c>
      <c r="AC40" s="84">
        <v>0.4</v>
      </c>
      <c r="AD40" s="47">
        <v>0.3</v>
      </c>
      <c r="AE40" s="85">
        <v>0.3</v>
      </c>
      <c r="AF40" s="84">
        <v>0.4</v>
      </c>
      <c r="AG40" s="47">
        <v>0.3</v>
      </c>
      <c r="AH40" s="85">
        <v>0.3</v>
      </c>
      <c r="AI40" s="84">
        <v>0.4</v>
      </c>
      <c r="AJ40" s="47">
        <v>0.3</v>
      </c>
      <c r="AK40" s="85">
        <v>0.3</v>
      </c>
      <c r="AL40" s="84">
        <v>0.4</v>
      </c>
      <c r="AM40" s="47">
        <v>0.3</v>
      </c>
      <c r="AN40" s="85">
        <v>0.3</v>
      </c>
      <c r="AO40" s="84">
        <v>0.4</v>
      </c>
      <c r="AP40" s="47">
        <v>0.3</v>
      </c>
      <c r="AQ40" s="85">
        <v>0.3</v>
      </c>
      <c r="AR40" s="84">
        <v>0.4</v>
      </c>
      <c r="AS40" s="47">
        <v>0.3</v>
      </c>
      <c r="AT40" s="85">
        <v>0.3</v>
      </c>
      <c r="AU40" s="84">
        <v>0.4</v>
      </c>
      <c r="AV40" s="47">
        <v>0.3</v>
      </c>
      <c r="AW40" s="85">
        <v>0.3</v>
      </c>
      <c r="AX40" s="84">
        <v>0.4</v>
      </c>
      <c r="AY40" s="47">
        <v>0.3</v>
      </c>
      <c r="AZ40" s="85">
        <v>0.3</v>
      </c>
      <c r="BA40" s="84">
        <v>0.4</v>
      </c>
      <c r="BB40" s="47">
        <v>0.3</v>
      </c>
      <c r="BC40" s="85">
        <v>0.3</v>
      </c>
      <c r="BD40" s="84">
        <v>0.4</v>
      </c>
      <c r="BE40" s="47">
        <v>0.3</v>
      </c>
      <c r="BF40" s="85">
        <v>0.3</v>
      </c>
      <c r="BG40" s="84">
        <v>0.4</v>
      </c>
      <c r="BH40" s="47">
        <v>0.3</v>
      </c>
      <c r="BI40" s="85">
        <v>0.3</v>
      </c>
      <c r="BJ40" s="84">
        <v>0.4</v>
      </c>
      <c r="BK40" s="47">
        <v>0.3</v>
      </c>
      <c r="BL40" s="85">
        <v>0.3</v>
      </c>
      <c r="BM40" s="84">
        <v>0.4</v>
      </c>
      <c r="BN40" s="47">
        <v>0.3</v>
      </c>
      <c r="BO40" s="85">
        <v>0.3</v>
      </c>
      <c r="BP40" s="84">
        <v>0.4</v>
      </c>
      <c r="BQ40" s="47">
        <v>0.3</v>
      </c>
      <c r="BR40" s="85">
        <v>0.3</v>
      </c>
      <c r="BS40" s="84">
        <v>0.4</v>
      </c>
      <c r="BT40" s="47">
        <v>0.3</v>
      </c>
      <c r="BU40" s="85">
        <v>0.3</v>
      </c>
      <c r="BV40" s="84">
        <v>0.4</v>
      </c>
      <c r="BW40" s="47">
        <v>0.3</v>
      </c>
      <c r="BX40" s="85">
        <v>0.3</v>
      </c>
      <c r="BY40" s="84">
        <v>0.4</v>
      </c>
      <c r="BZ40" s="47">
        <v>0.3</v>
      </c>
      <c r="CA40" s="85">
        <v>0.3</v>
      </c>
      <c r="CB40" s="84">
        <v>0.4</v>
      </c>
      <c r="CC40" s="47">
        <v>0.3</v>
      </c>
      <c r="CD40" s="85">
        <v>0.3</v>
      </c>
      <c r="CE40" s="84">
        <v>0.4</v>
      </c>
      <c r="CF40" s="47">
        <v>0.3</v>
      </c>
      <c r="CG40" s="85">
        <v>0.3</v>
      </c>
      <c r="CH40" s="84">
        <v>0.4</v>
      </c>
      <c r="CI40" s="47">
        <v>0.3</v>
      </c>
      <c r="CJ40" s="85">
        <v>0.3</v>
      </c>
      <c r="CK40" s="84">
        <v>0.4</v>
      </c>
      <c r="CL40" s="47">
        <v>0.3</v>
      </c>
      <c r="CM40" s="85">
        <v>0.3</v>
      </c>
      <c r="CN40" s="8" t="str">
        <f>ТрЗ_ОП!$R$47</f>
        <v>-</v>
      </c>
      <c r="CO40" s="27">
        <f>IF(CN40=1,IF($B$1=1,'Документы АСУТП'!CW100,IF($B$1=2,'Документы АСУТП'!CW101,IF($B$1=3,'Документы АСУТП'!CW102,'Документы АСУТП'!CW100))),0)</f>
        <v>0</v>
      </c>
      <c r="CP40" s="8" t="str">
        <f>ТрЗ_ОП!$R$47</f>
        <v>-</v>
      </c>
      <c r="CQ40" s="27">
        <f>IF(CP40=1,IF($B$1=1,'Документы АСУТП'!CX100,IF($B$1=2,'Документы АСУТП'!CX101,IF($B$1=3,'Документы АСУТП'!CX102,'Документы АСУТП'!CX100))),0)</f>
        <v>0</v>
      </c>
      <c r="CR40" s="8" t="str">
        <f>ТрЗ_ОП!$R$47</f>
        <v>-</v>
      </c>
      <c r="CS40" s="27">
        <f>IF(CR40=1,IF($B$1=1,'Документы АСУТП'!CY100,IF($B$1=2,'Документы АСУТП'!CY101,IF($B$1=3,'Документы АСУТП'!CY102,'Документы АСУТП'!CY100))),0)</f>
        <v>0</v>
      </c>
      <c r="CT40" s="8" t="str">
        <f>ТрЗ_ОП!$R$47</f>
        <v>-</v>
      </c>
      <c r="CU40" s="27">
        <f>IF(CT40=1,IF($B$1=1,'Документы АСУТП'!CZ100,IF($B$1=2,'Документы АСУТП'!CZ101,IF($B$1=3,'Документы АСУТП'!CZ102,'Документы АСУТП'!CZ100))),0)</f>
        <v>0</v>
      </c>
      <c r="CV40" s="8" t="str">
        <f>ТрЗ_ОП!$R$47</f>
        <v>-</v>
      </c>
      <c r="CW40" s="27">
        <f>IF(CV40=1,IF($B$1=1,'Документы АСУТП'!DA100,IF($B$1=2,'Документы АСУТП'!DA101,IF($B$1=3,'Документы АСУТП'!DA102,'Документы АСУТП'!DA100))),0)</f>
        <v>0</v>
      </c>
      <c r="CX40" s="8" t="str">
        <f>ТрЗ_ОП!$R$47</f>
        <v>-</v>
      </c>
      <c r="CY40" s="27">
        <f>IF(CX40=1,IF($B$1=1,'Документы АСУТП'!DB100,IF($B$1=2,'Документы АСУТП'!DB101,IF($B$1=3,'Документы АСУТП'!DB102,'Документы АСУТП'!DB100))),0)</f>
        <v>0</v>
      </c>
      <c r="CZ40" s="8" t="str">
        <f>ТрЗ_ОП!$R$47</f>
        <v>-</v>
      </c>
      <c r="DA40" s="27">
        <f>IF(CZ40=1,IF($B$1=1,'Документы АСУТП'!DC100,IF($B$1=2,'Документы АСУТП'!DC101,IF($B$1=3,'Документы АСУТП'!DC102,'Документы АСУТП'!DC100))),0)</f>
        <v>0</v>
      </c>
      <c r="DB40" s="8" t="str">
        <f>ТрЗ_ОП!$R$47</f>
        <v>-</v>
      </c>
      <c r="DC40" s="27">
        <f>IF(DB40=1,IF($B$1=1,'Документы АСУТП'!DD100,IF($B$1=2,'Документы АСУТП'!DD101,IF($B$1=3,'Документы АСУТП'!DD102,'Документы АСУТП'!DD100))),0)</f>
        <v>0</v>
      </c>
      <c r="DD40" s="8" t="str">
        <f>ТрЗ_ОП!$R$47</f>
        <v>-</v>
      </c>
      <c r="DE40" s="27">
        <f>IF(DD40=1,IF($B$1=1,'Документы АСУТП'!DF100,IF($B$1=2,'Документы АСУТП'!DF101,IF($B$1=3,'Документы АСУТП'!DF102,'Документы АСУТП'!DF100))),0)</f>
        <v>0</v>
      </c>
      <c r="DF40" s="8" t="str">
        <f>ТрЗ_ОП!$R$47</f>
        <v>-</v>
      </c>
      <c r="DG40" s="27">
        <f>IF(DF40=1,IF($B$1=1,'Документы АСУТП'!DE100,IF($B$1=2,'Документы АСУТП'!DE101,IF($B$1=3,'Документы АСУТП'!DE102,'Документы АСУТП'!DE100))),0)</f>
        <v>0</v>
      </c>
      <c r="DH40" s="8" t="str">
        <f>ТрЗ_ОП!$R$47</f>
        <v>-</v>
      </c>
      <c r="DI40" s="27">
        <f>IF(DH40=1,IF($B$1=1,'Документы АСУТП'!DG100,IF($B$1=2,'Документы АСУТП'!DG101,IF($B$1=3,'Документы АСУТП'!DG102,'Документы АСУТП'!DG100))),0)</f>
        <v>0</v>
      </c>
      <c r="DJ40" s="8" t="str">
        <f>ТрЗ_ОП!$R$47</f>
        <v>-</v>
      </c>
      <c r="DK40" s="27">
        <f>IF(DJ40=1,IF($B$1=1,'Документы АСУТП'!DH100,IF($B$1=2,'Документы АСУТП'!DH101,IF($B$1=3,'Документы АСУТП'!DH102,'Документы АСУТП'!DH100))),0)</f>
        <v>0</v>
      </c>
      <c r="DL40" s="8" t="str">
        <f>ТрЗ_ОП!$R$47</f>
        <v>-</v>
      </c>
      <c r="DM40" s="27">
        <f>IF(DL40=1,IF($B$1=1,'Документы АСУТП'!DI100,IF($B$1=2,'Документы АСУТП'!DI101,IF($B$1=3,'Документы АСУТП'!DI102,'Документы АСУТП'!DI100))),0)</f>
        <v>0</v>
      </c>
      <c r="DN40" s="8" t="str">
        <f>ТрЗ_ОП!$R$47</f>
        <v>-</v>
      </c>
      <c r="DO40" s="27">
        <f>IF(DN40=1,IF($B$1=1,'Документы АСУТП'!DJ100,IF($B$1=2,'Документы АСУТП'!DJ101,IF($B$1=3,'Документы АСУТП'!DJ102,'Документы АСУТП'!DJ100))),0)</f>
        <v>0</v>
      </c>
      <c r="DP40" s="8" t="str">
        <f>ТрЗ_ОП!$R$47</f>
        <v>-</v>
      </c>
      <c r="DQ40" s="27">
        <f>IF(DP40=1,IF($B$1=1,'Документы АСУТП'!DK100,IF($B$1=2,'Документы АСУТП'!DK101,IF($B$1=3,'Документы АСУТП'!DK102,'Документы АСУТП'!DK100))),0)</f>
        <v>0</v>
      </c>
      <c r="DR40" s="8" t="str">
        <f>ТрЗ_ОП!$R$47</f>
        <v>-</v>
      </c>
      <c r="DS40" s="27">
        <f>IF(DR40=1,IF($B$1=1,'Документы АСУТП'!DL100,IF($B$1=2,'Документы АСУТП'!DL101,IF($B$1=3,'Документы АСУТП'!DL102,'Документы АСУТП'!DL100))),0)</f>
        <v>0</v>
      </c>
      <c r="DT40" s="8" t="str">
        <f>ТрЗ_ОП!$R$47</f>
        <v>-</v>
      </c>
      <c r="DU40" s="27">
        <f>IF(DT40=1,IF($B$1=1,'Документы АСУТП'!DM100,IF($B$1=2,'Документы АСУТП'!DM101,IF($B$1=3,'Документы АСУТП'!DM102,'Документы АСУТП'!DM100))),0)</f>
        <v>0</v>
      </c>
      <c r="DV40" s="8" t="str">
        <f>ТрЗ_ОП!$R$47</f>
        <v>-</v>
      </c>
      <c r="DW40" s="27">
        <f>IF(DV40=1,IF($B$1=1,'Документы АСУТП'!DN100,IF($B$1=2,'Документы АСУТП'!DN101,IF($B$1=3,'Документы АСУТП'!DN102,'Документы АСУТП'!DN100))),0)</f>
        <v>0</v>
      </c>
      <c r="DX40" s="8" t="str">
        <f>ТрЗ_ОП!$R$47</f>
        <v>-</v>
      </c>
      <c r="DY40" s="27">
        <f>IF(DX40=1,IF($B$1=1,'Документы АСУТП'!DO100,IF($B$1=2,'Документы АСУТП'!DO101,IF($B$1=3,'Документы АСУТП'!DO102,'Документы АСУТП'!DO100))),0)</f>
        <v>0</v>
      </c>
      <c r="DZ40" s="8" t="str">
        <f>ТрЗ_ОП!$R$47</f>
        <v>-</v>
      </c>
      <c r="EA40" s="27">
        <f>IF(DZ40=1,IF($B$1=1,'Документы АСУТП'!DP100,IF($B$1=2,'Документы АСУТП'!DP101,IF($B$1=3,'Документы АСУТП'!DP102,'Документы АСУТП'!DP100))),0)</f>
        <v>0</v>
      </c>
      <c r="EB40" s="8" t="str">
        <f>ТрЗ_ОП!$R$47</f>
        <v>-</v>
      </c>
      <c r="EC40" s="27">
        <f>IF(EB40=1,IF($B$1=1,'Документы АСУТП'!DQ100,IF($B$1=2,'Документы АСУТП'!DQ101,IF($B$1=3,'Документы АСУТП'!DQ102,'Документы АСУТП'!DQ100))),0)</f>
        <v>0</v>
      </c>
      <c r="ED40" s="8" t="str">
        <f>ТрЗ_ОП!$R$47</f>
        <v>-</v>
      </c>
      <c r="EE40" s="27">
        <f>IF(ED40=1,IF($B$1=1,'Документы АСУТП'!DR100,IF($B$1=2,'Документы АСУТП'!DR101,IF($B$1=3,'Документы АСУТП'!DR102,'Документы АСУТП'!DR100))),0)</f>
        <v>0</v>
      </c>
      <c r="EF40" s="8" t="str">
        <f>ТрЗ_ОП!$R$47</f>
        <v>-</v>
      </c>
      <c r="EG40" s="27">
        <f>IF(EF40=1,IF($B$1=1,'Документы АСУТП'!DS100,IF($B$1=2,'Документы АСУТП'!DS101,IF($B$1=3,'Документы АСУТП'!DS102,'Документы АСУТП'!DS100))),0)</f>
        <v>0</v>
      </c>
      <c r="EH40" s="8" t="str">
        <f>ТрЗ_ОП!$R$47</f>
        <v>-</v>
      </c>
      <c r="EI40" s="27">
        <f>IF(EH40=1,IF($B$1=1,'Документы АСУТП'!DT100,IF($B$1=2,'Документы АСУТП'!DT101,IF($B$1=3,'Документы АСУТП'!DT102,'Документы АСУТП'!DT100))),0)</f>
        <v>0</v>
      </c>
      <c r="EJ40" s="8" t="str">
        <f>ТрЗ_ОП!$R$47</f>
        <v>-</v>
      </c>
      <c r="EK40" s="27">
        <f>IF(EJ40=1,IF($B$1=1,'Документы АСУТП'!DU100,IF($B$1=2,'Документы АСУТП'!DU101,IF($B$1=3,'Документы АСУТП'!DU102,'Документы АСУТП'!DU100))),0)</f>
        <v>0</v>
      </c>
      <c r="EL40" s="8" t="str">
        <f>ТрЗ_ОП!$R$47</f>
        <v>-</v>
      </c>
      <c r="EM40" s="27">
        <f>IF(EL40=1,IF($B$1=1,'Документы АСУТП'!DV100,IF($B$1=2,'Документы АСУТП'!DV101,IF($B$1=3,'Документы АСУТП'!DV102,'Документы АСУТП'!DV100))),0)</f>
        <v>0</v>
      </c>
      <c r="EN40" s="8" t="str">
        <f>ТрЗ_ОП!$R$47</f>
        <v>-</v>
      </c>
      <c r="EO40" s="27">
        <f>IF(EN40=1,IF($B$1=1,'Документы АСУТП'!DW100,IF($B$1=2,'Документы АСУТП'!DW101,IF($B$1=3,'Документы АСУТП'!DW102,'Документы АСУТП'!DW100))),0)</f>
        <v>0</v>
      </c>
      <c r="EP40" s="8" t="str">
        <f>ТрЗ_ОП!$R$47</f>
        <v>-</v>
      </c>
      <c r="EQ40" s="27">
        <f>IF(EP40=1,IF($B$1=1,'Документы АСУТП'!DX100,IF($B$1=2,'Документы АСУТП'!DX101,IF($B$1=3,'Документы АСУТП'!DX102,'Документы АСУТП'!DX100))),0)</f>
        <v>0</v>
      </c>
      <c r="ER40" s="8" t="str">
        <f>ТрЗ_ОП!$R$47</f>
        <v>-</v>
      </c>
      <c r="ES40" s="27">
        <f>IF(ER40=1,IF($B$1=1,'Документы АСУТП'!DY100,IF($B$1=2,'Документы АСУТП'!DY101,IF($B$1=3,'Документы АСУТП'!DY102,'Документы АСУТП'!DY100))),0)</f>
        <v>0</v>
      </c>
      <c r="ET40" s="8" t="str">
        <f>ТрЗ_ОП!$R$47</f>
        <v>-</v>
      </c>
      <c r="EU40" s="771">
        <f>IF(ET40=1,IF($B$1=1,'Документы АСУТП'!DZ100,IF($B$1=2,'Документы АСУТП'!DZ101,IF($B$1=3,'Документы АСУТП'!DZ102,'Документы АСУТП'!DZ100))),0)</f>
        <v>0</v>
      </c>
      <c r="EV40" s="794">
        <f t="shared" si="2"/>
        <v>0</v>
      </c>
      <c r="EW40" s="796">
        <f t="shared" si="3"/>
        <v>0</v>
      </c>
      <c r="EX40" s="796">
        <f t="shared" si="4"/>
        <v>0</v>
      </c>
      <c r="EY40" s="796">
        <f t="shared" si="0"/>
        <v>0</v>
      </c>
      <c r="EZ40" s="795">
        <f t="shared" si="1"/>
        <v>0</v>
      </c>
    </row>
    <row r="41" spans="1:158" ht="16.5" thickBot="1" x14ac:dyDescent="0.3">
      <c r="A41" s="384" t="s">
        <v>28</v>
      </c>
      <c r="B41" s="86">
        <v>0.5</v>
      </c>
      <c r="C41" s="87">
        <v>0.3</v>
      </c>
      <c r="D41" s="88">
        <v>0.2</v>
      </c>
      <c r="E41" s="86">
        <v>0.5</v>
      </c>
      <c r="F41" s="87">
        <v>0.3</v>
      </c>
      <c r="G41" s="88">
        <v>0.2</v>
      </c>
      <c r="H41" s="86">
        <v>0.5</v>
      </c>
      <c r="I41" s="87">
        <v>0.3</v>
      </c>
      <c r="J41" s="88">
        <v>0.2</v>
      </c>
      <c r="K41" s="86">
        <v>0.5</v>
      </c>
      <c r="L41" s="87">
        <v>0.3</v>
      </c>
      <c r="M41" s="88">
        <v>0.2</v>
      </c>
      <c r="N41" s="86">
        <v>0.5</v>
      </c>
      <c r="O41" s="87">
        <v>0.3</v>
      </c>
      <c r="P41" s="88">
        <v>0.2</v>
      </c>
      <c r="Q41" s="86">
        <v>0.5</v>
      </c>
      <c r="R41" s="87">
        <v>0.3</v>
      </c>
      <c r="S41" s="88">
        <v>0.2</v>
      </c>
      <c r="T41" s="86">
        <v>0.5</v>
      </c>
      <c r="U41" s="87">
        <v>0.3</v>
      </c>
      <c r="V41" s="88">
        <v>0.2</v>
      </c>
      <c r="W41" s="86">
        <v>0.5</v>
      </c>
      <c r="X41" s="87">
        <v>0.3</v>
      </c>
      <c r="Y41" s="88">
        <v>0.2</v>
      </c>
      <c r="Z41" s="86">
        <v>0.5</v>
      </c>
      <c r="AA41" s="87">
        <v>0.3</v>
      </c>
      <c r="AB41" s="88">
        <v>0.2</v>
      </c>
      <c r="AC41" s="86">
        <v>0.5</v>
      </c>
      <c r="AD41" s="87">
        <v>0.3</v>
      </c>
      <c r="AE41" s="88">
        <v>0.2</v>
      </c>
      <c r="AF41" s="86">
        <v>0.5</v>
      </c>
      <c r="AG41" s="87">
        <v>0.3</v>
      </c>
      <c r="AH41" s="88">
        <v>0.2</v>
      </c>
      <c r="AI41" s="86">
        <v>0.5</v>
      </c>
      <c r="AJ41" s="87">
        <v>0.3</v>
      </c>
      <c r="AK41" s="88">
        <v>0.2</v>
      </c>
      <c r="AL41" s="86">
        <v>0.5</v>
      </c>
      <c r="AM41" s="87">
        <v>0.3</v>
      </c>
      <c r="AN41" s="88">
        <v>0.2</v>
      </c>
      <c r="AO41" s="86">
        <v>0.5</v>
      </c>
      <c r="AP41" s="87">
        <v>0.3</v>
      </c>
      <c r="AQ41" s="88">
        <v>0.2</v>
      </c>
      <c r="AR41" s="86">
        <v>0.5</v>
      </c>
      <c r="AS41" s="87">
        <v>0.3</v>
      </c>
      <c r="AT41" s="88">
        <v>0.2</v>
      </c>
      <c r="AU41" s="86">
        <v>0.5</v>
      </c>
      <c r="AV41" s="87">
        <v>0.3</v>
      </c>
      <c r="AW41" s="88">
        <v>0.2</v>
      </c>
      <c r="AX41" s="86">
        <v>0.5</v>
      </c>
      <c r="AY41" s="87">
        <v>0.3</v>
      </c>
      <c r="AZ41" s="88">
        <v>0.2</v>
      </c>
      <c r="BA41" s="86">
        <v>0.5</v>
      </c>
      <c r="BB41" s="87">
        <v>0.3</v>
      </c>
      <c r="BC41" s="88">
        <v>0.2</v>
      </c>
      <c r="BD41" s="86">
        <v>0.5</v>
      </c>
      <c r="BE41" s="87">
        <v>0.3</v>
      </c>
      <c r="BF41" s="88">
        <v>0.2</v>
      </c>
      <c r="BG41" s="86">
        <v>0.5</v>
      </c>
      <c r="BH41" s="87">
        <v>0.3</v>
      </c>
      <c r="BI41" s="88">
        <v>0.2</v>
      </c>
      <c r="BJ41" s="86">
        <v>0.5</v>
      </c>
      <c r="BK41" s="87">
        <v>0.3</v>
      </c>
      <c r="BL41" s="88">
        <v>0.2</v>
      </c>
      <c r="BM41" s="86">
        <v>0.5</v>
      </c>
      <c r="BN41" s="87">
        <v>0.3</v>
      </c>
      <c r="BO41" s="88">
        <v>0.2</v>
      </c>
      <c r="BP41" s="86">
        <v>0.5</v>
      </c>
      <c r="BQ41" s="87">
        <v>0.3</v>
      </c>
      <c r="BR41" s="88">
        <v>0.2</v>
      </c>
      <c r="BS41" s="86">
        <v>0.5</v>
      </c>
      <c r="BT41" s="87">
        <v>0.3</v>
      </c>
      <c r="BU41" s="88">
        <v>0.2</v>
      </c>
      <c r="BV41" s="86">
        <v>0.5</v>
      </c>
      <c r="BW41" s="87">
        <v>0.3</v>
      </c>
      <c r="BX41" s="88">
        <v>0.2</v>
      </c>
      <c r="BY41" s="86">
        <v>0.5</v>
      </c>
      <c r="BZ41" s="87">
        <v>0.3</v>
      </c>
      <c r="CA41" s="88">
        <v>0.2</v>
      </c>
      <c r="CB41" s="86">
        <v>0.5</v>
      </c>
      <c r="CC41" s="87">
        <v>0.3</v>
      </c>
      <c r="CD41" s="88">
        <v>0.2</v>
      </c>
      <c r="CE41" s="86">
        <v>0.5</v>
      </c>
      <c r="CF41" s="87">
        <v>0.3</v>
      </c>
      <c r="CG41" s="88">
        <v>0.2</v>
      </c>
      <c r="CH41" s="86">
        <v>0.5</v>
      </c>
      <c r="CI41" s="87">
        <v>0.3</v>
      </c>
      <c r="CJ41" s="88">
        <v>0.2</v>
      </c>
      <c r="CK41" s="86">
        <v>0.5</v>
      </c>
      <c r="CL41" s="87">
        <v>0.3</v>
      </c>
      <c r="CM41" s="88">
        <v>0.2</v>
      </c>
      <c r="CN41" s="9" t="str">
        <f>ТрЗ_ОП!$R$48</f>
        <v>-</v>
      </c>
      <c r="CO41" s="28">
        <f>IF(CN41=1,IF($B$1=1,'Документы АСУТП'!CW103,IF($B$1=2,'Документы АСУТП'!CW104,IF($B$1=3,'Документы АСУТП'!CW105,'Документы АСУТП'!CW103))),0)</f>
        <v>0</v>
      </c>
      <c r="CP41" s="9" t="str">
        <f>ТрЗ_ОП!$R$48</f>
        <v>-</v>
      </c>
      <c r="CQ41" s="28">
        <f>IF(CP41=1,IF($B$1=1,'Документы АСУТП'!CX103,IF($B$1=2,'Документы АСУТП'!CX104,IF($B$1=3,'Документы АСУТП'!CX105,'Документы АСУТП'!CX103))),0)</f>
        <v>0</v>
      </c>
      <c r="CR41" s="9" t="str">
        <f>ТрЗ_ОП!$R$48</f>
        <v>-</v>
      </c>
      <c r="CS41" s="28">
        <f>IF(CR41=1,IF($B$1=1,'Документы АСУТП'!CY103,IF($B$1=2,'Документы АСУТП'!CY104,IF($B$1=3,'Документы АСУТП'!CY105,'Документы АСУТП'!CY103))),0)</f>
        <v>0</v>
      </c>
      <c r="CT41" s="9" t="str">
        <f>ТрЗ_ОП!$R$48</f>
        <v>-</v>
      </c>
      <c r="CU41" s="28">
        <f>IF(CT41=1,IF($B$1=1,'Документы АСУТП'!CZ103,IF($B$1=2,'Документы АСУТП'!CZ104,IF($B$1=3,'Документы АСУТП'!CZ105,'Документы АСУТП'!CZ103))),0)</f>
        <v>0</v>
      </c>
      <c r="CV41" s="9" t="str">
        <f>ТрЗ_ОП!$R$48</f>
        <v>-</v>
      </c>
      <c r="CW41" s="28">
        <f>IF(CV41=1,IF($B$1=1,'Документы АСУТП'!DA103,IF($B$1=2,'Документы АСУТП'!DA104,IF($B$1=3,'Документы АСУТП'!DA105,'Документы АСУТП'!DA103))),0)</f>
        <v>0</v>
      </c>
      <c r="CX41" s="9" t="str">
        <f>ТрЗ_ОП!$R$48</f>
        <v>-</v>
      </c>
      <c r="CY41" s="28">
        <f>IF(CX41=1,IF($B$1=1,'Документы АСУТП'!DB103,IF($B$1=2,'Документы АСУТП'!DB104,IF($B$1=3,'Документы АСУТП'!DB105,'Документы АСУТП'!DB103))),0)</f>
        <v>0</v>
      </c>
      <c r="CZ41" s="9" t="str">
        <f>ТрЗ_ОП!$R$48</f>
        <v>-</v>
      </c>
      <c r="DA41" s="28">
        <f>IF(CZ41=1,IF($B$1=1,'Документы АСУТП'!DC103,IF($B$1=2,'Документы АСУТП'!DC104,IF($B$1=3,'Документы АСУТП'!DC105,'Документы АСУТП'!DC103))),0)</f>
        <v>0</v>
      </c>
      <c r="DB41" s="9" t="str">
        <f>ТрЗ_ОП!$R$48</f>
        <v>-</v>
      </c>
      <c r="DC41" s="28">
        <f>IF(DB41=1,IF($B$1=1,'Документы АСУТП'!DD103,IF($B$1=2,'Документы АСУТП'!DD104,IF($B$1=3,'Документы АСУТП'!DD105,'Документы АСУТП'!DD103))),0)</f>
        <v>0</v>
      </c>
      <c r="DD41" s="9" t="str">
        <f>ТрЗ_ОП!$R$48</f>
        <v>-</v>
      </c>
      <c r="DE41" s="28">
        <f>IF(DD41=1,IF($B$1=1,'Документы АСУТП'!DF103,IF($B$1=2,'Документы АСУТП'!DF104,IF($B$1=3,'Документы АСУТП'!DF105,'Документы АСУТП'!DF103))),0)</f>
        <v>0</v>
      </c>
      <c r="DF41" s="9" t="str">
        <f>ТрЗ_ОП!$R$48</f>
        <v>-</v>
      </c>
      <c r="DG41" s="28">
        <f>IF(DF41=1,IF($B$1=1,'Документы АСУТП'!DE103,IF($B$1=2,'Документы АСУТП'!DE104,IF($B$1=3,'Документы АСУТП'!DE105,'Документы АСУТП'!DE103))),0)</f>
        <v>0</v>
      </c>
      <c r="DH41" s="9" t="str">
        <f>ТрЗ_ОП!$R$48</f>
        <v>-</v>
      </c>
      <c r="DI41" s="28">
        <f>IF(DH41=1,IF($B$1=1,'Документы АСУТП'!DG103,IF($B$1=2,'Документы АСУТП'!DG104,IF($B$1=3,'Документы АСУТП'!DG105,'Документы АСУТП'!DG103))),0)</f>
        <v>0</v>
      </c>
      <c r="DJ41" s="9" t="str">
        <f>ТрЗ_ОП!$R$48</f>
        <v>-</v>
      </c>
      <c r="DK41" s="28">
        <f>IF(DJ41=1,IF($B$1=1,'Документы АСУТП'!DH103,IF($B$1=2,'Документы АСУТП'!DH104,IF($B$1=3,'Документы АСУТП'!DH105,'Документы АСУТП'!DH103))),0)</f>
        <v>0</v>
      </c>
      <c r="DL41" s="9" t="str">
        <f>ТрЗ_ОП!$R$48</f>
        <v>-</v>
      </c>
      <c r="DM41" s="28">
        <f>IF(DL41=1,IF($B$1=1,'Документы АСУТП'!DI103,IF($B$1=2,'Документы АСУТП'!DI104,IF($B$1=3,'Документы АСУТП'!DI105,'Документы АСУТП'!DI103))),0)</f>
        <v>0</v>
      </c>
      <c r="DN41" s="9" t="str">
        <f>ТрЗ_ОП!$R$48</f>
        <v>-</v>
      </c>
      <c r="DO41" s="28">
        <f>IF(DN41=1,IF($B$1=1,'Документы АСУТП'!DJ103,IF($B$1=2,'Документы АСУТП'!DJ104,IF($B$1=3,'Документы АСУТП'!DJ105,'Документы АСУТП'!DJ103))),0)</f>
        <v>0</v>
      </c>
      <c r="DP41" s="9" t="str">
        <f>ТрЗ_ОП!$R$48</f>
        <v>-</v>
      </c>
      <c r="DQ41" s="28">
        <f>IF(DP41=1,IF($B$1=1,'Документы АСУТП'!DK103,IF($B$1=2,'Документы АСУТП'!DK104,IF($B$1=3,'Документы АСУТП'!DK105,'Документы АСУТП'!DK103))),0)</f>
        <v>0</v>
      </c>
      <c r="DR41" s="9" t="str">
        <f>ТрЗ_ОП!$R$48</f>
        <v>-</v>
      </c>
      <c r="DS41" s="28">
        <f>IF(DR41=1,IF($B$1=1,'Документы АСУТП'!DL103,IF($B$1=2,'Документы АСУТП'!DL104,IF($B$1=3,'Документы АСУТП'!DL105,'Документы АСУТП'!DL103))),0)</f>
        <v>0</v>
      </c>
      <c r="DT41" s="9" t="str">
        <f>ТрЗ_ОП!$R$48</f>
        <v>-</v>
      </c>
      <c r="DU41" s="28">
        <f>IF(DT41=1,IF($B$1=1,'Документы АСУТП'!DM103,IF($B$1=2,'Документы АСУТП'!DM104,IF($B$1=3,'Документы АСУТП'!DM105,'Документы АСУТП'!DM103))),0)</f>
        <v>0</v>
      </c>
      <c r="DV41" s="9" t="str">
        <f>ТрЗ_ОП!$R$48</f>
        <v>-</v>
      </c>
      <c r="DW41" s="28">
        <f>IF(DV41=1,IF($B$1=1,'Документы АСУТП'!DN103,IF($B$1=2,'Документы АСУТП'!DN104,IF($B$1=3,'Документы АСУТП'!DN105,'Документы АСУТП'!DN103))),0)</f>
        <v>0</v>
      </c>
      <c r="DX41" s="9" t="str">
        <f>ТрЗ_ОП!$R$48</f>
        <v>-</v>
      </c>
      <c r="DY41" s="28">
        <f>IF(DX41=1,IF($B$1=1,'Документы АСУТП'!DO103,IF($B$1=2,'Документы АСУТП'!DO104,IF($B$1=3,'Документы АСУТП'!DO105,'Документы АСУТП'!DO103))),0)</f>
        <v>0</v>
      </c>
      <c r="DZ41" s="9" t="str">
        <f>ТрЗ_ОП!$R$48</f>
        <v>-</v>
      </c>
      <c r="EA41" s="28">
        <f>IF(DZ41=1,IF($B$1=1,'Документы АСУТП'!DP103,IF($B$1=2,'Документы АСУТП'!DP104,IF($B$1=3,'Документы АСУТП'!DP105,'Документы АСУТП'!DP103))),0)</f>
        <v>0</v>
      </c>
      <c r="EB41" s="9" t="str">
        <f>ТрЗ_ОП!$R$48</f>
        <v>-</v>
      </c>
      <c r="EC41" s="28">
        <f>IF(EB41=1,IF($B$1=1,'Документы АСУТП'!DQ103,IF($B$1=2,'Документы АСУТП'!DQ104,IF($B$1=3,'Документы АСУТП'!DQ105,'Документы АСУТП'!DQ103))),0)</f>
        <v>0</v>
      </c>
      <c r="ED41" s="9" t="str">
        <f>ТрЗ_ОП!$R$48</f>
        <v>-</v>
      </c>
      <c r="EE41" s="28">
        <f>IF(ED41=1,IF($B$1=1,'Документы АСУТП'!DR103,IF($B$1=2,'Документы АСУТП'!DR104,IF($B$1=3,'Документы АСУТП'!DR105,'Документы АСУТП'!DR103))),0)</f>
        <v>0</v>
      </c>
      <c r="EF41" s="9" t="str">
        <f>ТрЗ_ОП!$R$48</f>
        <v>-</v>
      </c>
      <c r="EG41" s="28">
        <f>IF(EF41=1,IF($B$1=1,'Документы АСУТП'!DS103,IF($B$1=2,'Документы АСУТП'!DS104,IF($B$1=3,'Документы АСУТП'!DS105,'Документы АСУТП'!DS103))),0)</f>
        <v>0</v>
      </c>
      <c r="EH41" s="9" t="str">
        <f>ТрЗ_ОП!$R$48</f>
        <v>-</v>
      </c>
      <c r="EI41" s="28">
        <f>IF(EH41=1,IF($B$1=1,'Документы АСУТП'!DT103,IF($B$1=2,'Документы АСУТП'!DT104,IF($B$1=3,'Документы АСУТП'!DT105,'Документы АСУТП'!DT103))),0)</f>
        <v>0</v>
      </c>
      <c r="EJ41" s="9" t="str">
        <f>ТрЗ_ОП!$R$48</f>
        <v>-</v>
      </c>
      <c r="EK41" s="28">
        <f>IF(EJ41=1,IF($B$1=1,'Документы АСУТП'!DU103,IF($B$1=2,'Документы АСУТП'!DU104,IF($B$1=3,'Документы АСУТП'!DU105,'Документы АСУТП'!DU103))),0)</f>
        <v>0</v>
      </c>
      <c r="EL41" s="9" t="str">
        <f>ТрЗ_ОП!$R$48</f>
        <v>-</v>
      </c>
      <c r="EM41" s="28">
        <f>IF(EL41=1,IF($B$1=1,'Документы АСУТП'!DV103,IF($B$1=2,'Документы АСУТП'!DV104,IF($B$1=3,'Документы АСУТП'!DV105,'Документы АСУТП'!DV103))),0)</f>
        <v>0</v>
      </c>
      <c r="EN41" s="9" t="str">
        <f>ТрЗ_ОП!$R$48</f>
        <v>-</v>
      </c>
      <c r="EO41" s="28">
        <f>IF(EN41=1,IF($B$1=1,'Документы АСУТП'!DW103,IF($B$1=2,'Документы АСУТП'!DW104,IF($B$1=3,'Документы АСУТП'!DW105,'Документы АСУТП'!DW103))),0)</f>
        <v>0</v>
      </c>
      <c r="EP41" s="9" t="str">
        <f>ТрЗ_ОП!$R$48</f>
        <v>-</v>
      </c>
      <c r="EQ41" s="28">
        <f>IF(EP41=1,IF($B$1=1,'Документы АСУТП'!DX103,IF($B$1=2,'Документы АСУТП'!DX104,IF($B$1=3,'Документы АСУТП'!DX105,'Документы АСУТП'!DX103))),0)</f>
        <v>0</v>
      </c>
      <c r="ER41" s="9" t="str">
        <f>ТрЗ_ОП!$R$48</f>
        <v>-</v>
      </c>
      <c r="ES41" s="28">
        <f>IF(ER41=1,IF($B$1=1,'Документы АСУТП'!DY103,IF($B$1=2,'Документы АСУТП'!DY104,IF($B$1=3,'Документы АСУТП'!DY105,'Документы АСУТП'!DY103))),0)</f>
        <v>0</v>
      </c>
      <c r="ET41" s="9" t="str">
        <f>ТрЗ_ОП!$R$48</f>
        <v>-</v>
      </c>
      <c r="EU41" s="772">
        <f>IF(ET41=1,IF($B$1=1,'Документы АСУТП'!DZ103,IF($B$1=2,'Документы АСУТП'!DZ104,IF($B$1=3,'Документы АСУТП'!DZ105,'Документы АСУТП'!DZ103))),0)</f>
        <v>0</v>
      </c>
      <c r="EV41" s="797">
        <f t="shared" si="2"/>
        <v>0</v>
      </c>
      <c r="EW41" s="798">
        <f t="shared" si="3"/>
        <v>0</v>
      </c>
      <c r="EX41" s="798">
        <f t="shared" si="4"/>
        <v>0</v>
      </c>
      <c r="EY41" s="798">
        <f t="shared" si="0"/>
        <v>0</v>
      </c>
      <c r="EZ41" s="799">
        <f t="shared" si="1"/>
        <v>0</v>
      </c>
    </row>
    <row r="42" spans="1:158"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row>
    <row r="43" spans="1:158" x14ac:dyDescent="0.25">
      <c r="A43" s="334"/>
      <c r="B43" s="334"/>
      <c r="C43" s="335"/>
      <c r="D43" s="335"/>
      <c r="E43" s="334"/>
      <c r="F43" s="335"/>
      <c r="G43" s="335"/>
      <c r="H43" s="334"/>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row>
    <row r="44" spans="1:158" x14ac:dyDescent="0.25">
      <c r="A44" s="334"/>
      <c r="B44" s="335"/>
      <c r="C44" s="335"/>
      <c r="D44" s="335"/>
      <c r="E44" s="335"/>
      <c r="F44" s="335"/>
      <c r="G44" s="335"/>
      <c r="H44" s="335"/>
      <c r="I44" s="335"/>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35"/>
      <c r="BW44" s="335"/>
      <c r="BX44" s="335"/>
      <c r="BY44" s="335"/>
      <c r="BZ44" s="335"/>
      <c r="CA44" s="335"/>
      <c r="CB44" s="335"/>
      <c r="CC44" s="335"/>
      <c r="CD44" s="335"/>
      <c r="CE44" s="335"/>
      <c r="CF44" s="335"/>
      <c r="CG44" s="335"/>
      <c r="CH44" s="335"/>
      <c r="CI44" s="335"/>
      <c r="CJ44" s="335"/>
      <c r="CK44" s="335"/>
      <c r="CL44" s="335"/>
      <c r="CM44" s="335"/>
      <c r="CN44" s="314"/>
      <c r="CO44" s="314"/>
      <c r="CP44" s="314"/>
      <c r="CQ44" s="314"/>
      <c r="CR44" s="314"/>
      <c r="CS44" s="314"/>
      <c r="CT44" s="314"/>
      <c r="CU44" s="314"/>
      <c r="CV44" s="314"/>
      <c r="CW44" s="314"/>
      <c r="CX44" s="314"/>
      <c r="CY44" s="314"/>
      <c r="CZ44" s="314"/>
      <c r="DA44" s="314"/>
      <c r="DB44" s="314"/>
      <c r="DC44" s="314"/>
      <c r="DD44" s="314"/>
      <c r="DE44" s="314"/>
      <c r="DF44" s="314"/>
      <c r="DG44" s="314"/>
      <c r="DH44" s="314"/>
      <c r="DI44" s="314"/>
      <c r="DJ44" s="314"/>
      <c r="DK44" s="314"/>
      <c r="DL44" s="314"/>
      <c r="DM44" s="314"/>
      <c r="DN44" s="314"/>
      <c r="DO44" s="314"/>
      <c r="DP44" s="314"/>
      <c r="DQ44" s="314"/>
      <c r="DR44" s="314"/>
      <c r="DS44" s="314"/>
      <c r="DT44" s="314"/>
      <c r="DU44" s="314"/>
      <c r="DV44" s="314"/>
      <c r="DW44" s="314"/>
      <c r="DX44" s="314"/>
      <c r="DY44" s="314"/>
      <c r="DZ44" s="314"/>
      <c r="EA44" s="314"/>
      <c r="EB44" s="314"/>
      <c r="EC44" s="314"/>
      <c r="ED44" s="314"/>
      <c r="EE44" s="314"/>
      <c r="EF44" s="314"/>
      <c r="EG44" s="314"/>
      <c r="EH44" s="314"/>
      <c r="EI44" s="314"/>
      <c r="EJ44" s="314"/>
      <c r="EK44" s="314"/>
      <c r="EL44" s="314"/>
      <c r="EM44" s="314"/>
      <c r="EN44" s="314"/>
      <c r="EO44" s="314"/>
      <c r="EP44" s="314"/>
      <c r="EQ44" s="314"/>
      <c r="ER44" s="314"/>
      <c r="ES44" s="314"/>
      <c r="ET44" s="314"/>
      <c r="EU44" s="314"/>
      <c r="EV44" s="336"/>
      <c r="EW44" s="47"/>
      <c r="EX44" s="47"/>
      <c r="EY44" s="47"/>
      <c r="EZ44" s="47"/>
      <c r="FA44" s="47"/>
      <c r="FB44" s="334"/>
    </row>
    <row r="45" spans="1:158" ht="15.75" x14ac:dyDescent="0.25">
      <c r="A45" s="337"/>
      <c r="B45" s="335"/>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c r="AC45" s="335"/>
      <c r="AD45" s="335"/>
      <c r="AE45" s="335"/>
      <c r="AF45" s="335"/>
      <c r="AG45" s="335"/>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c r="BD45" s="335"/>
      <c r="BE45" s="335"/>
      <c r="BF45" s="335"/>
      <c r="BG45" s="335"/>
      <c r="BH45" s="335"/>
      <c r="BI45" s="335"/>
      <c r="BJ45" s="335"/>
      <c r="BK45" s="335"/>
      <c r="BL45" s="335"/>
      <c r="BM45" s="335"/>
      <c r="BN45" s="335"/>
      <c r="BO45" s="335"/>
      <c r="BP45" s="335"/>
      <c r="BQ45" s="335"/>
      <c r="BR45" s="335"/>
      <c r="BS45" s="335"/>
      <c r="BT45" s="335"/>
      <c r="BU45" s="335"/>
      <c r="BV45" s="335"/>
      <c r="BW45" s="335"/>
      <c r="BX45" s="335"/>
      <c r="BY45" s="335"/>
      <c r="BZ45" s="335"/>
      <c r="CA45" s="335"/>
      <c r="CB45" s="335"/>
      <c r="CC45" s="335"/>
      <c r="CD45" s="335"/>
      <c r="CE45" s="335"/>
      <c r="CF45" s="335"/>
      <c r="CG45" s="335"/>
      <c r="CH45" s="335"/>
      <c r="CI45" s="335"/>
      <c r="CJ45" s="335"/>
      <c r="CK45" s="335"/>
      <c r="CL45" s="335"/>
      <c r="CM45" s="335"/>
      <c r="CN45" s="313"/>
      <c r="CO45" s="313"/>
      <c r="CP45" s="313"/>
      <c r="CQ45" s="313"/>
      <c r="CR45" s="313"/>
      <c r="CS45" s="313"/>
      <c r="CT45" s="313"/>
      <c r="CU45" s="313"/>
      <c r="CV45" s="313"/>
      <c r="CW45" s="313"/>
      <c r="CX45" s="313"/>
      <c r="CY45" s="313"/>
      <c r="CZ45" s="313"/>
      <c r="DA45" s="313"/>
      <c r="DB45" s="313"/>
      <c r="DC45" s="313"/>
      <c r="DD45" s="313"/>
      <c r="DE45" s="313"/>
      <c r="DF45" s="313"/>
      <c r="DG45" s="313"/>
      <c r="DH45" s="313"/>
      <c r="DI45" s="313"/>
      <c r="DJ45" s="313"/>
      <c r="DK45" s="313"/>
      <c r="DL45" s="313"/>
      <c r="DM45" s="313"/>
      <c r="DN45" s="313"/>
      <c r="DO45" s="313"/>
      <c r="DP45" s="313"/>
      <c r="DQ45" s="313"/>
      <c r="DR45" s="313"/>
      <c r="DS45" s="313"/>
      <c r="DT45" s="313"/>
      <c r="DU45" s="313"/>
      <c r="DV45" s="313"/>
      <c r="DW45" s="313"/>
      <c r="DX45" s="313"/>
      <c r="DY45" s="313"/>
      <c r="DZ45" s="313"/>
      <c r="EA45" s="313"/>
      <c r="EB45" s="313"/>
      <c r="EC45" s="313"/>
      <c r="ED45" s="313"/>
      <c r="EE45" s="313"/>
      <c r="EF45" s="313"/>
      <c r="EG45" s="313"/>
      <c r="EH45" s="313"/>
      <c r="EI45" s="313"/>
      <c r="EJ45" s="313"/>
      <c r="EK45" s="313"/>
      <c r="EL45" s="313"/>
      <c r="EM45" s="313"/>
      <c r="EN45" s="313"/>
      <c r="EO45" s="313"/>
      <c r="EP45" s="313"/>
      <c r="EQ45" s="313"/>
      <c r="ER45" s="313"/>
      <c r="ES45" s="313"/>
      <c r="ET45" s="313"/>
      <c r="EU45" s="313"/>
      <c r="EV45" s="336"/>
      <c r="EW45" s="46"/>
      <c r="EX45" s="46"/>
      <c r="EY45" s="46"/>
      <c r="EZ45" s="46"/>
      <c r="FA45" s="46"/>
      <c r="FB45" s="334"/>
    </row>
    <row r="46" spans="1:158" ht="15.75" x14ac:dyDescent="0.25">
      <c r="A46" s="337"/>
      <c r="B46" s="335"/>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c r="AC46" s="335"/>
      <c r="AD46" s="335"/>
      <c r="AE46" s="335"/>
      <c r="AF46" s="335"/>
      <c r="AG46" s="335"/>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c r="BD46" s="335"/>
      <c r="BE46" s="335"/>
      <c r="BF46" s="335"/>
      <c r="BG46" s="335"/>
      <c r="BH46" s="335"/>
      <c r="BI46" s="335"/>
      <c r="BJ46" s="335"/>
      <c r="BK46" s="335"/>
      <c r="BL46" s="335"/>
      <c r="BM46" s="335"/>
      <c r="BN46" s="335"/>
      <c r="BO46" s="335"/>
      <c r="BP46" s="335"/>
      <c r="BQ46" s="335"/>
      <c r="BR46" s="335"/>
      <c r="BS46" s="335"/>
      <c r="BT46" s="335"/>
      <c r="BU46" s="335"/>
      <c r="BV46" s="335"/>
      <c r="BW46" s="335"/>
      <c r="BX46" s="335"/>
      <c r="BY46" s="335"/>
      <c r="BZ46" s="335"/>
      <c r="CA46" s="335"/>
      <c r="CB46" s="335"/>
      <c r="CC46" s="335"/>
      <c r="CD46" s="335"/>
      <c r="CE46" s="335"/>
      <c r="CF46" s="335"/>
      <c r="CG46" s="335"/>
      <c r="CH46" s="335"/>
      <c r="CI46" s="335"/>
      <c r="CJ46" s="335"/>
      <c r="CK46" s="335"/>
      <c r="CL46" s="335"/>
      <c r="CM46" s="335"/>
      <c r="CN46" s="313"/>
      <c r="CO46" s="313"/>
      <c r="CP46" s="313"/>
      <c r="CQ46" s="313"/>
      <c r="CR46" s="313"/>
      <c r="CS46" s="313"/>
      <c r="CT46" s="313"/>
      <c r="CU46" s="313"/>
      <c r="CV46" s="313"/>
      <c r="CW46" s="313"/>
      <c r="CX46" s="313"/>
      <c r="CY46" s="313"/>
      <c r="CZ46" s="313"/>
      <c r="DA46" s="313"/>
      <c r="DB46" s="313"/>
      <c r="DC46" s="313"/>
      <c r="DD46" s="313"/>
      <c r="DE46" s="313"/>
      <c r="DF46" s="313"/>
      <c r="DG46" s="313"/>
      <c r="DH46" s="313"/>
      <c r="DI46" s="313"/>
      <c r="DJ46" s="313"/>
      <c r="DK46" s="313"/>
      <c r="DL46" s="313"/>
      <c r="DM46" s="313"/>
      <c r="DN46" s="313"/>
      <c r="DO46" s="313"/>
      <c r="DP46" s="313"/>
      <c r="DQ46" s="313"/>
      <c r="DR46" s="313"/>
      <c r="DS46" s="313"/>
      <c r="DT46" s="313"/>
      <c r="DU46" s="313"/>
      <c r="DV46" s="313"/>
      <c r="DW46" s="313"/>
      <c r="DX46" s="313"/>
      <c r="DY46" s="313"/>
      <c r="DZ46" s="313"/>
      <c r="EA46" s="313"/>
      <c r="EB46" s="313"/>
      <c r="EC46" s="313"/>
      <c r="ED46" s="313"/>
      <c r="EE46" s="313"/>
      <c r="EF46" s="313"/>
      <c r="EG46" s="313"/>
      <c r="EH46" s="313"/>
      <c r="EI46" s="313"/>
      <c r="EJ46" s="313"/>
      <c r="EK46" s="313"/>
      <c r="EL46" s="313"/>
      <c r="EM46" s="313"/>
      <c r="EN46" s="313"/>
      <c r="EO46" s="313"/>
      <c r="EP46" s="313"/>
      <c r="EQ46" s="313"/>
      <c r="ER46" s="313"/>
      <c r="ES46" s="313"/>
      <c r="ET46" s="313"/>
      <c r="EU46" s="313"/>
      <c r="EV46" s="338"/>
      <c r="EW46" s="46"/>
      <c r="EX46" s="46"/>
      <c r="EY46" s="46"/>
      <c r="EZ46" s="46"/>
      <c r="FA46" s="46"/>
      <c r="FB46" s="334"/>
    </row>
    <row r="47" spans="1:158" ht="15.75" x14ac:dyDescent="0.25">
      <c r="A47" s="337"/>
      <c r="B47" s="335"/>
      <c r="C47" s="335"/>
      <c r="D47" s="335"/>
      <c r="E47" s="335"/>
      <c r="F47" s="335"/>
      <c r="G47" s="335"/>
      <c r="H47" s="335"/>
      <c r="I47" s="335"/>
      <c r="J47" s="335"/>
      <c r="K47" s="335"/>
      <c r="L47" s="335"/>
      <c r="M47" s="335"/>
      <c r="N47" s="335"/>
      <c r="O47" s="335"/>
      <c r="P47" s="335"/>
      <c r="Q47" s="335"/>
      <c r="R47" s="335"/>
      <c r="S47" s="335"/>
      <c r="T47" s="335"/>
      <c r="U47" s="335"/>
      <c r="V47" s="335"/>
      <c r="W47" s="335"/>
      <c r="X47" s="335"/>
      <c r="Y47" s="335"/>
      <c r="Z47" s="335"/>
      <c r="AA47" s="335"/>
      <c r="AB47" s="335"/>
      <c r="AC47" s="335"/>
      <c r="AD47" s="335"/>
      <c r="AE47" s="335"/>
      <c r="AF47" s="335"/>
      <c r="AG47" s="335"/>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c r="BD47" s="335"/>
      <c r="BE47" s="335"/>
      <c r="BF47" s="335"/>
      <c r="BG47" s="335"/>
      <c r="BH47" s="335"/>
      <c r="BI47" s="335"/>
      <c r="BJ47" s="335"/>
      <c r="BK47" s="335"/>
      <c r="BL47" s="335"/>
      <c r="BM47" s="335"/>
      <c r="BN47" s="335"/>
      <c r="BO47" s="335"/>
      <c r="BP47" s="335"/>
      <c r="BQ47" s="335"/>
      <c r="BR47" s="335"/>
      <c r="BS47" s="335"/>
      <c r="BT47" s="335"/>
      <c r="BU47" s="335"/>
      <c r="BV47" s="335"/>
      <c r="BW47" s="335"/>
      <c r="BX47" s="335"/>
      <c r="BY47" s="335"/>
      <c r="BZ47" s="335"/>
      <c r="CA47" s="335"/>
      <c r="CB47" s="335"/>
      <c r="CC47" s="335"/>
      <c r="CD47" s="335"/>
      <c r="CE47" s="335"/>
      <c r="CF47" s="335"/>
      <c r="CG47" s="335"/>
      <c r="CH47" s="335"/>
      <c r="CI47" s="335"/>
      <c r="CJ47" s="335"/>
      <c r="CK47" s="335"/>
      <c r="CL47" s="335"/>
      <c r="CM47" s="335"/>
      <c r="CN47" s="313"/>
      <c r="CO47" s="313"/>
      <c r="CP47" s="313"/>
      <c r="CQ47" s="313"/>
      <c r="CR47" s="313"/>
      <c r="CS47" s="313"/>
      <c r="CT47" s="313"/>
      <c r="CU47" s="313"/>
      <c r="CV47" s="313"/>
      <c r="CW47" s="313"/>
      <c r="CX47" s="313"/>
      <c r="CY47" s="313"/>
      <c r="CZ47" s="313"/>
      <c r="DA47" s="313"/>
      <c r="DB47" s="313"/>
      <c r="DC47" s="313"/>
      <c r="DD47" s="313"/>
      <c r="DE47" s="313"/>
      <c r="DF47" s="313"/>
      <c r="DG47" s="313"/>
      <c r="DH47" s="313"/>
      <c r="DI47" s="313"/>
      <c r="DJ47" s="313"/>
      <c r="DK47" s="313"/>
      <c r="DL47" s="313"/>
      <c r="DM47" s="313"/>
      <c r="DN47" s="313"/>
      <c r="DO47" s="313"/>
      <c r="DP47" s="313"/>
      <c r="DQ47" s="313"/>
      <c r="DR47" s="313"/>
      <c r="DS47" s="313"/>
      <c r="DT47" s="313"/>
      <c r="DU47" s="313"/>
      <c r="DV47" s="313"/>
      <c r="DW47" s="313"/>
      <c r="DX47" s="313"/>
      <c r="DY47" s="313"/>
      <c r="DZ47" s="313"/>
      <c r="EA47" s="313"/>
      <c r="EB47" s="313"/>
      <c r="EC47" s="313"/>
      <c r="ED47" s="313"/>
      <c r="EE47" s="313"/>
      <c r="EF47" s="313"/>
      <c r="EG47" s="313"/>
      <c r="EH47" s="313"/>
      <c r="EI47" s="313"/>
      <c r="EJ47" s="313"/>
      <c r="EK47" s="313"/>
      <c r="EL47" s="313"/>
      <c r="EM47" s="313"/>
      <c r="EN47" s="313"/>
      <c r="EO47" s="313"/>
      <c r="EP47" s="313"/>
      <c r="EQ47" s="313"/>
      <c r="ER47" s="313"/>
      <c r="ES47" s="313"/>
      <c r="ET47" s="313"/>
      <c r="EU47" s="313"/>
      <c r="EV47" s="339"/>
      <c r="EW47" s="46"/>
      <c r="EX47" s="46"/>
      <c r="EY47" s="46"/>
      <c r="EZ47" s="46"/>
      <c r="FA47" s="46"/>
      <c r="FB47" s="334"/>
    </row>
    <row r="48" spans="1:158" ht="15.75" x14ac:dyDescent="0.25">
      <c r="A48" s="337"/>
      <c r="B48" s="335"/>
      <c r="C48" s="335"/>
      <c r="D48" s="335"/>
      <c r="E48" s="335"/>
      <c r="F48" s="335"/>
      <c r="G48" s="335"/>
      <c r="H48" s="335"/>
      <c r="I48" s="335"/>
      <c r="J48" s="335"/>
      <c r="K48" s="335"/>
      <c r="L48" s="335"/>
      <c r="M48" s="335"/>
      <c r="N48" s="335"/>
      <c r="O48" s="335"/>
      <c r="P48" s="335"/>
      <c r="Q48" s="335"/>
      <c r="R48" s="335"/>
      <c r="S48" s="335"/>
      <c r="T48" s="335"/>
      <c r="U48" s="335"/>
      <c r="V48" s="335"/>
      <c r="W48" s="335"/>
      <c r="X48" s="335"/>
      <c r="Y48" s="335"/>
      <c r="Z48" s="335"/>
      <c r="AA48" s="335"/>
      <c r="AB48" s="335"/>
      <c r="AC48" s="335"/>
      <c r="AD48" s="335"/>
      <c r="AE48" s="335"/>
      <c r="AF48" s="335"/>
      <c r="AG48" s="335"/>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c r="BD48" s="335"/>
      <c r="BE48" s="335"/>
      <c r="BF48" s="335"/>
      <c r="BG48" s="335"/>
      <c r="BH48" s="335"/>
      <c r="BI48" s="335"/>
      <c r="BJ48" s="335"/>
      <c r="BK48" s="335"/>
      <c r="BL48" s="335"/>
      <c r="BM48" s="335"/>
      <c r="BN48" s="335"/>
      <c r="BO48" s="335"/>
      <c r="BP48" s="335"/>
      <c r="BQ48" s="335"/>
      <c r="BR48" s="335"/>
      <c r="BS48" s="335"/>
      <c r="BT48" s="335"/>
      <c r="BU48" s="335"/>
      <c r="BV48" s="335"/>
      <c r="BW48" s="335"/>
      <c r="BX48" s="335"/>
      <c r="BY48" s="335"/>
      <c r="BZ48" s="335"/>
      <c r="CA48" s="335"/>
      <c r="CB48" s="335"/>
      <c r="CC48" s="335"/>
      <c r="CD48" s="335"/>
      <c r="CE48" s="335"/>
      <c r="CF48" s="335"/>
      <c r="CG48" s="335"/>
      <c r="CH48" s="335"/>
      <c r="CI48" s="335"/>
      <c r="CJ48" s="335"/>
      <c r="CK48" s="335"/>
      <c r="CL48" s="335"/>
      <c r="CM48" s="335"/>
      <c r="CN48" s="313"/>
      <c r="CO48" s="313"/>
      <c r="CP48" s="313"/>
      <c r="CQ48" s="313"/>
      <c r="CR48" s="313"/>
      <c r="CS48" s="313"/>
      <c r="CT48" s="313"/>
      <c r="CU48" s="313"/>
      <c r="CV48" s="313"/>
      <c r="CW48" s="313"/>
      <c r="CX48" s="313"/>
      <c r="CY48" s="313"/>
      <c r="CZ48" s="313"/>
      <c r="DA48" s="313"/>
      <c r="DB48" s="313"/>
      <c r="DC48" s="313"/>
      <c r="DD48" s="313"/>
      <c r="DE48" s="313"/>
      <c r="DF48" s="313"/>
      <c r="DG48" s="313"/>
      <c r="DH48" s="313"/>
      <c r="DI48" s="313"/>
      <c r="DJ48" s="313"/>
      <c r="DK48" s="313"/>
      <c r="DL48" s="313"/>
      <c r="DM48" s="313"/>
      <c r="DN48" s="313"/>
      <c r="DO48" s="313"/>
      <c r="DP48" s="313"/>
      <c r="DQ48" s="313"/>
      <c r="DR48" s="313"/>
      <c r="DS48" s="313"/>
      <c r="DT48" s="313"/>
      <c r="DU48" s="313"/>
      <c r="DV48" s="313"/>
      <c r="DW48" s="313"/>
      <c r="DX48" s="313"/>
      <c r="DY48" s="313"/>
      <c r="DZ48" s="313"/>
      <c r="EA48" s="313"/>
      <c r="EB48" s="313"/>
      <c r="EC48" s="313"/>
      <c r="ED48" s="313"/>
      <c r="EE48" s="313"/>
      <c r="EF48" s="313"/>
      <c r="EG48" s="313"/>
      <c r="EH48" s="313"/>
      <c r="EI48" s="313"/>
      <c r="EJ48" s="313"/>
      <c r="EK48" s="313"/>
      <c r="EL48" s="313"/>
      <c r="EM48" s="313"/>
      <c r="EN48" s="313"/>
      <c r="EO48" s="313"/>
      <c r="EP48" s="313"/>
      <c r="EQ48" s="313"/>
      <c r="ER48" s="313"/>
      <c r="ES48" s="313"/>
      <c r="ET48" s="313"/>
      <c r="EU48" s="313"/>
      <c r="EV48" s="338"/>
      <c r="EW48" s="46"/>
      <c r="EX48" s="46"/>
      <c r="EY48" s="46"/>
      <c r="EZ48" s="46"/>
      <c r="FA48" s="46"/>
      <c r="FB48" s="334"/>
    </row>
    <row r="49" spans="1:158" ht="15.75" x14ac:dyDescent="0.25">
      <c r="A49" s="337"/>
      <c r="B49" s="335"/>
      <c r="C49" s="335"/>
      <c r="D49" s="335"/>
      <c r="E49" s="335"/>
      <c r="F49" s="335"/>
      <c r="G49" s="335"/>
      <c r="H49" s="335"/>
      <c r="I49" s="335"/>
      <c r="J49" s="335"/>
      <c r="K49" s="335"/>
      <c r="L49" s="335"/>
      <c r="M49" s="335"/>
      <c r="N49" s="335"/>
      <c r="O49" s="335"/>
      <c r="P49" s="335"/>
      <c r="Q49" s="335"/>
      <c r="R49" s="335"/>
      <c r="S49" s="335"/>
      <c r="T49" s="335"/>
      <c r="U49" s="335"/>
      <c r="V49" s="335"/>
      <c r="W49" s="335"/>
      <c r="X49" s="335"/>
      <c r="Y49" s="335"/>
      <c r="Z49" s="335"/>
      <c r="AA49" s="335"/>
      <c r="AB49" s="335"/>
      <c r="AC49" s="335"/>
      <c r="AD49" s="335"/>
      <c r="AE49" s="335"/>
      <c r="AF49" s="335"/>
      <c r="AG49" s="335"/>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c r="BD49" s="335"/>
      <c r="BE49" s="335"/>
      <c r="BF49" s="335"/>
      <c r="BG49" s="335"/>
      <c r="BH49" s="335"/>
      <c r="BI49" s="335"/>
      <c r="BJ49" s="335"/>
      <c r="BK49" s="335"/>
      <c r="BL49" s="335"/>
      <c r="BM49" s="335"/>
      <c r="BN49" s="335"/>
      <c r="BO49" s="335"/>
      <c r="BP49" s="335"/>
      <c r="BQ49" s="335"/>
      <c r="BR49" s="335"/>
      <c r="BS49" s="335"/>
      <c r="BT49" s="335"/>
      <c r="BU49" s="335"/>
      <c r="BV49" s="335"/>
      <c r="BW49" s="335"/>
      <c r="BX49" s="335"/>
      <c r="BY49" s="335"/>
      <c r="BZ49" s="335"/>
      <c r="CA49" s="335"/>
      <c r="CB49" s="335"/>
      <c r="CC49" s="335"/>
      <c r="CD49" s="335"/>
      <c r="CE49" s="335"/>
      <c r="CF49" s="335"/>
      <c r="CG49" s="335"/>
      <c r="CH49" s="335"/>
      <c r="CI49" s="335"/>
      <c r="CJ49" s="335"/>
      <c r="CK49" s="335"/>
      <c r="CL49" s="335"/>
      <c r="CM49" s="335"/>
      <c r="CN49" s="313"/>
      <c r="CO49" s="313"/>
      <c r="CP49" s="313"/>
      <c r="CQ49" s="313"/>
      <c r="CR49" s="313"/>
      <c r="CS49" s="313"/>
      <c r="CT49" s="313"/>
      <c r="CU49" s="313"/>
      <c r="CV49" s="313"/>
      <c r="CW49" s="313"/>
      <c r="CX49" s="313"/>
      <c r="CY49" s="313"/>
      <c r="CZ49" s="313"/>
      <c r="DA49" s="313"/>
      <c r="DB49" s="313"/>
      <c r="DC49" s="313"/>
      <c r="DD49" s="313"/>
      <c r="DE49" s="313"/>
      <c r="DF49" s="313"/>
      <c r="DG49" s="313"/>
      <c r="DH49" s="313"/>
      <c r="DI49" s="313"/>
      <c r="DJ49" s="313"/>
      <c r="DK49" s="313"/>
      <c r="DL49" s="313"/>
      <c r="DM49" s="313"/>
      <c r="DN49" s="313"/>
      <c r="DO49" s="313"/>
      <c r="DP49" s="313"/>
      <c r="DQ49" s="313"/>
      <c r="DR49" s="313"/>
      <c r="DS49" s="313"/>
      <c r="DT49" s="313"/>
      <c r="DU49" s="313"/>
      <c r="DV49" s="313"/>
      <c r="DW49" s="313"/>
      <c r="DX49" s="313"/>
      <c r="DY49" s="313"/>
      <c r="DZ49" s="313"/>
      <c r="EA49" s="313"/>
      <c r="EB49" s="313"/>
      <c r="EC49" s="313"/>
      <c r="ED49" s="313"/>
      <c r="EE49" s="313"/>
      <c r="EF49" s="313"/>
      <c r="EG49" s="313"/>
      <c r="EH49" s="313"/>
      <c r="EI49" s="313"/>
      <c r="EJ49" s="313"/>
      <c r="EK49" s="313"/>
      <c r="EL49" s="313"/>
      <c r="EM49" s="313"/>
      <c r="EN49" s="313"/>
      <c r="EO49" s="313"/>
      <c r="EP49" s="313"/>
      <c r="EQ49" s="313"/>
      <c r="ER49" s="313"/>
      <c r="ES49" s="313"/>
      <c r="ET49" s="313"/>
      <c r="EU49" s="313"/>
      <c r="EV49" s="336"/>
      <c r="EW49" s="46"/>
      <c r="EX49" s="46"/>
      <c r="EY49" s="46"/>
      <c r="EZ49" s="46"/>
      <c r="FA49" s="46"/>
      <c r="FB49" s="334"/>
    </row>
    <row r="50" spans="1:158" ht="15.75" x14ac:dyDescent="0.25">
      <c r="A50" s="337"/>
      <c r="B50" s="335"/>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335"/>
      <c r="BM50" s="335"/>
      <c r="BN50" s="335"/>
      <c r="BO50" s="335"/>
      <c r="BP50" s="335"/>
      <c r="BQ50" s="335"/>
      <c r="BR50" s="335"/>
      <c r="BS50" s="335"/>
      <c r="BT50" s="335"/>
      <c r="BU50" s="335"/>
      <c r="BV50" s="335"/>
      <c r="BW50" s="335"/>
      <c r="BX50" s="335"/>
      <c r="BY50" s="335"/>
      <c r="BZ50" s="335"/>
      <c r="CA50" s="335"/>
      <c r="CB50" s="335"/>
      <c r="CC50" s="335"/>
      <c r="CD50" s="335"/>
      <c r="CE50" s="335"/>
      <c r="CF50" s="335"/>
      <c r="CG50" s="335"/>
      <c r="CH50" s="335"/>
      <c r="CI50" s="335"/>
      <c r="CJ50" s="335"/>
      <c r="CK50" s="335"/>
      <c r="CL50" s="335"/>
      <c r="CM50" s="335"/>
      <c r="CN50" s="313"/>
      <c r="CO50" s="313"/>
      <c r="CP50" s="313"/>
      <c r="CQ50" s="313"/>
      <c r="CR50" s="313"/>
      <c r="CS50" s="313"/>
      <c r="CT50" s="313"/>
      <c r="CU50" s="313"/>
      <c r="CV50" s="313"/>
      <c r="CW50" s="313"/>
      <c r="CX50" s="313"/>
      <c r="CY50" s="313"/>
      <c r="CZ50" s="313"/>
      <c r="DA50" s="313"/>
      <c r="DB50" s="313"/>
      <c r="DC50" s="313"/>
      <c r="DD50" s="313"/>
      <c r="DE50" s="313"/>
      <c r="DF50" s="313"/>
      <c r="DG50" s="313"/>
      <c r="DH50" s="313"/>
      <c r="DI50" s="313"/>
      <c r="DJ50" s="313"/>
      <c r="DK50" s="313"/>
      <c r="DL50" s="313"/>
      <c r="DM50" s="313"/>
      <c r="DN50" s="313"/>
      <c r="DO50" s="313"/>
      <c r="DP50" s="313"/>
      <c r="DQ50" s="313"/>
      <c r="DR50" s="313"/>
      <c r="DS50" s="313"/>
      <c r="DT50" s="313"/>
      <c r="DU50" s="313"/>
      <c r="DV50" s="313"/>
      <c r="DW50" s="313"/>
      <c r="DX50" s="313"/>
      <c r="DY50" s="313"/>
      <c r="DZ50" s="313"/>
      <c r="EA50" s="313"/>
      <c r="EB50" s="313"/>
      <c r="EC50" s="313"/>
      <c r="ED50" s="313"/>
      <c r="EE50" s="313"/>
      <c r="EF50" s="313"/>
      <c r="EG50" s="313"/>
      <c r="EH50" s="313"/>
      <c r="EI50" s="313"/>
      <c r="EJ50" s="313"/>
      <c r="EK50" s="313"/>
      <c r="EL50" s="313"/>
      <c r="EM50" s="313"/>
      <c r="EN50" s="313"/>
      <c r="EO50" s="313"/>
      <c r="EP50" s="313"/>
      <c r="EQ50" s="313"/>
      <c r="ER50" s="313"/>
      <c r="ES50" s="313"/>
      <c r="ET50" s="313"/>
      <c r="EU50" s="313"/>
      <c r="EV50" s="338"/>
      <c r="EW50" s="46"/>
      <c r="EX50" s="46"/>
      <c r="EY50" s="46"/>
      <c r="EZ50" s="46"/>
      <c r="FA50" s="46"/>
      <c r="FB50" s="334"/>
    </row>
    <row r="51" spans="1:158" ht="15.75" x14ac:dyDescent="0.25">
      <c r="A51" s="337"/>
      <c r="B51" s="335"/>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c r="AC51" s="335"/>
      <c r="AD51" s="335"/>
      <c r="AE51" s="335"/>
      <c r="AF51" s="335"/>
      <c r="AG51" s="335"/>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c r="BD51" s="335"/>
      <c r="BE51" s="335"/>
      <c r="BF51" s="335"/>
      <c r="BG51" s="335"/>
      <c r="BH51" s="335"/>
      <c r="BI51" s="335"/>
      <c r="BJ51" s="335"/>
      <c r="BK51" s="335"/>
      <c r="BL51" s="335"/>
      <c r="BM51" s="335"/>
      <c r="BN51" s="335"/>
      <c r="BO51" s="335"/>
      <c r="BP51" s="335"/>
      <c r="BQ51" s="335"/>
      <c r="BR51" s="335"/>
      <c r="BS51" s="335"/>
      <c r="BT51" s="335"/>
      <c r="BU51" s="335"/>
      <c r="BV51" s="335"/>
      <c r="BW51" s="335"/>
      <c r="BX51" s="335"/>
      <c r="BY51" s="335"/>
      <c r="BZ51" s="335"/>
      <c r="CA51" s="335"/>
      <c r="CB51" s="335"/>
      <c r="CC51" s="335"/>
      <c r="CD51" s="335"/>
      <c r="CE51" s="335"/>
      <c r="CF51" s="335"/>
      <c r="CG51" s="335"/>
      <c r="CH51" s="335"/>
      <c r="CI51" s="335"/>
      <c r="CJ51" s="335"/>
      <c r="CK51" s="335"/>
      <c r="CL51" s="335"/>
      <c r="CM51" s="335"/>
      <c r="CN51" s="313"/>
      <c r="CO51" s="313"/>
      <c r="CP51" s="313"/>
      <c r="CQ51" s="313"/>
      <c r="CR51" s="313"/>
      <c r="CS51" s="313"/>
      <c r="CT51" s="313"/>
      <c r="CU51" s="313"/>
      <c r="CV51" s="313"/>
      <c r="CW51" s="313"/>
      <c r="CX51" s="313"/>
      <c r="CY51" s="313"/>
      <c r="CZ51" s="313"/>
      <c r="DA51" s="313"/>
      <c r="DB51" s="313"/>
      <c r="DC51" s="313"/>
      <c r="DD51" s="313"/>
      <c r="DE51" s="313"/>
      <c r="DF51" s="313"/>
      <c r="DG51" s="313"/>
      <c r="DH51" s="313"/>
      <c r="DI51" s="313"/>
      <c r="DJ51" s="313"/>
      <c r="DK51" s="313"/>
      <c r="DL51" s="313"/>
      <c r="DM51" s="313"/>
      <c r="DN51" s="313"/>
      <c r="DO51" s="313"/>
      <c r="DP51" s="313"/>
      <c r="DQ51" s="313"/>
      <c r="DR51" s="313"/>
      <c r="DS51" s="313"/>
      <c r="DT51" s="313"/>
      <c r="DU51" s="313"/>
      <c r="DV51" s="313"/>
      <c r="DW51" s="313"/>
      <c r="DX51" s="313"/>
      <c r="DY51" s="313"/>
      <c r="DZ51" s="313"/>
      <c r="EA51" s="313"/>
      <c r="EB51" s="313"/>
      <c r="EC51" s="313"/>
      <c r="ED51" s="313"/>
      <c r="EE51" s="313"/>
      <c r="EF51" s="313"/>
      <c r="EG51" s="313"/>
      <c r="EH51" s="313"/>
      <c r="EI51" s="313"/>
      <c r="EJ51" s="313"/>
      <c r="EK51" s="313"/>
      <c r="EL51" s="313"/>
      <c r="EM51" s="313"/>
      <c r="EN51" s="313"/>
      <c r="EO51" s="313"/>
      <c r="EP51" s="313"/>
      <c r="EQ51" s="313"/>
      <c r="ER51" s="313"/>
      <c r="ES51" s="313"/>
      <c r="ET51" s="313"/>
      <c r="EU51" s="313"/>
      <c r="EV51" s="336"/>
      <c r="EW51" s="46"/>
      <c r="EX51" s="46"/>
      <c r="EY51" s="46"/>
      <c r="EZ51" s="46"/>
      <c r="FA51" s="46"/>
      <c r="FB51" s="334"/>
    </row>
    <row r="52" spans="1:158" ht="15.75" x14ac:dyDescent="0.25">
      <c r="A52" s="337"/>
      <c r="B52" s="335"/>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c r="AC52" s="335"/>
      <c r="AD52" s="335"/>
      <c r="AE52" s="335"/>
      <c r="AF52" s="335"/>
      <c r="AG52" s="335"/>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c r="BD52" s="335"/>
      <c r="BE52" s="335"/>
      <c r="BF52" s="335"/>
      <c r="BG52" s="335"/>
      <c r="BH52" s="335"/>
      <c r="BI52" s="335"/>
      <c r="BJ52" s="335"/>
      <c r="BK52" s="335"/>
      <c r="BL52" s="335"/>
      <c r="BM52" s="335"/>
      <c r="BN52" s="335"/>
      <c r="BO52" s="335"/>
      <c r="BP52" s="335"/>
      <c r="BQ52" s="335"/>
      <c r="BR52" s="335"/>
      <c r="BS52" s="335"/>
      <c r="BT52" s="335"/>
      <c r="BU52" s="335"/>
      <c r="BV52" s="335"/>
      <c r="BW52" s="335"/>
      <c r="BX52" s="335"/>
      <c r="BY52" s="335"/>
      <c r="BZ52" s="335"/>
      <c r="CA52" s="335"/>
      <c r="CB52" s="335"/>
      <c r="CC52" s="335"/>
      <c r="CD52" s="335"/>
      <c r="CE52" s="335"/>
      <c r="CF52" s="335"/>
      <c r="CG52" s="335"/>
      <c r="CH52" s="335"/>
      <c r="CI52" s="335"/>
      <c r="CJ52" s="335"/>
      <c r="CK52" s="335"/>
      <c r="CL52" s="335"/>
      <c r="CM52" s="335"/>
      <c r="CN52" s="313"/>
      <c r="CO52" s="313"/>
      <c r="CP52" s="313"/>
      <c r="CQ52" s="313"/>
      <c r="CR52" s="313"/>
      <c r="CS52" s="313"/>
      <c r="CT52" s="313"/>
      <c r="CU52" s="313"/>
      <c r="CV52" s="313"/>
      <c r="CW52" s="313"/>
      <c r="CX52" s="313"/>
      <c r="CY52" s="313"/>
      <c r="CZ52" s="313"/>
      <c r="DA52" s="313"/>
      <c r="DB52" s="313"/>
      <c r="DC52" s="313"/>
      <c r="DD52" s="313"/>
      <c r="DE52" s="313"/>
      <c r="DF52" s="313"/>
      <c r="DG52" s="313"/>
      <c r="DH52" s="313"/>
      <c r="DI52" s="313"/>
      <c r="DJ52" s="313"/>
      <c r="DK52" s="313"/>
      <c r="DL52" s="313"/>
      <c r="DM52" s="313"/>
      <c r="DN52" s="313"/>
      <c r="DO52" s="313"/>
      <c r="DP52" s="313"/>
      <c r="DQ52" s="313"/>
      <c r="DR52" s="313"/>
      <c r="DS52" s="313"/>
      <c r="DT52" s="313"/>
      <c r="DU52" s="313"/>
      <c r="DV52" s="313"/>
      <c r="DW52" s="313"/>
      <c r="DX52" s="313"/>
      <c r="DY52" s="313"/>
      <c r="DZ52" s="313"/>
      <c r="EA52" s="313"/>
      <c r="EB52" s="313"/>
      <c r="EC52" s="313"/>
      <c r="ED52" s="313"/>
      <c r="EE52" s="313"/>
      <c r="EF52" s="313"/>
      <c r="EG52" s="313"/>
      <c r="EH52" s="313"/>
      <c r="EI52" s="313"/>
      <c r="EJ52" s="313"/>
      <c r="EK52" s="313"/>
      <c r="EL52" s="313"/>
      <c r="EM52" s="313"/>
      <c r="EN52" s="313"/>
      <c r="EO52" s="313"/>
      <c r="EP52" s="313"/>
      <c r="EQ52" s="313"/>
      <c r="ER52" s="313"/>
      <c r="ES52" s="313"/>
      <c r="ET52" s="313"/>
      <c r="EU52" s="313"/>
      <c r="EV52" s="338"/>
      <c r="EW52" s="46"/>
      <c r="EX52" s="46"/>
      <c r="EY52" s="46"/>
      <c r="EZ52" s="46"/>
      <c r="FA52" s="46"/>
      <c r="FB52" s="334"/>
    </row>
    <row r="53" spans="1:158" ht="15.75" x14ac:dyDescent="0.25">
      <c r="A53" s="340"/>
      <c r="B53" s="335"/>
      <c r="C53" s="335"/>
      <c r="D53" s="335"/>
      <c r="E53" s="335"/>
      <c r="F53" s="335"/>
      <c r="G53" s="335"/>
      <c r="H53" s="335"/>
      <c r="I53" s="335"/>
      <c r="J53" s="335"/>
      <c r="K53" s="335"/>
      <c r="L53" s="335"/>
      <c r="M53" s="335"/>
      <c r="N53" s="335"/>
      <c r="O53" s="335"/>
      <c r="P53" s="335"/>
      <c r="Q53" s="335"/>
      <c r="R53" s="335"/>
      <c r="S53" s="335"/>
      <c r="T53" s="335"/>
      <c r="U53" s="335"/>
      <c r="V53" s="335"/>
      <c r="W53" s="335"/>
      <c r="X53" s="335"/>
      <c r="Y53" s="335"/>
      <c r="Z53" s="335"/>
      <c r="AA53" s="335"/>
      <c r="AB53" s="335"/>
      <c r="AC53" s="335"/>
      <c r="AD53" s="335"/>
      <c r="AE53" s="335"/>
      <c r="AF53" s="335"/>
      <c r="AG53" s="335"/>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c r="BD53" s="335"/>
      <c r="BE53" s="335"/>
      <c r="BF53" s="335"/>
      <c r="BG53" s="335"/>
      <c r="BH53" s="335"/>
      <c r="BI53" s="335"/>
      <c r="BJ53" s="335"/>
      <c r="BK53" s="335"/>
      <c r="BL53" s="335"/>
      <c r="BM53" s="335"/>
      <c r="BN53" s="335"/>
      <c r="BO53" s="335"/>
      <c r="BP53" s="335"/>
      <c r="BQ53" s="335"/>
      <c r="BR53" s="335"/>
      <c r="BS53" s="335"/>
      <c r="BT53" s="335"/>
      <c r="BU53" s="335"/>
      <c r="BV53" s="335"/>
      <c r="BW53" s="335"/>
      <c r="BX53" s="335"/>
      <c r="BY53" s="335"/>
      <c r="BZ53" s="335"/>
      <c r="CA53" s="335"/>
      <c r="CB53" s="335"/>
      <c r="CC53" s="335"/>
      <c r="CD53" s="335"/>
      <c r="CE53" s="335"/>
      <c r="CF53" s="335"/>
      <c r="CG53" s="335"/>
      <c r="CH53" s="335"/>
      <c r="CI53" s="335"/>
      <c r="CJ53" s="335"/>
      <c r="CK53" s="335"/>
      <c r="CL53" s="335"/>
      <c r="CM53" s="335"/>
      <c r="CN53" s="313"/>
      <c r="CO53" s="313"/>
      <c r="CP53" s="313"/>
      <c r="CQ53" s="313"/>
      <c r="CR53" s="313"/>
      <c r="CS53" s="313"/>
      <c r="CT53" s="313"/>
      <c r="CU53" s="313"/>
      <c r="CV53" s="313"/>
      <c r="CW53" s="313"/>
      <c r="CX53" s="313"/>
      <c r="CY53" s="313"/>
      <c r="CZ53" s="313"/>
      <c r="DA53" s="313"/>
      <c r="DB53" s="313"/>
      <c r="DC53" s="313"/>
      <c r="DD53" s="313"/>
      <c r="DE53" s="313"/>
      <c r="DF53" s="313"/>
      <c r="DG53" s="313"/>
      <c r="DH53" s="313"/>
      <c r="DI53" s="313"/>
      <c r="DJ53" s="313"/>
      <c r="DK53" s="313"/>
      <c r="DL53" s="313"/>
      <c r="DM53" s="313"/>
      <c r="DN53" s="313"/>
      <c r="DO53" s="313"/>
      <c r="DP53" s="313"/>
      <c r="DQ53" s="313"/>
      <c r="DR53" s="313"/>
      <c r="DS53" s="313"/>
      <c r="DT53" s="313"/>
      <c r="DU53" s="313"/>
      <c r="DV53" s="313"/>
      <c r="DW53" s="313"/>
      <c r="DX53" s="313"/>
      <c r="DY53" s="313"/>
      <c r="DZ53" s="313"/>
      <c r="EA53" s="313"/>
      <c r="EB53" s="313"/>
      <c r="EC53" s="313"/>
      <c r="ED53" s="313"/>
      <c r="EE53" s="313"/>
      <c r="EF53" s="313"/>
      <c r="EG53" s="313"/>
      <c r="EH53" s="313"/>
      <c r="EI53" s="313"/>
      <c r="EJ53" s="313"/>
      <c r="EK53" s="313"/>
      <c r="EL53" s="313"/>
      <c r="EM53" s="313"/>
      <c r="EN53" s="313"/>
      <c r="EO53" s="313"/>
      <c r="EP53" s="313"/>
      <c r="EQ53" s="313"/>
      <c r="ER53" s="313"/>
      <c r="ES53" s="313"/>
      <c r="ET53" s="313"/>
      <c r="EU53" s="313"/>
      <c r="EV53" s="331"/>
      <c r="EW53" s="46"/>
      <c r="EX53" s="46"/>
      <c r="EY53" s="46"/>
      <c r="EZ53" s="46"/>
      <c r="FA53" s="46"/>
      <c r="FB53" s="334"/>
    </row>
    <row r="54" spans="1:158" ht="15.75" x14ac:dyDescent="0.25">
      <c r="A54" s="340"/>
      <c r="B54" s="335"/>
      <c r="C54" s="335"/>
      <c r="D54" s="335"/>
      <c r="E54" s="335"/>
      <c r="F54" s="335"/>
      <c r="G54" s="335"/>
      <c r="H54" s="335"/>
      <c r="I54" s="335"/>
      <c r="J54" s="335"/>
      <c r="K54" s="335"/>
      <c r="L54" s="335"/>
      <c r="M54" s="335"/>
      <c r="N54" s="335"/>
      <c r="O54" s="335"/>
      <c r="P54" s="335"/>
      <c r="Q54" s="335"/>
      <c r="R54" s="335"/>
      <c r="S54" s="335"/>
      <c r="T54" s="335"/>
      <c r="U54" s="335"/>
      <c r="V54" s="335"/>
      <c r="W54" s="335"/>
      <c r="X54" s="335"/>
      <c r="Y54" s="335"/>
      <c r="Z54" s="335"/>
      <c r="AA54" s="335"/>
      <c r="AB54" s="335"/>
      <c r="AC54" s="335"/>
      <c r="AD54" s="335"/>
      <c r="AE54" s="335"/>
      <c r="AF54" s="335"/>
      <c r="AG54" s="335"/>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c r="BD54" s="335"/>
      <c r="BE54" s="335"/>
      <c r="BF54" s="335"/>
      <c r="BG54" s="335"/>
      <c r="BH54" s="335"/>
      <c r="BI54" s="335"/>
      <c r="BJ54" s="335"/>
      <c r="BK54" s="335"/>
      <c r="BL54" s="335"/>
      <c r="BM54" s="335"/>
      <c r="BN54" s="335"/>
      <c r="BO54" s="335"/>
      <c r="BP54" s="335"/>
      <c r="BQ54" s="335"/>
      <c r="BR54" s="335"/>
      <c r="BS54" s="335"/>
      <c r="BT54" s="335"/>
      <c r="BU54" s="335"/>
      <c r="BV54" s="335"/>
      <c r="BW54" s="335"/>
      <c r="BX54" s="335"/>
      <c r="BY54" s="335"/>
      <c r="BZ54" s="335"/>
      <c r="CA54" s="335"/>
      <c r="CB54" s="335"/>
      <c r="CC54" s="335"/>
      <c r="CD54" s="335"/>
      <c r="CE54" s="335"/>
      <c r="CF54" s="335"/>
      <c r="CG54" s="335"/>
      <c r="CH54" s="335"/>
      <c r="CI54" s="335"/>
      <c r="CJ54" s="335"/>
      <c r="CK54" s="335"/>
      <c r="CL54" s="335"/>
      <c r="CM54" s="335"/>
      <c r="CN54" s="313"/>
      <c r="CO54" s="313"/>
      <c r="CP54" s="313"/>
      <c r="CQ54" s="313"/>
      <c r="CR54" s="313"/>
      <c r="CS54" s="313"/>
      <c r="CT54" s="313"/>
      <c r="CU54" s="313"/>
      <c r="CV54" s="313"/>
      <c r="CW54" s="313"/>
      <c r="CX54" s="313"/>
      <c r="CY54" s="313"/>
      <c r="CZ54" s="313"/>
      <c r="DA54" s="313"/>
      <c r="DB54" s="313"/>
      <c r="DC54" s="313"/>
      <c r="DD54" s="313"/>
      <c r="DE54" s="313"/>
      <c r="DF54" s="313"/>
      <c r="DG54" s="313"/>
      <c r="DH54" s="313"/>
      <c r="DI54" s="313"/>
      <c r="DJ54" s="313"/>
      <c r="DK54" s="313"/>
      <c r="DL54" s="313"/>
      <c r="DM54" s="313"/>
      <c r="DN54" s="313"/>
      <c r="DO54" s="313"/>
      <c r="DP54" s="313"/>
      <c r="DQ54" s="313"/>
      <c r="DR54" s="313"/>
      <c r="DS54" s="313"/>
      <c r="DT54" s="313"/>
      <c r="DU54" s="313"/>
      <c r="DV54" s="313"/>
      <c r="DW54" s="313"/>
      <c r="DX54" s="313"/>
      <c r="DY54" s="313"/>
      <c r="DZ54" s="313"/>
      <c r="EA54" s="313"/>
      <c r="EB54" s="313"/>
      <c r="EC54" s="313"/>
      <c r="ED54" s="313"/>
      <c r="EE54" s="313"/>
      <c r="EF54" s="313"/>
      <c r="EG54" s="313"/>
      <c r="EH54" s="313"/>
      <c r="EI54" s="313"/>
      <c r="EJ54" s="313"/>
      <c r="EK54" s="313"/>
      <c r="EL54" s="313"/>
      <c r="EM54" s="313"/>
      <c r="EN54" s="313"/>
      <c r="EO54" s="313"/>
      <c r="EP54" s="313"/>
      <c r="EQ54" s="313"/>
      <c r="ER54" s="313"/>
      <c r="ES54" s="313"/>
      <c r="ET54" s="313"/>
      <c r="EU54" s="313"/>
      <c r="EV54" s="338"/>
      <c r="EW54" s="46"/>
      <c r="EX54" s="46"/>
      <c r="EY54" s="46"/>
      <c r="EZ54" s="46"/>
      <c r="FA54" s="46"/>
      <c r="FB54" s="334"/>
    </row>
    <row r="55" spans="1:158" x14ac:dyDescent="0.25">
      <c r="A55" s="334"/>
      <c r="B55" s="334"/>
      <c r="C55" s="334"/>
      <c r="D55" s="334"/>
      <c r="E55" s="334"/>
      <c r="F55" s="334"/>
      <c r="G55" s="334"/>
      <c r="H55" s="334"/>
      <c r="I55" s="334"/>
      <c r="J55" s="334"/>
      <c r="K55" s="334"/>
      <c r="L55" s="334"/>
      <c r="M55" s="334"/>
      <c r="N55" s="334"/>
      <c r="O55" s="334"/>
      <c r="P55" s="334"/>
      <c r="Q55" s="334"/>
      <c r="R55" s="334"/>
      <c r="S55" s="334"/>
      <c r="T55" s="334"/>
      <c r="U55" s="334"/>
      <c r="V55" s="334"/>
      <c r="W55" s="334"/>
      <c r="X55" s="334"/>
      <c r="Y55" s="334"/>
      <c r="Z55" s="334"/>
      <c r="AA55" s="334"/>
      <c r="AB55" s="334"/>
      <c r="AC55" s="334"/>
      <c r="AD55" s="334"/>
      <c r="AE55" s="334"/>
      <c r="AF55" s="334"/>
      <c r="AG55" s="334"/>
      <c r="AH55" s="334"/>
      <c r="AI55" s="334"/>
      <c r="AJ55" s="334"/>
      <c r="AK55" s="334"/>
      <c r="AL55" s="334"/>
      <c r="AM55" s="334"/>
      <c r="AN55" s="334"/>
      <c r="AO55" s="334"/>
      <c r="AP55" s="334"/>
      <c r="AQ55" s="334"/>
      <c r="AR55" s="334"/>
      <c r="AS55" s="334"/>
      <c r="AT55" s="334"/>
      <c r="AU55" s="334"/>
      <c r="AV55" s="334"/>
      <c r="AW55" s="334"/>
      <c r="AX55" s="334"/>
      <c r="AY55" s="334"/>
      <c r="AZ55" s="334"/>
      <c r="BA55" s="334"/>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34"/>
      <c r="BX55" s="334"/>
      <c r="BY55" s="334"/>
      <c r="BZ55" s="334"/>
      <c r="CA55" s="334"/>
      <c r="CB55" s="334"/>
      <c r="CC55" s="334"/>
      <c r="CD55" s="334"/>
      <c r="CE55" s="334"/>
      <c r="CF55" s="334"/>
      <c r="CG55" s="334"/>
      <c r="CH55" s="334"/>
      <c r="CI55" s="334"/>
      <c r="CJ55" s="334"/>
      <c r="CK55" s="334"/>
      <c r="CL55" s="334"/>
      <c r="CM55" s="334"/>
      <c r="CN55" s="334"/>
      <c r="CO55" s="334"/>
      <c r="CP55" s="334"/>
      <c r="CQ55" s="334"/>
      <c r="CR55" s="334"/>
      <c r="CS55" s="334"/>
      <c r="CT55" s="334"/>
      <c r="CU55" s="334"/>
      <c r="CV55" s="334"/>
      <c r="CW55" s="334"/>
      <c r="CX55" s="334"/>
      <c r="CY55" s="334"/>
      <c r="CZ55" s="334"/>
      <c r="DA55" s="334"/>
      <c r="DB55" s="334"/>
      <c r="DC55" s="334"/>
      <c r="DD55" s="334"/>
      <c r="DE55" s="334"/>
      <c r="DF55" s="334"/>
      <c r="DG55" s="334"/>
      <c r="DH55" s="334"/>
      <c r="DI55" s="334"/>
      <c r="DJ55" s="334"/>
      <c r="DK55" s="334"/>
      <c r="DL55" s="334"/>
      <c r="DM55" s="334"/>
      <c r="DN55" s="334"/>
      <c r="DO55" s="334"/>
      <c r="DP55" s="334"/>
      <c r="DQ55" s="334"/>
      <c r="DR55" s="334"/>
      <c r="DS55" s="334"/>
      <c r="DT55" s="334"/>
      <c r="DU55" s="334"/>
      <c r="DV55" s="334"/>
      <c r="DW55" s="334"/>
      <c r="DX55" s="334"/>
      <c r="DY55" s="334"/>
      <c r="DZ55" s="334"/>
      <c r="EA55" s="334"/>
      <c r="EB55" s="334"/>
      <c r="EC55" s="334"/>
      <c r="ED55" s="334"/>
      <c r="EE55" s="334"/>
      <c r="EF55" s="334"/>
      <c r="EG55" s="334"/>
      <c r="EH55" s="334"/>
      <c r="EI55" s="334"/>
      <c r="EJ55" s="334"/>
      <c r="EK55" s="334"/>
      <c r="EL55" s="334"/>
      <c r="EM55" s="334"/>
      <c r="EN55" s="334"/>
      <c r="EO55" s="334"/>
      <c r="EP55" s="334"/>
      <c r="EQ55" s="334"/>
      <c r="ER55" s="334"/>
      <c r="ES55" s="334"/>
      <c r="ET55" s="334"/>
      <c r="EU55" s="334"/>
      <c r="EV55" s="334"/>
      <c r="EW55" s="334"/>
      <c r="EX55" s="334"/>
      <c r="EY55" s="334"/>
      <c r="EZ55" s="334"/>
      <c r="FA55" s="334"/>
      <c r="FB55" s="334"/>
    </row>
    <row r="56" spans="1:158" x14ac:dyDescent="0.25">
      <c r="A56" s="334"/>
      <c r="B56" s="334"/>
      <c r="C56" s="334"/>
      <c r="D56" s="334"/>
      <c r="E56" s="334"/>
      <c r="F56" s="334"/>
      <c r="G56" s="334"/>
      <c r="H56" s="334"/>
      <c r="I56" s="334"/>
      <c r="J56" s="334"/>
      <c r="K56" s="334"/>
      <c r="L56" s="334"/>
      <c r="M56" s="334"/>
      <c r="N56" s="334"/>
      <c r="O56" s="334"/>
      <c r="P56" s="334"/>
      <c r="Q56" s="334"/>
      <c r="R56" s="334"/>
      <c r="S56" s="334"/>
      <c r="T56" s="334"/>
      <c r="U56" s="334"/>
      <c r="V56" s="334"/>
      <c r="W56" s="334"/>
      <c r="X56" s="334"/>
      <c r="Y56" s="334"/>
      <c r="Z56" s="334"/>
      <c r="AA56" s="334"/>
      <c r="AB56" s="334"/>
      <c r="AC56" s="334"/>
      <c r="AD56" s="334"/>
      <c r="AE56" s="334"/>
      <c r="AF56" s="334"/>
      <c r="AG56" s="334"/>
      <c r="AH56" s="334"/>
      <c r="AI56" s="334"/>
      <c r="AJ56" s="334"/>
      <c r="AK56" s="334"/>
      <c r="AL56" s="334"/>
      <c r="AM56" s="334"/>
      <c r="AN56" s="334"/>
      <c r="AO56" s="334"/>
      <c r="AP56" s="334"/>
      <c r="AQ56" s="334"/>
      <c r="AR56" s="334"/>
      <c r="AS56" s="334"/>
      <c r="AT56" s="334"/>
      <c r="AU56" s="334"/>
      <c r="AV56" s="334"/>
      <c r="AW56" s="334"/>
      <c r="AX56" s="334"/>
      <c r="AY56" s="334"/>
      <c r="AZ56" s="334"/>
      <c r="BA56" s="334"/>
      <c r="BB56" s="334"/>
      <c r="BC56" s="334"/>
      <c r="BD56" s="334"/>
      <c r="BE56" s="334"/>
      <c r="BF56" s="334"/>
      <c r="BG56" s="334"/>
      <c r="BH56" s="334"/>
      <c r="BI56" s="334"/>
      <c r="BJ56" s="334"/>
      <c r="BK56" s="334"/>
      <c r="BL56" s="334"/>
      <c r="BM56" s="334"/>
      <c r="BN56" s="334"/>
      <c r="BO56" s="334"/>
      <c r="BP56" s="334"/>
      <c r="BQ56" s="334"/>
      <c r="BR56" s="334"/>
      <c r="BS56" s="334"/>
      <c r="BT56" s="334"/>
      <c r="BU56" s="334"/>
      <c r="BV56" s="334"/>
      <c r="BW56" s="334"/>
      <c r="BX56" s="334"/>
      <c r="BY56" s="334"/>
      <c r="BZ56" s="334"/>
      <c r="CA56" s="334"/>
      <c r="CB56" s="334"/>
      <c r="CC56" s="334"/>
      <c r="CD56" s="334"/>
      <c r="CE56" s="334"/>
      <c r="CF56" s="334"/>
      <c r="CG56" s="334"/>
      <c r="CH56" s="334"/>
      <c r="CI56" s="334"/>
      <c r="CJ56" s="334"/>
      <c r="CK56" s="334"/>
      <c r="CL56" s="334"/>
      <c r="CM56" s="334"/>
      <c r="CN56" s="334"/>
      <c r="CO56" s="334"/>
      <c r="CP56" s="334"/>
      <c r="CQ56" s="334"/>
      <c r="CR56" s="334"/>
      <c r="CS56" s="334"/>
      <c r="CT56" s="334"/>
      <c r="CU56" s="334"/>
      <c r="CV56" s="334"/>
      <c r="CW56" s="334"/>
      <c r="CX56" s="334"/>
      <c r="CY56" s="334"/>
      <c r="CZ56" s="334"/>
      <c r="DA56" s="334"/>
      <c r="DB56" s="334"/>
      <c r="DC56" s="334"/>
      <c r="DD56" s="334"/>
      <c r="DE56" s="334"/>
      <c r="DF56" s="334"/>
      <c r="DG56" s="334"/>
      <c r="DH56" s="334"/>
      <c r="DI56" s="334"/>
      <c r="DJ56" s="334"/>
      <c r="DK56" s="334"/>
      <c r="DL56" s="334"/>
      <c r="DM56" s="334"/>
      <c r="DN56" s="334"/>
      <c r="DO56" s="334"/>
      <c r="DP56" s="334"/>
      <c r="DQ56" s="334"/>
      <c r="DR56" s="334"/>
      <c r="DS56" s="334"/>
      <c r="DT56" s="334"/>
      <c r="DU56" s="334"/>
      <c r="DV56" s="334"/>
      <c r="DW56" s="334"/>
      <c r="DX56" s="334"/>
      <c r="DY56" s="334"/>
      <c r="DZ56" s="334"/>
      <c r="EA56" s="334"/>
      <c r="EB56" s="334"/>
      <c r="EC56" s="334"/>
      <c r="ED56" s="334"/>
      <c r="EE56" s="334"/>
      <c r="EF56" s="334"/>
      <c r="EG56" s="334"/>
      <c r="EH56" s="334"/>
      <c r="EI56" s="334"/>
      <c r="EJ56" s="334"/>
      <c r="EK56" s="334"/>
      <c r="EL56" s="334"/>
      <c r="EM56" s="334"/>
      <c r="EN56" s="334"/>
      <c r="EO56" s="334"/>
      <c r="EP56" s="334"/>
      <c r="EQ56" s="334"/>
      <c r="ER56" s="334"/>
      <c r="ES56" s="334"/>
      <c r="ET56" s="334"/>
      <c r="EU56" s="334"/>
      <c r="EV56" s="334"/>
      <c r="EW56" s="334"/>
      <c r="EX56" s="334"/>
      <c r="EY56" s="334"/>
      <c r="EZ56" s="334"/>
      <c r="FA56" s="334"/>
      <c r="FB56" s="334"/>
    </row>
    <row r="57" spans="1:158" x14ac:dyDescent="0.25">
      <c r="A57" s="341"/>
      <c r="B57" s="334"/>
      <c r="C57" s="334"/>
      <c r="D57" s="341"/>
      <c r="E57" s="334"/>
      <c r="F57" s="334"/>
      <c r="G57" s="341"/>
      <c r="H57" s="334"/>
      <c r="I57" s="334"/>
      <c r="J57" s="341"/>
      <c r="K57" s="334"/>
      <c r="L57" s="334"/>
      <c r="M57" s="341"/>
      <c r="N57" s="334"/>
      <c r="O57" s="334"/>
      <c r="P57" s="341"/>
      <c r="Q57" s="334"/>
      <c r="R57" s="334"/>
      <c r="S57" s="341"/>
      <c r="T57" s="341"/>
      <c r="U57" s="341"/>
      <c r="V57" s="341"/>
      <c r="W57" s="341"/>
      <c r="X57" s="341"/>
      <c r="Y57" s="341"/>
      <c r="Z57" s="341"/>
      <c r="AA57" s="341"/>
      <c r="AB57" s="341"/>
      <c r="AC57" s="341"/>
      <c r="AD57" s="341"/>
      <c r="AE57" s="341"/>
      <c r="AF57" s="341"/>
      <c r="AG57" s="341"/>
      <c r="AH57" s="341"/>
      <c r="AI57" s="341"/>
      <c r="AJ57" s="341"/>
      <c r="AK57" s="341"/>
      <c r="AL57" s="341"/>
      <c r="AM57" s="341"/>
      <c r="AN57" s="341"/>
      <c r="AO57" s="341"/>
      <c r="AP57" s="341"/>
      <c r="AQ57" s="341"/>
      <c r="AR57" s="341"/>
      <c r="AS57" s="341"/>
      <c r="AT57" s="341"/>
      <c r="AU57" s="341"/>
      <c r="AV57" s="341"/>
      <c r="AW57" s="341"/>
      <c r="AX57" s="341"/>
      <c r="AY57" s="341"/>
      <c r="AZ57" s="341"/>
      <c r="BA57" s="341"/>
      <c r="BB57" s="341"/>
      <c r="BC57" s="341"/>
      <c r="BD57" s="341"/>
      <c r="BE57" s="341"/>
      <c r="BF57" s="341"/>
      <c r="BG57" s="341"/>
      <c r="BH57" s="341"/>
      <c r="BI57" s="341"/>
      <c r="BJ57" s="341"/>
      <c r="BK57" s="341"/>
      <c r="BL57" s="341"/>
      <c r="BM57" s="341"/>
      <c r="BN57" s="341"/>
      <c r="BO57" s="341"/>
      <c r="BP57" s="341"/>
      <c r="BQ57" s="341"/>
      <c r="BR57" s="341"/>
      <c r="BS57" s="341"/>
      <c r="BT57" s="341"/>
      <c r="BU57" s="341"/>
      <c r="BV57" s="341"/>
      <c r="BW57" s="341"/>
      <c r="BX57" s="341"/>
      <c r="BY57" s="341"/>
      <c r="BZ57" s="341"/>
      <c r="CA57" s="341"/>
      <c r="CB57" s="341"/>
      <c r="CC57" s="341"/>
      <c r="CD57" s="341"/>
      <c r="CE57" s="341"/>
      <c r="CF57" s="341"/>
      <c r="CG57" s="341"/>
      <c r="CH57" s="341"/>
      <c r="CI57" s="341"/>
      <c r="CJ57" s="341"/>
      <c r="CK57" s="341"/>
      <c r="CL57" s="341"/>
      <c r="CM57" s="341"/>
      <c r="CN57" s="342"/>
      <c r="CO57" s="342"/>
      <c r="CP57" s="342"/>
      <c r="CQ57" s="342"/>
      <c r="CR57" s="342"/>
      <c r="CS57" s="342"/>
      <c r="CT57" s="342"/>
      <c r="CU57" s="342"/>
      <c r="CV57" s="342"/>
      <c r="CW57" s="342"/>
      <c r="CX57" s="342"/>
      <c r="CY57" s="342"/>
      <c r="CZ57" s="342"/>
      <c r="DA57" s="342"/>
      <c r="DB57" s="342"/>
      <c r="DC57" s="342"/>
      <c r="DD57" s="342"/>
      <c r="DE57" s="342"/>
      <c r="DF57" s="342"/>
      <c r="DG57" s="342"/>
      <c r="DH57" s="342"/>
      <c r="DI57" s="342"/>
      <c r="DJ57" s="342"/>
      <c r="DK57" s="342"/>
      <c r="DL57" s="342"/>
      <c r="DM57" s="342"/>
      <c r="DN57" s="342"/>
      <c r="DO57" s="342"/>
      <c r="DP57" s="342"/>
      <c r="DQ57" s="342"/>
      <c r="DR57" s="342"/>
      <c r="DS57" s="342"/>
      <c r="DT57" s="342"/>
      <c r="DU57" s="342"/>
      <c r="DV57" s="342"/>
      <c r="DW57" s="342"/>
      <c r="DX57" s="342"/>
      <c r="DY57" s="342"/>
      <c r="DZ57" s="342"/>
      <c r="EA57" s="342"/>
      <c r="EB57" s="342"/>
      <c r="EC57" s="342"/>
      <c r="ED57" s="342"/>
      <c r="EE57" s="342"/>
      <c r="EF57" s="342"/>
      <c r="EG57" s="342"/>
      <c r="EH57" s="342"/>
      <c r="EI57" s="342"/>
      <c r="EJ57" s="342"/>
      <c r="EK57" s="342"/>
      <c r="EL57" s="342"/>
      <c r="EM57" s="342"/>
      <c r="EN57" s="342"/>
      <c r="EO57" s="342"/>
      <c r="EP57" s="342"/>
      <c r="EQ57" s="342"/>
      <c r="ER57" s="342"/>
      <c r="ES57" s="342"/>
      <c r="ET57" s="342"/>
      <c r="EU57" s="342"/>
      <c r="EV57" s="342"/>
      <c r="EW57" s="334"/>
      <c r="EX57" s="334"/>
      <c r="EY57" s="334"/>
      <c r="EZ57" s="334"/>
      <c r="FA57" s="334"/>
      <c r="FB57" s="334"/>
    </row>
    <row r="58" spans="1:158" x14ac:dyDescent="0.25">
      <c r="A58" s="334"/>
      <c r="B58" s="332"/>
      <c r="C58" s="332"/>
      <c r="D58" s="343"/>
      <c r="E58" s="332"/>
      <c r="F58" s="332"/>
      <c r="G58" s="343"/>
      <c r="H58" s="332"/>
      <c r="I58" s="332"/>
      <c r="J58" s="343"/>
      <c r="K58" s="332"/>
      <c r="L58" s="332"/>
      <c r="M58" s="343"/>
      <c r="N58" s="332"/>
      <c r="O58" s="332"/>
      <c r="P58" s="343"/>
      <c r="Q58" s="332"/>
      <c r="R58" s="332"/>
      <c r="S58" s="343"/>
      <c r="T58" s="343"/>
      <c r="U58" s="343"/>
      <c r="V58" s="343"/>
      <c r="W58" s="343"/>
      <c r="X58" s="343"/>
      <c r="Y58" s="343"/>
      <c r="Z58" s="343"/>
      <c r="AA58" s="343"/>
      <c r="AB58" s="343"/>
      <c r="AC58" s="343"/>
      <c r="AD58" s="343"/>
      <c r="AE58" s="343"/>
      <c r="AF58" s="343"/>
      <c r="AG58" s="343"/>
      <c r="AH58" s="343"/>
      <c r="AI58" s="343"/>
      <c r="AJ58" s="343"/>
      <c r="AK58" s="343"/>
      <c r="AL58" s="343"/>
      <c r="AM58" s="343"/>
      <c r="AN58" s="343"/>
      <c r="AO58" s="343"/>
      <c r="AP58" s="343"/>
      <c r="AQ58" s="343"/>
      <c r="AR58" s="343"/>
      <c r="AS58" s="343"/>
      <c r="AT58" s="343"/>
      <c r="AU58" s="343"/>
      <c r="AV58" s="343"/>
      <c r="AW58" s="343"/>
      <c r="AX58" s="343"/>
      <c r="AY58" s="343"/>
      <c r="AZ58" s="343"/>
      <c r="BA58" s="343"/>
      <c r="BB58" s="343"/>
      <c r="BC58" s="343"/>
      <c r="BD58" s="343"/>
      <c r="BE58" s="343"/>
      <c r="BF58" s="343"/>
      <c r="BG58" s="343"/>
      <c r="BH58" s="343"/>
      <c r="BI58" s="343"/>
      <c r="BJ58" s="343"/>
      <c r="BK58" s="343"/>
      <c r="BL58" s="343"/>
      <c r="BM58" s="343"/>
      <c r="BN58" s="343"/>
      <c r="BO58" s="343"/>
      <c r="BP58" s="343"/>
      <c r="BQ58" s="343"/>
      <c r="BR58" s="343"/>
      <c r="BS58" s="343"/>
      <c r="BT58" s="343"/>
      <c r="BU58" s="343"/>
      <c r="BV58" s="343"/>
      <c r="BW58" s="343"/>
      <c r="BX58" s="343"/>
      <c r="BY58" s="343"/>
      <c r="BZ58" s="343"/>
      <c r="CA58" s="343"/>
      <c r="CB58" s="343"/>
      <c r="CC58" s="343"/>
      <c r="CD58" s="343"/>
      <c r="CE58" s="343"/>
      <c r="CF58" s="343"/>
      <c r="CG58" s="343"/>
      <c r="CH58" s="343"/>
      <c r="CI58" s="343"/>
      <c r="CJ58" s="343"/>
      <c r="CK58" s="343"/>
      <c r="CL58" s="343"/>
      <c r="CM58" s="343"/>
      <c r="CN58" s="334"/>
      <c r="CO58" s="334"/>
      <c r="CP58" s="334"/>
      <c r="CQ58" s="334"/>
      <c r="CR58" s="334"/>
      <c r="CS58" s="334"/>
      <c r="CT58" s="334"/>
      <c r="CU58" s="334"/>
      <c r="CV58" s="334"/>
      <c r="CW58" s="334"/>
      <c r="CX58" s="334"/>
      <c r="CY58" s="334"/>
      <c r="CZ58" s="334"/>
      <c r="DA58" s="334"/>
      <c r="DB58" s="334"/>
      <c r="DC58" s="334"/>
      <c r="DD58" s="334"/>
      <c r="DE58" s="334"/>
      <c r="DF58" s="334"/>
      <c r="DG58" s="334"/>
      <c r="DH58" s="334"/>
      <c r="DI58" s="334"/>
      <c r="DJ58" s="334"/>
      <c r="DK58" s="334"/>
      <c r="DL58" s="334"/>
      <c r="DM58" s="334"/>
      <c r="DN58" s="334"/>
      <c r="DO58" s="334"/>
      <c r="DP58" s="334"/>
      <c r="DQ58" s="334"/>
      <c r="DR58" s="334"/>
      <c r="DS58" s="334"/>
      <c r="DT58" s="334"/>
      <c r="DU58" s="334"/>
      <c r="DV58" s="334"/>
      <c r="DW58" s="334"/>
      <c r="DX58" s="334"/>
      <c r="DY58" s="334"/>
      <c r="DZ58" s="334"/>
      <c r="EA58" s="334"/>
      <c r="EB58" s="334"/>
      <c r="EC58" s="334"/>
      <c r="ED58" s="334"/>
      <c r="EE58" s="334"/>
      <c r="EF58" s="334"/>
      <c r="EG58" s="334"/>
      <c r="EH58" s="334"/>
      <c r="EI58" s="334"/>
      <c r="EJ58" s="334"/>
      <c r="EK58" s="334"/>
      <c r="EL58" s="334"/>
      <c r="EM58" s="334"/>
      <c r="EN58" s="334"/>
      <c r="EO58" s="334"/>
      <c r="EP58" s="334"/>
      <c r="EQ58" s="334"/>
      <c r="ER58" s="334"/>
      <c r="ES58" s="334"/>
      <c r="ET58" s="334"/>
      <c r="EU58" s="334"/>
      <c r="EV58" s="333"/>
      <c r="EW58" s="334"/>
      <c r="EX58" s="334"/>
      <c r="EY58" s="334"/>
      <c r="EZ58" s="334"/>
      <c r="FA58" s="334"/>
      <c r="FB58" s="334"/>
    </row>
    <row r="59" spans="1:158" x14ac:dyDescent="0.25">
      <c r="A59" s="334"/>
      <c r="B59" s="332"/>
      <c r="C59" s="332"/>
      <c r="D59" s="343"/>
      <c r="E59" s="332"/>
      <c r="F59" s="332"/>
      <c r="G59" s="343"/>
      <c r="H59" s="332"/>
      <c r="I59" s="332"/>
      <c r="J59" s="343"/>
      <c r="K59" s="332"/>
      <c r="L59" s="332"/>
      <c r="M59" s="343"/>
      <c r="N59" s="332"/>
      <c r="O59" s="332"/>
      <c r="P59" s="343"/>
      <c r="Q59" s="332"/>
      <c r="R59" s="332"/>
      <c r="S59" s="343"/>
      <c r="T59" s="343"/>
      <c r="U59" s="343"/>
      <c r="V59" s="343"/>
      <c r="W59" s="343"/>
      <c r="X59" s="343"/>
      <c r="Y59" s="343"/>
      <c r="Z59" s="343"/>
      <c r="AA59" s="343"/>
      <c r="AB59" s="343"/>
      <c r="AC59" s="343"/>
      <c r="AD59" s="343"/>
      <c r="AE59" s="343"/>
      <c r="AF59" s="343"/>
      <c r="AG59" s="343"/>
      <c r="AH59" s="343"/>
      <c r="AI59" s="343"/>
      <c r="AJ59" s="343"/>
      <c r="AK59" s="343"/>
      <c r="AL59" s="343"/>
      <c r="AM59" s="343"/>
      <c r="AN59" s="343"/>
      <c r="AO59" s="343"/>
      <c r="AP59" s="343"/>
      <c r="AQ59" s="343"/>
      <c r="AR59" s="343"/>
      <c r="AS59" s="343"/>
      <c r="AT59" s="343"/>
      <c r="AU59" s="343"/>
      <c r="AV59" s="343"/>
      <c r="AW59" s="343"/>
      <c r="AX59" s="343"/>
      <c r="AY59" s="343"/>
      <c r="AZ59" s="343"/>
      <c r="BA59" s="343"/>
      <c r="BB59" s="343"/>
      <c r="BC59" s="343"/>
      <c r="BD59" s="343"/>
      <c r="BE59" s="343"/>
      <c r="BF59" s="343"/>
      <c r="BG59" s="343"/>
      <c r="BH59" s="343"/>
      <c r="BI59" s="343"/>
      <c r="BJ59" s="343"/>
      <c r="BK59" s="343"/>
      <c r="BL59" s="343"/>
      <c r="BM59" s="343"/>
      <c r="BN59" s="343"/>
      <c r="BO59" s="343"/>
      <c r="BP59" s="343"/>
      <c r="BQ59" s="343"/>
      <c r="BR59" s="343"/>
      <c r="BS59" s="343"/>
      <c r="BT59" s="343"/>
      <c r="BU59" s="343"/>
      <c r="BV59" s="343"/>
      <c r="BW59" s="343"/>
      <c r="BX59" s="343"/>
      <c r="BY59" s="343"/>
      <c r="BZ59" s="343"/>
      <c r="CA59" s="343"/>
      <c r="CB59" s="343"/>
      <c r="CC59" s="343"/>
      <c r="CD59" s="343"/>
      <c r="CE59" s="343"/>
      <c r="CF59" s="343"/>
      <c r="CG59" s="343"/>
      <c r="CH59" s="343"/>
      <c r="CI59" s="343"/>
      <c r="CJ59" s="343"/>
      <c r="CK59" s="343"/>
      <c r="CL59" s="343"/>
      <c r="CM59" s="343"/>
      <c r="CN59" s="334"/>
      <c r="CO59" s="334"/>
      <c r="CP59" s="334"/>
      <c r="CQ59" s="334"/>
      <c r="CR59" s="334"/>
      <c r="CS59" s="334"/>
      <c r="CT59" s="334"/>
      <c r="CU59" s="334"/>
      <c r="CV59" s="334"/>
      <c r="CW59" s="334"/>
      <c r="CX59" s="334"/>
      <c r="CY59" s="334"/>
      <c r="CZ59" s="334"/>
      <c r="DA59" s="334"/>
      <c r="DB59" s="334"/>
      <c r="DC59" s="334"/>
      <c r="DD59" s="334"/>
      <c r="DE59" s="334"/>
      <c r="DF59" s="334"/>
      <c r="DG59" s="334"/>
      <c r="DH59" s="334"/>
      <c r="DI59" s="334"/>
      <c r="DJ59" s="334"/>
      <c r="DK59" s="334"/>
      <c r="DL59" s="334"/>
      <c r="DM59" s="334"/>
      <c r="DN59" s="334"/>
      <c r="DO59" s="334"/>
      <c r="DP59" s="334"/>
      <c r="DQ59" s="334"/>
      <c r="DR59" s="334"/>
      <c r="DS59" s="334"/>
      <c r="DT59" s="334"/>
      <c r="DU59" s="334"/>
      <c r="DV59" s="334"/>
      <c r="DW59" s="334"/>
      <c r="DX59" s="334"/>
      <c r="DY59" s="334"/>
      <c r="DZ59" s="334"/>
      <c r="EA59" s="334"/>
      <c r="EB59" s="334"/>
      <c r="EC59" s="334"/>
      <c r="ED59" s="334"/>
      <c r="EE59" s="334"/>
      <c r="EF59" s="334"/>
      <c r="EG59" s="334"/>
      <c r="EH59" s="334"/>
      <c r="EI59" s="334"/>
      <c r="EJ59" s="334"/>
      <c r="EK59" s="334"/>
      <c r="EL59" s="334"/>
      <c r="EM59" s="334"/>
      <c r="EN59" s="334"/>
      <c r="EO59" s="334"/>
      <c r="EP59" s="334"/>
      <c r="EQ59" s="334"/>
      <c r="ER59" s="334"/>
      <c r="ES59" s="334"/>
      <c r="ET59" s="334"/>
      <c r="EU59" s="334"/>
      <c r="EV59" s="333"/>
      <c r="EW59" s="334"/>
      <c r="EX59" s="334"/>
      <c r="EY59" s="334"/>
      <c r="EZ59" s="334"/>
      <c r="FA59" s="334"/>
      <c r="FB59" s="334"/>
    </row>
    <row r="60" spans="1:158" x14ac:dyDescent="0.25">
      <c r="A60" s="334"/>
      <c r="B60" s="332"/>
      <c r="C60" s="332"/>
      <c r="D60" s="343"/>
      <c r="E60" s="332"/>
      <c r="F60" s="332"/>
      <c r="G60" s="343"/>
      <c r="H60" s="332"/>
      <c r="I60" s="332"/>
      <c r="J60" s="343"/>
      <c r="K60" s="332"/>
      <c r="L60" s="332"/>
      <c r="M60" s="343"/>
      <c r="N60" s="332"/>
      <c r="O60" s="332"/>
      <c r="P60" s="343"/>
      <c r="Q60" s="332"/>
      <c r="R60" s="332"/>
      <c r="S60" s="343"/>
      <c r="T60" s="343"/>
      <c r="U60" s="343"/>
      <c r="V60" s="343"/>
      <c r="W60" s="343"/>
      <c r="X60" s="343"/>
      <c r="Y60" s="343"/>
      <c r="Z60" s="343"/>
      <c r="AA60" s="343"/>
      <c r="AB60" s="343"/>
      <c r="AC60" s="343"/>
      <c r="AD60" s="343"/>
      <c r="AE60" s="343"/>
      <c r="AF60" s="343"/>
      <c r="AG60" s="343"/>
      <c r="AH60" s="343"/>
      <c r="AI60" s="343"/>
      <c r="AJ60" s="343"/>
      <c r="AK60" s="343"/>
      <c r="AL60" s="343"/>
      <c r="AM60" s="343"/>
      <c r="AN60" s="343"/>
      <c r="AO60" s="343"/>
      <c r="AP60" s="343"/>
      <c r="AQ60" s="343"/>
      <c r="AR60" s="343"/>
      <c r="AS60" s="343"/>
      <c r="AT60" s="343"/>
      <c r="AU60" s="343"/>
      <c r="AV60" s="343"/>
      <c r="AW60" s="343"/>
      <c r="AX60" s="343"/>
      <c r="AY60" s="343"/>
      <c r="AZ60" s="343"/>
      <c r="BA60" s="343"/>
      <c r="BB60" s="343"/>
      <c r="BC60" s="343"/>
      <c r="BD60" s="343"/>
      <c r="BE60" s="343"/>
      <c r="BF60" s="343"/>
      <c r="BG60" s="343"/>
      <c r="BH60" s="343"/>
      <c r="BI60" s="343"/>
      <c r="BJ60" s="343"/>
      <c r="BK60" s="343"/>
      <c r="BL60" s="343"/>
      <c r="BM60" s="343"/>
      <c r="BN60" s="343"/>
      <c r="BO60" s="343"/>
      <c r="BP60" s="343"/>
      <c r="BQ60" s="343"/>
      <c r="BR60" s="343"/>
      <c r="BS60" s="343"/>
      <c r="BT60" s="343"/>
      <c r="BU60" s="343"/>
      <c r="BV60" s="343"/>
      <c r="BW60" s="343"/>
      <c r="BX60" s="343"/>
      <c r="BY60" s="343"/>
      <c r="BZ60" s="343"/>
      <c r="CA60" s="343"/>
      <c r="CB60" s="343"/>
      <c r="CC60" s="343"/>
      <c r="CD60" s="343"/>
      <c r="CE60" s="343"/>
      <c r="CF60" s="343"/>
      <c r="CG60" s="343"/>
      <c r="CH60" s="343"/>
      <c r="CI60" s="343"/>
      <c r="CJ60" s="343"/>
      <c r="CK60" s="343"/>
      <c r="CL60" s="343"/>
      <c r="CM60" s="343"/>
      <c r="CN60" s="334"/>
      <c r="CO60" s="334"/>
      <c r="CP60" s="334"/>
      <c r="CQ60" s="334"/>
      <c r="CR60" s="334"/>
      <c r="CS60" s="334"/>
      <c r="CT60" s="334"/>
      <c r="CU60" s="334"/>
      <c r="CV60" s="334"/>
      <c r="CW60" s="334"/>
      <c r="CX60" s="334"/>
      <c r="CY60" s="334"/>
      <c r="CZ60" s="334"/>
      <c r="DA60" s="334"/>
      <c r="DB60" s="334"/>
      <c r="DC60" s="334"/>
      <c r="DD60" s="334"/>
      <c r="DE60" s="334"/>
      <c r="DF60" s="334"/>
      <c r="DG60" s="334"/>
      <c r="DH60" s="334"/>
      <c r="DI60" s="334"/>
      <c r="DJ60" s="334"/>
      <c r="DK60" s="334"/>
      <c r="DL60" s="334"/>
      <c r="DM60" s="334"/>
      <c r="DN60" s="334"/>
      <c r="DO60" s="334"/>
      <c r="DP60" s="334"/>
      <c r="DQ60" s="334"/>
      <c r="DR60" s="334"/>
      <c r="DS60" s="334"/>
      <c r="DT60" s="334"/>
      <c r="DU60" s="334"/>
      <c r="DV60" s="334"/>
      <c r="DW60" s="334"/>
      <c r="DX60" s="334"/>
      <c r="DY60" s="334"/>
      <c r="DZ60" s="334"/>
      <c r="EA60" s="334"/>
      <c r="EB60" s="334"/>
      <c r="EC60" s="334"/>
      <c r="ED60" s="334"/>
      <c r="EE60" s="334"/>
      <c r="EF60" s="334"/>
      <c r="EG60" s="334"/>
      <c r="EH60" s="334"/>
      <c r="EI60" s="334"/>
      <c r="EJ60" s="334"/>
      <c r="EK60" s="334"/>
      <c r="EL60" s="334"/>
      <c r="EM60" s="334"/>
      <c r="EN60" s="334"/>
      <c r="EO60" s="334"/>
      <c r="EP60" s="334"/>
      <c r="EQ60" s="334"/>
      <c r="ER60" s="334"/>
      <c r="ES60" s="334"/>
      <c r="ET60" s="334"/>
      <c r="EU60" s="334"/>
      <c r="EV60" s="333"/>
      <c r="EW60" s="334"/>
      <c r="EX60" s="334"/>
      <c r="EY60" s="334"/>
      <c r="EZ60" s="334"/>
      <c r="FA60" s="334"/>
      <c r="FB60" s="334"/>
    </row>
    <row r="61" spans="1:158" x14ac:dyDescent="0.25">
      <c r="A61" s="334"/>
      <c r="B61" s="332"/>
      <c r="C61" s="332"/>
      <c r="D61" s="343"/>
      <c r="E61" s="332"/>
      <c r="F61" s="332"/>
      <c r="G61" s="343"/>
      <c r="H61" s="332"/>
      <c r="I61" s="332"/>
      <c r="J61" s="343"/>
      <c r="K61" s="332"/>
      <c r="L61" s="332"/>
      <c r="M61" s="343"/>
      <c r="N61" s="332"/>
      <c r="O61" s="332"/>
      <c r="P61" s="343"/>
      <c r="Q61" s="332"/>
      <c r="R61" s="332"/>
      <c r="S61" s="343"/>
      <c r="T61" s="343"/>
      <c r="U61" s="343"/>
      <c r="V61" s="343"/>
      <c r="W61" s="343"/>
      <c r="X61" s="343"/>
      <c r="Y61" s="343"/>
      <c r="Z61" s="343"/>
      <c r="AA61" s="343"/>
      <c r="AB61" s="343"/>
      <c r="AC61" s="343"/>
      <c r="AD61" s="343"/>
      <c r="AE61" s="343"/>
      <c r="AF61" s="343"/>
      <c r="AG61" s="343"/>
      <c r="AH61" s="343"/>
      <c r="AI61" s="343"/>
      <c r="AJ61" s="343"/>
      <c r="AK61" s="343"/>
      <c r="AL61" s="343"/>
      <c r="AM61" s="343"/>
      <c r="AN61" s="343"/>
      <c r="AO61" s="343"/>
      <c r="AP61" s="343"/>
      <c r="AQ61" s="343"/>
      <c r="AR61" s="343"/>
      <c r="AS61" s="343"/>
      <c r="AT61" s="343"/>
      <c r="AU61" s="343"/>
      <c r="AV61" s="343"/>
      <c r="AW61" s="343"/>
      <c r="AX61" s="343"/>
      <c r="AY61" s="343"/>
      <c r="AZ61" s="343"/>
      <c r="BA61" s="343"/>
      <c r="BB61" s="343"/>
      <c r="BC61" s="343"/>
      <c r="BD61" s="343"/>
      <c r="BE61" s="343"/>
      <c r="BF61" s="343"/>
      <c r="BG61" s="343"/>
      <c r="BH61" s="343"/>
      <c r="BI61" s="343"/>
      <c r="BJ61" s="343"/>
      <c r="BK61" s="343"/>
      <c r="BL61" s="343"/>
      <c r="BM61" s="343"/>
      <c r="BN61" s="343"/>
      <c r="BO61" s="343"/>
      <c r="BP61" s="343"/>
      <c r="BQ61" s="343"/>
      <c r="BR61" s="343"/>
      <c r="BS61" s="343"/>
      <c r="BT61" s="343"/>
      <c r="BU61" s="343"/>
      <c r="BV61" s="343"/>
      <c r="BW61" s="343"/>
      <c r="BX61" s="343"/>
      <c r="BY61" s="343"/>
      <c r="BZ61" s="343"/>
      <c r="CA61" s="343"/>
      <c r="CB61" s="343"/>
      <c r="CC61" s="343"/>
      <c r="CD61" s="343"/>
      <c r="CE61" s="343"/>
      <c r="CF61" s="343"/>
      <c r="CG61" s="343"/>
      <c r="CH61" s="343"/>
      <c r="CI61" s="343"/>
      <c r="CJ61" s="343"/>
      <c r="CK61" s="343"/>
      <c r="CL61" s="343"/>
      <c r="CM61" s="343"/>
      <c r="CN61" s="334"/>
      <c r="CO61" s="334"/>
      <c r="CP61" s="334"/>
      <c r="CQ61" s="334"/>
      <c r="CR61" s="334"/>
      <c r="CS61" s="334"/>
      <c r="CT61" s="334"/>
      <c r="CU61" s="334"/>
      <c r="CV61" s="334"/>
      <c r="CW61" s="334"/>
      <c r="CX61" s="334"/>
      <c r="CY61" s="334"/>
      <c r="CZ61" s="334"/>
      <c r="DA61" s="334"/>
      <c r="DB61" s="334"/>
      <c r="DC61" s="334"/>
      <c r="DD61" s="334"/>
      <c r="DE61" s="334"/>
      <c r="DF61" s="334"/>
      <c r="DG61" s="334"/>
      <c r="DH61" s="334"/>
      <c r="DI61" s="334"/>
      <c r="DJ61" s="334"/>
      <c r="DK61" s="334"/>
      <c r="DL61" s="334"/>
      <c r="DM61" s="334"/>
      <c r="DN61" s="334"/>
      <c r="DO61" s="334"/>
      <c r="DP61" s="334"/>
      <c r="DQ61" s="334"/>
      <c r="DR61" s="334"/>
      <c r="DS61" s="334"/>
      <c r="DT61" s="334"/>
      <c r="DU61" s="334"/>
      <c r="DV61" s="334"/>
      <c r="DW61" s="334"/>
      <c r="DX61" s="334"/>
      <c r="DY61" s="334"/>
      <c r="DZ61" s="334"/>
      <c r="EA61" s="334"/>
      <c r="EB61" s="334"/>
      <c r="EC61" s="334"/>
      <c r="ED61" s="334"/>
      <c r="EE61" s="334"/>
      <c r="EF61" s="334"/>
      <c r="EG61" s="334"/>
      <c r="EH61" s="334"/>
      <c r="EI61" s="334"/>
      <c r="EJ61" s="334"/>
      <c r="EK61" s="334"/>
      <c r="EL61" s="334"/>
      <c r="EM61" s="334"/>
      <c r="EN61" s="334"/>
      <c r="EO61" s="334"/>
      <c r="EP61" s="334"/>
      <c r="EQ61" s="334"/>
      <c r="ER61" s="334"/>
      <c r="ES61" s="334"/>
      <c r="ET61" s="334"/>
      <c r="EU61" s="334"/>
      <c r="EV61" s="333"/>
      <c r="EW61" s="334"/>
      <c r="EX61" s="334"/>
      <c r="EY61" s="334"/>
      <c r="EZ61" s="334"/>
      <c r="FA61" s="334"/>
      <c r="FB61" s="334"/>
    </row>
    <row r="62" spans="1:158" x14ac:dyDescent="0.25">
      <c r="A62" s="341"/>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34"/>
      <c r="AR62" s="334"/>
      <c r="AS62" s="334"/>
      <c r="AT62" s="334"/>
      <c r="AU62" s="334"/>
      <c r="AV62" s="334"/>
      <c r="AW62" s="334"/>
      <c r="AX62" s="334"/>
      <c r="AY62" s="334"/>
      <c r="AZ62" s="334"/>
      <c r="BA62" s="334"/>
      <c r="BB62" s="334"/>
      <c r="BC62" s="334"/>
      <c r="BD62" s="334"/>
      <c r="BE62" s="334"/>
      <c r="BF62" s="334"/>
      <c r="BG62" s="334"/>
      <c r="BH62" s="334"/>
      <c r="BI62" s="334"/>
      <c r="BJ62" s="334"/>
      <c r="BK62" s="334"/>
      <c r="BL62" s="334"/>
      <c r="BM62" s="334"/>
      <c r="BN62" s="334"/>
      <c r="BO62" s="334"/>
      <c r="BP62" s="334"/>
      <c r="BQ62" s="334"/>
      <c r="BR62" s="334"/>
      <c r="BS62" s="334"/>
      <c r="BT62" s="334"/>
      <c r="BU62" s="334"/>
      <c r="BV62" s="334"/>
      <c r="BW62" s="334"/>
      <c r="BX62" s="334"/>
      <c r="BY62" s="334"/>
      <c r="BZ62" s="334"/>
      <c r="CA62" s="334"/>
      <c r="CB62" s="334"/>
      <c r="CC62" s="334"/>
      <c r="CD62" s="334"/>
      <c r="CE62" s="334"/>
      <c r="CF62" s="334"/>
      <c r="CG62" s="334"/>
      <c r="CH62" s="334"/>
      <c r="CI62" s="334"/>
      <c r="CJ62" s="334"/>
      <c r="CK62" s="334"/>
      <c r="CL62" s="334"/>
      <c r="CM62" s="334"/>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33"/>
      <c r="EW62" s="334"/>
      <c r="EX62" s="334"/>
      <c r="EY62" s="334"/>
      <c r="EZ62" s="334"/>
      <c r="FA62" s="334"/>
      <c r="FB62" s="334"/>
    </row>
    <row r="63" spans="1:158" x14ac:dyDescent="0.25">
      <c r="A63" s="341"/>
      <c r="B63" s="334"/>
      <c r="C63" s="334"/>
      <c r="D63" s="334"/>
      <c r="E63" s="334"/>
      <c r="F63" s="334"/>
      <c r="G63" s="334"/>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c r="AG63" s="334"/>
      <c r="AH63" s="334"/>
      <c r="AI63" s="334"/>
      <c r="AJ63" s="334"/>
      <c r="AK63" s="334"/>
      <c r="AL63" s="334"/>
      <c r="AM63" s="334"/>
      <c r="AN63" s="334"/>
      <c r="AO63" s="334"/>
      <c r="AP63" s="334"/>
      <c r="AQ63" s="334"/>
      <c r="AR63" s="334"/>
      <c r="AS63" s="334"/>
      <c r="AT63" s="334"/>
      <c r="AU63" s="334"/>
      <c r="AV63" s="334"/>
      <c r="AW63" s="334"/>
      <c r="AX63" s="334"/>
      <c r="AY63" s="334"/>
      <c r="AZ63" s="334"/>
      <c r="BA63" s="334"/>
      <c r="BB63" s="334"/>
      <c r="BC63" s="334"/>
      <c r="BD63" s="334"/>
      <c r="BE63" s="334"/>
      <c r="BF63" s="334"/>
      <c r="BG63" s="334"/>
      <c r="BH63" s="334"/>
      <c r="BI63" s="334"/>
      <c r="BJ63" s="334"/>
      <c r="BK63" s="334"/>
      <c r="BL63" s="334"/>
      <c r="BM63" s="334"/>
      <c r="BN63" s="334"/>
      <c r="BO63" s="334"/>
      <c r="BP63" s="334"/>
      <c r="BQ63" s="334"/>
      <c r="BR63" s="334"/>
      <c r="BS63" s="334"/>
      <c r="BT63" s="334"/>
      <c r="BU63" s="334"/>
      <c r="BV63" s="334"/>
      <c r="BW63" s="334"/>
      <c r="BX63" s="334"/>
      <c r="BY63" s="334"/>
      <c r="BZ63" s="334"/>
      <c r="CA63" s="334"/>
      <c r="CB63" s="334"/>
      <c r="CC63" s="334"/>
      <c r="CD63" s="334"/>
      <c r="CE63" s="334"/>
      <c r="CF63" s="334"/>
      <c r="CG63" s="334"/>
      <c r="CH63" s="334"/>
      <c r="CI63" s="334"/>
      <c r="CJ63" s="334"/>
      <c r="CK63" s="334"/>
      <c r="CL63" s="334"/>
      <c r="CM63" s="334"/>
      <c r="CN63" s="334"/>
      <c r="CO63" s="334"/>
      <c r="CP63" s="334"/>
      <c r="CQ63" s="334"/>
      <c r="CR63" s="334"/>
      <c r="CS63" s="334"/>
      <c r="CT63" s="334"/>
      <c r="CU63" s="334"/>
      <c r="CV63" s="334"/>
      <c r="CW63" s="334"/>
      <c r="CX63" s="334"/>
      <c r="CY63" s="334"/>
      <c r="CZ63" s="334"/>
      <c r="DA63" s="334"/>
      <c r="DB63" s="334"/>
      <c r="DC63" s="334"/>
      <c r="DD63" s="334"/>
      <c r="DE63" s="334"/>
      <c r="DF63" s="334"/>
      <c r="DG63" s="334"/>
      <c r="DH63" s="334"/>
      <c r="DI63" s="334"/>
      <c r="DJ63" s="334"/>
      <c r="DK63" s="334"/>
      <c r="DL63" s="334"/>
      <c r="DM63" s="334"/>
      <c r="DN63" s="334"/>
      <c r="DO63" s="334"/>
      <c r="DP63" s="334"/>
      <c r="DQ63" s="334"/>
      <c r="DR63" s="334"/>
      <c r="DS63" s="334"/>
      <c r="DT63" s="334"/>
      <c r="DU63" s="334"/>
      <c r="DV63" s="334"/>
      <c r="DW63" s="334"/>
      <c r="DX63" s="334"/>
      <c r="DY63" s="334"/>
      <c r="DZ63" s="334"/>
      <c r="EA63" s="334"/>
      <c r="EB63" s="334"/>
      <c r="EC63" s="334"/>
      <c r="ED63" s="334"/>
      <c r="EE63" s="334"/>
      <c r="EF63" s="334"/>
      <c r="EG63" s="334"/>
      <c r="EH63" s="334"/>
      <c r="EI63" s="334"/>
      <c r="EJ63" s="334"/>
      <c r="EK63" s="334"/>
      <c r="EL63" s="334"/>
      <c r="EM63" s="334"/>
      <c r="EN63" s="334"/>
      <c r="EO63" s="334"/>
      <c r="EP63" s="334"/>
      <c r="EQ63" s="334"/>
      <c r="ER63" s="334"/>
      <c r="ES63" s="334"/>
      <c r="ET63" s="334"/>
      <c r="EU63" s="334"/>
      <c r="EV63" s="333"/>
      <c r="EW63" s="334"/>
      <c r="EX63" s="334"/>
      <c r="EY63" s="334"/>
      <c r="EZ63" s="334"/>
      <c r="FA63" s="334"/>
      <c r="FB63" s="334"/>
    </row>
    <row r="64" spans="1:158" x14ac:dyDescent="0.25">
      <c r="A64" s="334"/>
      <c r="B64" s="334"/>
      <c r="C64" s="334"/>
      <c r="D64" s="343"/>
      <c r="E64" s="334"/>
      <c r="F64" s="334"/>
      <c r="G64" s="343"/>
      <c r="H64" s="334"/>
      <c r="I64" s="334"/>
      <c r="J64" s="343"/>
      <c r="K64" s="334"/>
      <c r="L64" s="334"/>
      <c r="M64" s="343"/>
      <c r="N64" s="334"/>
      <c r="O64" s="334"/>
      <c r="P64" s="343"/>
      <c r="Q64" s="334"/>
      <c r="R64" s="334"/>
      <c r="S64" s="343"/>
      <c r="T64" s="343"/>
      <c r="U64" s="343"/>
      <c r="V64" s="343"/>
      <c r="W64" s="343"/>
      <c r="X64" s="343"/>
      <c r="Y64" s="343"/>
      <c r="Z64" s="343"/>
      <c r="AA64" s="343"/>
      <c r="AB64" s="343"/>
      <c r="AC64" s="343"/>
      <c r="AD64" s="343"/>
      <c r="AE64" s="343"/>
      <c r="AF64" s="343"/>
      <c r="AG64" s="343"/>
      <c r="AH64" s="343"/>
      <c r="AI64" s="343"/>
      <c r="AJ64" s="343"/>
      <c r="AK64" s="343"/>
      <c r="AL64" s="343"/>
      <c r="AM64" s="343"/>
      <c r="AN64" s="343"/>
      <c r="AO64" s="343"/>
      <c r="AP64" s="343"/>
      <c r="AQ64" s="343"/>
      <c r="AR64" s="343"/>
      <c r="AS64" s="343"/>
      <c r="AT64" s="343"/>
      <c r="AU64" s="343"/>
      <c r="AV64" s="343"/>
      <c r="AW64" s="343"/>
      <c r="AX64" s="343"/>
      <c r="AY64" s="343"/>
      <c r="AZ64" s="343"/>
      <c r="BA64" s="343"/>
      <c r="BB64" s="343"/>
      <c r="BC64" s="343"/>
      <c r="BD64" s="343"/>
      <c r="BE64" s="343"/>
      <c r="BF64" s="343"/>
      <c r="BG64" s="343"/>
      <c r="BH64" s="343"/>
      <c r="BI64" s="343"/>
      <c r="BJ64" s="343"/>
      <c r="BK64" s="343"/>
      <c r="BL64" s="343"/>
      <c r="BM64" s="343"/>
      <c r="BN64" s="343"/>
      <c r="BO64" s="343"/>
      <c r="BP64" s="343"/>
      <c r="BQ64" s="343"/>
      <c r="BR64" s="343"/>
      <c r="BS64" s="343"/>
      <c r="BT64" s="343"/>
      <c r="BU64" s="343"/>
      <c r="BV64" s="343"/>
      <c r="BW64" s="343"/>
      <c r="BX64" s="343"/>
      <c r="BY64" s="343"/>
      <c r="BZ64" s="343"/>
      <c r="CA64" s="343"/>
      <c r="CB64" s="343"/>
      <c r="CC64" s="343"/>
      <c r="CD64" s="343"/>
      <c r="CE64" s="343"/>
      <c r="CF64" s="343"/>
      <c r="CG64" s="343"/>
      <c r="CH64" s="343"/>
      <c r="CI64" s="343"/>
      <c r="CJ64" s="343"/>
      <c r="CK64" s="343"/>
      <c r="CL64" s="343"/>
      <c r="CM64" s="343"/>
      <c r="CN64" s="343"/>
      <c r="CO64" s="343"/>
      <c r="CP64" s="343"/>
      <c r="CQ64" s="343"/>
      <c r="CR64" s="343"/>
      <c r="CS64" s="343"/>
      <c r="CT64" s="343"/>
      <c r="CU64" s="343"/>
      <c r="CV64" s="343"/>
      <c r="CW64" s="343"/>
      <c r="CX64" s="343"/>
      <c r="CY64" s="343"/>
      <c r="CZ64" s="343"/>
      <c r="DA64" s="343"/>
      <c r="DB64" s="343"/>
      <c r="DC64" s="343"/>
      <c r="DD64" s="343"/>
      <c r="DE64" s="343"/>
      <c r="DF64" s="343"/>
      <c r="DG64" s="343"/>
      <c r="DH64" s="343"/>
      <c r="DI64" s="343"/>
      <c r="DJ64" s="343"/>
      <c r="DK64" s="343"/>
      <c r="DL64" s="343"/>
      <c r="DM64" s="343"/>
      <c r="DN64" s="343"/>
      <c r="DO64" s="343"/>
      <c r="DP64" s="343"/>
      <c r="DQ64" s="343"/>
      <c r="DR64" s="343"/>
      <c r="DS64" s="343"/>
      <c r="DT64" s="343"/>
      <c r="DU64" s="343"/>
      <c r="DV64" s="343"/>
      <c r="DW64" s="343"/>
      <c r="DX64" s="343"/>
      <c r="DY64" s="343"/>
      <c r="DZ64" s="343"/>
      <c r="EA64" s="343"/>
      <c r="EB64" s="343"/>
      <c r="EC64" s="343"/>
      <c r="ED64" s="343"/>
      <c r="EE64" s="343"/>
      <c r="EF64" s="343"/>
      <c r="EG64" s="343"/>
      <c r="EH64" s="343"/>
      <c r="EI64" s="343"/>
      <c r="EJ64" s="343"/>
      <c r="EK64" s="343"/>
      <c r="EL64" s="343"/>
      <c r="EM64" s="343"/>
      <c r="EN64" s="343"/>
      <c r="EO64" s="343"/>
      <c r="EP64" s="343"/>
      <c r="EQ64" s="343"/>
      <c r="ER64" s="343"/>
      <c r="ES64" s="343"/>
      <c r="ET64" s="343"/>
      <c r="EU64" s="343"/>
      <c r="EV64" s="333"/>
      <c r="EW64" s="334"/>
      <c r="EX64" s="334"/>
      <c r="EY64" s="334"/>
      <c r="EZ64" s="334"/>
      <c r="FA64" s="334"/>
      <c r="FB64" s="334"/>
    </row>
    <row r="65" spans="1:158" x14ac:dyDescent="0.25">
      <c r="A65" s="334"/>
      <c r="B65" s="334"/>
      <c r="C65" s="334"/>
      <c r="D65" s="334"/>
      <c r="E65" s="334"/>
      <c r="F65" s="334"/>
      <c r="G65" s="334"/>
      <c r="H65" s="334"/>
      <c r="I65" s="334"/>
      <c r="J65" s="334"/>
      <c r="K65" s="334"/>
      <c r="L65" s="334"/>
      <c r="M65" s="334"/>
      <c r="N65" s="334"/>
      <c r="O65" s="334"/>
      <c r="P65" s="334"/>
      <c r="Q65" s="334"/>
      <c r="R65" s="334"/>
      <c r="S65" s="334"/>
      <c r="T65" s="334"/>
      <c r="U65" s="334"/>
      <c r="V65" s="334"/>
      <c r="W65" s="334"/>
      <c r="X65" s="334"/>
      <c r="Y65" s="334"/>
      <c r="Z65" s="334"/>
      <c r="AA65" s="334"/>
      <c r="AB65" s="334"/>
      <c r="AC65" s="334"/>
      <c r="AD65" s="334"/>
      <c r="AE65" s="334"/>
      <c r="AF65" s="334"/>
      <c r="AG65" s="334"/>
      <c r="AH65" s="334"/>
      <c r="AI65" s="334"/>
      <c r="AJ65" s="334"/>
      <c r="AK65" s="334"/>
      <c r="AL65" s="334"/>
      <c r="AM65" s="334"/>
      <c r="AN65" s="334"/>
      <c r="AO65" s="334"/>
      <c r="AP65" s="334"/>
      <c r="AQ65" s="334"/>
      <c r="AR65" s="334"/>
      <c r="AS65" s="334"/>
      <c r="AT65" s="334"/>
      <c r="AU65" s="334"/>
      <c r="AV65" s="334"/>
      <c r="AW65" s="334"/>
      <c r="AX65" s="334"/>
      <c r="AY65" s="334"/>
      <c r="AZ65" s="334"/>
      <c r="BA65" s="334"/>
      <c r="BB65" s="334"/>
      <c r="BC65" s="334"/>
      <c r="BD65" s="334"/>
      <c r="BE65" s="334"/>
      <c r="BF65" s="334"/>
      <c r="BG65" s="334"/>
      <c r="BH65" s="334"/>
      <c r="BI65" s="334"/>
      <c r="BJ65" s="334"/>
      <c r="BK65" s="334"/>
      <c r="BL65" s="334"/>
      <c r="BM65" s="334"/>
      <c r="BN65" s="334"/>
      <c r="BO65" s="334"/>
      <c r="BP65" s="334"/>
      <c r="BQ65" s="334"/>
      <c r="BR65" s="334"/>
      <c r="BS65" s="334"/>
      <c r="BT65" s="334"/>
      <c r="BU65" s="334"/>
      <c r="BV65" s="334"/>
      <c r="BW65" s="334"/>
      <c r="BX65" s="334"/>
      <c r="BY65" s="334"/>
      <c r="BZ65" s="334"/>
      <c r="CA65" s="334"/>
      <c r="CB65" s="334"/>
      <c r="CC65" s="334"/>
      <c r="CD65" s="334"/>
      <c r="CE65" s="334"/>
      <c r="CF65" s="334"/>
      <c r="CG65" s="334"/>
      <c r="CH65" s="334"/>
      <c r="CI65" s="334"/>
      <c r="CJ65" s="334"/>
      <c r="CK65" s="334"/>
      <c r="CL65" s="334"/>
      <c r="CM65" s="334"/>
      <c r="CN65" s="343"/>
      <c r="CO65" s="343"/>
      <c r="CP65" s="343"/>
      <c r="CQ65" s="343"/>
      <c r="CR65" s="343"/>
      <c r="CS65" s="343"/>
      <c r="CT65" s="343"/>
      <c r="CU65" s="343"/>
      <c r="CV65" s="343"/>
      <c r="CW65" s="343"/>
      <c r="CX65" s="343"/>
      <c r="CY65" s="343"/>
      <c r="CZ65" s="343"/>
      <c r="DA65" s="343"/>
      <c r="DB65" s="343"/>
      <c r="DC65" s="343"/>
      <c r="DD65" s="343"/>
      <c r="DE65" s="343"/>
      <c r="DF65" s="343"/>
      <c r="DG65" s="343"/>
      <c r="DH65" s="343"/>
      <c r="DI65" s="343"/>
      <c r="DJ65" s="343"/>
      <c r="DK65" s="343"/>
      <c r="DL65" s="343"/>
      <c r="DM65" s="343"/>
      <c r="DN65" s="343"/>
      <c r="DO65" s="343"/>
      <c r="DP65" s="343"/>
      <c r="DQ65" s="343"/>
      <c r="DR65" s="343"/>
      <c r="DS65" s="343"/>
      <c r="DT65" s="343"/>
      <c r="DU65" s="343"/>
      <c r="DV65" s="343"/>
      <c r="DW65" s="343"/>
      <c r="DX65" s="343"/>
      <c r="DY65" s="343"/>
      <c r="DZ65" s="343"/>
      <c r="EA65" s="343"/>
      <c r="EB65" s="343"/>
      <c r="EC65" s="343"/>
      <c r="ED65" s="343"/>
      <c r="EE65" s="343"/>
      <c r="EF65" s="343"/>
      <c r="EG65" s="343"/>
      <c r="EH65" s="343"/>
      <c r="EI65" s="343"/>
      <c r="EJ65" s="343"/>
      <c r="EK65" s="343"/>
      <c r="EL65" s="343"/>
      <c r="EM65" s="343"/>
      <c r="EN65" s="343"/>
      <c r="EO65" s="343"/>
      <c r="EP65" s="343"/>
      <c r="EQ65" s="343"/>
      <c r="ER65" s="343"/>
      <c r="ES65" s="343"/>
      <c r="ET65" s="343"/>
      <c r="EU65" s="343"/>
      <c r="EV65" s="333"/>
      <c r="EW65" s="334"/>
      <c r="EX65" s="334"/>
      <c r="EY65" s="334"/>
      <c r="EZ65" s="334"/>
      <c r="FA65" s="334"/>
      <c r="FB65" s="334"/>
    </row>
    <row r="66" spans="1:158" x14ac:dyDescent="0.25">
      <c r="A66" s="334"/>
      <c r="B66" s="334"/>
      <c r="C66" s="334"/>
      <c r="D66" s="334"/>
      <c r="E66" s="334"/>
      <c r="F66" s="334"/>
      <c r="G66" s="334"/>
      <c r="H66" s="334"/>
      <c r="I66" s="334"/>
      <c r="J66" s="334"/>
      <c r="K66" s="334"/>
      <c r="L66" s="334"/>
      <c r="M66" s="334"/>
      <c r="N66" s="334"/>
      <c r="O66" s="334"/>
      <c r="P66" s="334"/>
      <c r="Q66" s="334"/>
      <c r="R66" s="334"/>
      <c r="S66" s="334"/>
      <c r="T66" s="334"/>
      <c r="U66" s="334"/>
      <c r="V66" s="334"/>
      <c r="W66" s="334"/>
      <c r="X66" s="334"/>
      <c r="Y66" s="334"/>
      <c r="Z66" s="334"/>
      <c r="AA66" s="334"/>
      <c r="AB66" s="334"/>
      <c r="AC66" s="334"/>
      <c r="AD66" s="334"/>
      <c r="AE66" s="334"/>
      <c r="AF66" s="334"/>
      <c r="AG66" s="334"/>
      <c r="AH66" s="334"/>
      <c r="AI66" s="334"/>
      <c r="AJ66" s="334"/>
      <c r="AK66" s="334"/>
      <c r="AL66" s="334"/>
      <c r="AM66" s="334"/>
      <c r="AN66" s="334"/>
      <c r="AO66" s="334"/>
      <c r="AP66" s="334"/>
      <c r="AQ66" s="334"/>
      <c r="AR66" s="334"/>
      <c r="AS66" s="334"/>
      <c r="AT66" s="334"/>
      <c r="AU66" s="334"/>
      <c r="AV66" s="334"/>
      <c r="AW66" s="334"/>
      <c r="AX66" s="334"/>
      <c r="AY66" s="334"/>
      <c r="AZ66" s="334"/>
      <c r="BA66" s="334"/>
      <c r="BB66" s="334"/>
      <c r="BC66" s="334"/>
      <c r="BD66" s="334"/>
      <c r="BE66" s="334"/>
      <c r="BF66" s="334"/>
      <c r="BG66" s="334"/>
      <c r="BH66" s="334"/>
      <c r="BI66" s="334"/>
      <c r="BJ66" s="334"/>
      <c r="BK66" s="334"/>
      <c r="BL66" s="334"/>
      <c r="BM66" s="334"/>
      <c r="BN66" s="334"/>
      <c r="BO66" s="334"/>
      <c r="BP66" s="334"/>
      <c r="BQ66" s="334"/>
      <c r="BR66" s="334"/>
      <c r="BS66" s="334"/>
      <c r="BT66" s="334"/>
      <c r="BU66" s="334"/>
      <c r="BV66" s="334"/>
      <c r="BW66" s="334"/>
      <c r="BX66" s="334"/>
      <c r="BY66" s="334"/>
      <c r="BZ66" s="334"/>
      <c r="CA66" s="334"/>
      <c r="CB66" s="334"/>
      <c r="CC66" s="334"/>
      <c r="CD66" s="334"/>
      <c r="CE66" s="334"/>
      <c r="CF66" s="334"/>
      <c r="CG66" s="334"/>
      <c r="CH66" s="334"/>
      <c r="CI66" s="334"/>
      <c r="CJ66" s="334"/>
      <c r="CK66" s="334"/>
      <c r="CL66" s="334"/>
      <c r="CM66" s="334"/>
      <c r="CN66" s="343"/>
      <c r="CO66" s="343"/>
      <c r="CP66" s="343"/>
      <c r="CQ66" s="343"/>
      <c r="CR66" s="343"/>
      <c r="CS66" s="343"/>
      <c r="CT66" s="343"/>
      <c r="CU66" s="343"/>
      <c r="CV66" s="343"/>
      <c r="CW66" s="343"/>
      <c r="CX66" s="343"/>
      <c r="CY66" s="343"/>
      <c r="CZ66" s="343"/>
      <c r="DA66" s="343"/>
      <c r="DB66" s="343"/>
      <c r="DC66" s="343"/>
      <c r="DD66" s="343"/>
      <c r="DE66" s="343"/>
      <c r="DF66" s="343"/>
      <c r="DG66" s="343"/>
      <c r="DH66" s="343"/>
      <c r="DI66" s="343"/>
      <c r="DJ66" s="343"/>
      <c r="DK66" s="343"/>
      <c r="DL66" s="343"/>
      <c r="DM66" s="343"/>
      <c r="DN66" s="343"/>
      <c r="DO66" s="343"/>
      <c r="DP66" s="343"/>
      <c r="DQ66" s="343"/>
      <c r="DR66" s="343"/>
      <c r="DS66" s="343"/>
      <c r="DT66" s="343"/>
      <c r="DU66" s="343"/>
      <c r="DV66" s="343"/>
      <c r="DW66" s="343"/>
      <c r="DX66" s="343"/>
      <c r="DY66" s="343"/>
      <c r="DZ66" s="343"/>
      <c r="EA66" s="343"/>
      <c r="EB66" s="343"/>
      <c r="EC66" s="343"/>
      <c r="ED66" s="343"/>
      <c r="EE66" s="343"/>
      <c r="EF66" s="343"/>
      <c r="EG66" s="343"/>
      <c r="EH66" s="343"/>
      <c r="EI66" s="343"/>
      <c r="EJ66" s="343"/>
      <c r="EK66" s="343"/>
      <c r="EL66" s="343"/>
      <c r="EM66" s="343"/>
      <c r="EN66" s="343"/>
      <c r="EO66" s="343"/>
      <c r="EP66" s="343"/>
      <c r="EQ66" s="343"/>
      <c r="ER66" s="343"/>
      <c r="ES66" s="343"/>
      <c r="ET66" s="343"/>
      <c r="EU66" s="343"/>
      <c r="EV66" s="333"/>
      <c r="EW66" s="334"/>
      <c r="EX66" s="334"/>
      <c r="EY66" s="334"/>
      <c r="EZ66" s="334"/>
      <c r="FA66" s="334"/>
      <c r="FB66" s="334"/>
    </row>
    <row r="67" spans="1:158" x14ac:dyDescent="0.25">
      <c r="A67" s="334"/>
      <c r="B67" s="334"/>
      <c r="C67" s="334"/>
      <c r="D67" s="334"/>
      <c r="E67" s="334"/>
      <c r="F67" s="334"/>
      <c r="G67" s="334"/>
      <c r="H67" s="334"/>
      <c r="I67" s="334"/>
      <c r="J67" s="334"/>
      <c r="K67" s="334"/>
      <c r="L67" s="334"/>
      <c r="M67" s="334"/>
      <c r="N67" s="334"/>
      <c r="O67" s="334"/>
      <c r="P67" s="334"/>
      <c r="Q67" s="334"/>
      <c r="R67" s="334"/>
      <c r="S67" s="334"/>
      <c r="T67" s="334"/>
      <c r="U67" s="334"/>
      <c r="V67" s="334"/>
      <c r="W67" s="334"/>
      <c r="X67" s="334"/>
      <c r="Y67" s="334"/>
      <c r="Z67" s="334"/>
      <c r="AA67" s="334"/>
      <c r="AB67" s="334"/>
      <c r="AC67" s="334"/>
      <c r="AD67" s="334"/>
      <c r="AE67" s="334"/>
      <c r="AF67" s="334"/>
      <c r="AG67" s="334"/>
      <c r="AH67" s="334"/>
      <c r="AI67" s="334"/>
      <c r="AJ67" s="334"/>
      <c r="AK67" s="334"/>
      <c r="AL67" s="334"/>
      <c r="AM67" s="334"/>
      <c r="AN67" s="334"/>
      <c r="AO67" s="334"/>
      <c r="AP67" s="334"/>
      <c r="AQ67" s="334"/>
      <c r="AR67" s="334"/>
      <c r="AS67" s="334"/>
      <c r="AT67" s="334"/>
      <c r="AU67" s="334"/>
      <c r="AV67" s="334"/>
      <c r="AW67" s="334"/>
      <c r="AX67" s="334"/>
      <c r="AY67" s="334"/>
      <c r="AZ67" s="334"/>
      <c r="BA67" s="334"/>
      <c r="BB67" s="334"/>
      <c r="BC67" s="334"/>
      <c r="BD67" s="334"/>
      <c r="BE67" s="334"/>
      <c r="BF67" s="334"/>
      <c r="BG67" s="334"/>
      <c r="BH67" s="334"/>
      <c r="BI67" s="334"/>
      <c r="BJ67" s="334"/>
      <c r="BK67" s="334"/>
      <c r="BL67" s="334"/>
      <c r="BM67" s="334"/>
      <c r="BN67" s="334"/>
      <c r="BO67" s="334"/>
      <c r="BP67" s="334"/>
      <c r="BQ67" s="334"/>
      <c r="BR67" s="334"/>
      <c r="BS67" s="334"/>
      <c r="BT67" s="334"/>
      <c r="BU67" s="334"/>
      <c r="BV67" s="334"/>
      <c r="BW67" s="334"/>
      <c r="BX67" s="334"/>
      <c r="BY67" s="334"/>
      <c r="BZ67" s="334"/>
      <c r="CA67" s="334"/>
      <c r="CB67" s="334"/>
      <c r="CC67" s="334"/>
      <c r="CD67" s="334"/>
      <c r="CE67" s="334"/>
      <c r="CF67" s="334"/>
      <c r="CG67" s="334"/>
      <c r="CH67" s="334"/>
      <c r="CI67" s="334"/>
      <c r="CJ67" s="334"/>
      <c r="CK67" s="334"/>
      <c r="CL67" s="334"/>
      <c r="CM67" s="334"/>
      <c r="CN67" s="334"/>
      <c r="CO67" s="334"/>
      <c r="CP67" s="334"/>
      <c r="CQ67" s="334"/>
      <c r="CR67" s="334"/>
      <c r="CS67" s="334"/>
      <c r="CT67" s="334"/>
      <c r="CU67" s="334"/>
      <c r="CV67" s="334"/>
      <c r="CW67" s="334"/>
      <c r="CX67" s="334"/>
      <c r="CY67" s="334"/>
      <c r="CZ67" s="334"/>
      <c r="DA67" s="334"/>
      <c r="DB67" s="334"/>
      <c r="DC67" s="334"/>
      <c r="DD67" s="334"/>
      <c r="DE67" s="334"/>
      <c r="DF67" s="334"/>
      <c r="DG67" s="334"/>
      <c r="DH67" s="334"/>
      <c r="DI67" s="334"/>
      <c r="DJ67" s="334"/>
      <c r="DK67" s="334"/>
      <c r="DL67" s="334"/>
      <c r="DM67" s="334"/>
      <c r="DN67" s="334"/>
      <c r="DO67" s="334"/>
      <c r="DP67" s="334"/>
      <c r="DQ67" s="334"/>
      <c r="DR67" s="334"/>
      <c r="DS67" s="334"/>
      <c r="DT67" s="334"/>
      <c r="DU67" s="334"/>
      <c r="DV67" s="334"/>
      <c r="DW67" s="334"/>
      <c r="DX67" s="334"/>
      <c r="DY67" s="334"/>
      <c r="DZ67" s="334"/>
      <c r="EA67" s="334"/>
      <c r="EB67" s="334"/>
      <c r="EC67" s="334"/>
      <c r="ED67" s="334"/>
      <c r="EE67" s="334"/>
      <c r="EF67" s="334"/>
      <c r="EG67" s="334"/>
      <c r="EH67" s="334"/>
      <c r="EI67" s="334"/>
      <c r="EJ67" s="334"/>
      <c r="EK67" s="334"/>
      <c r="EL67" s="334"/>
      <c r="EM67" s="334"/>
      <c r="EN67" s="334"/>
      <c r="EO67" s="334"/>
      <c r="EP67" s="334"/>
      <c r="EQ67" s="334"/>
      <c r="ER67" s="334"/>
      <c r="ES67" s="334"/>
      <c r="ET67" s="334"/>
      <c r="EU67" s="334"/>
      <c r="EV67" s="334"/>
      <c r="EW67" s="334"/>
      <c r="EX67" s="334"/>
      <c r="EY67" s="334"/>
      <c r="EZ67" s="334"/>
      <c r="FA67" s="334"/>
      <c r="FB67" s="334"/>
    </row>
    <row r="68" spans="1:158" x14ac:dyDescent="0.25">
      <c r="A68" s="334"/>
      <c r="B68" s="334"/>
      <c r="C68" s="334"/>
      <c r="D68" s="334"/>
      <c r="E68" s="334"/>
      <c r="F68" s="334"/>
      <c r="G68" s="334"/>
      <c r="H68" s="334"/>
      <c r="I68" s="334"/>
      <c r="J68" s="334"/>
      <c r="K68" s="334"/>
      <c r="L68" s="334"/>
      <c r="M68" s="334"/>
      <c r="N68" s="334"/>
      <c r="O68" s="334"/>
      <c r="P68" s="334"/>
      <c r="Q68" s="334"/>
      <c r="R68" s="334"/>
      <c r="S68" s="334"/>
      <c r="T68" s="334"/>
      <c r="U68" s="334"/>
      <c r="V68" s="334"/>
      <c r="W68" s="334"/>
      <c r="X68" s="334"/>
      <c r="Y68" s="334"/>
      <c r="Z68" s="334"/>
      <c r="AA68" s="334"/>
      <c r="AB68" s="334"/>
      <c r="AC68" s="334"/>
      <c r="AD68" s="334"/>
      <c r="AE68" s="334"/>
      <c r="AF68" s="334"/>
      <c r="AG68" s="334"/>
      <c r="AH68" s="334"/>
      <c r="AI68" s="334"/>
      <c r="AJ68" s="334"/>
      <c r="AK68" s="334"/>
      <c r="AL68" s="334"/>
      <c r="AM68" s="334"/>
      <c r="AN68" s="334"/>
      <c r="AO68" s="334"/>
      <c r="AP68" s="334"/>
      <c r="AQ68" s="334"/>
      <c r="AR68" s="334"/>
      <c r="AS68" s="334"/>
      <c r="AT68" s="334"/>
      <c r="AU68" s="334"/>
      <c r="AV68" s="334"/>
      <c r="AW68" s="334"/>
      <c r="AX68" s="334"/>
      <c r="AY68" s="334"/>
      <c r="AZ68" s="334"/>
      <c r="BA68" s="334"/>
      <c r="BB68" s="334"/>
      <c r="BC68" s="334"/>
      <c r="BD68" s="334"/>
      <c r="BE68" s="334"/>
      <c r="BF68" s="334"/>
      <c r="BG68" s="334"/>
      <c r="BH68" s="334"/>
      <c r="BI68" s="334"/>
      <c r="BJ68" s="334"/>
      <c r="BK68" s="334"/>
      <c r="BL68" s="334"/>
      <c r="BM68" s="334"/>
      <c r="BN68" s="334"/>
      <c r="BO68" s="334"/>
      <c r="BP68" s="334"/>
      <c r="BQ68" s="334"/>
      <c r="BR68" s="334"/>
      <c r="BS68" s="334"/>
      <c r="BT68" s="334"/>
      <c r="BU68" s="334"/>
      <c r="BV68" s="334"/>
      <c r="BW68" s="334"/>
      <c r="BX68" s="334"/>
      <c r="BY68" s="334"/>
      <c r="BZ68" s="334"/>
      <c r="CA68" s="334"/>
      <c r="CB68" s="334"/>
      <c r="CC68" s="334"/>
      <c r="CD68" s="334"/>
      <c r="CE68" s="334"/>
      <c r="CF68" s="334"/>
      <c r="CG68" s="334"/>
      <c r="CH68" s="334"/>
      <c r="CI68" s="334"/>
      <c r="CJ68" s="334"/>
      <c r="CK68" s="334"/>
      <c r="CL68" s="334"/>
      <c r="CM68" s="334"/>
      <c r="CN68" s="334"/>
      <c r="CO68" s="334"/>
      <c r="CP68" s="334"/>
      <c r="CQ68" s="334"/>
      <c r="CR68" s="334"/>
      <c r="CS68" s="334"/>
      <c r="CT68" s="334"/>
      <c r="CU68" s="334"/>
      <c r="CV68" s="334"/>
      <c r="CW68" s="334"/>
      <c r="CX68" s="334"/>
      <c r="CY68" s="334"/>
      <c r="CZ68" s="334"/>
      <c r="DA68" s="334"/>
      <c r="DB68" s="334"/>
      <c r="DC68" s="334"/>
      <c r="DD68" s="334"/>
      <c r="DE68" s="334"/>
      <c r="DF68" s="334"/>
      <c r="DG68" s="334"/>
      <c r="DH68" s="334"/>
      <c r="DI68" s="334"/>
      <c r="DJ68" s="334"/>
      <c r="DK68" s="334"/>
      <c r="DL68" s="334"/>
      <c r="DM68" s="334"/>
      <c r="DN68" s="334"/>
      <c r="DO68" s="334"/>
      <c r="DP68" s="334"/>
      <c r="DQ68" s="334"/>
      <c r="DR68" s="334"/>
      <c r="DS68" s="334"/>
      <c r="DT68" s="334"/>
      <c r="DU68" s="334"/>
      <c r="DV68" s="334"/>
      <c r="DW68" s="334"/>
      <c r="DX68" s="334"/>
      <c r="DY68" s="334"/>
      <c r="DZ68" s="334"/>
      <c r="EA68" s="334"/>
      <c r="EB68" s="334"/>
      <c r="EC68" s="334"/>
      <c r="ED68" s="334"/>
      <c r="EE68" s="334"/>
      <c r="EF68" s="334"/>
      <c r="EG68" s="334"/>
      <c r="EH68" s="334"/>
      <c r="EI68" s="334"/>
      <c r="EJ68" s="334"/>
      <c r="EK68" s="334"/>
      <c r="EL68" s="334"/>
      <c r="EM68" s="334"/>
      <c r="EN68" s="334"/>
      <c r="EO68" s="334"/>
      <c r="EP68" s="334"/>
      <c r="EQ68" s="334"/>
      <c r="ER68" s="334"/>
      <c r="ES68" s="334"/>
      <c r="ET68" s="334"/>
      <c r="EU68" s="334"/>
      <c r="EV68" s="334"/>
      <c r="EW68" s="334"/>
      <c r="EX68" s="334"/>
      <c r="EY68" s="334"/>
      <c r="EZ68" s="334"/>
      <c r="FA68" s="334"/>
      <c r="FB68" s="334"/>
    </row>
    <row r="69" spans="1:158" x14ac:dyDescent="0.25">
      <c r="A69" s="334"/>
      <c r="B69" s="334"/>
      <c r="C69" s="334"/>
      <c r="D69" s="334"/>
      <c r="E69" s="334"/>
      <c r="F69" s="334"/>
      <c r="G69" s="334"/>
      <c r="H69" s="334"/>
      <c r="I69" s="334"/>
      <c r="J69" s="334"/>
      <c r="K69" s="334"/>
      <c r="L69" s="334"/>
      <c r="M69" s="334"/>
      <c r="N69" s="334"/>
      <c r="O69" s="334"/>
      <c r="P69" s="334"/>
      <c r="Q69" s="334"/>
      <c r="R69" s="334"/>
      <c r="S69" s="334"/>
      <c r="T69" s="334"/>
      <c r="U69" s="334"/>
      <c r="V69" s="334"/>
      <c r="W69" s="334"/>
      <c r="X69" s="334"/>
      <c r="Y69" s="334"/>
      <c r="Z69" s="334"/>
      <c r="AA69" s="334"/>
      <c r="AB69" s="334"/>
      <c r="AC69" s="334"/>
      <c r="AD69" s="334"/>
      <c r="AE69" s="334"/>
      <c r="AF69" s="334"/>
      <c r="AG69" s="334"/>
      <c r="AH69" s="334"/>
      <c r="AI69" s="334"/>
      <c r="AJ69" s="334"/>
      <c r="AK69" s="334"/>
      <c r="AL69" s="334"/>
      <c r="AM69" s="334"/>
      <c r="AN69" s="334"/>
      <c r="AO69" s="334"/>
      <c r="AP69" s="334"/>
      <c r="AQ69" s="334"/>
      <c r="AR69" s="334"/>
      <c r="AS69" s="334"/>
      <c r="AT69" s="334"/>
      <c r="AU69" s="334"/>
      <c r="AV69" s="334"/>
      <c r="AW69" s="334"/>
      <c r="AX69" s="334"/>
      <c r="AY69" s="334"/>
      <c r="AZ69" s="334"/>
      <c r="BA69" s="334"/>
      <c r="BB69" s="334"/>
      <c r="BC69" s="334"/>
      <c r="BD69" s="334"/>
      <c r="BE69" s="334"/>
      <c r="BF69" s="334"/>
      <c r="BG69" s="334"/>
      <c r="BH69" s="334"/>
      <c r="BI69" s="334"/>
      <c r="BJ69" s="334"/>
      <c r="BK69" s="334"/>
      <c r="BL69" s="334"/>
      <c r="BM69" s="334"/>
      <c r="BN69" s="334"/>
      <c r="BO69" s="334"/>
      <c r="BP69" s="334"/>
      <c r="BQ69" s="334"/>
      <c r="BR69" s="334"/>
      <c r="BS69" s="334"/>
      <c r="BT69" s="334"/>
      <c r="BU69" s="334"/>
      <c r="BV69" s="334"/>
      <c r="BW69" s="334"/>
      <c r="BX69" s="334"/>
      <c r="BY69" s="334"/>
      <c r="BZ69" s="334"/>
      <c r="CA69" s="334"/>
      <c r="CB69" s="334"/>
      <c r="CC69" s="334"/>
      <c r="CD69" s="334"/>
      <c r="CE69" s="334"/>
      <c r="CF69" s="334"/>
      <c r="CG69" s="334"/>
      <c r="CH69" s="334"/>
      <c r="CI69" s="334"/>
      <c r="CJ69" s="334"/>
      <c r="CK69" s="334"/>
      <c r="CL69" s="334"/>
      <c r="CM69" s="334"/>
      <c r="CN69" s="334"/>
      <c r="CO69" s="334"/>
      <c r="CP69" s="334"/>
      <c r="CQ69" s="334"/>
      <c r="CR69" s="334"/>
      <c r="CS69" s="334"/>
      <c r="CT69" s="334"/>
      <c r="CU69" s="334"/>
      <c r="CV69" s="334"/>
      <c r="CW69" s="334"/>
      <c r="CX69" s="334"/>
      <c r="CY69" s="334"/>
      <c r="CZ69" s="334"/>
      <c r="DA69" s="334"/>
      <c r="DB69" s="334"/>
      <c r="DC69" s="334"/>
      <c r="DD69" s="334"/>
      <c r="DE69" s="334"/>
      <c r="DF69" s="334"/>
      <c r="DG69" s="334"/>
      <c r="DH69" s="334"/>
      <c r="DI69" s="334"/>
      <c r="DJ69" s="334"/>
      <c r="DK69" s="334"/>
      <c r="DL69" s="334"/>
      <c r="DM69" s="334"/>
      <c r="DN69" s="334"/>
      <c r="DO69" s="334"/>
      <c r="DP69" s="334"/>
      <c r="DQ69" s="334"/>
      <c r="DR69" s="334"/>
      <c r="DS69" s="334"/>
      <c r="DT69" s="334"/>
      <c r="DU69" s="334"/>
      <c r="DV69" s="334"/>
      <c r="DW69" s="334"/>
      <c r="DX69" s="334"/>
      <c r="DY69" s="334"/>
      <c r="DZ69" s="334"/>
      <c r="EA69" s="334"/>
      <c r="EB69" s="334"/>
      <c r="EC69" s="334"/>
      <c r="ED69" s="334"/>
      <c r="EE69" s="334"/>
      <c r="EF69" s="334"/>
      <c r="EG69" s="334"/>
      <c r="EH69" s="334"/>
      <c r="EI69" s="334"/>
      <c r="EJ69" s="334"/>
      <c r="EK69" s="334"/>
      <c r="EL69" s="334"/>
      <c r="EM69" s="334"/>
      <c r="EN69" s="334"/>
      <c r="EO69" s="334"/>
      <c r="EP69" s="334"/>
      <c r="EQ69" s="334"/>
      <c r="ER69" s="334"/>
      <c r="ES69" s="334"/>
      <c r="ET69" s="334"/>
      <c r="EU69" s="334"/>
      <c r="EV69" s="334"/>
      <c r="EW69" s="334"/>
      <c r="EX69" s="334"/>
      <c r="EY69" s="334"/>
      <c r="EZ69" s="334"/>
      <c r="FA69" s="334"/>
      <c r="FB69" s="334"/>
    </row>
  </sheetData>
  <customSheetViews>
    <customSheetView guid="{B91A3F61-3B23-46E3-9B55-19B17EB6638A}" scale="85" state="hidden" topLeftCell="A16">
      <selection activeCell="D2" sqref="D2"/>
      <pageMargins left="0.7" right="0.7" top="0.75" bottom="0.75" header="0.3" footer="0.3"/>
      <pageSetup paperSize="9" orientation="portrait" r:id="rId1"/>
    </customSheetView>
    <customSheetView guid="{F5CB9414-DBF4-48FF-9213-FFE745451535}" scale="85" state="hidden" topLeftCell="A16">
      <selection activeCell="D2" sqref="D2"/>
      <pageMargins left="0.7" right="0.7" top="0.75" bottom="0.75" header="0.3" footer="0.3"/>
      <pageSetup paperSize="9" orientation="portrait" r:id="rId2"/>
    </customSheetView>
    <customSheetView guid="{A1A876F1-3EAA-4E5F-BD51-8B131AB8854B}" scale="85" state="hidden" topLeftCell="A16">
      <selection activeCell="D2" sqref="D2"/>
      <pageMargins left="0.7" right="0.7" top="0.75" bottom="0.75" header="0.3" footer="0.3"/>
      <pageSetup paperSize="9" orientation="portrait" r:id="rId3"/>
    </customSheetView>
    <customSheetView guid="{18A094BB-EA3E-4938-9069-21F549B37E23}" scale="85" state="hidden" topLeftCell="A16">
      <selection activeCell="D2" sqref="D2"/>
      <pageMargins left="0.7" right="0.7" top="0.75" bottom="0.75" header="0.3" footer="0.3"/>
      <pageSetup paperSize="9" orientation="portrait" r:id="rId4"/>
    </customSheetView>
  </customSheetViews>
  <mergeCells count="32">
    <mergeCell ref="AR2:AT2"/>
    <mergeCell ref="AU2:AW2"/>
    <mergeCell ref="BS2:BU2"/>
    <mergeCell ref="BV2:BX2"/>
    <mergeCell ref="EV2:EZ2"/>
    <mergeCell ref="BA2:BC2"/>
    <mergeCell ref="BD2:BF2"/>
    <mergeCell ref="BG2:BI2"/>
    <mergeCell ref="BJ2:BL2"/>
    <mergeCell ref="BM2:BO2"/>
    <mergeCell ref="BP2:BR2"/>
    <mergeCell ref="BY2:CA2"/>
    <mergeCell ref="CB2:CD2"/>
    <mergeCell ref="CE2:CG2"/>
    <mergeCell ref="CH2:CJ2"/>
    <mergeCell ref="CK2:CM2"/>
    <mergeCell ref="EV4:EZ4"/>
    <mergeCell ref="Q2:S2"/>
    <mergeCell ref="B2:D2"/>
    <mergeCell ref="E2:G2"/>
    <mergeCell ref="H2:J2"/>
    <mergeCell ref="K2:M2"/>
    <mergeCell ref="N2:P2"/>
    <mergeCell ref="AX2:AZ2"/>
    <mergeCell ref="T2:V2"/>
    <mergeCell ref="W2:Y2"/>
    <mergeCell ref="Z2:AB2"/>
    <mergeCell ref="AC2:AE2"/>
    <mergeCell ref="AF2:AH2"/>
    <mergeCell ref="AI2:AK2"/>
    <mergeCell ref="AL2:AN2"/>
    <mergeCell ref="AO2:AQ2"/>
  </mergeCells>
  <conditionalFormatting sqref="Q53:S54 CP4 CR3:CR4 CN17 CN19 CN35 CT3:CT4 CV3:CV4 CX3:CX4 CZ3:CZ4 DB3:DB4 DD3:DD4 DH3:DH4 DJ3:DJ4 DL3:DL4 DN3:DN4 DP3:DP4 ED3:ED4 EF3:EF4 EH3:EH4 EJ3:EJ4 EL3:EL4 CN3:CP3 CN45:DE54 I42:CJ43 CN2:DE2 CN9:CQ9 CN42:DE43 DH42:FB43 DH2:EU2 DH45:EU54">
    <cfRule type="expression" dxfId="610" priority="1054">
      <formula>I2</formula>
    </cfRule>
  </conditionalFormatting>
  <conditionalFormatting sqref="B58:B61">
    <cfRule type="expression" dxfId="609" priority="1040">
      <formula>B58</formula>
    </cfRule>
  </conditionalFormatting>
  <conditionalFormatting sqref="B4:D4">
    <cfRule type="expression" dxfId="608" priority="1039">
      <formula>B4</formula>
    </cfRule>
  </conditionalFormatting>
  <conditionalFormatting sqref="B45:D54 B2 E2 H2 K2 Q2 W2 Z2 AC2 AF2 AI2 AL2 N2 T2 AO2 AR2 AU2 AX2 BA2 BD2 BG2 BJ2 BM2 BP2 BS2 BV2 A42:H42">
    <cfRule type="expression" dxfId="607" priority="1042">
      <formula>A2</formula>
    </cfRule>
  </conditionalFormatting>
  <conditionalFormatting sqref="C58:C61">
    <cfRule type="expression" dxfId="606" priority="1041">
      <formula>C58</formula>
    </cfRule>
  </conditionalFormatting>
  <conditionalFormatting sqref="E58:E61">
    <cfRule type="expression" dxfId="605" priority="1036">
      <formula>E58</formula>
    </cfRule>
  </conditionalFormatting>
  <conditionalFormatting sqref="E4:G4">
    <cfRule type="expression" dxfId="604" priority="1035">
      <formula>E4</formula>
    </cfRule>
  </conditionalFormatting>
  <conditionalFormatting sqref="E45:G54 E42:G42">
    <cfRule type="expression" dxfId="603" priority="1038">
      <formula>E42</formula>
    </cfRule>
  </conditionalFormatting>
  <conditionalFormatting sqref="F58:F61">
    <cfRule type="expression" dxfId="602" priority="1037">
      <formula>F58</formula>
    </cfRule>
  </conditionalFormatting>
  <conditionalFormatting sqref="H58:H61">
    <cfRule type="expression" dxfId="601" priority="1032">
      <formula>H58</formula>
    </cfRule>
  </conditionalFormatting>
  <conditionalFormatting sqref="H4:J4">
    <cfRule type="expression" dxfId="600" priority="1031">
      <formula>H4</formula>
    </cfRule>
  </conditionalFormatting>
  <conditionalFormatting sqref="H45:J54 H42">
    <cfRule type="expression" dxfId="599" priority="1034">
      <formula>H42</formula>
    </cfRule>
  </conditionalFormatting>
  <conditionalFormatting sqref="I58:I61">
    <cfRule type="expression" dxfId="598" priority="1033">
      <formula>I58</formula>
    </cfRule>
  </conditionalFormatting>
  <conditionalFormatting sqref="K58:K61">
    <cfRule type="expression" dxfId="597" priority="1028">
      <formula>K58</formula>
    </cfRule>
  </conditionalFormatting>
  <conditionalFormatting sqref="K4:M4">
    <cfRule type="expression" dxfId="596" priority="1027">
      <formula>K4</formula>
    </cfRule>
  </conditionalFormatting>
  <conditionalFormatting sqref="K45:M54">
    <cfRule type="expression" dxfId="595" priority="1030">
      <formula>K45</formula>
    </cfRule>
  </conditionalFormatting>
  <conditionalFormatting sqref="L58:L61">
    <cfRule type="expression" dxfId="594" priority="1029">
      <formula>L58</formula>
    </cfRule>
  </conditionalFormatting>
  <conditionalFormatting sqref="N58:N61">
    <cfRule type="expression" dxfId="593" priority="1024">
      <formula>N58</formula>
    </cfRule>
  </conditionalFormatting>
  <conditionalFormatting sqref="N4:P4">
    <cfRule type="expression" dxfId="592" priority="1023">
      <formula>N4</formula>
    </cfRule>
  </conditionalFormatting>
  <conditionalFormatting sqref="N45:P54">
    <cfRule type="expression" dxfId="591" priority="1026">
      <formula>N45</formula>
    </cfRule>
  </conditionalFormatting>
  <conditionalFormatting sqref="O58:O61">
    <cfRule type="expression" dxfId="590" priority="1025">
      <formula>O58</formula>
    </cfRule>
  </conditionalFormatting>
  <conditionalFormatting sqref="Q58:Q61">
    <cfRule type="expression" dxfId="589" priority="1020">
      <formula>Q58</formula>
    </cfRule>
  </conditionalFormatting>
  <conditionalFormatting sqref="Q4:S4">
    <cfRule type="expression" dxfId="588" priority="1019">
      <formula>Q4</formula>
    </cfRule>
  </conditionalFormatting>
  <conditionalFormatting sqref="Q45:S52">
    <cfRule type="expression" dxfId="587" priority="1022">
      <formula>Q45</formula>
    </cfRule>
  </conditionalFormatting>
  <conditionalFormatting sqref="R58:R61 U58:U61">
    <cfRule type="expression" dxfId="586" priority="1021">
      <formula>R58</formula>
    </cfRule>
  </conditionalFormatting>
  <conditionalFormatting sqref="T45:BU52">
    <cfRule type="expression" dxfId="585" priority="1013">
      <formula>T45</formula>
    </cfRule>
  </conditionalFormatting>
  <conditionalFormatting sqref="T4:BX4">
    <cfRule type="expression" dxfId="584" priority="1012">
      <formula>T4</formula>
    </cfRule>
  </conditionalFormatting>
  <conditionalFormatting sqref="BV53:CJ54">
    <cfRule type="expression" dxfId="583" priority="1011">
      <formula>BV53</formula>
    </cfRule>
  </conditionalFormatting>
  <conditionalFormatting sqref="BV45:CJ52">
    <cfRule type="expression" dxfId="582" priority="1010">
      <formula>BV45</formula>
    </cfRule>
  </conditionalFormatting>
  <conditionalFormatting sqref="T53:BU54">
    <cfRule type="expression" dxfId="581" priority="1014">
      <formula>T53</formula>
    </cfRule>
  </conditionalFormatting>
  <conditionalFormatting sqref="CN8">
    <cfRule type="expression" dxfId="580" priority="1000">
      <formula>CN8</formula>
    </cfRule>
  </conditionalFormatting>
  <conditionalFormatting sqref="CN4">
    <cfRule type="expression" dxfId="579" priority="1008">
      <formula>CN4</formula>
    </cfRule>
  </conditionalFormatting>
  <conditionalFormatting sqref="CN7">
    <cfRule type="expression" dxfId="578" priority="1006">
      <formula>CN7</formula>
    </cfRule>
  </conditionalFormatting>
  <conditionalFormatting sqref="CN36:CN41">
    <cfRule type="expression" dxfId="577" priority="1005">
      <formula>CN36</formula>
    </cfRule>
  </conditionalFormatting>
  <conditionalFormatting sqref="CN20:CN34">
    <cfRule type="expression" dxfId="576" priority="1003">
      <formula>CN20</formula>
    </cfRule>
  </conditionalFormatting>
  <conditionalFormatting sqref="CN18">
    <cfRule type="expression" dxfId="575" priority="1002">
      <formula>CN18</formula>
    </cfRule>
  </conditionalFormatting>
  <conditionalFormatting sqref="CN10:CN16">
    <cfRule type="expression" dxfId="574" priority="1001">
      <formula>CN10</formula>
    </cfRule>
  </conditionalFormatting>
  <conditionalFormatting sqref="DC3">
    <cfRule type="expression" dxfId="573" priority="725">
      <formula>DC3</formula>
    </cfRule>
  </conditionalFormatting>
  <conditionalFormatting sqref="CN5">
    <cfRule type="expression" dxfId="572" priority="797">
      <formula>CN5</formula>
    </cfRule>
  </conditionalFormatting>
  <conditionalFormatting sqref="CN6">
    <cfRule type="expression" dxfId="571" priority="796">
      <formula>CN6</formula>
    </cfRule>
  </conditionalFormatting>
  <conditionalFormatting sqref="DR3">
    <cfRule type="expression" dxfId="570" priority="659">
      <formula>DR3</formula>
    </cfRule>
  </conditionalFormatting>
  <conditionalFormatting sqref="DT3">
    <cfRule type="expression" dxfId="569" priority="650">
      <formula>DT3</formula>
    </cfRule>
  </conditionalFormatting>
  <conditionalFormatting sqref="B7:D7 B9:D9 B17:D17 B19:D19 B35:D35">
    <cfRule type="expression" dxfId="568" priority="848">
      <formula>B7</formula>
    </cfRule>
  </conditionalFormatting>
  <conditionalFormatting sqref="E7:G7 E9:G9 E17:G17 E19:G19 E35:G35">
    <cfRule type="expression" dxfId="567" priority="847">
      <formula>E7</formula>
    </cfRule>
  </conditionalFormatting>
  <conditionalFormatting sqref="CV10:CV16">
    <cfRule type="expression" dxfId="566" priority="559">
      <formula>CV10</formula>
    </cfRule>
  </conditionalFormatting>
  <conditionalFormatting sqref="CQ3">
    <cfRule type="expression" dxfId="565" priority="687">
      <formula>CQ3</formula>
    </cfRule>
  </conditionalFormatting>
  <conditionalFormatting sqref="DW3">
    <cfRule type="expression" dxfId="564" priority="707">
      <formula>DW3</formula>
    </cfRule>
  </conditionalFormatting>
  <conditionalFormatting sqref="DV7 DV3 DV17 DV19">
    <cfRule type="expression" dxfId="563" priority="641">
      <formula>DV3</formula>
    </cfRule>
  </conditionalFormatting>
  <conditionalFormatting sqref="BP7:BR7 BP9:BR9 BP17:BR17 BP19:BR19 BP35:BR35">
    <cfRule type="expression" dxfId="562" priority="826">
      <formula>BP7</formula>
    </cfRule>
  </conditionalFormatting>
  <conditionalFormatting sqref="BS7:BU7 BS9:BU9 BS17:BU17 BS19:BU19 BS35:BU35">
    <cfRule type="expression" dxfId="561" priority="825">
      <formula>BS7</formula>
    </cfRule>
  </conditionalFormatting>
  <conditionalFormatting sqref="BV7:BX7 BV9:BX9 BV17:BX17 BV19:BX19 BV35:BX35">
    <cfRule type="expression" dxfId="560" priority="824">
      <formula>BV7</formula>
    </cfRule>
  </conditionalFormatting>
  <conditionalFormatting sqref="DV5">
    <cfRule type="expression" dxfId="559" priority="637">
      <formula>DV5</formula>
    </cfRule>
  </conditionalFormatting>
  <conditionalFormatting sqref="DV6">
    <cfRule type="expression" dxfId="558" priority="636">
      <formula>DV6</formula>
    </cfRule>
  </conditionalFormatting>
  <conditionalFormatting sqref="DV18">
    <cfRule type="expression" dxfId="557" priority="635">
      <formula>DV18</formula>
    </cfRule>
  </conditionalFormatting>
  <conditionalFormatting sqref="CV8">
    <cfRule type="expression" dxfId="556" priority="558">
      <formula>CV8</formula>
    </cfRule>
  </conditionalFormatting>
  <conditionalFormatting sqref="H7:J7 H9:J9 H17:J17 H19:J19 H35:J35">
    <cfRule type="expression" dxfId="555" priority="846">
      <formula>H7</formula>
    </cfRule>
  </conditionalFormatting>
  <conditionalFormatting sqref="K7:M7 K9:M9 K17:M17 K19:M19 K35:M35">
    <cfRule type="expression" dxfId="554" priority="845">
      <formula>K7</formula>
    </cfRule>
  </conditionalFormatting>
  <conditionalFormatting sqref="N7:P7 N9:P9 N17:P17 N19:P19 N35:P35">
    <cfRule type="expression" dxfId="553" priority="844">
      <formula>N7</formula>
    </cfRule>
  </conditionalFormatting>
  <conditionalFormatting sqref="Q7:S7 Q9:S9 Q17:S17 Q19:S19 Q35:S35">
    <cfRule type="expression" dxfId="552" priority="843">
      <formula>Q7</formula>
    </cfRule>
  </conditionalFormatting>
  <conditionalFormatting sqref="T7:V7 T9:V9 T17:V17 T19:V19 T35:V35">
    <cfRule type="expression" dxfId="551" priority="842">
      <formula>T7</formula>
    </cfRule>
  </conditionalFormatting>
  <conditionalFormatting sqref="W7:Y7 W9:Y9 W17:Y17 W19:Y19 W35:Y35">
    <cfRule type="expression" dxfId="550" priority="841">
      <formula>W7</formula>
    </cfRule>
  </conditionalFormatting>
  <conditionalFormatting sqref="Z7:AB7 Z9:AB9 Z17:AB17 Z19:AB19 Z35:AB35">
    <cfRule type="expression" dxfId="549" priority="840">
      <formula>Z7</formula>
    </cfRule>
  </conditionalFormatting>
  <conditionalFormatting sqref="AC7:AE7 AC9:AE9 AC17:AE17 AC19:AE19 AC35:AE35">
    <cfRule type="expression" dxfId="548" priority="839">
      <formula>AC7</formula>
    </cfRule>
  </conditionalFormatting>
  <conditionalFormatting sqref="AF7:AH7 AF9:AH9 AF17:AH17 AF19:AH19 AF35:AH35">
    <cfRule type="expression" dxfId="547" priority="838">
      <formula>AF7</formula>
    </cfRule>
  </conditionalFormatting>
  <conditionalFormatting sqref="AI7:AK7 AI9:AK9 AI17:AK17 AI19:AK19 AI35:AK35">
    <cfRule type="expression" dxfId="546" priority="837">
      <formula>AI7</formula>
    </cfRule>
  </conditionalFormatting>
  <conditionalFormatting sqref="AL7:AN7 AL9:AN9 AL17:AN17 AL19:AN19 AL35:AN35">
    <cfRule type="expression" dxfId="545" priority="836">
      <formula>AL7</formula>
    </cfRule>
  </conditionalFormatting>
  <conditionalFormatting sqref="AO7:AQ7 AO9:AQ9 AO17:AQ17 AO19:AQ19 AO35:AQ35">
    <cfRule type="expression" dxfId="544" priority="835">
      <formula>AO7</formula>
    </cfRule>
  </conditionalFormatting>
  <conditionalFormatting sqref="AR7:AT7 AR9:AT9 AR17:AT17 AR19:AT19 AR35:AT35">
    <cfRule type="expression" dxfId="543" priority="834">
      <formula>AR7</formula>
    </cfRule>
  </conditionalFormatting>
  <conditionalFormatting sqref="AU7:AW7 AU9:AW9 AU17:AW17 AU19:AW19 AU35:AW35">
    <cfRule type="expression" dxfId="542" priority="833">
      <formula>AU7</formula>
    </cfRule>
  </conditionalFormatting>
  <conditionalFormatting sqref="AX7:AZ7 AX9:AZ9 AX17:AZ17 AX19:AZ19 AX35:AZ35">
    <cfRule type="expression" dxfId="541" priority="832">
      <formula>AX7</formula>
    </cfRule>
  </conditionalFormatting>
  <conditionalFormatting sqref="BA7:BC7 BA9:BC9 BA17:BC17 BA19:BC19 BA35:BC35">
    <cfRule type="expression" dxfId="540" priority="831">
      <formula>BA7</formula>
    </cfRule>
  </conditionalFormatting>
  <conditionalFormatting sqref="BD7:BF7 BD9:BF9 BD17:BF17 BD19:BF19 BD35:BF35">
    <cfRule type="expression" dxfId="539" priority="830">
      <formula>BD7</formula>
    </cfRule>
  </conditionalFormatting>
  <conditionalFormatting sqref="BG7:BI7 BG9:BI9 BG17:BI17 BG19:BI19 BG35:BI35">
    <cfRule type="expression" dxfId="538" priority="829">
      <formula>BG7</formula>
    </cfRule>
  </conditionalFormatting>
  <conditionalFormatting sqref="BJ7:BL7 BJ9:BL9 BJ17:BL17 BJ19:BL19 BJ35:BL35">
    <cfRule type="expression" dxfId="537" priority="828">
      <formula>BJ7</formula>
    </cfRule>
  </conditionalFormatting>
  <conditionalFormatting sqref="BM7:BO7 BM9:BO9 BM17:BO17 BM19:BO19 BM35:BO35">
    <cfRule type="expression" dxfId="536" priority="827">
      <formula>BM7</formula>
    </cfRule>
  </conditionalFormatting>
  <conditionalFormatting sqref="EW5:EX6 EV4:EV6 EV18:EX18 EV8:EX8 EV10:EX16 EV36:EX41 EV20:EX34">
    <cfRule type="expression" dxfId="535" priority="822">
      <formula>AND(#REF!,NOT(#REF!))</formula>
    </cfRule>
  </conditionalFormatting>
  <conditionalFormatting sqref="EY5:EY41 EV17:EX17 EV7:EX7 EV9:EX9 EV35:EX35 EV19:EX19">
    <cfRule type="expression" dxfId="534" priority="812">
      <formula>AND(#REF!,NOT(#REF!))</formula>
    </cfRule>
  </conditionalFormatting>
  <conditionalFormatting sqref="DB20:DB28">
    <cfRule type="expression" dxfId="533" priority="531">
      <formula>DB20</formula>
    </cfRule>
  </conditionalFormatting>
  <conditionalFormatting sqref="DB18">
    <cfRule type="expression" dxfId="532" priority="530">
      <formula>DB18</formula>
    </cfRule>
  </conditionalFormatting>
  <conditionalFormatting sqref="CT5">
    <cfRule type="expression" dxfId="531" priority="567">
      <formula>CT5</formula>
    </cfRule>
  </conditionalFormatting>
  <conditionalFormatting sqref="CT6">
    <cfRule type="expression" dxfId="530" priority="566">
      <formula>CT6</formula>
    </cfRule>
  </conditionalFormatting>
  <conditionalFormatting sqref="CT17 CT9 CT19">
    <cfRule type="expression" dxfId="529" priority="575">
      <formula>CT9</formula>
    </cfRule>
  </conditionalFormatting>
  <conditionalFormatting sqref="CT7">
    <cfRule type="expression" dxfId="528" priority="574">
      <formula>CT7</formula>
    </cfRule>
  </conditionalFormatting>
  <conditionalFormatting sqref="CP20:CP28">
    <cfRule type="expression" dxfId="527" priority="591">
      <formula>CP20</formula>
    </cfRule>
  </conditionalFormatting>
  <conditionalFormatting sqref="CP18">
    <cfRule type="expression" dxfId="526" priority="590">
      <formula>CP18</formula>
    </cfRule>
  </conditionalFormatting>
  <conditionalFormatting sqref="DZ27:DZ28">
    <cfRule type="expression" dxfId="525" priority="615">
      <formula>DZ27</formula>
    </cfRule>
  </conditionalFormatting>
  <conditionalFormatting sqref="EB3:EB4">
    <cfRule type="expression" dxfId="524" priority="614">
      <formula>EB3</formula>
    </cfRule>
  </conditionalFormatting>
  <conditionalFormatting sqref="DZ7 DZ3:DZ4 DZ17 DZ19">
    <cfRule type="expression" dxfId="523" priority="623">
      <formula>DZ3</formula>
    </cfRule>
  </conditionalFormatting>
  <conditionalFormatting sqref="DZ9">
    <cfRule type="expression" dxfId="522" priority="622">
      <formula>DZ9</formula>
    </cfRule>
  </conditionalFormatting>
  <conditionalFormatting sqref="DX9">
    <cfRule type="expression" dxfId="521" priority="631">
      <formula>DX9</formula>
    </cfRule>
  </conditionalFormatting>
  <conditionalFormatting sqref="DY3">
    <cfRule type="expression" dxfId="520" priority="705">
      <formula>DY3</formula>
    </cfRule>
  </conditionalFormatting>
  <conditionalFormatting sqref="DP7">
    <cfRule type="expression" dxfId="519" priority="474">
      <formula>DP7</formula>
    </cfRule>
  </conditionalFormatting>
  <conditionalFormatting sqref="EL8">
    <cfRule type="expression" dxfId="518" priority="318">
      <formula>EL8</formula>
    </cfRule>
  </conditionalFormatting>
  <conditionalFormatting sqref="DN20:DN28">
    <cfRule type="expression" dxfId="517" priority="481">
      <formula>DN20</formula>
    </cfRule>
  </conditionalFormatting>
  <conditionalFormatting sqref="DN18">
    <cfRule type="expression" dxfId="516" priority="480">
      <formula>DN18</formula>
    </cfRule>
  </conditionalFormatting>
  <conditionalFormatting sqref="DL8">
    <cfRule type="expression" dxfId="515" priority="488">
      <formula>DL8</formula>
    </cfRule>
  </conditionalFormatting>
  <conditionalFormatting sqref="DL5">
    <cfRule type="expression" dxfId="514" priority="487">
      <formula>DL5</formula>
    </cfRule>
  </conditionalFormatting>
  <conditionalFormatting sqref="CU3">
    <cfRule type="expression" dxfId="513" priority="683">
      <formula>CU3</formula>
    </cfRule>
  </conditionalFormatting>
  <conditionalFormatting sqref="EM3:EU3">
    <cfRule type="expression" dxfId="512" priority="691">
      <formula>EM3</formula>
    </cfRule>
  </conditionalFormatting>
  <conditionalFormatting sqref="EG3">
    <cfRule type="expression" dxfId="511" priority="697">
      <formula>EG3</formula>
    </cfRule>
  </conditionalFormatting>
  <conditionalFormatting sqref="DV27:DV28">
    <cfRule type="expression" dxfId="510" priority="633">
      <formula>DV27</formula>
    </cfRule>
  </conditionalFormatting>
  <conditionalFormatting sqref="DV20:DV26">
    <cfRule type="expression" dxfId="509" priority="634">
      <formula>DV20</formula>
    </cfRule>
  </conditionalFormatting>
  <conditionalFormatting sqref="ED5">
    <cfRule type="expression" dxfId="508" priority="419">
      <formula>ED5</formula>
    </cfRule>
  </conditionalFormatting>
  <conditionalFormatting sqref="CW3">
    <cfRule type="expression" dxfId="507" priority="731">
      <formula>CW3</formula>
    </cfRule>
  </conditionalFormatting>
  <conditionalFormatting sqref="CY3">
    <cfRule type="expression" dxfId="506" priority="729">
      <formula>CY3</formula>
    </cfRule>
  </conditionalFormatting>
  <conditionalFormatting sqref="DA3">
    <cfRule type="expression" dxfId="505" priority="727">
      <formula>DA3</formula>
    </cfRule>
  </conditionalFormatting>
  <conditionalFormatting sqref="DE3">
    <cfRule type="expression" dxfId="504" priority="723">
      <formula>DE3</formula>
    </cfRule>
  </conditionalFormatting>
  <conditionalFormatting sqref="DX7 DX3:DX4 DX17 DX19">
    <cfRule type="expression" dxfId="503" priority="632">
      <formula>DX3</formula>
    </cfRule>
  </conditionalFormatting>
  <conditionalFormatting sqref="DI3">
    <cfRule type="expression" dxfId="502" priority="721">
      <formula>DI3</formula>
    </cfRule>
  </conditionalFormatting>
  <conditionalFormatting sqref="DK3">
    <cfRule type="expression" dxfId="501" priority="719">
      <formula>DK3</formula>
    </cfRule>
  </conditionalFormatting>
  <conditionalFormatting sqref="DM3">
    <cfRule type="expression" dxfId="500" priority="717">
      <formula>DM3</formula>
    </cfRule>
  </conditionalFormatting>
  <conditionalFormatting sqref="DO3">
    <cfRule type="expression" dxfId="499" priority="715">
      <formula>DO3</formula>
    </cfRule>
  </conditionalFormatting>
  <conditionalFormatting sqref="DQ3">
    <cfRule type="expression" dxfId="498" priority="713">
      <formula>DQ3</formula>
    </cfRule>
  </conditionalFormatting>
  <conditionalFormatting sqref="DS3">
    <cfRule type="expression" dxfId="497" priority="711">
      <formula>DS3</formula>
    </cfRule>
  </conditionalFormatting>
  <conditionalFormatting sqref="DU3">
    <cfRule type="expression" dxfId="496" priority="709">
      <formula>DU3</formula>
    </cfRule>
  </conditionalFormatting>
  <conditionalFormatting sqref="EA3">
    <cfRule type="expression" dxfId="495" priority="703">
      <formula>EA3</formula>
    </cfRule>
  </conditionalFormatting>
  <conditionalFormatting sqref="EC3">
    <cfRule type="expression" dxfId="494" priority="701">
      <formula>EC3</formula>
    </cfRule>
  </conditionalFormatting>
  <conditionalFormatting sqref="EE3">
    <cfRule type="expression" dxfId="493" priority="699">
      <formula>EE3</formula>
    </cfRule>
  </conditionalFormatting>
  <conditionalFormatting sqref="EI3">
    <cfRule type="expression" dxfId="492" priority="695">
      <formula>EI3</formula>
    </cfRule>
  </conditionalFormatting>
  <conditionalFormatting sqref="EK3">
    <cfRule type="expression" dxfId="491" priority="693">
      <formula>EK3</formula>
    </cfRule>
  </conditionalFormatting>
  <conditionalFormatting sqref="CT20:CT28">
    <cfRule type="expression" dxfId="490" priority="571">
      <formula>CT20</formula>
    </cfRule>
  </conditionalFormatting>
  <conditionalFormatting sqref="CS3">
    <cfRule type="expression" dxfId="489" priority="685">
      <formula>CS3</formula>
    </cfRule>
  </conditionalFormatting>
  <conditionalFormatting sqref="DR10:DR16">
    <cfRule type="expression" dxfId="488" priority="448">
      <formula>DR10</formula>
    </cfRule>
  </conditionalFormatting>
  <conditionalFormatting sqref="DR4">
    <cfRule type="expression" dxfId="487" priority="455">
      <formula>DR4</formula>
    </cfRule>
  </conditionalFormatting>
  <conditionalFormatting sqref="DP6">
    <cfRule type="expression" dxfId="486" priority="466">
      <formula>DP6</formula>
    </cfRule>
  </conditionalFormatting>
  <conditionalFormatting sqref="DP17 DP9 DP19">
    <cfRule type="expression" dxfId="485" priority="475">
      <formula>DP9</formula>
    </cfRule>
  </conditionalFormatting>
  <conditionalFormatting sqref="DN7">
    <cfRule type="expression" dxfId="484" priority="484">
      <formula>DN7</formula>
    </cfRule>
  </conditionalFormatting>
  <conditionalFormatting sqref="ED9">
    <cfRule type="expression" dxfId="483" priority="332">
      <formula>ED9</formula>
    </cfRule>
  </conditionalFormatting>
  <conditionalFormatting sqref="DZ10:DZ16">
    <cfRule type="expression" dxfId="482" priority="338">
      <formula>DZ10</formula>
    </cfRule>
  </conditionalFormatting>
  <conditionalFormatting sqref="DH20:DH28">
    <cfRule type="expression" dxfId="481" priority="511">
      <formula>DH20</formula>
    </cfRule>
  </conditionalFormatting>
  <conditionalFormatting sqref="DD18">
    <cfRule type="expression" dxfId="480" priority="520">
      <formula>DD18</formula>
    </cfRule>
  </conditionalFormatting>
  <conditionalFormatting sqref="DB10:DB16">
    <cfRule type="expression" dxfId="479" priority="529">
      <formula>DB10</formula>
    </cfRule>
  </conditionalFormatting>
  <conditionalFormatting sqref="CZ8">
    <cfRule type="expression" dxfId="478" priority="538">
      <formula>CZ8</formula>
    </cfRule>
  </conditionalFormatting>
  <conditionalFormatting sqref="DH5">
    <cfRule type="expression" dxfId="477" priority="507">
      <formula>DH5</formula>
    </cfRule>
  </conditionalFormatting>
  <conditionalFormatting sqref="DH6">
    <cfRule type="expression" dxfId="476" priority="506">
      <formula>DH6</formula>
    </cfRule>
  </conditionalFormatting>
  <conditionalFormatting sqref="DH17 DH9 DH19">
    <cfRule type="expression" dxfId="475" priority="515">
      <formula>DH9</formula>
    </cfRule>
  </conditionalFormatting>
  <conditionalFormatting sqref="DH7">
    <cfRule type="expression" dxfId="474" priority="514">
      <formula>DH7</formula>
    </cfRule>
  </conditionalFormatting>
  <conditionalFormatting sqref="DB8">
    <cfRule type="expression" dxfId="473" priority="528">
      <formula>DB8</formula>
    </cfRule>
  </conditionalFormatting>
  <conditionalFormatting sqref="CZ6">
    <cfRule type="expression" dxfId="472" priority="536">
      <formula>CZ6</formula>
    </cfRule>
  </conditionalFormatting>
  <conditionalFormatting sqref="DB17 DB9 DB19">
    <cfRule type="expression" dxfId="471" priority="535">
      <formula>DB9</formula>
    </cfRule>
  </conditionalFormatting>
  <conditionalFormatting sqref="DB7">
    <cfRule type="expression" dxfId="470" priority="534">
      <formula>DB7</formula>
    </cfRule>
  </conditionalFormatting>
  <conditionalFormatting sqref="DB5">
    <cfRule type="expression" dxfId="469" priority="527">
      <formula>DB5</formula>
    </cfRule>
  </conditionalFormatting>
  <conditionalFormatting sqref="CX10:CX16">
    <cfRule type="expression" dxfId="468" priority="549">
      <formula>CX10</formula>
    </cfRule>
  </conditionalFormatting>
  <conditionalFormatting sqref="CX8">
    <cfRule type="expression" dxfId="467" priority="548">
      <formula>CX8</formula>
    </cfRule>
  </conditionalFormatting>
  <conditionalFormatting sqref="CX5">
    <cfRule type="expression" dxfId="466" priority="547">
      <formula>CX5</formula>
    </cfRule>
  </conditionalFormatting>
  <conditionalFormatting sqref="CX6">
    <cfRule type="expression" dxfId="465" priority="546">
      <formula>CX6</formula>
    </cfRule>
  </conditionalFormatting>
  <conditionalFormatting sqref="CZ17 CZ9 CZ19">
    <cfRule type="expression" dxfId="464" priority="545">
      <formula>CZ9</formula>
    </cfRule>
  </conditionalFormatting>
  <conditionalFormatting sqref="CZ7">
    <cfRule type="expression" dxfId="463" priority="544">
      <formula>CZ7</formula>
    </cfRule>
  </conditionalFormatting>
  <conditionalFormatting sqref="CZ20:CZ28">
    <cfRule type="expression" dxfId="462" priority="541">
      <formula>CZ20</formula>
    </cfRule>
  </conditionalFormatting>
  <conditionalFormatting sqref="CZ18">
    <cfRule type="expression" dxfId="461" priority="540">
      <formula>CZ18</formula>
    </cfRule>
  </conditionalFormatting>
  <conditionalFormatting sqref="DV9">
    <cfRule type="expression" dxfId="460" priority="640">
      <formula>DV9</formula>
    </cfRule>
  </conditionalFormatting>
  <conditionalFormatting sqref="DX27:DX28">
    <cfRule type="expression" dxfId="459" priority="624">
      <formula>DX27</formula>
    </cfRule>
  </conditionalFormatting>
  <conditionalFormatting sqref="DX20:DX26">
    <cfRule type="expression" dxfId="458" priority="625">
      <formula>DX20</formula>
    </cfRule>
  </conditionalFormatting>
  <conditionalFormatting sqref="DX5">
    <cfRule type="expression" dxfId="457" priority="628">
      <formula>DX5</formula>
    </cfRule>
  </conditionalFormatting>
  <conditionalFormatting sqref="DX6">
    <cfRule type="expression" dxfId="456" priority="627">
      <formula>DX6</formula>
    </cfRule>
  </conditionalFormatting>
  <conditionalFormatting sqref="DX18">
    <cfRule type="expression" dxfId="455" priority="626">
      <formula>DX18</formula>
    </cfRule>
  </conditionalFormatting>
  <conditionalFormatting sqref="CP17 CP19">
    <cfRule type="expression" dxfId="454" priority="595">
      <formula>CP17</formula>
    </cfRule>
  </conditionalFormatting>
  <conditionalFormatting sqref="DZ20:DZ26">
    <cfRule type="expression" dxfId="453" priority="616">
      <formula>DZ20</formula>
    </cfRule>
  </conditionalFormatting>
  <conditionalFormatting sqref="DZ5">
    <cfRule type="expression" dxfId="452" priority="619">
      <formula>DZ5</formula>
    </cfRule>
  </conditionalFormatting>
  <conditionalFormatting sqref="DZ6">
    <cfRule type="expression" dxfId="451" priority="618">
      <formula>DZ6</formula>
    </cfRule>
  </conditionalFormatting>
  <conditionalFormatting sqref="DZ18">
    <cfRule type="expression" dxfId="450" priority="617">
      <formula>DZ18</formula>
    </cfRule>
  </conditionalFormatting>
  <conditionalFormatting sqref="DD5">
    <cfRule type="expression" dxfId="449" priority="517">
      <formula>DD5</formula>
    </cfRule>
  </conditionalFormatting>
  <conditionalFormatting sqref="DD8">
    <cfRule type="expression" dxfId="448" priority="518">
      <formula>DD8</formula>
    </cfRule>
  </conditionalFormatting>
  <conditionalFormatting sqref="DD7">
    <cfRule type="expression" dxfId="447" priority="524">
      <formula>DD7</formula>
    </cfRule>
  </conditionalFormatting>
  <conditionalFormatting sqref="DD20:DD28">
    <cfRule type="expression" dxfId="446" priority="521">
      <formula>DD20</formula>
    </cfRule>
  </conditionalFormatting>
  <conditionalFormatting sqref="DD10:DD16">
    <cfRule type="expression" dxfId="445" priority="519">
      <formula>DD10</formula>
    </cfRule>
  </conditionalFormatting>
  <conditionalFormatting sqref="EB8">
    <cfRule type="expression" dxfId="444" priority="333">
      <formula>EB8</formula>
    </cfRule>
  </conditionalFormatting>
  <conditionalFormatting sqref="ED10:ED16">
    <cfRule type="expression" dxfId="443" priority="331">
      <formula>ED10</formula>
    </cfRule>
  </conditionalFormatting>
  <conditionalFormatting sqref="ED8">
    <cfRule type="expression" dxfId="442" priority="330">
      <formula>ED8</formula>
    </cfRule>
  </conditionalFormatting>
  <conditionalFormatting sqref="EF9">
    <cfRule type="expression" dxfId="441" priority="329">
      <formula>EF9</formula>
    </cfRule>
  </conditionalFormatting>
  <conditionalFormatting sqref="EF10:EF16">
    <cfRule type="expression" dxfId="440" priority="328">
      <formula>EF10</formula>
    </cfRule>
  </conditionalFormatting>
  <conditionalFormatting sqref="DV8">
    <cfRule type="expression" dxfId="439" priority="341">
      <formula>DV8</formula>
    </cfRule>
  </conditionalFormatting>
  <conditionalFormatting sqref="DV10:DV16">
    <cfRule type="expression" dxfId="438" priority="340">
      <formula>DV10</formula>
    </cfRule>
  </conditionalFormatting>
  <conditionalFormatting sqref="DX10:DX16">
    <cfRule type="expression" dxfId="437" priority="339">
      <formula>DX10</formula>
    </cfRule>
  </conditionalFormatting>
  <conditionalFormatting sqref="CP8">
    <cfRule type="expression" dxfId="436" priority="588">
      <formula>CP8</formula>
    </cfRule>
  </conditionalFormatting>
  <conditionalFormatting sqref="CP7">
    <cfRule type="expression" dxfId="435" priority="594">
      <formula>CP7</formula>
    </cfRule>
  </conditionalFormatting>
  <conditionalFormatting sqref="EH5">
    <cfRule type="expression" dxfId="434" priority="401">
      <formula>EH5</formula>
    </cfRule>
  </conditionalFormatting>
  <conditionalFormatting sqref="CP10:CP16">
    <cfRule type="expression" dxfId="433" priority="589">
      <formula>CP10</formula>
    </cfRule>
  </conditionalFormatting>
  <conditionalFormatting sqref="CP5">
    <cfRule type="expression" dxfId="432" priority="587">
      <formula>CP5</formula>
    </cfRule>
  </conditionalFormatting>
  <conditionalFormatting sqref="CP6">
    <cfRule type="expression" dxfId="431" priority="586">
      <formula>CP6</formula>
    </cfRule>
  </conditionalFormatting>
  <conditionalFormatting sqref="CR17 CR9 CR19">
    <cfRule type="expression" dxfId="430" priority="585">
      <formula>CR9</formula>
    </cfRule>
  </conditionalFormatting>
  <conditionalFormatting sqref="CR8">
    <cfRule type="expression" dxfId="429" priority="578">
      <formula>CR8</formula>
    </cfRule>
  </conditionalFormatting>
  <conditionalFormatting sqref="CR7">
    <cfRule type="expression" dxfId="428" priority="584">
      <formula>CR7</formula>
    </cfRule>
  </conditionalFormatting>
  <conditionalFormatting sqref="CR20:CR28">
    <cfRule type="expression" dxfId="427" priority="581">
      <formula>CR20</formula>
    </cfRule>
  </conditionalFormatting>
  <conditionalFormatting sqref="CR18">
    <cfRule type="expression" dxfId="426" priority="580">
      <formula>CR18</formula>
    </cfRule>
  </conditionalFormatting>
  <conditionalFormatting sqref="CR10:CR16">
    <cfRule type="expression" dxfId="425" priority="579">
      <formula>CR10</formula>
    </cfRule>
  </conditionalFormatting>
  <conditionalFormatting sqref="CR5">
    <cfRule type="expression" dxfId="424" priority="577">
      <formula>CR5</formula>
    </cfRule>
  </conditionalFormatting>
  <conditionalFormatting sqref="CR6">
    <cfRule type="expression" dxfId="423" priority="576">
      <formula>CR6</formula>
    </cfRule>
  </conditionalFormatting>
  <conditionalFormatting sqref="EJ27:EJ28">
    <cfRule type="expression" dxfId="422" priority="388">
      <formula>EJ27</formula>
    </cfRule>
  </conditionalFormatting>
  <conditionalFormatting sqref="CT8">
    <cfRule type="expression" dxfId="421" priority="568">
      <formula>CT8</formula>
    </cfRule>
  </conditionalFormatting>
  <conditionalFormatting sqref="EL7 EL17 EL19">
    <cfRule type="expression" dxfId="420" priority="387">
      <formula>EL7</formula>
    </cfRule>
  </conditionalFormatting>
  <conditionalFormatting sqref="CT18">
    <cfRule type="expression" dxfId="419" priority="570">
      <formula>CT18</formula>
    </cfRule>
  </conditionalFormatting>
  <conditionalFormatting sqref="CT10:CT16">
    <cfRule type="expression" dxfId="418" priority="569">
      <formula>CT10</formula>
    </cfRule>
  </conditionalFormatting>
  <conditionalFormatting sqref="CV17 CV9 CV19">
    <cfRule type="expression" dxfId="417" priority="565">
      <formula>CV9</formula>
    </cfRule>
  </conditionalFormatting>
  <conditionalFormatting sqref="CV7">
    <cfRule type="expression" dxfId="416" priority="564">
      <formula>CV7</formula>
    </cfRule>
  </conditionalFormatting>
  <conditionalFormatting sqref="CV6">
    <cfRule type="expression" dxfId="415" priority="556">
      <formula>CV6</formula>
    </cfRule>
  </conditionalFormatting>
  <conditionalFormatting sqref="EL18">
    <cfRule type="expression" dxfId="414" priority="381">
      <formula>EL18</formula>
    </cfRule>
  </conditionalFormatting>
  <conditionalFormatting sqref="EL20:EL26">
    <cfRule type="expression" dxfId="413" priority="380">
      <formula>EL20</formula>
    </cfRule>
  </conditionalFormatting>
  <conditionalFormatting sqref="CV20:CV28">
    <cfRule type="expression" dxfId="412" priority="561">
      <formula>CV20</formula>
    </cfRule>
  </conditionalFormatting>
  <conditionalFormatting sqref="CV18">
    <cfRule type="expression" dxfId="411" priority="560">
      <formula>CV18</formula>
    </cfRule>
  </conditionalFormatting>
  <conditionalFormatting sqref="CV5">
    <cfRule type="expression" dxfId="410" priority="557">
      <formula>CV5</formula>
    </cfRule>
  </conditionalFormatting>
  <conditionalFormatting sqref="CX17 CX9 CX19">
    <cfRule type="expression" dxfId="409" priority="555">
      <formula>CX9</formula>
    </cfRule>
  </conditionalFormatting>
  <conditionalFormatting sqref="CX7">
    <cfRule type="expression" dxfId="408" priority="554">
      <formula>CX7</formula>
    </cfRule>
  </conditionalFormatting>
  <conditionalFormatting sqref="CX20:CX28">
    <cfRule type="expression" dxfId="407" priority="551">
      <formula>CX20</formula>
    </cfRule>
  </conditionalFormatting>
  <conditionalFormatting sqref="CX18">
    <cfRule type="expression" dxfId="406" priority="550">
      <formula>CX18</formula>
    </cfRule>
  </conditionalFormatting>
  <conditionalFormatting sqref="CZ10:CZ16">
    <cfRule type="expression" dxfId="405" priority="539">
      <formula>CZ10</formula>
    </cfRule>
  </conditionalFormatting>
  <conditionalFormatting sqref="CZ5">
    <cfRule type="expression" dxfId="404" priority="537">
      <formula>CZ5</formula>
    </cfRule>
  </conditionalFormatting>
  <conditionalFormatting sqref="DB6">
    <cfRule type="expression" dxfId="403" priority="526">
      <formula>DB6</formula>
    </cfRule>
  </conditionalFormatting>
  <conditionalFormatting sqref="DD17 DD9 DD19">
    <cfRule type="expression" dxfId="402" priority="525">
      <formula>DD9</formula>
    </cfRule>
  </conditionalFormatting>
  <conditionalFormatting sqref="DD6">
    <cfRule type="expression" dxfId="401" priority="516">
      <formula>DD6</formula>
    </cfRule>
  </conditionalFormatting>
  <conditionalFormatting sqref="DH8">
    <cfRule type="expression" dxfId="400" priority="508">
      <formula>DH8</formula>
    </cfRule>
  </conditionalFormatting>
  <conditionalFormatting sqref="DH10:DH16">
    <cfRule type="expression" dxfId="399" priority="509">
      <formula>DH10</formula>
    </cfRule>
  </conditionalFormatting>
  <conditionalFormatting sqref="DH18">
    <cfRule type="expression" dxfId="398" priority="510">
      <formula>DH18</formula>
    </cfRule>
  </conditionalFormatting>
  <conditionalFormatting sqref="DJ17 DJ9 DJ19">
    <cfRule type="expression" dxfId="397" priority="505">
      <formula>DJ9</formula>
    </cfRule>
  </conditionalFormatting>
  <conditionalFormatting sqref="DJ7">
    <cfRule type="expression" dxfId="396" priority="504">
      <formula>DJ7</formula>
    </cfRule>
  </conditionalFormatting>
  <conditionalFormatting sqref="DJ8">
    <cfRule type="expression" dxfId="395" priority="498">
      <formula>DJ8</formula>
    </cfRule>
  </conditionalFormatting>
  <conditionalFormatting sqref="DJ18">
    <cfRule type="expression" dxfId="394" priority="500">
      <formula>DJ18</formula>
    </cfRule>
  </conditionalFormatting>
  <conditionalFormatting sqref="DJ20:DJ28">
    <cfRule type="expression" dxfId="393" priority="501">
      <formula>DJ20</formula>
    </cfRule>
  </conditionalFormatting>
  <conditionalFormatting sqref="DJ10:DJ16">
    <cfRule type="expression" dxfId="392" priority="499">
      <formula>DJ10</formula>
    </cfRule>
  </conditionalFormatting>
  <conditionalFormatting sqref="DJ5">
    <cfRule type="expression" dxfId="391" priority="497">
      <formula>DJ5</formula>
    </cfRule>
  </conditionalFormatting>
  <conditionalFormatting sqref="DJ6">
    <cfRule type="expression" dxfId="390" priority="496">
      <formula>DJ6</formula>
    </cfRule>
  </conditionalFormatting>
  <conditionalFormatting sqref="DL17 DL9 DL19">
    <cfRule type="expression" dxfId="389" priority="495">
      <formula>DL9</formula>
    </cfRule>
  </conditionalFormatting>
  <conditionalFormatting sqref="DL6">
    <cfRule type="expression" dxfId="388" priority="486">
      <formula>DL6</formula>
    </cfRule>
  </conditionalFormatting>
  <conditionalFormatting sqref="DL7">
    <cfRule type="expression" dxfId="387" priority="494">
      <formula>DL7</formula>
    </cfRule>
  </conditionalFormatting>
  <conditionalFormatting sqref="DL20:DL28">
    <cfRule type="expression" dxfId="386" priority="491">
      <formula>DL20</formula>
    </cfRule>
  </conditionalFormatting>
  <conditionalFormatting sqref="DL18">
    <cfRule type="expression" dxfId="385" priority="490">
      <formula>DL18</formula>
    </cfRule>
  </conditionalFormatting>
  <conditionalFormatting sqref="DL10:DL16">
    <cfRule type="expression" dxfId="384" priority="489">
      <formula>DL10</formula>
    </cfRule>
  </conditionalFormatting>
  <conditionalFormatting sqref="DN17 DN9 DN19">
    <cfRule type="expression" dxfId="383" priority="485">
      <formula>DN9</formula>
    </cfRule>
  </conditionalFormatting>
  <conditionalFormatting sqref="DN8">
    <cfRule type="expression" dxfId="382" priority="478">
      <formula>DN8</formula>
    </cfRule>
  </conditionalFormatting>
  <conditionalFormatting sqref="EH8">
    <cfRule type="expression" dxfId="381" priority="324">
      <formula>EH8</formula>
    </cfRule>
  </conditionalFormatting>
  <conditionalFormatting sqref="EH10:EH16">
    <cfRule type="expression" dxfId="380" priority="325">
      <formula>EH10</formula>
    </cfRule>
  </conditionalFormatting>
  <conditionalFormatting sqref="DN10:DN16">
    <cfRule type="expression" dxfId="379" priority="479">
      <formula>DN10</formula>
    </cfRule>
  </conditionalFormatting>
  <conditionalFormatting sqref="DN5">
    <cfRule type="expression" dxfId="378" priority="477">
      <formula>DN5</formula>
    </cfRule>
  </conditionalFormatting>
  <conditionalFormatting sqref="DN6">
    <cfRule type="expression" dxfId="377" priority="476">
      <formula>DN6</formula>
    </cfRule>
  </conditionalFormatting>
  <conditionalFormatting sqref="DP8">
    <cfRule type="expression" dxfId="376" priority="468">
      <formula>DP8</formula>
    </cfRule>
  </conditionalFormatting>
  <conditionalFormatting sqref="DP20:DP28">
    <cfRule type="expression" dxfId="375" priority="471">
      <formula>DP20</formula>
    </cfRule>
  </conditionalFormatting>
  <conditionalFormatting sqref="DP18">
    <cfRule type="expression" dxfId="374" priority="470">
      <formula>DP18</formula>
    </cfRule>
  </conditionalFormatting>
  <conditionalFormatting sqref="DP10:DP16">
    <cfRule type="expression" dxfId="373" priority="469">
      <formula>DP10</formula>
    </cfRule>
  </conditionalFormatting>
  <conditionalFormatting sqref="DP5">
    <cfRule type="expression" dxfId="372" priority="467">
      <formula>DP5</formula>
    </cfRule>
  </conditionalFormatting>
  <conditionalFormatting sqref="DX8">
    <cfRule type="expression" dxfId="371" priority="337">
      <formula>DX8</formula>
    </cfRule>
  </conditionalFormatting>
  <conditionalFormatting sqref="DZ8">
    <cfRule type="expression" dxfId="370" priority="336">
      <formula>DZ8</formula>
    </cfRule>
  </conditionalFormatting>
  <conditionalFormatting sqref="EB9">
    <cfRule type="expression" dxfId="369" priority="335">
      <formula>EB9</formula>
    </cfRule>
  </conditionalFormatting>
  <conditionalFormatting sqref="DR17 DR9 DR19">
    <cfRule type="expression" dxfId="368" priority="454">
      <formula>DR9</formula>
    </cfRule>
  </conditionalFormatting>
  <conditionalFormatting sqref="DR8">
    <cfRule type="expression" dxfId="367" priority="447">
      <formula>DR8</formula>
    </cfRule>
  </conditionalFormatting>
  <conditionalFormatting sqref="DR7">
    <cfRule type="expression" dxfId="366" priority="453">
      <formula>DR7</formula>
    </cfRule>
  </conditionalFormatting>
  <conditionalFormatting sqref="CX36:CX41">
    <cfRule type="expression" dxfId="365" priority="300">
      <formula>CX36</formula>
    </cfRule>
  </conditionalFormatting>
  <conditionalFormatting sqref="CX29:CX34">
    <cfRule type="expression" dxfId="364" priority="299">
      <formula>CX29</formula>
    </cfRule>
  </conditionalFormatting>
  <conditionalFormatting sqref="DR20:DR28">
    <cfRule type="expression" dxfId="363" priority="450">
      <formula>DR20</formula>
    </cfRule>
  </conditionalFormatting>
  <conditionalFormatting sqref="DR18">
    <cfRule type="expression" dxfId="362" priority="449">
      <formula>DR18</formula>
    </cfRule>
  </conditionalFormatting>
  <conditionalFormatting sqref="DR5">
    <cfRule type="expression" dxfId="361" priority="446">
      <formula>DR5</formula>
    </cfRule>
  </conditionalFormatting>
  <conditionalFormatting sqref="DR6">
    <cfRule type="expression" dxfId="360" priority="445">
      <formula>DR6</formula>
    </cfRule>
  </conditionalFormatting>
  <conditionalFormatting sqref="DT4">
    <cfRule type="expression" dxfId="359" priority="444">
      <formula>DT4</formula>
    </cfRule>
  </conditionalFormatting>
  <conditionalFormatting sqref="DT17 DT9 DT19">
    <cfRule type="expression" dxfId="358" priority="443">
      <formula>DT9</formula>
    </cfRule>
  </conditionalFormatting>
  <conditionalFormatting sqref="DT8">
    <cfRule type="expression" dxfId="357" priority="436">
      <formula>DT8</formula>
    </cfRule>
  </conditionalFormatting>
  <conditionalFormatting sqref="DT7">
    <cfRule type="expression" dxfId="356" priority="442">
      <formula>DT7</formula>
    </cfRule>
  </conditionalFormatting>
  <conditionalFormatting sqref="DD35">
    <cfRule type="expression" dxfId="355" priority="292">
      <formula>DD35</formula>
    </cfRule>
  </conditionalFormatting>
  <conditionalFormatting sqref="DD36:DD41">
    <cfRule type="expression" dxfId="354" priority="291">
      <formula>DD36</formula>
    </cfRule>
  </conditionalFormatting>
  <conditionalFormatting sqref="DT20:DT28">
    <cfRule type="expression" dxfId="353" priority="439">
      <formula>DT20</formula>
    </cfRule>
  </conditionalFormatting>
  <conditionalFormatting sqref="DT18">
    <cfRule type="expression" dxfId="352" priority="438">
      <formula>DT18</formula>
    </cfRule>
  </conditionalFormatting>
  <conditionalFormatting sqref="DT10:DT16">
    <cfRule type="expression" dxfId="351" priority="437">
      <formula>DT10</formula>
    </cfRule>
  </conditionalFormatting>
  <conditionalFormatting sqref="DT5">
    <cfRule type="expression" dxfId="350" priority="435">
      <formula>DT5</formula>
    </cfRule>
  </conditionalFormatting>
  <conditionalFormatting sqref="DT6">
    <cfRule type="expression" dxfId="349" priority="434">
      <formula>DT6</formula>
    </cfRule>
  </conditionalFormatting>
  <conditionalFormatting sqref="DV4">
    <cfRule type="expression" dxfId="348" priority="433">
      <formula>DV4</formula>
    </cfRule>
  </conditionalFormatting>
  <conditionalFormatting sqref="EB27:EB28">
    <cfRule type="expression" dxfId="347" priority="424">
      <formula>EB27</formula>
    </cfRule>
  </conditionalFormatting>
  <conditionalFormatting sqref="EF20:EF26">
    <cfRule type="expression" dxfId="346" priority="407">
      <formula>EF20</formula>
    </cfRule>
  </conditionalFormatting>
  <conditionalFormatting sqref="EB20:EB26">
    <cfRule type="expression" dxfId="345" priority="425">
      <formula>EB20</formula>
    </cfRule>
  </conditionalFormatting>
  <conditionalFormatting sqref="EB7 EB17 EB19">
    <cfRule type="expression" dxfId="344" priority="432">
      <formula>EB7</formula>
    </cfRule>
  </conditionalFormatting>
  <conditionalFormatting sqref="EF6">
    <cfRule type="expression" dxfId="343" priority="409">
      <formula>EF6</formula>
    </cfRule>
  </conditionalFormatting>
  <conditionalFormatting sqref="EF18">
    <cfRule type="expression" dxfId="342" priority="408">
      <formula>EF18</formula>
    </cfRule>
  </conditionalFormatting>
  <conditionalFormatting sqref="EB5">
    <cfRule type="expression" dxfId="341" priority="428">
      <formula>EB5</formula>
    </cfRule>
  </conditionalFormatting>
  <conditionalFormatting sqref="EB6">
    <cfRule type="expression" dxfId="340" priority="427">
      <formula>EB6</formula>
    </cfRule>
  </conditionalFormatting>
  <conditionalFormatting sqref="EB18">
    <cfRule type="expression" dxfId="339" priority="426">
      <formula>EB18</formula>
    </cfRule>
  </conditionalFormatting>
  <conditionalFormatting sqref="ED27:ED28">
    <cfRule type="expression" dxfId="338" priority="415">
      <formula>ED27</formula>
    </cfRule>
  </conditionalFormatting>
  <conditionalFormatting sqref="ED20:ED26">
    <cfRule type="expression" dxfId="337" priority="416">
      <formula>ED20</formula>
    </cfRule>
  </conditionalFormatting>
  <conditionalFormatting sqref="ED7 ED17 ED19">
    <cfRule type="expression" dxfId="336" priority="423">
      <formula>ED7</formula>
    </cfRule>
  </conditionalFormatting>
  <conditionalFormatting sqref="ED18">
    <cfRule type="expression" dxfId="335" priority="417">
      <formula>ED18</formula>
    </cfRule>
  </conditionalFormatting>
  <conditionalFormatting sqref="ED6">
    <cfRule type="expression" dxfId="334" priority="418">
      <formula>ED6</formula>
    </cfRule>
  </conditionalFormatting>
  <conditionalFormatting sqref="EF27:EF28">
    <cfRule type="expression" dxfId="333" priority="406">
      <formula>EF27</formula>
    </cfRule>
  </conditionalFormatting>
  <conditionalFormatting sqref="EF7 EF17 EF19">
    <cfRule type="expression" dxfId="332" priority="414">
      <formula>EF7</formula>
    </cfRule>
  </conditionalFormatting>
  <conditionalFormatting sqref="EH27:EH28">
    <cfRule type="expression" dxfId="331" priority="397">
      <formula>EH27</formula>
    </cfRule>
  </conditionalFormatting>
  <conditionalFormatting sqref="EJ7 EJ17 EJ19">
    <cfRule type="expression" dxfId="330" priority="396">
      <formula>EJ7</formula>
    </cfRule>
  </conditionalFormatting>
  <conditionalFormatting sqref="EF5">
    <cfRule type="expression" dxfId="329" priority="410">
      <formula>EF5</formula>
    </cfRule>
  </conditionalFormatting>
  <conditionalFormatting sqref="EJ20:EJ26">
    <cfRule type="expression" dxfId="328" priority="389">
      <formula>EJ20</formula>
    </cfRule>
  </conditionalFormatting>
  <conditionalFormatting sqref="EH20:EH26">
    <cfRule type="expression" dxfId="327" priority="398">
      <formula>EH20</formula>
    </cfRule>
  </conditionalFormatting>
  <conditionalFormatting sqref="EH7 EH17 EH19">
    <cfRule type="expression" dxfId="326" priority="405">
      <formula>EH7</formula>
    </cfRule>
  </conditionalFormatting>
  <conditionalFormatting sqref="EJ6">
    <cfRule type="expression" dxfId="325" priority="391">
      <formula>EJ6</formula>
    </cfRule>
  </conditionalFormatting>
  <conditionalFormatting sqref="EJ18">
    <cfRule type="expression" dxfId="324" priority="390">
      <formula>EJ18</formula>
    </cfRule>
  </conditionalFormatting>
  <conditionalFormatting sqref="EH6">
    <cfRule type="expression" dxfId="323" priority="400">
      <formula>EH6</formula>
    </cfRule>
  </conditionalFormatting>
  <conditionalFormatting sqref="EH18">
    <cfRule type="expression" dxfId="322" priority="399">
      <formula>EH18</formula>
    </cfRule>
  </conditionalFormatting>
  <conditionalFormatting sqref="EL5">
    <cfRule type="expression" dxfId="321" priority="383">
      <formula>EL5</formula>
    </cfRule>
  </conditionalFormatting>
  <conditionalFormatting sqref="EJ5">
    <cfRule type="expression" dxfId="320" priority="392">
      <formula>EJ5</formula>
    </cfRule>
  </conditionalFormatting>
  <conditionalFormatting sqref="EL27:EL28">
    <cfRule type="expression" dxfId="319" priority="379">
      <formula>EL27</formula>
    </cfRule>
  </conditionalFormatting>
  <conditionalFormatting sqref="EL6">
    <cfRule type="expression" dxfId="318" priority="382">
      <formula>EL6</formula>
    </cfRule>
  </conditionalFormatting>
  <conditionalFormatting sqref="EJ9">
    <cfRule type="expression" dxfId="317" priority="323">
      <formula>EJ9</formula>
    </cfRule>
  </conditionalFormatting>
  <conditionalFormatting sqref="EJ10:EJ16">
    <cfRule type="expression" dxfId="316" priority="322">
      <formula>EJ10</formula>
    </cfRule>
  </conditionalFormatting>
  <conditionalFormatting sqref="EJ8">
    <cfRule type="expression" dxfId="315" priority="321">
      <formula>EJ8</formula>
    </cfRule>
  </conditionalFormatting>
  <conditionalFormatting sqref="EL9">
    <cfRule type="expression" dxfId="314" priority="320">
      <formula>EL9</formula>
    </cfRule>
  </conditionalFormatting>
  <conditionalFormatting sqref="EL10:EL16">
    <cfRule type="expression" dxfId="313" priority="319">
      <formula>EL10</formula>
    </cfRule>
  </conditionalFormatting>
  <conditionalFormatting sqref="EB10:EB16">
    <cfRule type="expression" dxfId="312" priority="334">
      <formula>EB10</formula>
    </cfRule>
  </conditionalFormatting>
  <conditionalFormatting sqref="EF8">
    <cfRule type="expression" dxfId="311" priority="327">
      <formula>EF8</formula>
    </cfRule>
  </conditionalFormatting>
  <conditionalFormatting sqref="EH9">
    <cfRule type="expression" dxfId="310" priority="326">
      <formula>EH9</formula>
    </cfRule>
  </conditionalFormatting>
  <conditionalFormatting sqref="CP35">
    <cfRule type="expression" dxfId="309" priority="313">
      <formula>CP35</formula>
    </cfRule>
  </conditionalFormatting>
  <conditionalFormatting sqref="CP36:CP41">
    <cfRule type="expression" dxfId="308" priority="312">
      <formula>CP36</formula>
    </cfRule>
  </conditionalFormatting>
  <conditionalFormatting sqref="CP29:CP34">
    <cfRule type="expression" dxfId="307" priority="311">
      <formula>CP29</formula>
    </cfRule>
  </conditionalFormatting>
  <conditionalFormatting sqref="CR35">
    <cfRule type="expression" dxfId="306" priority="310">
      <formula>CR35</formula>
    </cfRule>
  </conditionalFormatting>
  <conditionalFormatting sqref="CR36:CR41">
    <cfRule type="expression" dxfId="305" priority="309">
      <formula>CR36</formula>
    </cfRule>
  </conditionalFormatting>
  <conditionalFormatting sqref="CR29:CR34">
    <cfRule type="expression" dxfId="304" priority="308">
      <formula>CR29</formula>
    </cfRule>
  </conditionalFormatting>
  <conditionalFormatting sqref="CT35">
    <cfRule type="expression" dxfId="303" priority="307">
      <formula>CT35</formula>
    </cfRule>
  </conditionalFormatting>
  <conditionalFormatting sqref="CT36:CT41">
    <cfRule type="expression" dxfId="302" priority="306">
      <formula>CT36</formula>
    </cfRule>
  </conditionalFormatting>
  <conditionalFormatting sqref="CT29:CT34">
    <cfRule type="expression" dxfId="301" priority="305">
      <formula>CT29</formula>
    </cfRule>
  </conditionalFormatting>
  <conditionalFormatting sqref="CV35">
    <cfRule type="expression" dxfId="300" priority="304">
      <formula>CV35</formula>
    </cfRule>
  </conditionalFormatting>
  <conditionalFormatting sqref="CV36:CV41">
    <cfRule type="expression" dxfId="299" priority="303">
      <formula>CV36</formula>
    </cfRule>
  </conditionalFormatting>
  <conditionalFormatting sqref="CV29:CV34">
    <cfRule type="expression" dxfId="298" priority="302">
      <formula>CV29</formula>
    </cfRule>
  </conditionalFormatting>
  <conditionalFormatting sqref="CX35">
    <cfRule type="expression" dxfId="297" priority="301">
      <formula>CX35</formula>
    </cfRule>
  </conditionalFormatting>
  <conditionalFormatting sqref="CZ35">
    <cfRule type="expression" dxfId="296" priority="298">
      <formula>CZ35</formula>
    </cfRule>
  </conditionalFormatting>
  <conditionalFormatting sqref="CZ36:CZ41">
    <cfRule type="expression" dxfId="295" priority="297">
      <formula>CZ36</formula>
    </cfRule>
  </conditionalFormatting>
  <conditionalFormatting sqref="CZ29:CZ34">
    <cfRule type="expression" dxfId="294" priority="296">
      <formula>CZ29</formula>
    </cfRule>
  </conditionalFormatting>
  <conditionalFormatting sqref="DB35">
    <cfRule type="expression" dxfId="293" priority="295">
      <formula>DB35</formula>
    </cfRule>
  </conditionalFormatting>
  <conditionalFormatting sqref="DB36:DB41">
    <cfRule type="expression" dxfId="292" priority="294">
      <formula>DB36</formula>
    </cfRule>
  </conditionalFormatting>
  <conditionalFormatting sqref="DB29:DB34">
    <cfRule type="expression" dxfId="291" priority="293">
      <formula>DB29</formula>
    </cfRule>
  </conditionalFormatting>
  <conditionalFormatting sqref="DD29:DD34">
    <cfRule type="expression" dxfId="290" priority="290">
      <formula>DD29</formula>
    </cfRule>
  </conditionalFormatting>
  <conditionalFormatting sqref="DH35">
    <cfRule type="expression" dxfId="289" priority="289">
      <formula>DH35</formula>
    </cfRule>
  </conditionalFormatting>
  <conditionalFormatting sqref="DH36:DH41">
    <cfRule type="expression" dxfId="288" priority="288">
      <formula>DH36</formula>
    </cfRule>
  </conditionalFormatting>
  <conditionalFormatting sqref="DH29:DH34">
    <cfRule type="expression" dxfId="287" priority="287">
      <formula>DH29</formula>
    </cfRule>
  </conditionalFormatting>
  <conditionalFormatting sqref="DJ35">
    <cfRule type="expression" dxfId="286" priority="286">
      <formula>DJ35</formula>
    </cfRule>
  </conditionalFormatting>
  <conditionalFormatting sqref="DJ36:DJ41">
    <cfRule type="expression" dxfId="285" priority="285">
      <formula>DJ36</formula>
    </cfRule>
  </conditionalFormatting>
  <conditionalFormatting sqref="DJ29:DJ34">
    <cfRule type="expression" dxfId="284" priority="284">
      <formula>DJ29</formula>
    </cfRule>
  </conditionalFormatting>
  <conditionalFormatting sqref="DL35">
    <cfRule type="expression" dxfId="283" priority="283">
      <formula>DL35</formula>
    </cfRule>
  </conditionalFormatting>
  <conditionalFormatting sqref="DL36:DL41">
    <cfRule type="expression" dxfId="282" priority="282">
      <formula>DL36</formula>
    </cfRule>
  </conditionalFormatting>
  <conditionalFormatting sqref="DL29:DL34">
    <cfRule type="expression" dxfId="281" priority="281">
      <formula>DL29</formula>
    </cfRule>
  </conditionalFormatting>
  <conditionalFormatting sqref="DN35">
    <cfRule type="expression" dxfId="280" priority="280">
      <formula>DN35</formula>
    </cfRule>
  </conditionalFormatting>
  <conditionalFormatting sqref="DN36:DN41">
    <cfRule type="expression" dxfId="279" priority="279">
      <formula>DN36</formula>
    </cfRule>
  </conditionalFormatting>
  <conditionalFormatting sqref="DN29:DN34">
    <cfRule type="expression" dxfId="278" priority="278">
      <formula>DN29</formula>
    </cfRule>
  </conditionalFormatting>
  <conditionalFormatting sqref="DP35">
    <cfRule type="expression" dxfId="277" priority="277">
      <formula>DP35</formula>
    </cfRule>
  </conditionalFormatting>
  <conditionalFormatting sqref="DP36:DP41">
    <cfRule type="expression" dxfId="276" priority="276">
      <formula>DP36</formula>
    </cfRule>
  </conditionalFormatting>
  <conditionalFormatting sqref="DP29:DP34">
    <cfRule type="expression" dxfId="275" priority="275">
      <formula>DP29</formula>
    </cfRule>
  </conditionalFormatting>
  <conditionalFormatting sqref="DR35">
    <cfRule type="expression" dxfId="274" priority="274">
      <formula>DR35</formula>
    </cfRule>
  </conditionalFormatting>
  <conditionalFormatting sqref="DR36:DR41">
    <cfRule type="expression" dxfId="273" priority="273">
      <formula>DR36</formula>
    </cfRule>
  </conditionalFormatting>
  <conditionalFormatting sqref="DR29:DR34">
    <cfRule type="expression" dxfId="272" priority="272">
      <formula>DR29</formula>
    </cfRule>
  </conditionalFormatting>
  <conditionalFormatting sqref="DT35">
    <cfRule type="expression" dxfId="271" priority="271">
      <formula>DT35</formula>
    </cfRule>
  </conditionalFormatting>
  <conditionalFormatting sqref="DT36:DT41">
    <cfRule type="expression" dxfId="270" priority="270">
      <formula>DT36</formula>
    </cfRule>
  </conditionalFormatting>
  <conditionalFormatting sqref="DT29:DT34">
    <cfRule type="expression" dxfId="269" priority="269">
      <formula>DT29</formula>
    </cfRule>
  </conditionalFormatting>
  <conditionalFormatting sqref="DV35">
    <cfRule type="expression" dxfId="268" priority="268">
      <formula>DV35</formula>
    </cfRule>
  </conditionalFormatting>
  <conditionalFormatting sqref="DV36:DV41">
    <cfRule type="expression" dxfId="267" priority="267">
      <formula>DV36</formula>
    </cfRule>
  </conditionalFormatting>
  <conditionalFormatting sqref="DV29:DV34">
    <cfRule type="expression" dxfId="266" priority="266">
      <formula>DV29</formula>
    </cfRule>
  </conditionalFormatting>
  <conditionalFormatting sqref="DX35">
    <cfRule type="expression" dxfId="265" priority="265">
      <formula>DX35</formula>
    </cfRule>
  </conditionalFormatting>
  <conditionalFormatting sqref="DX36:DX41">
    <cfRule type="expression" dxfId="264" priority="264">
      <formula>DX36</formula>
    </cfRule>
  </conditionalFormatting>
  <conditionalFormatting sqref="DX29:DX34">
    <cfRule type="expression" dxfId="263" priority="263">
      <formula>DX29</formula>
    </cfRule>
  </conditionalFormatting>
  <conditionalFormatting sqref="DZ35">
    <cfRule type="expression" dxfId="262" priority="262">
      <formula>DZ35</formula>
    </cfRule>
  </conditionalFormatting>
  <conditionalFormatting sqref="DZ36:DZ41">
    <cfRule type="expression" dxfId="261" priority="261">
      <formula>DZ36</formula>
    </cfRule>
  </conditionalFormatting>
  <conditionalFormatting sqref="DZ29:DZ34">
    <cfRule type="expression" dxfId="260" priority="260">
      <formula>DZ29</formula>
    </cfRule>
  </conditionalFormatting>
  <conditionalFormatting sqref="EB35">
    <cfRule type="expression" dxfId="259" priority="259">
      <formula>EB35</formula>
    </cfRule>
  </conditionalFormatting>
  <conditionalFormatting sqref="EB36:EB41">
    <cfRule type="expression" dxfId="258" priority="258">
      <formula>EB36</formula>
    </cfRule>
  </conditionalFormatting>
  <conditionalFormatting sqref="EB29:EB34">
    <cfRule type="expression" dxfId="257" priority="257">
      <formula>EB29</formula>
    </cfRule>
  </conditionalFormatting>
  <conditionalFormatting sqref="ED35">
    <cfRule type="expression" dxfId="256" priority="256">
      <formula>ED35</formula>
    </cfRule>
  </conditionalFormatting>
  <conditionalFormatting sqref="ED36:ED41">
    <cfRule type="expression" dxfId="255" priority="255">
      <formula>ED36</formula>
    </cfRule>
  </conditionalFormatting>
  <conditionalFormatting sqref="ED29:ED34">
    <cfRule type="expression" dxfId="254" priority="254">
      <formula>ED29</formula>
    </cfRule>
  </conditionalFormatting>
  <conditionalFormatting sqref="EF35">
    <cfRule type="expression" dxfId="253" priority="253">
      <formula>EF35</formula>
    </cfRule>
  </conditionalFormatting>
  <conditionalFormatting sqref="EF36:EF41">
    <cfRule type="expression" dxfId="252" priority="252">
      <formula>EF36</formula>
    </cfRule>
  </conditionalFormatting>
  <conditionalFormatting sqref="EF29:EF34">
    <cfRule type="expression" dxfId="251" priority="251">
      <formula>EF29</formula>
    </cfRule>
  </conditionalFormatting>
  <conditionalFormatting sqref="EH35">
    <cfRule type="expression" dxfId="250" priority="250">
      <formula>EH35</formula>
    </cfRule>
  </conditionalFormatting>
  <conditionalFormatting sqref="EH36:EH41">
    <cfRule type="expression" dxfId="249" priority="249">
      <formula>EH36</formula>
    </cfRule>
  </conditionalFormatting>
  <conditionalFormatting sqref="EH29:EH34">
    <cfRule type="expression" dxfId="248" priority="248">
      <formula>EH29</formula>
    </cfRule>
  </conditionalFormatting>
  <conditionalFormatting sqref="EJ35">
    <cfRule type="expression" dxfId="247" priority="247">
      <formula>EJ35</formula>
    </cfRule>
  </conditionalFormatting>
  <conditionalFormatting sqref="EJ36:EJ41">
    <cfRule type="expression" dxfId="246" priority="246">
      <formula>EJ36</formula>
    </cfRule>
  </conditionalFormatting>
  <conditionalFormatting sqref="EJ29:EJ34">
    <cfRule type="expression" dxfId="245" priority="245">
      <formula>EJ29</formula>
    </cfRule>
  </conditionalFormatting>
  <conditionalFormatting sqref="EL35">
    <cfRule type="expression" dxfId="244" priority="244">
      <formula>EL35</formula>
    </cfRule>
  </conditionalFormatting>
  <conditionalFormatting sqref="EL36:EL41">
    <cfRule type="expression" dxfId="243" priority="243">
      <formula>EL36</formula>
    </cfRule>
  </conditionalFormatting>
  <conditionalFormatting sqref="EL29:EL34">
    <cfRule type="expression" dxfId="242" priority="242">
      <formula>EL29</formula>
    </cfRule>
  </conditionalFormatting>
  <conditionalFormatting sqref="CO7">
    <cfRule type="expression" dxfId="241" priority="241">
      <formula>CO7</formula>
    </cfRule>
  </conditionalFormatting>
  <conditionalFormatting sqref="CO17">
    <cfRule type="expression" dxfId="240" priority="240">
      <formula>CO17</formula>
    </cfRule>
  </conditionalFormatting>
  <conditionalFormatting sqref="CO19">
    <cfRule type="expression" dxfId="239" priority="239">
      <formula>CO19</formula>
    </cfRule>
  </conditionalFormatting>
  <conditionalFormatting sqref="CO35">
    <cfRule type="expression" dxfId="238" priority="238">
      <formula>CO35</formula>
    </cfRule>
  </conditionalFormatting>
  <conditionalFormatting sqref="CU7">
    <cfRule type="expression" dxfId="237" priority="229">
      <formula>CU7</formula>
    </cfRule>
  </conditionalFormatting>
  <conditionalFormatting sqref="CU17">
    <cfRule type="expression" dxfId="236" priority="228">
      <formula>CU17</formula>
    </cfRule>
  </conditionalFormatting>
  <conditionalFormatting sqref="CU19">
    <cfRule type="expression" dxfId="235" priority="227">
      <formula>CU19</formula>
    </cfRule>
  </conditionalFormatting>
  <conditionalFormatting sqref="CW7">
    <cfRule type="expression" dxfId="234" priority="226">
      <formula>CW7</formula>
    </cfRule>
  </conditionalFormatting>
  <conditionalFormatting sqref="CY7">
    <cfRule type="expression" dxfId="233" priority="225">
      <formula>CY7</formula>
    </cfRule>
  </conditionalFormatting>
  <conditionalFormatting sqref="CY9">
    <cfRule type="expression" dxfId="232" priority="224">
      <formula>CY9</formula>
    </cfRule>
  </conditionalFormatting>
  <conditionalFormatting sqref="CW9">
    <cfRule type="expression" dxfId="231" priority="223">
      <formula>CW9</formula>
    </cfRule>
  </conditionalFormatting>
  <conditionalFormatting sqref="CU9">
    <cfRule type="expression" dxfId="230" priority="222">
      <formula>CU9</formula>
    </cfRule>
  </conditionalFormatting>
  <conditionalFormatting sqref="CW17">
    <cfRule type="expression" dxfId="229" priority="219">
      <formula>CW17</formula>
    </cfRule>
  </conditionalFormatting>
  <conditionalFormatting sqref="CY17">
    <cfRule type="expression" dxfId="228" priority="218">
      <formula>CY17</formula>
    </cfRule>
  </conditionalFormatting>
  <conditionalFormatting sqref="CW19">
    <cfRule type="expression" dxfId="227" priority="217">
      <formula>CW19</formula>
    </cfRule>
  </conditionalFormatting>
  <conditionalFormatting sqref="CY19">
    <cfRule type="expression" dxfId="226" priority="216">
      <formula>CY19</formula>
    </cfRule>
  </conditionalFormatting>
  <conditionalFormatting sqref="CU35">
    <cfRule type="expression" dxfId="225" priority="215">
      <formula>CU35</formula>
    </cfRule>
  </conditionalFormatting>
  <conditionalFormatting sqref="CY35">
    <cfRule type="expression" dxfId="224" priority="214">
      <formula>CY35</formula>
    </cfRule>
  </conditionalFormatting>
  <conditionalFormatting sqref="CW35">
    <cfRule type="expression" dxfId="223" priority="213">
      <formula>CW35</formula>
    </cfRule>
  </conditionalFormatting>
  <conditionalFormatting sqref="DA7">
    <cfRule type="expression" dxfId="222" priority="212">
      <formula>DA7</formula>
    </cfRule>
  </conditionalFormatting>
  <conditionalFormatting sqref="DA9">
    <cfRule type="expression" dxfId="221" priority="211">
      <formula>DA9</formula>
    </cfRule>
  </conditionalFormatting>
  <conditionalFormatting sqref="DC7">
    <cfRule type="expression" dxfId="220" priority="210">
      <formula>DC7</formula>
    </cfRule>
  </conditionalFormatting>
  <conditionalFormatting sqref="DC9">
    <cfRule type="expression" dxfId="219" priority="209">
      <formula>DC9</formula>
    </cfRule>
  </conditionalFormatting>
  <conditionalFormatting sqref="DE7">
    <cfRule type="expression" dxfId="218" priority="208">
      <formula>DE7</formula>
    </cfRule>
  </conditionalFormatting>
  <conditionalFormatting sqref="DE9">
    <cfRule type="expression" dxfId="217" priority="207">
      <formula>DE9</formula>
    </cfRule>
  </conditionalFormatting>
  <conditionalFormatting sqref="DA17">
    <cfRule type="expression" dxfId="216" priority="206">
      <formula>DA17</formula>
    </cfRule>
  </conditionalFormatting>
  <conditionalFormatting sqref="DC17">
    <cfRule type="expression" dxfId="215" priority="205">
      <formula>DC17</formula>
    </cfRule>
  </conditionalFormatting>
  <conditionalFormatting sqref="DE17">
    <cfRule type="expression" dxfId="214" priority="204">
      <formula>DE17</formula>
    </cfRule>
  </conditionalFormatting>
  <conditionalFormatting sqref="DE19">
    <cfRule type="expression" dxfId="213" priority="203">
      <formula>DE19</formula>
    </cfRule>
  </conditionalFormatting>
  <conditionalFormatting sqref="DC19">
    <cfRule type="expression" dxfId="212" priority="202">
      <formula>DC19</formula>
    </cfRule>
  </conditionalFormatting>
  <conditionalFormatting sqref="DA19">
    <cfRule type="expression" dxfId="211" priority="201">
      <formula>DA19</formula>
    </cfRule>
  </conditionalFormatting>
  <conditionalFormatting sqref="DA35">
    <cfRule type="expression" dxfId="210" priority="200">
      <formula>DA35</formula>
    </cfRule>
  </conditionalFormatting>
  <conditionalFormatting sqref="DC35">
    <cfRule type="expression" dxfId="209" priority="199">
      <formula>DC35</formula>
    </cfRule>
  </conditionalFormatting>
  <conditionalFormatting sqref="DE35">
    <cfRule type="expression" dxfId="208" priority="198">
      <formula>DE35</formula>
    </cfRule>
  </conditionalFormatting>
  <conditionalFormatting sqref="DI7">
    <cfRule type="expression" dxfId="207" priority="197">
      <formula>DI7</formula>
    </cfRule>
  </conditionalFormatting>
  <conditionalFormatting sqref="DK7">
    <cfRule type="expression" dxfId="206" priority="196">
      <formula>DK7</formula>
    </cfRule>
  </conditionalFormatting>
  <conditionalFormatting sqref="DM7">
    <cfRule type="expression" dxfId="205" priority="195">
      <formula>DM7</formula>
    </cfRule>
  </conditionalFormatting>
  <conditionalFormatting sqref="DI9">
    <cfRule type="expression" dxfId="204" priority="194">
      <formula>DI9</formula>
    </cfRule>
  </conditionalFormatting>
  <conditionalFormatting sqref="DK9">
    <cfRule type="expression" dxfId="203" priority="193">
      <formula>DK9</formula>
    </cfRule>
  </conditionalFormatting>
  <conditionalFormatting sqref="DM9">
    <cfRule type="expression" dxfId="202" priority="192">
      <formula>DM9</formula>
    </cfRule>
  </conditionalFormatting>
  <conditionalFormatting sqref="DI17">
    <cfRule type="expression" dxfId="201" priority="191">
      <formula>DI17</formula>
    </cfRule>
  </conditionalFormatting>
  <conditionalFormatting sqref="DI19">
    <cfRule type="expression" dxfId="200" priority="190">
      <formula>DI19</formula>
    </cfRule>
  </conditionalFormatting>
  <conditionalFormatting sqref="DK17">
    <cfRule type="expression" dxfId="199" priority="189">
      <formula>DK17</formula>
    </cfRule>
  </conditionalFormatting>
  <conditionalFormatting sqref="DK19">
    <cfRule type="expression" dxfId="198" priority="188">
      <formula>DK19</formula>
    </cfRule>
  </conditionalFormatting>
  <conditionalFormatting sqref="DM17">
    <cfRule type="expression" dxfId="197" priority="187">
      <formula>DM17</formula>
    </cfRule>
  </conditionalFormatting>
  <conditionalFormatting sqref="DM19">
    <cfRule type="expression" dxfId="196" priority="186">
      <formula>DM19</formula>
    </cfRule>
  </conditionalFormatting>
  <conditionalFormatting sqref="DI35">
    <cfRule type="expression" dxfId="195" priority="185">
      <formula>DI35</formula>
    </cfRule>
  </conditionalFormatting>
  <conditionalFormatting sqref="DK35">
    <cfRule type="expression" dxfId="194" priority="184">
      <formula>DK35</formula>
    </cfRule>
  </conditionalFormatting>
  <conditionalFormatting sqref="DM35">
    <cfRule type="expression" dxfId="193" priority="183">
      <formula>DM35</formula>
    </cfRule>
  </conditionalFormatting>
  <conditionalFormatting sqref="DO7">
    <cfRule type="expression" dxfId="192" priority="182">
      <formula>DO7</formula>
    </cfRule>
  </conditionalFormatting>
  <conditionalFormatting sqref="DQ7">
    <cfRule type="expression" dxfId="191" priority="181">
      <formula>DQ7</formula>
    </cfRule>
  </conditionalFormatting>
  <conditionalFormatting sqref="DS7">
    <cfRule type="expression" dxfId="190" priority="180">
      <formula>DS7</formula>
    </cfRule>
  </conditionalFormatting>
  <conditionalFormatting sqref="DS9">
    <cfRule type="expression" dxfId="189" priority="179">
      <formula>DS9</formula>
    </cfRule>
  </conditionalFormatting>
  <conditionalFormatting sqref="DQ9">
    <cfRule type="expression" dxfId="188" priority="178">
      <formula>DQ9</formula>
    </cfRule>
  </conditionalFormatting>
  <conditionalFormatting sqref="DO9">
    <cfRule type="expression" dxfId="187" priority="177">
      <formula>DO9</formula>
    </cfRule>
  </conditionalFormatting>
  <conditionalFormatting sqref="DO17">
    <cfRule type="expression" dxfId="186" priority="176">
      <formula>DO17</formula>
    </cfRule>
  </conditionalFormatting>
  <conditionalFormatting sqref="DO19">
    <cfRule type="expression" dxfId="185" priority="175">
      <formula>DO19</formula>
    </cfRule>
  </conditionalFormatting>
  <conditionalFormatting sqref="DQ17">
    <cfRule type="expression" dxfId="184" priority="174">
      <formula>DQ17</formula>
    </cfRule>
  </conditionalFormatting>
  <conditionalFormatting sqref="DQ19">
    <cfRule type="expression" dxfId="183" priority="173">
      <formula>DQ19</formula>
    </cfRule>
  </conditionalFormatting>
  <conditionalFormatting sqref="DS17">
    <cfRule type="expression" dxfId="182" priority="172">
      <formula>DS17</formula>
    </cfRule>
  </conditionalFormatting>
  <conditionalFormatting sqref="DS19">
    <cfRule type="expression" dxfId="181" priority="171">
      <formula>DS19</formula>
    </cfRule>
  </conditionalFormatting>
  <conditionalFormatting sqref="DO35">
    <cfRule type="expression" dxfId="180" priority="170">
      <formula>DO35</formula>
    </cfRule>
  </conditionalFormatting>
  <conditionalFormatting sqref="DQ35">
    <cfRule type="expression" dxfId="179" priority="169">
      <formula>DQ35</formula>
    </cfRule>
  </conditionalFormatting>
  <conditionalFormatting sqref="DS35">
    <cfRule type="expression" dxfId="178" priority="168">
      <formula>DS35</formula>
    </cfRule>
  </conditionalFormatting>
  <conditionalFormatting sqref="DU7">
    <cfRule type="expression" dxfId="177" priority="167">
      <formula>DU7</formula>
    </cfRule>
  </conditionalFormatting>
  <conditionalFormatting sqref="DY7">
    <cfRule type="expression" dxfId="176" priority="166">
      <formula>DY7</formula>
    </cfRule>
  </conditionalFormatting>
  <conditionalFormatting sqref="DY9">
    <cfRule type="expression" dxfId="175" priority="165">
      <formula>DY9</formula>
    </cfRule>
  </conditionalFormatting>
  <conditionalFormatting sqref="DW9">
    <cfRule type="expression" dxfId="174" priority="164">
      <formula>DW9</formula>
    </cfRule>
  </conditionalFormatting>
  <conditionalFormatting sqref="DU9">
    <cfRule type="expression" dxfId="173" priority="163">
      <formula>DU9</formula>
    </cfRule>
  </conditionalFormatting>
  <conditionalFormatting sqref="DU17">
    <cfRule type="expression" dxfId="172" priority="162">
      <formula>DU17</formula>
    </cfRule>
  </conditionalFormatting>
  <conditionalFormatting sqref="DU19">
    <cfRule type="expression" dxfId="171" priority="161">
      <formula>DU19</formula>
    </cfRule>
  </conditionalFormatting>
  <conditionalFormatting sqref="DW17">
    <cfRule type="expression" dxfId="170" priority="160">
      <formula>DW17</formula>
    </cfRule>
  </conditionalFormatting>
  <conditionalFormatting sqref="DW19">
    <cfRule type="expression" dxfId="169" priority="159">
      <formula>DW19</formula>
    </cfRule>
  </conditionalFormatting>
  <conditionalFormatting sqref="DY17">
    <cfRule type="expression" dxfId="168" priority="158">
      <formula>DY17</formula>
    </cfRule>
  </conditionalFormatting>
  <conditionalFormatting sqref="DY19">
    <cfRule type="expression" dxfId="167" priority="157">
      <formula>DY19</formula>
    </cfRule>
  </conditionalFormatting>
  <conditionalFormatting sqref="DY35">
    <cfRule type="expression" dxfId="166" priority="156">
      <formula>DY35</formula>
    </cfRule>
  </conditionalFormatting>
  <conditionalFormatting sqref="DW35">
    <cfRule type="expression" dxfId="165" priority="155">
      <formula>DW35</formula>
    </cfRule>
  </conditionalFormatting>
  <conditionalFormatting sqref="DU35">
    <cfRule type="expression" dxfId="164" priority="154">
      <formula>DU35</formula>
    </cfRule>
  </conditionalFormatting>
  <conditionalFormatting sqref="DW7">
    <cfRule type="expression" dxfId="163" priority="153">
      <formula>DW7</formula>
    </cfRule>
  </conditionalFormatting>
  <conditionalFormatting sqref="EA7">
    <cfRule type="expression" dxfId="162" priority="152">
      <formula>EA7</formula>
    </cfRule>
  </conditionalFormatting>
  <conditionalFormatting sqref="EA9">
    <cfRule type="expression" dxfId="161" priority="151">
      <formula>EA9</formula>
    </cfRule>
  </conditionalFormatting>
  <conditionalFormatting sqref="EA17">
    <cfRule type="expression" dxfId="160" priority="150">
      <formula>EA17</formula>
    </cfRule>
  </conditionalFormatting>
  <conditionalFormatting sqref="EA19">
    <cfRule type="expression" dxfId="159" priority="149">
      <formula>EA19</formula>
    </cfRule>
  </conditionalFormatting>
  <conditionalFormatting sqref="EA35">
    <cfRule type="expression" dxfId="158" priority="148">
      <formula>EA35</formula>
    </cfRule>
  </conditionalFormatting>
  <conditionalFormatting sqref="EC35">
    <cfRule type="expression" dxfId="157" priority="147">
      <formula>EC35</formula>
    </cfRule>
  </conditionalFormatting>
  <conditionalFormatting sqref="EE35">
    <cfRule type="expression" dxfId="156" priority="146">
      <formula>EE35</formula>
    </cfRule>
  </conditionalFormatting>
  <conditionalFormatting sqref="EC19">
    <cfRule type="expression" dxfId="155" priority="145">
      <formula>EC19</formula>
    </cfRule>
  </conditionalFormatting>
  <conditionalFormatting sqref="EC17">
    <cfRule type="expression" dxfId="154" priority="144">
      <formula>EC17</formula>
    </cfRule>
  </conditionalFormatting>
  <conditionalFormatting sqref="EE17">
    <cfRule type="expression" dxfId="153" priority="143">
      <formula>EE17</formula>
    </cfRule>
  </conditionalFormatting>
  <conditionalFormatting sqref="EE19">
    <cfRule type="expression" dxfId="152" priority="142">
      <formula>EE19</formula>
    </cfRule>
  </conditionalFormatting>
  <conditionalFormatting sqref="EC9">
    <cfRule type="expression" dxfId="151" priority="141">
      <formula>EC9</formula>
    </cfRule>
  </conditionalFormatting>
  <conditionalFormatting sqref="EE9">
    <cfRule type="expression" dxfId="150" priority="140">
      <formula>EE9</formula>
    </cfRule>
  </conditionalFormatting>
  <conditionalFormatting sqref="EC7">
    <cfRule type="expression" dxfId="149" priority="139">
      <formula>EC7</formula>
    </cfRule>
  </conditionalFormatting>
  <conditionalFormatting sqref="EE7">
    <cfRule type="expression" dxfId="148" priority="138">
      <formula>EE7</formula>
    </cfRule>
  </conditionalFormatting>
  <conditionalFormatting sqref="EG7">
    <cfRule type="expression" dxfId="147" priority="137">
      <formula>EG7</formula>
    </cfRule>
  </conditionalFormatting>
  <conditionalFormatting sqref="EI7">
    <cfRule type="expression" dxfId="146" priority="136">
      <formula>EI7</formula>
    </cfRule>
  </conditionalFormatting>
  <conditionalFormatting sqref="EK7">
    <cfRule type="expression" dxfId="145" priority="135">
      <formula>EK7</formula>
    </cfRule>
  </conditionalFormatting>
  <conditionalFormatting sqref="EG17">
    <cfRule type="expression" dxfId="144" priority="134">
      <formula>EG17</formula>
    </cfRule>
  </conditionalFormatting>
  <conditionalFormatting sqref="EG9">
    <cfRule type="expression" dxfId="143" priority="133">
      <formula>EG9</formula>
    </cfRule>
  </conditionalFormatting>
  <conditionalFormatting sqref="EI9">
    <cfRule type="expression" dxfId="142" priority="132">
      <formula>EI9</formula>
    </cfRule>
  </conditionalFormatting>
  <conditionalFormatting sqref="EI17">
    <cfRule type="expression" dxfId="141" priority="131">
      <formula>EI17</formula>
    </cfRule>
  </conditionalFormatting>
  <conditionalFormatting sqref="EI19">
    <cfRule type="expression" dxfId="140" priority="130">
      <formula>EI19</formula>
    </cfRule>
  </conditionalFormatting>
  <conditionalFormatting sqref="EG19">
    <cfRule type="expression" dxfId="139" priority="129">
      <formula>EG19</formula>
    </cfRule>
  </conditionalFormatting>
  <conditionalFormatting sqref="EK9">
    <cfRule type="expression" dxfId="138" priority="128">
      <formula>EK9</formula>
    </cfRule>
  </conditionalFormatting>
  <conditionalFormatting sqref="EK17">
    <cfRule type="expression" dxfId="137" priority="127">
      <formula>EK17</formula>
    </cfRule>
  </conditionalFormatting>
  <conditionalFormatting sqref="EK19">
    <cfRule type="expression" dxfId="136" priority="126">
      <formula>EK19</formula>
    </cfRule>
  </conditionalFormatting>
  <conditionalFormatting sqref="EG35">
    <cfRule type="expression" dxfId="135" priority="125">
      <formula>EG35</formula>
    </cfRule>
  </conditionalFormatting>
  <conditionalFormatting sqref="EI35">
    <cfRule type="expression" dxfId="134" priority="124">
      <formula>EI35</formula>
    </cfRule>
  </conditionalFormatting>
  <conditionalFormatting sqref="EK35">
    <cfRule type="expression" dxfId="133" priority="123">
      <formula>EK35</formula>
    </cfRule>
  </conditionalFormatting>
  <conditionalFormatting sqref="BY2">
    <cfRule type="expression" dxfId="132" priority="122">
      <formula>BY2</formula>
    </cfRule>
  </conditionalFormatting>
  <conditionalFormatting sqref="BY4:CJ4">
    <cfRule type="expression" dxfId="131" priority="121">
      <formula>BY4</formula>
    </cfRule>
  </conditionalFormatting>
  <conditionalFormatting sqref="BY7:CA7 BY9:CA9 BY17:CA17 BY19:CA19 BY35:CA35">
    <cfRule type="expression" dxfId="130" priority="120">
      <formula>BY7</formula>
    </cfRule>
  </conditionalFormatting>
  <conditionalFormatting sqref="EN4">
    <cfRule type="expression" dxfId="129" priority="119">
      <formula>EN4</formula>
    </cfRule>
  </conditionalFormatting>
  <conditionalFormatting sqref="EN8">
    <cfRule type="expression" dxfId="128" priority="110">
      <formula>EN8</formula>
    </cfRule>
  </conditionalFormatting>
  <conditionalFormatting sqref="EN7 EN17 EN19">
    <cfRule type="expression" dxfId="127" priority="118">
      <formula>EN7</formula>
    </cfRule>
  </conditionalFormatting>
  <conditionalFormatting sqref="EN18">
    <cfRule type="expression" dxfId="126" priority="115">
      <formula>EN18</formula>
    </cfRule>
  </conditionalFormatting>
  <conditionalFormatting sqref="EN20:EN26">
    <cfRule type="expression" dxfId="125" priority="114">
      <formula>EN20</formula>
    </cfRule>
  </conditionalFormatting>
  <conditionalFormatting sqref="EN5">
    <cfRule type="expression" dxfId="124" priority="117">
      <formula>EN5</formula>
    </cfRule>
  </conditionalFormatting>
  <conditionalFormatting sqref="EN27:EN28">
    <cfRule type="expression" dxfId="123" priority="113">
      <formula>EN27</formula>
    </cfRule>
  </conditionalFormatting>
  <conditionalFormatting sqref="EN6">
    <cfRule type="expression" dxfId="122" priority="116">
      <formula>EN6</formula>
    </cfRule>
  </conditionalFormatting>
  <conditionalFormatting sqref="EN9">
    <cfRule type="expression" dxfId="121" priority="112">
      <formula>EN9</formula>
    </cfRule>
  </conditionalFormatting>
  <conditionalFormatting sqref="EN10:EN16">
    <cfRule type="expression" dxfId="120" priority="111">
      <formula>EN10</formula>
    </cfRule>
  </conditionalFormatting>
  <conditionalFormatting sqref="EN35">
    <cfRule type="expression" dxfId="119" priority="109">
      <formula>EN35</formula>
    </cfRule>
  </conditionalFormatting>
  <conditionalFormatting sqref="EN36:EN41">
    <cfRule type="expression" dxfId="118" priority="108">
      <formula>EN36</formula>
    </cfRule>
  </conditionalFormatting>
  <conditionalFormatting sqref="EN29:EN34">
    <cfRule type="expression" dxfId="117" priority="107">
      <formula>EN29</formula>
    </cfRule>
  </conditionalFormatting>
  <conditionalFormatting sqref="EM7">
    <cfRule type="expression" dxfId="116" priority="106">
      <formula>EM7</formula>
    </cfRule>
  </conditionalFormatting>
  <conditionalFormatting sqref="EM9">
    <cfRule type="expression" dxfId="115" priority="105">
      <formula>EM9</formula>
    </cfRule>
  </conditionalFormatting>
  <conditionalFormatting sqref="EM17">
    <cfRule type="expression" dxfId="114" priority="104">
      <formula>EM17</formula>
    </cfRule>
  </conditionalFormatting>
  <conditionalFormatting sqref="EM19">
    <cfRule type="expression" dxfId="113" priority="103">
      <formula>EM19</formula>
    </cfRule>
  </conditionalFormatting>
  <conditionalFormatting sqref="EM35">
    <cfRule type="expression" dxfId="112" priority="102">
      <formula>EM35</formula>
    </cfRule>
  </conditionalFormatting>
  <conditionalFormatting sqref="EO35">
    <cfRule type="expression" dxfId="111" priority="101">
      <formula>EO35</formula>
    </cfRule>
  </conditionalFormatting>
  <conditionalFormatting sqref="EO19">
    <cfRule type="expression" dxfId="110" priority="100">
      <formula>EO19</formula>
    </cfRule>
  </conditionalFormatting>
  <conditionalFormatting sqref="EO17">
    <cfRule type="expression" dxfId="109" priority="99">
      <formula>EO17</formula>
    </cfRule>
  </conditionalFormatting>
  <conditionalFormatting sqref="EO9">
    <cfRule type="expression" dxfId="108" priority="98">
      <formula>EO9</formula>
    </cfRule>
  </conditionalFormatting>
  <conditionalFormatting sqref="EO7">
    <cfRule type="expression" dxfId="107" priority="97">
      <formula>EO7</formula>
    </cfRule>
  </conditionalFormatting>
  <conditionalFormatting sqref="EP4">
    <cfRule type="expression" dxfId="106" priority="91">
      <formula>EP4</formula>
    </cfRule>
  </conditionalFormatting>
  <conditionalFormatting sqref="ER4">
    <cfRule type="expression" dxfId="105" priority="90">
      <formula>ER4</formula>
    </cfRule>
  </conditionalFormatting>
  <conditionalFormatting sqref="ET4">
    <cfRule type="expression" dxfId="104" priority="89">
      <formula>ET4</formula>
    </cfRule>
  </conditionalFormatting>
  <conditionalFormatting sqref="EP27:EP28">
    <cfRule type="expression" dxfId="103" priority="83">
      <formula>EP27</formula>
    </cfRule>
  </conditionalFormatting>
  <conditionalFormatting sqref="EP7 EP17 EP19">
    <cfRule type="expression" dxfId="102" priority="88">
      <formula>EP7</formula>
    </cfRule>
  </conditionalFormatting>
  <conditionalFormatting sqref="EP20:EP26">
    <cfRule type="expression" dxfId="101" priority="84">
      <formula>EP20</formula>
    </cfRule>
  </conditionalFormatting>
  <conditionalFormatting sqref="EP6">
    <cfRule type="expression" dxfId="100" priority="86">
      <formula>EP6</formula>
    </cfRule>
  </conditionalFormatting>
  <conditionalFormatting sqref="EP18">
    <cfRule type="expression" dxfId="99" priority="85">
      <formula>EP18</formula>
    </cfRule>
  </conditionalFormatting>
  <conditionalFormatting sqref="EP5">
    <cfRule type="expression" dxfId="98" priority="87">
      <formula>EP5</formula>
    </cfRule>
  </conditionalFormatting>
  <conditionalFormatting sqref="EP9">
    <cfRule type="expression" dxfId="97" priority="82">
      <formula>EP9</formula>
    </cfRule>
  </conditionalFormatting>
  <conditionalFormatting sqref="EP10:EP16">
    <cfRule type="expression" dxfId="96" priority="81">
      <formula>EP10</formula>
    </cfRule>
  </conditionalFormatting>
  <conditionalFormatting sqref="EP8">
    <cfRule type="expression" dxfId="95" priority="80">
      <formula>EP8</formula>
    </cfRule>
  </conditionalFormatting>
  <conditionalFormatting sqref="EP35">
    <cfRule type="expression" dxfId="94" priority="79">
      <formula>EP35</formula>
    </cfRule>
  </conditionalFormatting>
  <conditionalFormatting sqref="EP36:EP41">
    <cfRule type="expression" dxfId="93" priority="78">
      <formula>EP36</formula>
    </cfRule>
  </conditionalFormatting>
  <conditionalFormatting sqref="EP29:EP34">
    <cfRule type="expression" dxfId="92" priority="77">
      <formula>EP29</formula>
    </cfRule>
  </conditionalFormatting>
  <conditionalFormatting sqref="ER27:ER28">
    <cfRule type="expression" dxfId="91" priority="71">
      <formula>ER27</formula>
    </cfRule>
  </conditionalFormatting>
  <conditionalFormatting sqref="ER7 ER17 ER19">
    <cfRule type="expression" dxfId="90" priority="76">
      <formula>ER7</formula>
    </cfRule>
  </conditionalFormatting>
  <conditionalFormatting sqref="ER20:ER26">
    <cfRule type="expression" dxfId="89" priority="72">
      <formula>ER20</formula>
    </cfRule>
  </conditionalFormatting>
  <conditionalFormatting sqref="ER6">
    <cfRule type="expression" dxfId="88" priority="74">
      <formula>ER6</formula>
    </cfRule>
  </conditionalFormatting>
  <conditionalFormatting sqref="ER18">
    <cfRule type="expression" dxfId="87" priority="73">
      <formula>ER18</formula>
    </cfRule>
  </conditionalFormatting>
  <conditionalFormatting sqref="ER5">
    <cfRule type="expression" dxfId="86" priority="75">
      <formula>ER5</formula>
    </cfRule>
  </conditionalFormatting>
  <conditionalFormatting sqref="ER9:EU9">
    <cfRule type="expression" dxfId="85" priority="70">
      <formula>ER9</formula>
    </cfRule>
  </conditionalFormatting>
  <conditionalFormatting sqref="ER10:ER16">
    <cfRule type="expression" dxfId="84" priority="69">
      <formula>ER10</formula>
    </cfRule>
  </conditionalFormatting>
  <conditionalFormatting sqref="ER8">
    <cfRule type="expression" dxfId="83" priority="68">
      <formula>ER8</formula>
    </cfRule>
  </conditionalFormatting>
  <conditionalFormatting sqref="ER35">
    <cfRule type="expression" dxfId="82" priority="67">
      <formula>ER35</formula>
    </cfRule>
  </conditionalFormatting>
  <conditionalFormatting sqref="ER36:ER41">
    <cfRule type="expression" dxfId="81" priority="66">
      <formula>ER36</formula>
    </cfRule>
  </conditionalFormatting>
  <conditionalFormatting sqref="ER29:ER34">
    <cfRule type="expression" dxfId="80" priority="65">
      <formula>ER29</formula>
    </cfRule>
  </conditionalFormatting>
  <conditionalFormatting sqref="ET27:ET28">
    <cfRule type="expression" dxfId="79" priority="59">
      <formula>ET27</formula>
    </cfRule>
  </conditionalFormatting>
  <conditionalFormatting sqref="ET7 ET17 ET19">
    <cfRule type="expression" dxfId="78" priority="64">
      <formula>ET7</formula>
    </cfRule>
  </conditionalFormatting>
  <conditionalFormatting sqref="ET20:ET26">
    <cfRule type="expression" dxfId="77" priority="60">
      <formula>ET20</formula>
    </cfRule>
  </conditionalFormatting>
  <conditionalFormatting sqref="ET6">
    <cfRule type="expression" dxfId="76" priority="62">
      <formula>ET6</formula>
    </cfRule>
  </conditionalFormatting>
  <conditionalFormatting sqref="ET18">
    <cfRule type="expression" dxfId="75" priority="61">
      <formula>ET18</formula>
    </cfRule>
  </conditionalFormatting>
  <conditionalFormatting sqref="ET5">
    <cfRule type="expression" dxfId="74" priority="63">
      <formula>ET5</formula>
    </cfRule>
  </conditionalFormatting>
  <conditionalFormatting sqref="ET10:ET16">
    <cfRule type="expression" dxfId="73" priority="57">
      <formula>ET10</formula>
    </cfRule>
  </conditionalFormatting>
  <conditionalFormatting sqref="ET8">
    <cfRule type="expression" dxfId="72" priority="56">
      <formula>ET8</formula>
    </cfRule>
  </conditionalFormatting>
  <conditionalFormatting sqref="ET35">
    <cfRule type="expression" dxfId="71" priority="55">
      <formula>ET35</formula>
    </cfRule>
  </conditionalFormatting>
  <conditionalFormatting sqref="ET36:ET41">
    <cfRule type="expression" dxfId="70" priority="54">
      <formula>ET36</formula>
    </cfRule>
  </conditionalFormatting>
  <conditionalFormatting sqref="ET29:ET34">
    <cfRule type="expression" dxfId="69" priority="53">
      <formula>ET29</formula>
    </cfRule>
  </conditionalFormatting>
  <conditionalFormatting sqref="EQ35">
    <cfRule type="expression" dxfId="68" priority="52">
      <formula>EQ35</formula>
    </cfRule>
  </conditionalFormatting>
  <conditionalFormatting sqref="EQ19">
    <cfRule type="expression" dxfId="67" priority="51">
      <formula>EQ19</formula>
    </cfRule>
  </conditionalFormatting>
  <conditionalFormatting sqref="EQ17">
    <cfRule type="expression" dxfId="66" priority="50">
      <formula>EQ17</formula>
    </cfRule>
  </conditionalFormatting>
  <conditionalFormatting sqref="EQ9">
    <cfRule type="expression" dxfId="65" priority="49">
      <formula>EQ9</formula>
    </cfRule>
  </conditionalFormatting>
  <conditionalFormatting sqref="EQ7">
    <cfRule type="expression" dxfId="64" priority="48">
      <formula>EQ7</formula>
    </cfRule>
  </conditionalFormatting>
  <conditionalFormatting sqref="ES7">
    <cfRule type="expression" dxfId="63" priority="47">
      <formula>ES7</formula>
    </cfRule>
  </conditionalFormatting>
  <conditionalFormatting sqref="EU7">
    <cfRule type="expression" dxfId="62" priority="46">
      <formula>EU7</formula>
    </cfRule>
  </conditionalFormatting>
  <conditionalFormatting sqref="ES17">
    <cfRule type="expression" dxfId="61" priority="45">
      <formula>ES17</formula>
    </cfRule>
  </conditionalFormatting>
  <conditionalFormatting sqref="EU17">
    <cfRule type="expression" dxfId="60" priority="44">
      <formula>EU17</formula>
    </cfRule>
  </conditionalFormatting>
  <conditionalFormatting sqref="ES19">
    <cfRule type="expression" dxfId="59" priority="43">
      <formula>ES19</formula>
    </cfRule>
  </conditionalFormatting>
  <conditionalFormatting sqref="EU19">
    <cfRule type="expression" dxfId="58" priority="42">
      <formula>EU19</formula>
    </cfRule>
  </conditionalFormatting>
  <conditionalFormatting sqref="ES35">
    <cfRule type="expression" dxfId="57" priority="41">
      <formula>ES35</formula>
    </cfRule>
  </conditionalFormatting>
  <conditionalFormatting sqref="EU35">
    <cfRule type="expression" dxfId="56" priority="40">
      <formula>EU35</formula>
    </cfRule>
  </conditionalFormatting>
  <conditionalFormatting sqref="CB2">
    <cfRule type="expression" dxfId="55" priority="39">
      <formula>CB2</formula>
    </cfRule>
  </conditionalFormatting>
  <conditionalFormatting sqref="CE2">
    <cfRule type="expression" dxfId="54" priority="38">
      <formula>CE2</formula>
    </cfRule>
  </conditionalFormatting>
  <conditionalFormatting sqref="CH2 CK2">
    <cfRule type="expression" dxfId="53" priority="37">
      <formula>CH2</formula>
    </cfRule>
  </conditionalFormatting>
  <conditionalFormatting sqref="CB7:CD7 CB9:CD9 CB17:CD17 CB19:CD19 CB35:CD35">
    <cfRule type="expression" dxfId="52" priority="36">
      <formula>CB7</formula>
    </cfRule>
  </conditionalFormatting>
  <conditionalFormatting sqref="CE7:CG7 CE9:CG9 CE17:CG17 CE19:CG19 CE35:CG35">
    <cfRule type="expression" dxfId="51" priority="35">
      <formula>CE7</formula>
    </cfRule>
  </conditionalFormatting>
  <conditionalFormatting sqref="CH7:CJ7 CH9:CJ9 CH17:CJ17 CH19:CJ19 CH35:CJ35">
    <cfRule type="expression" dxfId="50" priority="34">
      <formula>CH7</formula>
    </cfRule>
  </conditionalFormatting>
  <conditionalFormatting sqref="CQ7">
    <cfRule type="expression" dxfId="49" priority="33">
      <formula>CQ7</formula>
    </cfRule>
  </conditionalFormatting>
  <conditionalFormatting sqref="CQ17">
    <cfRule type="expression" dxfId="48" priority="32">
      <formula>CQ17</formula>
    </cfRule>
  </conditionalFormatting>
  <conditionalFormatting sqref="CQ19">
    <cfRule type="expression" dxfId="47" priority="31">
      <formula>CQ19</formula>
    </cfRule>
  </conditionalFormatting>
  <conditionalFormatting sqref="CQ35">
    <cfRule type="expression" dxfId="46" priority="30">
      <formula>CQ35</formula>
    </cfRule>
  </conditionalFormatting>
  <conditionalFormatting sqref="CS9">
    <cfRule type="expression" dxfId="45" priority="29">
      <formula>CS9</formula>
    </cfRule>
  </conditionalFormatting>
  <conditionalFormatting sqref="CS7">
    <cfRule type="expression" dxfId="44" priority="28">
      <formula>CS7</formula>
    </cfRule>
  </conditionalFormatting>
  <conditionalFormatting sqref="CS17">
    <cfRule type="expression" dxfId="43" priority="27">
      <formula>CS17</formula>
    </cfRule>
  </conditionalFormatting>
  <conditionalFormatting sqref="CS19">
    <cfRule type="expression" dxfId="42" priority="26">
      <formula>CS19</formula>
    </cfRule>
  </conditionalFormatting>
  <conditionalFormatting sqref="CS35">
    <cfRule type="expression" dxfId="41" priority="25">
      <formula>CS35</formula>
    </cfRule>
  </conditionalFormatting>
  <conditionalFormatting sqref="CK42:CM43">
    <cfRule type="expression" dxfId="40" priority="24">
      <formula>CK42</formula>
    </cfRule>
  </conditionalFormatting>
  <conditionalFormatting sqref="CK53:CM54">
    <cfRule type="expression" dxfId="39" priority="23">
      <formula>CK53</formula>
    </cfRule>
  </conditionalFormatting>
  <conditionalFormatting sqref="CK45:CM52">
    <cfRule type="expression" dxfId="38" priority="22">
      <formula>CK45</formula>
    </cfRule>
  </conditionalFormatting>
  <conditionalFormatting sqref="CK4:CM4">
    <cfRule type="expression" dxfId="37" priority="21">
      <formula>CK4</formula>
    </cfRule>
  </conditionalFormatting>
  <conditionalFormatting sqref="CK7:CM7 CK9:CM9 CK17:CM17 CK19:CM19 CK35:CM35">
    <cfRule type="expression" dxfId="36" priority="19">
      <formula>CK7</formula>
    </cfRule>
  </conditionalFormatting>
  <conditionalFormatting sqref="DF3:DF4 DF45:DG54 DF2:DG2 DF42:DG43">
    <cfRule type="expression" dxfId="35" priority="18">
      <formula>DF2</formula>
    </cfRule>
  </conditionalFormatting>
  <conditionalFormatting sqref="DG3">
    <cfRule type="expression" dxfId="34" priority="17">
      <formula>DG3</formula>
    </cfRule>
  </conditionalFormatting>
  <conditionalFormatting sqref="DF18">
    <cfRule type="expression" dxfId="33" priority="13">
      <formula>DF18</formula>
    </cfRule>
  </conditionalFormatting>
  <conditionalFormatting sqref="DF5">
    <cfRule type="expression" dxfId="32" priority="10">
      <formula>DF5</formula>
    </cfRule>
  </conditionalFormatting>
  <conditionalFormatting sqref="DF8">
    <cfRule type="expression" dxfId="31" priority="11">
      <formula>DF8</formula>
    </cfRule>
  </conditionalFormatting>
  <conditionalFormatting sqref="DF7">
    <cfRule type="expression" dxfId="30" priority="15">
      <formula>DF7</formula>
    </cfRule>
  </conditionalFormatting>
  <conditionalFormatting sqref="DF20:DF28">
    <cfRule type="expression" dxfId="29" priority="14">
      <formula>DF20</formula>
    </cfRule>
  </conditionalFormatting>
  <conditionalFormatting sqref="DF10:DF16">
    <cfRule type="expression" dxfId="28" priority="12">
      <formula>DF10</formula>
    </cfRule>
  </conditionalFormatting>
  <conditionalFormatting sqref="DF17 DF9 DF19">
    <cfRule type="expression" dxfId="27" priority="16">
      <formula>DF9</formula>
    </cfRule>
  </conditionalFormatting>
  <conditionalFormatting sqref="DF6">
    <cfRule type="expression" dxfId="26" priority="9">
      <formula>DF6</formula>
    </cfRule>
  </conditionalFormatting>
  <conditionalFormatting sqref="DF35">
    <cfRule type="expression" dxfId="25" priority="8">
      <formula>DF35</formula>
    </cfRule>
  </conditionalFormatting>
  <conditionalFormatting sqref="DF36:DF41">
    <cfRule type="expression" dxfId="24" priority="7">
      <formula>DF36</formula>
    </cfRule>
  </conditionalFormatting>
  <conditionalFormatting sqref="DF29:DF34">
    <cfRule type="expression" dxfId="23" priority="6">
      <formula>DF29</formula>
    </cfRule>
  </conditionalFormatting>
  <conditionalFormatting sqref="DG7">
    <cfRule type="expression" dxfId="22" priority="5">
      <formula>DG7</formula>
    </cfRule>
  </conditionalFormatting>
  <conditionalFormatting sqref="DG9">
    <cfRule type="expression" dxfId="21" priority="4">
      <formula>DG9</formula>
    </cfRule>
  </conditionalFormatting>
  <conditionalFormatting sqref="DG17">
    <cfRule type="expression" dxfId="20" priority="3">
      <formula>DG17</formula>
    </cfRule>
  </conditionalFormatting>
  <conditionalFormatting sqref="DG19">
    <cfRule type="expression" dxfId="19" priority="2">
      <formula>DG19</formula>
    </cfRule>
  </conditionalFormatting>
  <conditionalFormatting sqref="DG35">
    <cfRule type="expression" dxfId="18" priority="1">
      <formula>DG35</formula>
    </cfRule>
  </conditionalFormatting>
  <pageMargins left="0.7" right="0.7" top="0.75" bottom="0.75" header="0.3" footer="0.3"/>
  <pageSetup paperSize="9" orientation="portrait" r:id="rId5"/>
  <ignoredErrors>
    <ignoredError sqref="EZ6 CP5 CP8 CP7 CP11:CP16 CP18 CP17 CP20:CP34 CP19 CP36:CP38 CP35 EY5:EZ5 EZ36:EZ38 EZ31:EZ34 EZ8 EZ10:EZ16 EZ18 EZ20:EZ28 CP10 CP6 CR5 CR8 CR7 CR11:CR16 CR9 CR18 CR17 CR20:CR34 CR19 CR36:CR38 CR35 CR10 CR6 CT5 CT8 CT7 CT11:CT16 CT9 CT18 CT17 CT20:CT34 CT19 CT36:CT38 CT35 CT10 CT6 CV5 CV8 CV7 CV11:CV16 CV9 CV18 CV17 CV20:CV34 CV19 CV36:CV38 CV35 CV10 CV6 CX5 CX8 CX7 CX11:CX16 CX9 CX18 CX17 CX20:CX34 CX19 CX36:CX38 CX35 CX10 CX6 CZ5 CZ8 CZ7 CZ11:CZ16 CZ9 CZ18 CZ17 CZ20:CZ34 CZ19 CZ36:CZ38 CZ35 CZ10 CZ6 DB5 DB8 DB7 DB11:DB16 DB9 DB18 DB17 DB20:DB34 DB19 DB36:DB38 DB35 DB10 DB6 DD5 DD8 DD7 DD11:DD16 DD9 DD18 DD17 DD20:DD34 DD19 DD36:DD38 DD35 DD10 DD6 DH5 DH8 DH7 DH11:DH16 DH9 DH18 DH17 DH20:DH34 DH19 DH36:DH38 DH35 DH10 DH6 DJ5 DJ8 DJ7 DJ11:DJ16 DJ9 DJ18 DJ17 DJ20:DJ34 DJ19 DJ36:DJ38 DJ35 DJ10 DJ6 DL5 DL8 DL7 DL11:DL16 DL9 DL18 DL17 DL20:DL34 DL19 DL36:DL38 DL35 DL10 DL6 DN5 DN8 DN7 DN11:DN16 DN9 DN18 DN17 DN20:DN34 DN19 DN36:DN38 DN35 DN10 DN6 DP5 DP8 DP7 DP11:DP16 DP9 DP18 DP17 DP20:DP34 DP19 DP36:DP38 DP35 DP10 DP6 DR5 DR8 DR7 DR11:DR16 DR9 DR18 DR17 DR20:DR34 DR19 DR36:DR38 DR35 DR10 DR6 DT5 DT8 DT7 DT11:DT16 DT9 DT18 DT17 DT20:DT34 DT19 DT36:DT38 DT35 DT10 DT6 DV5 DV8 DV7 DV11:DV16 DV9 DV18 DV17 DV20:DV34 DV19 DV36:DV38 DV35 DV10 DV6 DX5 DX8 DX7 DX11:DX16 DX9 DX18 DX17 DX20:DX34 DX19 DX36:DX38 DX35 DX10 DX6 DZ5 DZ8 DZ7 DZ11:DZ16 DZ9 DZ18 DZ17 DZ20:DZ34 DZ19 DZ36:DZ38 DZ35 DZ10 DZ6 EB5 EB8 EB7 EB11:EB16 EB9 EB18 EB17 EB20:EB34 EB19 EB36:EB38 EB35 EB10 EB6 ED5 ED8 ED7 ED11:ED16 ED9 ED18 ED17 ED20:ED34 ED19 ED36:ED38 ED35 ED10 ED6 EF5 EF8 EF7 EF11:EF16 EF9 EF18 EF17 EF20:EF34 EF19 EF36:EF38 EF35 EF10 EF6 EH5 EH8 EH7 EH11:EH16 EH9 EH18 EH17 EH20:EH34 EH19 EH36:EH38 EH35 EH10 EH6 EJ5 EJ8 EJ7 EJ11:EJ16 EJ9 EJ18 EJ17 EJ20:EJ34 EJ19 EJ36:EJ38 EJ35 EJ10 EJ6 EL5 EL8 EL7 EL11:EL16 EL9 EL18 EL17 EL20:EL34 EL19 EL36:EL38 EL35 EL10 EL6"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79"/>
  <dimension ref="B1:D32"/>
  <sheetViews>
    <sheetView workbookViewId="0">
      <selection activeCell="J42" sqref="J42:J44"/>
    </sheetView>
  </sheetViews>
  <sheetFormatPr defaultRowHeight="15" x14ac:dyDescent="0.25"/>
  <cols>
    <col min="3" max="3" width="55.7109375" bestFit="1" customWidth="1"/>
  </cols>
  <sheetData>
    <row r="1" spans="2:3" ht="15.75" thickBot="1" x14ac:dyDescent="0.3"/>
    <row r="2" spans="2:3" ht="15.75" thickBot="1" x14ac:dyDescent="0.3">
      <c r="B2" s="94" t="s">
        <v>1222</v>
      </c>
      <c r="C2" s="1263" t="s">
        <v>1223</v>
      </c>
    </row>
    <row r="3" spans="2:3" x14ac:dyDescent="0.25">
      <c r="B3" s="1264">
        <v>0</v>
      </c>
      <c r="C3" s="1265" t="s">
        <v>42</v>
      </c>
    </row>
    <row r="4" spans="2:3" x14ac:dyDescent="0.25">
      <c r="B4" s="1266">
        <v>1</v>
      </c>
      <c r="C4" s="1267" t="s">
        <v>43</v>
      </c>
    </row>
    <row r="5" spans="2:3" x14ac:dyDescent="0.25">
      <c r="B5" s="1266">
        <v>2</v>
      </c>
      <c r="C5" s="1267" t="s">
        <v>44</v>
      </c>
    </row>
    <row r="6" spans="2:3" x14ac:dyDescent="0.25">
      <c r="B6" s="1266">
        <v>3</v>
      </c>
      <c r="C6" s="1267" t="s">
        <v>359</v>
      </c>
    </row>
    <row r="7" spans="2:3" x14ac:dyDescent="0.25">
      <c r="B7" s="1266">
        <v>4</v>
      </c>
      <c r="C7" s="1267" t="s">
        <v>45</v>
      </c>
    </row>
    <row r="8" spans="2:3" x14ac:dyDescent="0.25">
      <c r="B8" s="1266">
        <v>5</v>
      </c>
      <c r="C8" s="1267" t="s">
        <v>46</v>
      </c>
    </row>
    <row r="9" spans="2:3" x14ac:dyDescent="0.25">
      <c r="B9" s="1266">
        <v>6</v>
      </c>
      <c r="C9" s="1267" t="s">
        <v>99</v>
      </c>
    </row>
    <row r="10" spans="2:3" x14ac:dyDescent="0.25">
      <c r="B10" s="1266">
        <v>7</v>
      </c>
      <c r="C10" s="1267" t="s">
        <v>375</v>
      </c>
    </row>
    <row r="11" spans="2:3" x14ac:dyDescent="0.25">
      <c r="B11" s="1266">
        <v>8</v>
      </c>
      <c r="C11" s="1267" t="s">
        <v>98</v>
      </c>
    </row>
    <row r="12" spans="2:3" x14ac:dyDescent="0.25">
      <c r="B12" s="1266">
        <v>9</v>
      </c>
      <c r="C12" s="1267" t="s">
        <v>646</v>
      </c>
    </row>
    <row r="13" spans="2:3" x14ac:dyDescent="0.25">
      <c r="B13" s="1266">
        <v>10</v>
      </c>
      <c r="C13" s="1267" t="s">
        <v>535</v>
      </c>
    </row>
    <row r="14" spans="2:3" x14ac:dyDescent="0.25">
      <c r="B14" s="1266">
        <v>11</v>
      </c>
      <c r="C14" s="1267" t="s">
        <v>290</v>
      </c>
    </row>
    <row r="15" spans="2:3" x14ac:dyDescent="0.25">
      <c r="B15" s="1266">
        <v>12</v>
      </c>
      <c r="C15" s="1267" t="s">
        <v>110</v>
      </c>
    </row>
    <row r="16" spans="2:3" x14ac:dyDescent="0.25">
      <c r="B16" s="1266">
        <v>13</v>
      </c>
      <c r="C16" s="1267" t="s">
        <v>396</v>
      </c>
    </row>
    <row r="17" spans="2:4" x14ac:dyDescent="0.25">
      <c r="B17" s="1266">
        <v>14</v>
      </c>
      <c r="C17" s="1267" t="s">
        <v>398</v>
      </c>
    </row>
    <row r="18" spans="2:4" x14ac:dyDescent="0.25">
      <c r="B18" s="1266">
        <v>15</v>
      </c>
      <c r="C18" s="1267" t="s">
        <v>619</v>
      </c>
    </row>
    <row r="19" spans="2:4" x14ac:dyDescent="0.25">
      <c r="B19" s="1266">
        <v>16</v>
      </c>
      <c r="C19" s="1267" t="s">
        <v>399</v>
      </c>
    </row>
    <row r="20" spans="2:4" x14ac:dyDescent="0.25">
      <c r="B20" s="1266">
        <v>17</v>
      </c>
      <c r="C20" s="1267" t="s">
        <v>400</v>
      </c>
    </row>
    <row r="21" spans="2:4" x14ac:dyDescent="0.25">
      <c r="B21" s="1266">
        <v>18</v>
      </c>
      <c r="C21" s="1267" t="s">
        <v>401</v>
      </c>
    </row>
    <row r="22" spans="2:4" x14ac:dyDescent="0.25">
      <c r="B22" s="1266">
        <v>19</v>
      </c>
      <c r="C22" s="1267" t="s">
        <v>647</v>
      </c>
      <c r="D22" t="s">
        <v>402</v>
      </c>
    </row>
    <row r="23" spans="2:4" x14ac:dyDescent="0.25">
      <c r="B23" s="1266">
        <v>20</v>
      </c>
      <c r="C23" s="1267" t="s">
        <v>403</v>
      </c>
    </row>
    <row r="24" spans="2:4" x14ac:dyDescent="0.25">
      <c r="B24" s="1266">
        <v>21</v>
      </c>
      <c r="C24" s="1267" t="s">
        <v>404</v>
      </c>
    </row>
    <row r="25" spans="2:4" x14ac:dyDescent="0.25">
      <c r="B25" s="1266">
        <v>22</v>
      </c>
      <c r="C25" s="1267" t="s">
        <v>405</v>
      </c>
    </row>
    <row r="26" spans="2:4" x14ac:dyDescent="0.25">
      <c r="B26" s="1266">
        <v>23</v>
      </c>
      <c r="C26" s="1267" t="s">
        <v>406</v>
      </c>
    </row>
    <row r="27" spans="2:4" x14ac:dyDescent="0.25">
      <c r="B27" s="1266">
        <v>24</v>
      </c>
      <c r="C27" s="1267" t="s">
        <v>407</v>
      </c>
    </row>
    <row r="28" spans="2:4" x14ac:dyDescent="0.25">
      <c r="B28" s="1266">
        <v>25</v>
      </c>
      <c r="C28" s="1267" t="s">
        <v>408</v>
      </c>
    </row>
    <row r="29" spans="2:4" x14ac:dyDescent="0.25">
      <c r="B29" s="1266">
        <v>26</v>
      </c>
      <c r="C29" s="1267" t="s">
        <v>100</v>
      </c>
    </row>
    <row r="30" spans="2:4" x14ac:dyDescent="0.25">
      <c r="B30" s="1266">
        <v>27</v>
      </c>
      <c r="C30" s="1267" t="s">
        <v>603</v>
      </c>
    </row>
    <row r="31" spans="2:4" x14ac:dyDescent="0.25">
      <c r="B31" s="1266">
        <v>28</v>
      </c>
      <c r="C31" s="1267" t="s">
        <v>604</v>
      </c>
    </row>
    <row r="32" spans="2:4" ht="15.75" thickBot="1" x14ac:dyDescent="0.3">
      <c r="B32" s="1268">
        <v>29</v>
      </c>
      <c r="C32" s="1269" t="s">
        <v>605</v>
      </c>
    </row>
  </sheetData>
  <dataValidations count="1">
    <dataValidation allowBlank="1" showInputMessage="1" sqref="C4" xr:uid="{00000000-0002-0000-0400-000000000000}"/>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31">
    <tabColor rgb="FF00B0F0"/>
  </sheetPr>
  <dimension ref="A1:E50"/>
  <sheetViews>
    <sheetView zoomScaleNormal="100" workbookViewId="0">
      <selection activeCell="J42" sqref="J42:J44"/>
    </sheetView>
  </sheetViews>
  <sheetFormatPr defaultRowHeight="15" x14ac:dyDescent="0.25"/>
  <cols>
    <col min="1" max="1" width="28.85546875" style="303" customWidth="1"/>
    <col min="2" max="2" width="24.5703125" bestFit="1" customWidth="1"/>
    <col min="3" max="3" width="28.85546875" bestFit="1" customWidth="1"/>
    <col min="4" max="4" width="26.28515625" bestFit="1" customWidth="1"/>
    <col min="5" max="5" width="27.85546875" customWidth="1"/>
    <col min="6" max="6" width="26" bestFit="1" customWidth="1"/>
    <col min="7" max="7" width="28.5703125" bestFit="1" customWidth="1"/>
    <col min="8" max="8" width="28.7109375" customWidth="1"/>
  </cols>
  <sheetData>
    <row r="1" spans="1:5" ht="15.75" x14ac:dyDescent="0.25">
      <c r="A1" s="911" t="s">
        <v>697</v>
      </c>
      <c r="B1" s="912" t="s">
        <v>453</v>
      </c>
      <c r="C1" s="913" t="s">
        <v>454</v>
      </c>
      <c r="D1" s="914" t="s">
        <v>455</v>
      </c>
      <c r="E1" s="915" t="s">
        <v>456</v>
      </c>
    </row>
    <row r="2" spans="1:5" x14ac:dyDescent="0.25">
      <c r="A2" s="1894" t="s">
        <v>457</v>
      </c>
      <c r="B2" s="891" t="s">
        <v>44</v>
      </c>
      <c r="C2" s="892" t="s">
        <v>44</v>
      </c>
      <c r="D2" s="304" t="s">
        <v>44</v>
      </c>
      <c r="E2" s="305" t="s">
        <v>44</v>
      </c>
    </row>
    <row r="3" spans="1:5" x14ac:dyDescent="0.25">
      <c r="A3" s="1895"/>
      <c r="B3" s="891" t="s">
        <v>605</v>
      </c>
      <c r="C3" s="892" t="s">
        <v>605</v>
      </c>
      <c r="D3" s="304" t="s">
        <v>605</v>
      </c>
      <c r="E3" s="305" t="s">
        <v>605</v>
      </c>
    </row>
    <row r="4" spans="1:5" x14ac:dyDescent="0.25">
      <c r="A4" s="1895"/>
      <c r="B4" s="814"/>
      <c r="C4" s="892" t="s">
        <v>47</v>
      </c>
      <c r="D4" s="304" t="s">
        <v>403</v>
      </c>
      <c r="E4" s="305" t="s">
        <v>403</v>
      </c>
    </row>
    <row r="5" spans="1:5" x14ac:dyDescent="0.25">
      <c r="A5" s="1895"/>
      <c r="B5" s="814"/>
      <c r="C5" s="892" t="s">
        <v>45</v>
      </c>
      <c r="D5" s="304" t="s">
        <v>45</v>
      </c>
      <c r="E5" s="305" t="s">
        <v>45</v>
      </c>
    </row>
    <row r="6" spans="1:5" x14ac:dyDescent="0.25">
      <c r="A6" s="1895"/>
      <c r="B6" s="814"/>
      <c r="C6" s="129"/>
      <c r="D6" s="874" t="s">
        <v>458</v>
      </c>
      <c r="E6" s="875" t="s">
        <v>458</v>
      </c>
    </row>
    <row r="7" spans="1:5" x14ac:dyDescent="0.25">
      <c r="A7" s="1895"/>
      <c r="B7" s="814"/>
      <c r="C7" s="129"/>
      <c r="D7" s="814"/>
      <c r="E7" s="305" t="s">
        <v>404</v>
      </c>
    </row>
    <row r="8" spans="1:5" x14ac:dyDescent="0.25">
      <c r="A8" s="1896"/>
      <c r="B8" s="814"/>
      <c r="C8" s="129"/>
      <c r="D8" s="814"/>
      <c r="E8" s="875" t="s">
        <v>459</v>
      </c>
    </row>
    <row r="9" spans="1:5" x14ac:dyDescent="0.25">
      <c r="A9" s="1893"/>
      <c r="B9" s="1893"/>
      <c r="C9" s="1893"/>
      <c r="D9" s="1893"/>
      <c r="E9" s="1893"/>
    </row>
    <row r="10" spans="1:5" x14ac:dyDescent="0.25">
      <c r="A10" s="1894" t="s">
        <v>460</v>
      </c>
      <c r="B10" s="891" t="s">
        <v>42</v>
      </c>
      <c r="C10" s="892" t="s">
        <v>42</v>
      </c>
      <c r="D10" s="304" t="s">
        <v>42</v>
      </c>
      <c r="E10" s="305" t="s">
        <v>42</v>
      </c>
    </row>
    <row r="11" spans="1:5" x14ac:dyDescent="0.25">
      <c r="A11" s="1895"/>
      <c r="B11" s="814"/>
      <c r="C11" s="892" t="s">
        <v>46</v>
      </c>
      <c r="D11" s="304" t="s">
        <v>640</v>
      </c>
      <c r="E11" s="305" t="s">
        <v>640</v>
      </c>
    </row>
    <row r="12" spans="1:5" x14ac:dyDescent="0.25">
      <c r="A12" s="1895"/>
      <c r="B12" s="814"/>
      <c r="C12" s="892" t="s">
        <v>98</v>
      </c>
      <c r="D12" s="304" t="s">
        <v>98</v>
      </c>
      <c r="E12" s="305" t="s">
        <v>98</v>
      </c>
    </row>
    <row r="13" spans="1:5" x14ac:dyDescent="0.25">
      <c r="A13" s="1895"/>
      <c r="B13" s="814"/>
      <c r="C13" s="129"/>
      <c r="D13" s="304" t="s">
        <v>408</v>
      </c>
      <c r="E13" s="305" t="s">
        <v>408</v>
      </c>
    </row>
    <row r="14" spans="1:5" x14ac:dyDescent="0.25">
      <c r="A14" s="1895"/>
      <c r="B14" s="814"/>
      <c r="C14" s="129"/>
      <c r="D14" s="304" t="s">
        <v>407</v>
      </c>
      <c r="E14" s="305" t="s">
        <v>407</v>
      </c>
    </row>
    <row r="15" spans="1:5" x14ac:dyDescent="0.25">
      <c r="A15" s="1895"/>
      <c r="B15" s="814"/>
      <c r="C15" s="129"/>
      <c r="D15" s="814"/>
      <c r="E15" s="305" t="s">
        <v>405</v>
      </c>
    </row>
    <row r="16" spans="1:5" x14ac:dyDescent="0.25">
      <c r="A16" s="1896"/>
      <c r="B16" s="814"/>
      <c r="C16" s="129"/>
      <c r="D16" s="814"/>
      <c r="E16" s="876" t="s">
        <v>461</v>
      </c>
    </row>
    <row r="17" spans="1:5" x14ac:dyDescent="0.25">
      <c r="A17" s="1893"/>
      <c r="B17" s="1893"/>
      <c r="C17" s="1893"/>
      <c r="D17" s="1893"/>
      <c r="E17" s="1893"/>
    </row>
    <row r="18" spans="1:5" x14ac:dyDescent="0.25">
      <c r="A18" s="1894" t="s">
        <v>462</v>
      </c>
      <c r="B18" s="877" t="s">
        <v>463</v>
      </c>
      <c r="C18" s="878" t="s">
        <v>463</v>
      </c>
      <c r="D18" s="874" t="s">
        <v>463</v>
      </c>
      <c r="E18" s="875" t="s">
        <v>463</v>
      </c>
    </row>
    <row r="19" spans="1:5" x14ac:dyDescent="0.25">
      <c r="A19" s="1895"/>
      <c r="B19" s="891" t="s">
        <v>604</v>
      </c>
      <c r="C19" s="892" t="s">
        <v>604</v>
      </c>
      <c r="D19" s="304" t="s">
        <v>604</v>
      </c>
      <c r="E19" s="305" t="s">
        <v>604</v>
      </c>
    </row>
    <row r="20" spans="1:5" x14ac:dyDescent="0.25">
      <c r="A20" s="1895"/>
      <c r="B20" s="814"/>
      <c r="C20" s="892" t="s">
        <v>641</v>
      </c>
      <c r="D20" s="304" t="s">
        <v>641</v>
      </c>
      <c r="E20" s="305" t="s">
        <v>641</v>
      </c>
    </row>
    <row r="21" spans="1:5" x14ac:dyDescent="0.25">
      <c r="A21" s="1895"/>
      <c r="B21" s="814"/>
      <c r="C21" s="814"/>
      <c r="D21" s="874" t="s">
        <v>464</v>
      </c>
      <c r="E21" s="875" t="s">
        <v>464</v>
      </c>
    </row>
    <row r="22" spans="1:5" x14ac:dyDescent="0.25">
      <c r="A22" s="1895"/>
      <c r="B22" s="814"/>
      <c r="C22" s="814"/>
      <c r="D22" s="304" t="s">
        <v>535</v>
      </c>
      <c r="E22" s="305" t="s">
        <v>535</v>
      </c>
    </row>
    <row r="23" spans="1:5" x14ac:dyDescent="0.25">
      <c r="A23" s="1896"/>
      <c r="B23" s="814"/>
      <c r="C23" s="814"/>
      <c r="D23" s="814"/>
      <c r="E23" s="305" t="s">
        <v>406</v>
      </c>
    </row>
    <row r="24" spans="1:5" x14ac:dyDescent="0.25">
      <c r="A24" s="1893"/>
      <c r="B24" s="1893"/>
      <c r="C24" s="1893"/>
      <c r="D24" s="1893"/>
      <c r="E24" s="1893"/>
    </row>
    <row r="25" spans="1:5" x14ac:dyDescent="0.25">
      <c r="A25" s="1897" t="s">
        <v>465</v>
      </c>
      <c r="B25" s="891" t="s">
        <v>99</v>
      </c>
      <c r="C25" s="892" t="s">
        <v>99</v>
      </c>
      <c r="D25" s="304" t="s">
        <v>99</v>
      </c>
      <c r="E25" s="305" t="s">
        <v>99</v>
      </c>
    </row>
    <row r="26" spans="1:5" x14ac:dyDescent="0.25">
      <c r="A26" s="1897"/>
      <c r="B26" s="814"/>
      <c r="C26" s="878" t="s">
        <v>466</v>
      </c>
      <c r="D26" s="874" t="s">
        <v>466</v>
      </c>
      <c r="E26" s="875" t="s">
        <v>466</v>
      </c>
    </row>
    <row r="27" spans="1:5" x14ac:dyDescent="0.25">
      <c r="A27" s="1897"/>
      <c r="B27" s="814"/>
      <c r="C27" s="814"/>
      <c r="D27" s="304" t="s">
        <v>642</v>
      </c>
      <c r="E27" s="305" t="s">
        <v>642</v>
      </c>
    </row>
    <row r="28" spans="1:5" x14ac:dyDescent="0.25">
      <c r="A28" s="1897"/>
      <c r="B28" s="814"/>
      <c r="C28" s="814"/>
      <c r="D28" s="814"/>
      <c r="E28" s="875" t="s">
        <v>680</v>
      </c>
    </row>
    <row r="29" spans="1:5" x14ac:dyDescent="0.25">
      <c r="A29" s="1897"/>
      <c r="B29" s="814"/>
      <c r="C29" s="814"/>
      <c r="D29" s="814"/>
      <c r="E29" s="875" t="s">
        <v>467</v>
      </c>
    </row>
    <row r="30" spans="1:5" x14ac:dyDescent="0.25">
      <c r="A30" s="1893"/>
      <c r="B30" s="1893"/>
      <c r="C30" s="1893"/>
      <c r="D30" s="1893"/>
      <c r="E30" s="1893"/>
    </row>
    <row r="31" spans="1:5" x14ac:dyDescent="0.25">
      <c r="A31" s="1897" t="s">
        <v>468</v>
      </c>
      <c r="B31" s="814"/>
      <c r="C31" s="892" t="s">
        <v>100</v>
      </c>
      <c r="D31" s="304" t="s">
        <v>100</v>
      </c>
      <c r="E31" s="305" t="s">
        <v>100</v>
      </c>
    </row>
    <row r="32" spans="1:5" x14ac:dyDescent="0.25">
      <c r="A32" s="1897"/>
      <c r="B32" s="814"/>
      <c r="C32" s="129"/>
      <c r="D32" s="874" t="s">
        <v>469</v>
      </c>
      <c r="E32" s="875" t="s">
        <v>469</v>
      </c>
    </row>
    <row r="33" spans="1:5" x14ac:dyDescent="0.25">
      <c r="A33" s="1897"/>
      <c r="B33" s="814"/>
      <c r="C33" s="129"/>
      <c r="D33" s="874" t="s">
        <v>470</v>
      </c>
      <c r="E33" s="875" t="s">
        <v>470</v>
      </c>
    </row>
    <row r="34" spans="1:5" x14ac:dyDescent="0.25">
      <c r="A34" s="1897"/>
      <c r="B34" s="814"/>
      <c r="C34" s="129"/>
      <c r="D34" s="129"/>
      <c r="E34" s="875" t="s">
        <v>471</v>
      </c>
    </row>
    <row r="35" spans="1:5" x14ac:dyDescent="0.25">
      <c r="A35" s="1897"/>
      <c r="B35" s="814"/>
      <c r="C35" s="129"/>
      <c r="D35" s="129"/>
      <c r="E35" s="875" t="s">
        <v>472</v>
      </c>
    </row>
    <row r="36" spans="1:5" x14ac:dyDescent="0.25">
      <c r="A36" s="1897"/>
      <c r="B36" s="814"/>
      <c r="C36" s="129"/>
      <c r="D36" s="129"/>
      <c r="E36" s="875" t="s">
        <v>473</v>
      </c>
    </row>
    <row r="37" spans="1:5" x14ac:dyDescent="0.25">
      <c r="A37" s="1893"/>
      <c r="B37" s="1893"/>
      <c r="C37" s="1893"/>
      <c r="D37" s="1893"/>
      <c r="E37" s="1893"/>
    </row>
    <row r="38" spans="1:5" x14ac:dyDescent="0.25">
      <c r="A38" s="1897" t="s">
        <v>474</v>
      </c>
      <c r="B38" s="891" t="s">
        <v>603</v>
      </c>
      <c r="C38" s="892" t="s">
        <v>603</v>
      </c>
      <c r="D38" s="304" t="s">
        <v>603</v>
      </c>
      <c r="E38" s="305" t="s">
        <v>603</v>
      </c>
    </row>
    <row r="39" spans="1:5" x14ac:dyDescent="0.25">
      <c r="A39" s="1897"/>
      <c r="B39" s="814"/>
      <c r="C39" s="892" t="s">
        <v>1571</v>
      </c>
      <c r="D39" s="304" t="s">
        <v>1571</v>
      </c>
      <c r="E39" s="305" t="s">
        <v>1571</v>
      </c>
    </row>
    <row r="40" spans="1:5" x14ac:dyDescent="0.25">
      <c r="A40" s="1897"/>
      <c r="B40" s="814"/>
      <c r="C40" s="129"/>
      <c r="D40" s="304" t="s">
        <v>110</v>
      </c>
      <c r="E40" s="305" t="s">
        <v>110</v>
      </c>
    </row>
    <row r="41" spans="1:5" x14ac:dyDescent="0.25">
      <c r="A41" s="890"/>
      <c r="B41" s="814"/>
      <c r="C41" s="129"/>
      <c r="D41" s="129"/>
      <c r="E41" s="875" t="s">
        <v>475</v>
      </c>
    </row>
    <row r="42" spans="1:5" x14ac:dyDescent="0.25">
      <c r="A42" s="1893"/>
      <c r="B42" s="1893"/>
      <c r="C42" s="1893"/>
      <c r="D42" s="1893"/>
      <c r="E42" s="1893"/>
    </row>
    <row r="43" spans="1:5" x14ac:dyDescent="0.25">
      <c r="A43" s="306" t="s">
        <v>476</v>
      </c>
      <c r="B43" s="814"/>
      <c r="C43" s="129"/>
      <c r="D43" s="874" t="s">
        <v>477</v>
      </c>
      <c r="E43" s="875" t="s">
        <v>478</v>
      </c>
    </row>
    <row r="44" spans="1:5" x14ac:dyDescent="0.25">
      <c r="A44" s="1893"/>
      <c r="B44" s="1893"/>
      <c r="C44" s="1893"/>
      <c r="D44" s="1893"/>
      <c r="E44" s="1893"/>
    </row>
    <row r="45" spans="1:5" x14ac:dyDescent="0.25">
      <c r="A45" s="1897" t="s">
        <v>479</v>
      </c>
      <c r="B45" s="814"/>
      <c r="C45" s="892" t="s">
        <v>43</v>
      </c>
      <c r="D45" s="304" t="s">
        <v>43</v>
      </c>
      <c r="E45" s="305" t="s">
        <v>43</v>
      </c>
    </row>
    <row r="46" spans="1:5" x14ac:dyDescent="0.25">
      <c r="A46" s="1897"/>
      <c r="B46" s="814"/>
      <c r="C46" s="129"/>
      <c r="D46" s="304" t="s">
        <v>394</v>
      </c>
      <c r="E46" s="305" t="s">
        <v>394</v>
      </c>
    </row>
    <row r="47" spans="1:5" x14ac:dyDescent="0.25">
      <c r="A47" s="1897"/>
      <c r="B47" s="814"/>
      <c r="C47" s="129"/>
      <c r="D47" s="129"/>
      <c r="E47" s="875" t="s">
        <v>480</v>
      </c>
    </row>
    <row r="48" spans="1:5" x14ac:dyDescent="0.25">
      <c r="A48" s="1897"/>
      <c r="B48" s="814"/>
      <c r="C48" s="129"/>
      <c r="D48" s="129"/>
      <c r="E48" s="875" t="s">
        <v>481</v>
      </c>
    </row>
    <row r="49" spans="1:5" x14ac:dyDescent="0.25">
      <c r="A49" s="1893"/>
      <c r="B49" s="1893"/>
      <c r="C49" s="1893"/>
      <c r="D49" s="1893"/>
      <c r="E49" s="1893"/>
    </row>
    <row r="50" spans="1:5" x14ac:dyDescent="0.25">
      <c r="A50" s="306" t="s">
        <v>482</v>
      </c>
      <c r="B50" s="814"/>
      <c r="C50" s="129"/>
      <c r="D50" s="304" t="s">
        <v>483</v>
      </c>
      <c r="E50" s="305" t="s">
        <v>483</v>
      </c>
    </row>
  </sheetData>
  <mergeCells count="15">
    <mergeCell ref="A44:E44"/>
    <mergeCell ref="A45:A48"/>
    <mergeCell ref="A49:E49"/>
    <mergeCell ref="A25:A29"/>
    <mergeCell ref="A30:E30"/>
    <mergeCell ref="A31:A36"/>
    <mergeCell ref="A37:E37"/>
    <mergeCell ref="A38:A40"/>
    <mergeCell ref="A42:E42"/>
    <mergeCell ref="A24:E24"/>
    <mergeCell ref="A2:A8"/>
    <mergeCell ref="A9:E9"/>
    <mergeCell ref="A10:A16"/>
    <mergeCell ref="A17:E17"/>
    <mergeCell ref="A18:A2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43">
    <tabColor rgb="FF00B0F0"/>
  </sheetPr>
  <dimension ref="A1:D23"/>
  <sheetViews>
    <sheetView zoomScale="115" zoomScaleNormal="115" workbookViewId="0">
      <selection activeCell="J42" sqref="J42:J44"/>
    </sheetView>
  </sheetViews>
  <sheetFormatPr defaultRowHeight="15" x14ac:dyDescent="0.25"/>
  <cols>
    <col min="1" max="1" width="55" bestFit="1" customWidth="1"/>
    <col min="2" max="2" width="24.5703125" bestFit="1" customWidth="1"/>
    <col min="3" max="3" width="28.85546875" bestFit="1" customWidth="1"/>
    <col min="4" max="4" width="21.7109375" customWidth="1"/>
  </cols>
  <sheetData>
    <row r="1" spans="1:4" x14ac:dyDescent="0.25">
      <c r="A1" s="132" t="s">
        <v>673</v>
      </c>
      <c r="B1" s="872" t="s">
        <v>643</v>
      </c>
      <c r="C1" s="345" t="s">
        <v>644</v>
      </c>
      <c r="D1" s="873" t="s">
        <v>645</v>
      </c>
    </row>
    <row r="2" spans="1:4" x14ac:dyDescent="0.25">
      <c r="A2" s="1898" t="s">
        <v>674</v>
      </c>
      <c r="B2" s="892" t="s">
        <v>604</v>
      </c>
      <c r="C2" s="304" t="s">
        <v>604</v>
      </c>
      <c r="D2" s="305" t="s">
        <v>604</v>
      </c>
    </row>
    <row r="3" spans="1:4" ht="15" customHeight="1" x14ac:dyDescent="0.25">
      <c r="A3" s="1899"/>
      <c r="B3" s="878" t="s">
        <v>463</v>
      </c>
      <c r="C3" s="874" t="s">
        <v>463</v>
      </c>
      <c r="D3" s="875" t="s">
        <v>463</v>
      </c>
    </row>
    <row r="4" spans="1:4" x14ac:dyDescent="0.25">
      <c r="A4" s="1898" t="s">
        <v>675</v>
      </c>
      <c r="B4" s="893" t="s">
        <v>605</v>
      </c>
      <c r="C4" s="894" t="s">
        <v>605</v>
      </c>
      <c r="D4" s="895" t="s">
        <v>605</v>
      </c>
    </row>
    <row r="5" spans="1:4" ht="15" customHeight="1" x14ac:dyDescent="0.25">
      <c r="A5" s="1899"/>
      <c r="B5" s="896"/>
      <c r="C5" s="894" t="s">
        <v>646</v>
      </c>
      <c r="D5" s="305" t="s">
        <v>646</v>
      </c>
    </row>
    <row r="6" spans="1:4" ht="15" customHeight="1" x14ac:dyDescent="0.25">
      <c r="A6" s="1899"/>
      <c r="B6" s="897"/>
      <c r="C6" s="894" t="s">
        <v>406</v>
      </c>
      <c r="D6" s="895" t="s">
        <v>406</v>
      </c>
    </row>
    <row r="7" spans="1:4" x14ac:dyDescent="0.25">
      <c r="A7" s="1900"/>
      <c r="B7" s="897"/>
      <c r="C7" s="896"/>
      <c r="D7" s="898" t="s">
        <v>641</v>
      </c>
    </row>
    <row r="8" spans="1:4" x14ac:dyDescent="0.25">
      <c r="A8" s="129" t="s">
        <v>657</v>
      </c>
      <c r="B8" s="63"/>
      <c r="C8" s="109"/>
      <c r="D8" s="305" t="s">
        <v>98</v>
      </c>
    </row>
    <row r="9" spans="1:4" x14ac:dyDescent="0.25">
      <c r="A9" s="129" t="s">
        <v>658</v>
      </c>
      <c r="B9" s="63"/>
      <c r="C9" s="63"/>
      <c r="D9" s="63"/>
    </row>
    <row r="10" spans="1:4" x14ac:dyDescent="0.25">
      <c r="A10" s="129" t="s">
        <v>676</v>
      </c>
      <c r="B10" s="205" t="s">
        <v>43</v>
      </c>
      <c r="C10" s="304" t="s">
        <v>43</v>
      </c>
      <c r="D10" s="305" t="s">
        <v>43</v>
      </c>
    </row>
    <row r="11" spans="1:4" x14ac:dyDescent="0.25">
      <c r="A11" s="890" t="s">
        <v>660</v>
      </c>
      <c r="B11" s="892" t="s">
        <v>42</v>
      </c>
      <c r="C11" s="304" t="s">
        <v>42</v>
      </c>
      <c r="D11" s="305" t="s">
        <v>42</v>
      </c>
    </row>
    <row r="12" spans="1:4" x14ac:dyDescent="0.25">
      <c r="A12" s="129" t="s">
        <v>677</v>
      </c>
      <c r="B12" s="63"/>
      <c r="C12" s="304" t="s">
        <v>403</v>
      </c>
      <c r="D12" s="305" t="s">
        <v>403</v>
      </c>
    </row>
    <row r="13" spans="1:4" x14ac:dyDescent="0.25">
      <c r="A13" s="129" t="s">
        <v>678</v>
      </c>
      <c r="B13" s="892" t="s">
        <v>46</v>
      </c>
      <c r="C13" s="304" t="s">
        <v>46</v>
      </c>
      <c r="D13" s="305" t="s">
        <v>46</v>
      </c>
    </row>
    <row r="14" spans="1:4" x14ac:dyDescent="0.25">
      <c r="A14" s="1898" t="s">
        <v>679</v>
      </c>
      <c r="B14" s="896"/>
      <c r="C14" s="304" t="s">
        <v>647</v>
      </c>
      <c r="D14" s="305" t="s">
        <v>647</v>
      </c>
    </row>
    <row r="15" spans="1:4" x14ac:dyDescent="0.25">
      <c r="A15" s="1900"/>
      <c r="B15" s="899"/>
      <c r="C15" s="899"/>
      <c r="D15" s="875" t="s">
        <v>680</v>
      </c>
    </row>
    <row r="16" spans="1:4" x14ac:dyDescent="0.25">
      <c r="A16" s="129" t="s">
        <v>681</v>
      </c>
      <c r="B16" s="892" t="s">
        <v>99</v>
      </c>
      <c r="C16" s="304" t="s">
        <v>99</v>
      </c>
      <c r="D16" s="305" t="s">
        <v>99</v>
      </c>
    </row>
    <row r="17" spans="1:4" x14ac:dyDescent="0.25">
      <c r="A17" s="1894" t="s">
        <v>682</v>
      </c>
      <c r="B17" s="892" t="s">
        <v>603</v>
      </c>
      <c r="C17" s="304" t="s">
        <v>603</v>
      </c>
      <c r="D17" s="305" t="s">
        <v>603</v>
      </c>
    </row>
    <row r="18" spans="1:4" x14ac:dyDescent="0.25">
      <c r="A18" s="1896"/>
      <c r="B18" s="892" t="s">
        <v>110</v>
      </c>
      <c r="C18" s="304" t="s">
        <v>110</v>
      </c>
      <c r="D18" s="305" t="s">
        <v>110</v>
      </c>
    </row>
    <row r="19" spans="1:4" x14ac:dyDescent="0.25">
      <c r="A19" s="129" t="s">
        <v>683</v>
      </c>
      <c r="B19" s="889"/>
      <c r="C19" s="889"/>
      <c r="D19" s="889"/>
    </row>
    <row r="20" spans="1:4" x14ac:dyDescent="0.25">
      <c r="A20" s="1898" t="s">
        <v>684</v>
      </c>
      <c r="B20" s="892" t="s">
        <v>44</v>
      </c>
      <c r="C20" s="304" t="s">
        <v>44</v>
      </c>
      <c r="D20" s="305" t="s">
        <v>44</v>
      </c>
    </row>
    <row r="21" spans="1:4" x14ac:dyDescent="0.25">
      <c r="A21" s="1899"/>
      <c r="B21" s="892" t="s">
        <v>45</v>
      </c>
      <c r="C21" s="304" t="s">
        <v>45</v>
      </c>
      <c r="D21" s="305" t="s">
        <v>45</v>
      </c>
    </row>
    <row r="22" spans="1:4" x14ac:dyDescent="0.25">
      <c r="A22" s="1900"/>
      <c r="B22" s="899"/>
      <c r="C22" s="899"/>
      <c r="D22" s="875" t="s">
        <v>461</v>
      </c>
    </row>
    <row r="23" spans="1:4" x14ac:dyDescent="0.25">
      <c r="A23" s="82" t="s">
        <v>685</v>
      </c>
    </row>
  </sheetData>
  <mergeCells count="5">
    <mergeCell ref="A2:A3"/>
    <mergeCell ref="A4:A7"/>
    <mergeCell ref="A14:A15"/>
    <mergeCell ref="A17:A18"/>
    <mergeCell ref="A20:A2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44">
    <tabColor rgb="FF00B0F0"/>
  </sheetPr>
  <dimension ref="A1:E23"/>
  <sheetViews>
    <sheetView zoomScale="115" zoomScaleNormal="115" workbookViewId="0">
      <selection activeCell="J42" sqref="J42:J44"/>
    </sheetView>
  </sheetViews>
  <sheetFormatPr defaultRowHeight="15" x14ac:dyDescent="0.25"/>
  <cols>
    <col min="1" max="1" width="46.7109375" bestFit="1" customWidth="1"/>
    <col min="2" max="2" width="24.5703125" bestFit="1" customWidth="1"/>
    <col min="3" max="3" width="28.85546875" bestFit="1" customWidth="1"/>
    <col min="4" max="4" width="21.7109375" customWidth="1"/>
    <col min="5" max="5" width="20.7109375" customWidth="1"/>
  </cols>
  <sheetData>
    <row r="1" spans="1:5" x14ac:dyDescent="0.25">
      <c r="A1" s="132" t="s">
        <v>686</v>
      </c>
      <c r="B1" s="871" t="s">
        <v>648</v>
      </c>
      <c r="C1" s="872" t="s">
        <v>649</v>
      </c>
      <c r="D1" s="345" t="s">
        <v>650</v>
      </c>
      <c r="E1" s="873" t="s">
        <v>651</v>
      </c>
    </row>
    <row r="2" spans="1:5" x14ac:dyDescent="0.25">
      <c r="A2" s="1898" t="s">
        <v>674</v>
      </c>
      <c r="B2" s="891" t="s">
        <v>604</v>
      </c>
      <c r="C2" s="892" t="s">
        <v>604</v>
      </c>
      <c r="D2" s="304" t="s">
        <v>604</v>
      </c>
      <c r="E2" s="305" t="s">
        <v>604</v>
      </c>
    </row>
    <row r="3" spans="1:5" ht="30" customHeight="1" x14ac:dyDescent="0.25">
      <c r="A3" s="1899"/>
      <c r="B3" s="877" t="s">
        <v>463</v>
      </c>
      <c r="C3" s="878" t="s">
        <v>463</v>
      </c>
      <c r="D3" s="874" t="s">
        <v>463</v>
      </c>
      <c r="E3" s="875" t="s">
        <v>463</v>
      </c>
    </row>
    <row r="4" spans="1:5" ht="15" customHeight="1" x14ac:dyDescent="0.25">
      <c r="A4" s="1898" t="s">
        <v>675</v>
      </c>
      <c r="B4" s="900" t="s">
        <v>605</v>
      </c>
      <c r="C4" s="901" t="s">
        <v>605</v>
      </c>
      <c r="D4" s="894" t="s">
        <v>605</v>
      </c>
      <c r="E4" s="902" t="s">
        <v>605</v>
      </c>
    </row>
    <row r="5" spans="1:5" x14ac:dyDescent="0.25">
      <c r="A5" s="1899"/>
      <c r="B5" s="889"/>
      <c r="C5" s="889"/>
      <c r="D5" s="894" t="s">
        <v>646</v>
      </c>
      <c r="E5" s="305" t="s">
        <v>646</v>
      </c>
    </row>
    <row r="6" spans="1:5" x14ac:dyDescent="0.25">
      <c r="A6" s="1900"/>
      <c r="B6" s="889"/>
      <c r="C6" s="889"/>
      <c r="D6" s="894" t="s">
        <v>406</v>
      </c>
      <c r="E6" s="902" t="s">
        <v>406</v>
      </c>
    </row>
    <row r="7" spans="1:5" x14ac:dyDescent="0.25">
      <c r="A7" s="879" t="s">
        <v>657</v>
      </c>
      <c r="B7" s="889"/>
      <c r="C7" s="889"/>
      <c r="D7" s="304" t="s">
        <v>98</v>
      </c>
      <c r="E7" s="305" t="s">
        <v>98</v>
      </c>
    </row>
    <row r="8" spans="1:5" ht="30" x14ac:dyDescent="0.25">
      <c r="A8" s="879" t="s">
        <v>687</v>
      </c>
      <c r="B8" s="889"/>
      <c r="C8" s="889"/>
      <c r="D8" s="889"/>
      <c r="E8" s="903"/>
    </row>
    <row r="9" spans="1:5" x14ac:dyDescent="0.25">
      <c r="A9" s="129" t="s">
        <v>676</v>
      </c>
      <c r="B9" s="889"/>
      <c r="C9" s="889"/>
      <c r="D9" s="304" t="s">
        <v>43</v>
      </c>
      <c r="E9" s="305" t="s">
        <v>43</v>
      </c>
    </row>
    <row r="10" spans="1:5" x14ac:dyDescent="0.25">
      <c r="A10" s="129" t="s">
        <v>660</v>
      </c>
      <c r="B10" s="891" t="s">
        <v>42</v>
      </c>
      <c r="C10" s="892" t="s">
        <v>42</v>
      </c>
      <c r="D10" s="304" t="s">
        <v>42</v>
      </c>
      <c r="E10" s="305" t="s">
        <v>42</v>
      </c>
    </row>
    <row r="11" spans="1:5" x14ac:dyDescent="0.25">
      <c r="A11" s="904" t="s">
        <v>677</v>
      </c>
      <c r="B11" s="896"/>
      <c r="C11" s="896"/>
      <c r="D11" s="304" t="s">
        <v>403</v>
      </c>
      <c r="E11" s="305" t="s">
        <v>403</v>
      </c>
    </row>
    <row r="12" spans="1:5" ht="30" x14ac:dyDescent="0.25">
      <c r="A12" s="905" t="s">
        <v>688</v>
      </c>
      <c r="B12" s="889"/>
      <c r="C12" s="892" t="s">
        <v>46</v>
      </c>
      <c r="D12" s="304" t="s">
        <v>46</v>
      </c>
      <c r="E12" s="305" t="s">
        <v>46</v>
      </c>
    </row>
    <row r="13" spans="1:5" x14ac:dyDescent="0.25">
      <c r="A13" s="1898" t="s">
        <v>689</v>
      </c>
      <c r="B13" s="889"/>
      <c r="C13" s="889"/>
      <c r="D13" s="304" t="s">
        <v>647</v>
      </c>
      <c r="E13" s="305" t="s">
        <v>647</v>
      </c>
    </row>
    <row r="14" spans="1:5" ht="30" customHeight="1" x14ac:dyDescent="0.25">
      <c r="A14" s="1900"/>
      <c r="B14" s="63"/>
      <c r="C14" s="63"/>
      <c r="D14" s="874" t="s">
        <v>680</v>
      </c>
      <c r="E14" s="875" t="s">
        <v>680</v>
      </c>
    </row>
    <row r="15" spans="1:5" ht="30" x14ac:dyDescent="0.25">
      <c r="A15" s="905" t="s">
        <v>690</v>
      </c>
      <c r="B15" s="63"/>
      <c r="C15" s="63"/>
      <c r="D15" s="304" t="s">
        <v>99</v>
      </c>
      <c r="E15" s="305" t="s">
        <v>99</v>
      </c>
    </row>
    <row r="16" spans="1:5" x14ac:dyDescent="0.25">
      <c r="A16" s="1898" t="s">
        <v>682</v>
      </c>
      <c r="B16" s="63"/>
      <c r="C16" s="63"/>
      <c r="D16" s="304" t="s">
        <v>603</v>
      </c>
      <c r="E16" s="305" t="s">
        <v>603</v>
      </c>
    </row>
    <row r="17" spans="1:5" x14ac:dyDescent="0.25">
      <c r="A17" s="1900"/>
      <c r="B17" s="891" t="s">
        <v>110</v>
      </c>
      <c r="C17" s="892" t="s">
        <v>110</v>
      </c>
      <c r="D17" s="304" t="s">
        <v>110</v>
      </c>
      <c r="E17" s="305" t="s">
        <v>110</v>
      </c>
    </row>
    <row r="18" spans="1:5" x14ac:dyDescent="0.25">
      <c r="A18" s="905" t="s">
        <v>683</v>
      </c>
      <c r="B18" s="889"/>
      <c r="C18" s="889"/>
      <c r="D18" s="889"/>
      <c r="E18" s="903"/>
    </row>
    <row r="19" spans="1:5" ht="30" customHeight="1" x14ac:dyDescent="0.25">
      <c r="A19" s="1898" t="s">
        <v>691</v>
      </c>
      <c r="B19" s="891" t="s">
        <v>44</v>
      </c>
      <c r="C19" s="906" t="s">
        <v>44</v>
      </c>
      <c r="D19" s="907" t="s">
        <v>44</v>
      </c>
      <c r="E19" s="305" t="s">
        <v>44</v>
      </c>
    </row>
    <row r="20" spans="1:5" x14ac:dyDescent="0.25">
      <c r="A20" s="1900"/>
      <c r="B20" s="891" t="s">
        <v>45</v>
      </c>
      <c r="C20" s="906" t="s">
        <v>45</v>
      </c>
      <c r="D20" s="907" t="s">
        <v>45</v>
      </c>
      <c r="E20" s="305" t="s">
        <v>45</v>
      </c>
    </row>
    <row r="21" spans="1:5" ht="30" x14ac:dyDescent="0.25">
      <c r="A21" s="905" t="s">
        <v>692</v>
      </c>
      <c r="B21" s="63"/>
      <c r="C21" s="63"/>
      <c r="D21" s="304" t="s">
        <v>394</v>
      </c>
      <c r="E21" s="305" t="s">
        <v>394</v>
      </c>
    </row>
    <row r="22" spans="1:5" ht="45" x14ac:dyDescent="0.25">
      <c r="A22" s="905" t="s">
        <v>693</v>
      </c>
      <c r="B22" s="63"/>
      <c r="C22" s="63"/>
      <c r="D22" s="63"/>
      <c r="E22" s="63"/>
    </row>
    <row r="23" spans="1:5" x14ac:dyDescent="0.25">
      <c r="A23" s="82" t="s">
        <v>694</v>
      </c>
    </row>
  </sheetData>
  <mergeCells count="5">
    <mergeCell ref="A2:A3"/>
    <mergeCell ref="A4:A6"/>
    <mergeCell ref="A13:A14"/>
    <mergeCell ref="A16:A17"/>
    <mergeCell ref="A19:A2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45">
    <tabColor rgb="FF00B0F0"/>
  </sheetPr>
  <dimension ref="A1:E27"/>
  <sheetViews>
    <sheetView zoomScale="130" zoomScaleNormal="130" workbookViewId="0">
      <selection activeCell="J42" sqref="J42:J44"/>
    </sheetView>
  </sheetViews>
  <sheetFormatPr defaultRowHeight="15" x14ac:dyDescent="0.25"/>
  <cols>
    <col min="1" max="1" width="62.140625" customWidth="1"/>
    <col min="2" max="2" width="24.5703125" bestFit="1" customWidth="1"/>
    <col min="3" max="3" width="28.85546875" bestFit="1" customWidth="1"/>
    <col min="4" max="4" width="21.7109375" customWidth="1"/>
  </cols>
  <sheetData>
    <row r="1" spans="1:5" x14ac:dyDescent="0.25">
      <c r="A1" s="132" t="s">
        <v>695</v>
      </c>
      <c r="B1" s="872" t="s">
        <v>652</v>
      </c>
      <c r="C1" s="345" t="s">
        <v>653</v>
      </c>
      <c r="D1" s="873" t="s">
        <v>654</v>
      </c>
    </row>
    <row r="2" spans="1:5" x14ac:dyDescent="0.25">
      <c r="A2" s="1894" t="s">
        <v>655</v>
      </c>
      <c r="B2" s="892" t="s">
        <v>604</v>
      </c>
      <c r="C2" s="304" t="s">
        <v>604</v>
      </c>
      <c r="D2" s="305" t="s">
        <v>604</v>
      </c>
    </row>
    <row r="3" spans="1:5" x14ac:dyDescent="0.25">
      <c r="A3" s="1895"/>
      <c r="B3" s="908" t="s">
        <v>463</v>
      </c>
      <c r="C3" s="909" t="s">
        <v>463</v>
      </c>
      <c r="D3" s="910" t="s">
        <v>463</v>
      </c>
    </row>
    <row r="4" spans="1:5" x14ac:dyDescent="0.25">
      <c r="A4" s="1894" t="s">
        <v>656</v>
      </c>
      <c r="B4" s="892" t="s">
        <v>605</v>
      </c>
      <c r="C4" s="304" t="s">
        <v>605</v>
      </c>
      <c r="D4" s="305" t="s">
        <v>605</v>
      </c>
    </row>
    <row r="5" spans="1:5" x14ac:dyDescent="0.25">
      <c r="A5" s="1895"/>
      <c r="B5" s="889"/>
      <c r="C5" s="304" t="s">
        <v>646</v>
      </c>
      <c r="D5" s="305" t="s">
        <v>646</v>
      </c>
    </row>
    <row r="6" spans="1:5" x14ac:dyDescent="0.25">
      <c r="A6" s="1895"/>
      <c r="B6" s="889"/>
      <c r="C6" s="889"/>
      <c r="D6" s="305" t="s">
        <v>406</v>
      </c>
    </row>
    <row r="7" spans="1:5" x14ac:dyDescent="0.25">
      <c r="A7" s="1896"/>
      <c r="B7" s="889"/>
      <c r="C7" s="889"/>
      <c r="D7" s="305" t="s">
        <v>641</v>
      </c>
    </row>
    <row r="8" spans="1:5" x14ac:dyDescent="0.25">
      <c r="A8" s="880" t="s">
        <v>657</v>
      </c>
      <c r="B8" s="889"/>
      <c r="C8" s="889"/>
      <c r="D8" s="305" t="s">
        <v>98</v>
      </c>
    </row>
    <row r="9" spans="1:5" x14ac:dyDescent="0.25">
      <c r="A9" s="880" t="s">
        <v>658</v>
      </c>
      <c r="B9" s="889"/>
      <c r="C9" s="889"/>
      <c r="D9" s="903"/>
    </row>
    <row r="10" spans="1:5" x14ac:dyDescent="0.25">
      <c r="A10" s="880" t="s">
        <v>659</v>
      </c>
      <c r="B10" s="892" t="s">
        <v>46</v>
      </c>
      <c r="C10" s="304" t="s">
        <v>46</v>
      </c>
      <c r="D10" s="305" t="s">
        <v>46</v>
      </c>
    </row>
    <row r="11" spans="1:5" x14ac:dyDescent="0.25">
      <c r="A11" s="1894" t="s">
        <v>660</v>
      </c>
      <c r="B11" s="892" t="s">
        <v>42</v>
      </c>
      <c r="C11" s="304" t="s">
        <v>42</v>
      </c>
      <c r="D11" s="305" t="s">
        <v>42</v>
      </c>
    </row>
    <row r="12" spans="1:5" x14ac:dyDescent="0.25">
      <c r="A12" s="1896"/>
      <c r="B12" s="889"/>
      <c r="C12" s="889"/>
      <c r="D12" s="875" t="s">
        <v>1514</v>
      </c>
      <c r="E12" t="s">
        <v>1515</v>
      </c>
    </row>
    <row r="13" spans="1:5" x14ac:dyDescent="0.25">
      <c r="A13" s="880" t="s">
        <v>661</v>
      </c>
      <c r="B13" s="889"/>
      <c r="C13" s="304" t="s">
        <v>403</v>
      </c>
      <c r="D13" s="305" t="s">
        <v>403</v>
      </c>
    </row>
    <row r="14" spans="1:5" x14ac:dyDescent="0.25">
      <c r="A14" s="880" t="s">
        <v>662</v>
      </c>
      <c r="B14" s="889"/>
      <c r="C14" s="889"/>
      <c r="D14" s="903"/>
    </row>
    <row r="15" spans="1:5" x14ac:dyDescent="0.25">
      <c r="A15" s="880" t="s">
        <v>663</v>
      </c>
      <c r="B15" s="892" t="s">
        <v>99</v>
      </c>
      <c r="C15" s="304" t="s">
        <v>99</v>
      </c>
      <c r="D15" s="305" t="s">
        <v>99</v>
      </c>
    </row>
    <row r="16" spans="1:5" x14ac:dyDescent="0.25">
      <c r="A16" s="880" t="s">
        <v>664</v>
      </c>
      <c r="B16" s="889"/>
      <c r="C16" s="889"/>
      <c r="D16" s="903"/>
    </row>
    <row r="17" spans="1:4" x14ac:dyDescent="0.25">
      <c r="A17" s="1898" t="s">
        <v>665</v>
      </c>
      <c r="B17" s="892" t="s">
        <v>45</v>
      </c>
      <c r="C17" s="304" t="s">
        <v>45</v>
      </c>
      <c r="D17" s="305" t="s">
        <v>45</v>
      </c>
    </row>
    <row r="18" spans="1:4" x14ac:dyDescent="0.25">
      <c r="A18" s="1900"/>
      <c r="B18" s="892" t="s">
        <v>44</v>
      </c>
      <c r="C18" s="304" t="s">
        <v>44</v>
      </c>
      <c r="D18" s="305" t="s">
        <v>44</v>
      </c>
    </row>
    <row r="19" spans="1:4" x14ac:dyDescent="0.25">
      <c r="A19" s="1894" t="s">
        <v>666</v>
      </c>
      <c r="B19" s="889"/>
      <c r="C19" s="304" t="s">
        <v>43</v>
      </c>
      <c r="D19" s="305" t="s">
        <v>43</v>
      </c>
    </row>
    <row r="20" spans="1:4" x14ac:dyDescent="0.25">
      <c r="A20" s="1896"/>
      <c r="B20" s="889"/>
      <c r="C20" s="889"/>
      <c r="D20" s="305" t="s">
        <v>394</v>
      </c>
    </row>
    <row r="21" spans="1:4" x14ac:dyDescent="0.25">
      <c r="A21" s="880" t="s">
        <v>667</v>
      </c>
      <c r="B21" s="889"/>
      <c r="C21" s="889"/>
      <c r="D21" s="305" t="s">
        <v>647</v>
      </c>
    </row>
    <row r="22" spans="1:4" ht="15" customHeight="1" x14ac:dyDescent="0.25">
      <c r="A22" s="905" t="s">
        <v>668</v>
      </c>
      <c r="B22" s="889"/>
      <c r="C22" s="889"/>
      <c r="D22" s="305" t="s">
        <v>407</v>
      </c>
    </row>
    <row r="23" spans="1:4" ht="30" x14ac:dyDescent="0.25">
      <c r="A23" s="905" t="s">
        <v>669</v>
      </c>
      <c r="B23" s="889"/>
      <c r="C23" s="889"/>
      <c r="D23" s="903"/>
    </row>
    <row r="24" spans="1:4" x14ac:dyDescent="0.25">
      <c r="A24" s="880" t="s">
        <v>670</v>
      </c>
      <c r="B24" s="889"/>
      <c r="C24" s="889"/>
      <c r="D24" s="903"/>
    </row>
    <row r="25" spans="1:4" x14ac:dyDescent="0.25">
      <c r="A25" s="880" t="s">
        <v>671</v>
      </c>
      <c r="B25" s="889"/>
      <c r="C25" s="889"/>
      <c r="D25" s="903"/>
    </row>
    <row r="26" spans="1:4" x14ac:dyDescent="0.25">
      <c r="A26" s="82" t="s">
        <v>694</v>
      </c>
    </row>
    <row r="27" spans="1:4" x14ac:dyDescent="0.25">
      <c r="A27" s="82" t="s">
        <v>696</v>
      </c>
    </row>
  </sheetData>
  <mergeCells count="5">
    <mergeCell ref="A2:A3"/>
    <mergeCell ref="A4:A7"/>
    <mergeCell ref="A11:A12"/>
    <mergeCell ref="A17:A18"/>
    <mergeCell ref="A19:A2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24">
    <tabColor rgb="FFFFFF00"/>
  </sheetPr>
  <dimension ref="A1:J41"/>
  <sheetViews>
    <sheetView zoomScale="85" zoomScaleNormal="85" workbookViewId="0">
      <selection activeCell="J42" sqref="J42:J44"/>
    </sheetView>
  </sheetViews>
  <sheetFormatPr defaultRowHeight="15" x14ac:dyDescent="0.25"/>
  <cols>
    <col min="1" max="1" width="52.7109375" bestFit="1" customWidth="1"/>
    <col min="2" max="5" width="10.7109375" customWidth="1"/>
    <col min="6" max="6" width="10.7109375" style="83" bestFit="1" customWidth="1"/>
    <col min="8" max="8" width="21.85546875" customWidth="1"/>
    <col min="9" max="9" width="11" bestFit="1" customWidth="1"/>
    <col min="10" max="10" width="10.28515625" bestFit="1" customWidth="1"/>
    <col min="11" max="12" width="20.7109375" bestFit="1" customWidth="1"/>
  </cols>
  <sheetData>
    <row r="1" spans="1:10" ht="15.75" thickBot="1" x14ac:dyDescent="0.3"/>
    <row r="2" spans="1:10" ht="15.75" x14ac:dyDescent="0.25">
      <c r="A2" s="351" t="s">
        <v>446</v>
      </c>
      <c r="B2" s="69" t="s">
        <v>11</v>
      </c>
      <c r="C2" s="69" t="s">
        <v>1</v>
      </c>
      <c r="D2" s="69" t="s">
        <v>447</v>
      </c>
      <c r="E2" s="355" t="s">
        <v>3</v>
      </c>
      <c r="F2" s="353" t="str">
        <f>ТрЗ_ОП!F2</f>
        <v>ТРП</v>
      </c>
      <c r="H2" s="862" t="s">
        <v>628</v>
      </c>
      <c r="I2" s="863" t="s">
        <v>11</v>
      </c>
      <c r="J2" s="525" t="e">
        <f>IF(AND(ТрЗ_ОП!$T$12&gt;0,ТрЗ_ОП!$T$13=0,ТрЗ_ОП!$T$15=0,ТрЗ_ОП!$T$17&gt;0,ТрЗ_ОП!$T$18=0,ТрЗ_ОП!$T$19&gt;0,ТрЗ_ОП!$T$20&gt;0,ТрЗ_ОП!$T$21&gt;0,ТрЗ_ОП!$T$22&gt;0,ТрЗ_ОП!$T$23&gt;0,ТрЗ_ОП!$T$25=0,ТрЗ_ОП!$T$27&gt;0,ТрЗ_ОП!$T$28&gt;0,ТрЗ_ОП!$T$29=0,ТрЗ_ОП!$T$30=0,ТрЗ_ОП!$T$31=0,ТрЗ_ОП!$T$32=0,ТрЗ_ОП!$T$33&gt;0,ТрЗ_ОП!$T$34&gt;0,ТрЗ_ОП!$T$35&gt;0,ТрЗ_ОП!$T$36&gt;0,ТрЗ_ОП!$T$37&gt;0,ТрЗ_ОП!$T$38=0,ТрЗ_ОП!$T$39=0,ТрЗ_ОП!$T$40=0,ТрЗ_ОП!$T$41=0,ТрЗ_ОП!$T$43=0,ТрЗ_ОП!$T$44&gt;0,ТрЗ_ОП!$T$45&gt;0,ТрЗ_ОП!$T$46=0,ТрЗ_ОП!$T$47=0,ТрЗ_ОП!$T$48=0),1,0)</f>
        <v>#REF!</v>
      </c>
    </row>
    <row r="3" spans="1:10" x14ac:dyDescent="0.25">
      <c r="A3" s="1901" t="s">
        <v>448</v>
      </c>
      <c r="B3" s="1902"/>
      <c r="C3" s="1902"/>
      <c r="D3" s="1902"/>
      <c r="E3" s="344"/>
      <c r="F3" s="356"/>
      <c r="H3" s="864"/>
      <c r="I3" s="129" t="s">
        <v>1</v>
      </c>
      <c r="J3" s="824" t="e">
        <f>IF(AND(ТрЗ_ОП!$T$12=0,ТрЗ_ОП!$T$13=0,ТрЗ_ОП!$T$15&gt;0,ТрЗ_ОП!$T$17=0,ТрЗ_ОП!$T$18=0,ТрЗ_ОП!$T$19=0,ТрЗ_ОП!$T$20=0,ТрЗ_ОП!$T$21=0,ТрЗ_ОП!$T$22&gt;0,ТрЗ_ОП!$T$23&gt;0,ТрЗ_ОП!$T$25=0,ТрЗ_ОП!$T$27=0,ТрЗ_ОП!$T$28=0,ТрЗ_ОП!$T$29=0,ТрЗ_ОП!$T$30=0,ТрЗ_ОП!$T$31=0,ТрЗ_ОП!$T$32=0,ТрЗ_ОП!$T$33=0,ТрЗ_ОП!$T$34=0,ТрЗ_ОП!$T$35=0,ТрЗ_ОП!$T$36=0,ТрЗ_ОП!$T$37=0,ТрЗ_ОП!$T$38=0,ТрЗ_ОП!$T$39=0,ТрЗ_ОП!$T$40=0,ТрЗ_ОП!$T$41=0,ТрЗ_ОП!$T$43=0,ТрЗ_ОП!$T$44=0,ТрЗ_ОП!$T$45=0,ТрЗ_ОП!$T$46=0,ТрЗ_ОП!$T$47=0,ТрЗ_ОП!$T$48=0),1,0)</f>
        <v>#REF!</v>
      </c>
    </row>
    <row r="4" spans="1:10" x14ac:dyDescent="0.25">
      <c r="A4" s="67" t="s">
        <v>0</v>
      </c>
      <c r="B4" s="352">
        <v>0</v>
      </c>
      <c r="C4" s="352">
        <v>0</v>
      </c>
      <c r="D4" s="352">
        <v>0</v>
      </c>
      <c r="E4" s="352">
        <v>0</v>
      </c>
      <c r="F4" s="851" t="str">
        <f>IF(OR(B4=1,C4=1,D4=1,E4=1),(($F$2=$B$2)*$B4+($F$2=$C$2)*$C4+($F$2=$D$2)*$D4)+($F$2=$E$2)*$E4*1*(($F$2=$B$2)*$B4+($F$2=$C$2)*$C4+($F$2=$D$2)*$D4+($F$2=$E$2)*$E4),"-")</f>
        <v>-</v>
      </c>
      <c r="H4" s="864"/>
      <c r="I4" s="129" t="s">
        <v>447</v>
      </c>
      <c r="J4" s="824" t="e">
        <f>IF(AND(ТрЗ_ОП!$T$12=0,ТрЗ_ОП!$T$13&gt;0,ТрЗ_ОП!$T$15=0,ТрЗ_ОП!$T$17=0,ТрЗ_ОП!$T$18=0,ТрЗ_ОП!$T$19=0,ТрЗ_ОП!$T$20=0,ТрЗ_ОП!$T$21=0,ТрЗ_ОП!$T$22&gt;0,ТрЗ_ОП!$T$23=0,ТрЗ_ОП!$T$25=0,ТрЗ_ОП!$T$27&gt;0,ТрЗ_ОП!$T$28=0,ТрЗ_ОП!$T$29=0,ТрЗ_ОП!$T$30=0,ТрЗ_ОП!$T$31=0,ТрЗ_ОП!$T$32=0,ТрЗ_ОП!$T$33=0,ТрЗ_ОП!$T$34=0,ТрЗ_ОП!$T$35=0,ТрЗ_ОП!$T$36=0,ТрЗ_ОП!$T$37=0,ТрЗ_ОП!$T$38=0,ТрЗ_ОП!$T$39=0,ТрЗ_ОП!$T$40=0,ТрЗ_ОП!$T$41=0,ТрЗ_ОП!$T$43=0,ТрЗ_ОП!$T$44=0,ТрЗ_ОП!$T$45=0,ТрЗ_ОП!$T$46=0,ТрЗ_ОП!$T$47=0,ТрЗ_ОП!$T$48=0),1,0)</f>
        <v>#REF!</v>
      </c>
    </row>
    <row r="5" spans="1:10" x14ac:dyDescent="0.25">
      <c r="A5" s="346" t="s">
        <v>449</v>
      </c>
      <c r="B5" s="302">
        <v>0</v>
      </c>
      <c r="C5" s="302">
        <v>0</v>
      </c>
      <c r="D5" s="345">
        <v>1</v>
      </c>
      <c r="E5" s="848">
        <v>0</v>
      </c>
      <c r="F5" s="851">
        <f>IF(OR(B5=1,C5=1,D5=1,E5=1),(($F$2=$B$2)*$B5+($F$2=$C$2)*$C5+($F$2=$D$2)*$D5)+($F$2=$E$2)*$E5*1*(($F$2=$B$2)*$B5+($F$2=$C$2)*$C5+($F$2=$D$2)*$D5+($F$2=$E$2)*$E5),"-")</f>
        <v>0</v>
      </c>
      <c r="H5" s="864"/>
      <c r="I5" s="129" t="s">
        <v>3</v>
      </c>
      <c r="J5" s="824" t="e">
        <f>IF(AND(ТрЗ_ОП!$T$12&gt;0,ТрЗ_ОП!$T$13=0,ТрЗ_ОП!$T$15=0,ТрЗ_ОП!$T$17&gt;0,ТрЗ_ОП!$T$18=0,ТрЗ_ОП!$T$19&gt;0,ТрЗ_ОП!$T$20&gt;0,ТрЗ_ОП!$T$21&gt;0,ТрЗ_ОП!$T$22&gt;0,ТрЗ_ОП!$T$23&gt;0,ТрЗ_ОП!$T$25=0,ТрЗ_ОП!$T$27&gt;0,ТрЗ_ОП!$T$28=0,ТрЗ_ОП!$T$29=0,ТрЗ_ОП!$T$30=0,ТрЗ_ОП!$T$31=0,ТрЗ_ОП!$T$32=0,ТрЗ_ОП!$T$33=0,ТрЗ_ОП!$T$34=0,ТрЗ_ОП!$T$35=0,ТрЗ_ОП!$T$36=0,ТрЗ_ОП!$T$37=0,ТрЗ_ОП!$T$38=0,ТрЗ_ОП!$T$39=0,ТрЗ_ОП!$T$40=0,ТрЗ_ОП!$T$41=0,ТрЗ_ОП!$T$43=0,ТрЗ_ОП!$T$44=0,ТрЗ_ОП!$T$45=0,ТрЗ_ОП!$T$46=0,ТрЗ_ОП!$T$47=0,ТрЗ_ОП!$T$48=0),1,0)</f>
        <v>#REF!</v>
      </c>
    </row>
    <row r="6" spans="1:10" ht="15.75" thickBot="1" x14ac:dyDescent="0.3">
      <c r="A6" s="1901" t="s">
        <v>1</v>
      </c>
      <c r="B6" s="1902"/>
      <c r="C6" s="1902"/>
      <c r="D6" s="1903"/>
      <c r="E6" s="349"/>
      <c r="F6" s="357"/>
      <c r="H6" s="865"/>
      <c r="I6" s="866" t="s">
        <v>629</v>
      </c>
      <c r="J6" s="197" t="e">
        <f>IF(AND($J$2=0,$J$3=0,$J$4=0,$J$5=0),1,0)</f>
        <v>#REF!</v>
      </c>
    </row>
    <row r="7" spans="1:10" x14ac:dyDescent="0.25">
      <c r="A7" s="66" t="s">
        <v>2</v>
      </c>
      <c r="B7" s="302">
        <v>0</v>
      </c>
      <c r="C7" s="345">
        <v>1</v>
      </c>
      <c r="D7" s="302">
        <v>0</v>
      </c>
      <c r="E7" s="848">
        <v>0</v>
      </c>
      <c r="F7" s="851">
        <f>IF(OR(B7=1,C7=1,D7=1,E7=1),(($F$2=$B$2)*$B7+($F$2=$C$2)*$C7+($F$2=$D$2)*$D7)+($F$2=$E$2)*$E7*1*(($F$2=$B$2)*$B7+($F$2=$C$2)*$C7+($F$2=$D$2)*$D7+($F$2=$E$2)*$E7),"-")</f>
        <v>0</v>
      </c>
    </row>
    <row r="8" spans="1:10" x14ac:dyDescent="0.25">
      <c r="A8" s="1901" t="s">
        <v>3</v>
      </c>
      <c r="B8" s="1902"/>
      <c r="C8" s="1902"/>
      <c r="D8" s="1903"/>
      <c r="E8" s="349"/>
      <c r="F8" s="357"/>
    </row>
    <row r="9" spans="1:10" x14ac:dyDescent="0.25">
      <c r="A9" s="66" t="s">
        <v>4</v>
      </c>
      <c r="B9" s="345">
        <v>1</v>
      </c>
      <c r="C9" s="302">
        <v>0</v>
      </c>
      <c r="D9" s="302">
        <v>0</v>
      </c>
      <c r="E9" s="849">
        <v>1</v>
      </c>
      <c r="F9" s="851">
        <f t="shared" ref="F9:F15" si="0">IF(OR(B9=1,C9=1,D9=1,E9=1),(($F$2=$B$2)*$B9+($F$2=$C$2)*$C9+($F$2=$D$2)*$D9)+($F$2=$E$2)*$E9*1*(($F$2=$B$2)*$B9+($F$2=$C$2)*$C9+($F$2=$D$2)*$D9+($F$2=$E$2)*$E9),"-")</f>
        <v>1</v>
      </c>
    </row>
    <row r="10" spans="1:10" x14ac:dyDescent="0.25">
      <c r="A10" s="66" t="s">
        <v>5</v>
      </c>
      <c r="B10" s="302">
        <v>0</v>
      </c>
      <c r="C10" s="302">
        <v>0</v>
      </c>
      <c r="D10" s="302">
        <v>0</v>
      </c>
      <c r="E10" s="848">
        <v>0</v>
      </c>
      <c r="F10" s="851" t="str">
        <f t="shared" si="0"/>
        <v>-</v>
      </c>
    </row>
    <row r="11" spans="1:10" x14ac:dyDescent="0.25">
      <c r="A11" s="66" t="s">
        <v>6</v>
      </c>
      <c r="B11" s="345">
        <v>1</v>
      </c>
      <c r="C11" s="302">
        <v>0</v>
      </c>
      <c r="D11" s="302">
        <v>0</v>
      </c>
      <c r="E11" s="849">
        <v>1</v>
      </c>
      <c r="F11" s="851">
        <f t="shared" si="0"/>
        <v>1</v>
      </c>
    </row>
    <row r="12" spans="1:10" x14ac:dyDescent="0.25">
      <c r="A12" s="66" t="s">
        <v>7</v>
      </c>
      <c r="B12" s="345">
        <v>1</v>
      </c>
      <c r="C12" s="302">
        <v>0</v>
      </c>
      <c r="D12" s="302">
        <v>0</v>
      </c>
      <c r="E12" s="849">
        <v>1</v>
      </c>
      <c r="F12" s="851">
        <f t="shared" si="0"/>
        <v>1</v>
      </c>
    </row>
    <row r="13" spans="1:10" x14ac:dyDescent="0.25">
      <c r="A13" s="66" t="s">
        <v>8</v>
      </c>
      <c r="B13" s="345">
        <v>1</v>
      </c>
      <c r="C13" s="302">
        <v>0</v>
      </c>
      <c r="D13" s="302">
        <v>0</v>
      </c>
      <c r="E13" s="849">
        <v>1</v>
      </c>
      <c r="F13" s="851">
        <f t="shared" si="0"/>
        <v>1</v>
      </c>
    </row>
    <row r="14" spans="1:10" x14ac:dyDescent="0.25">
      <c r="A14" s="66" t="s">
        <v>9</v>
      </c>
      <c r="B14" s="345">
        <v>1</v>
      </c>
      <c r="C14" s="345">
        <v>1</v>
      </c>
      <c r="D14" s="345">
        <v>1</v>
      </c>
      <c r="E14" s="849">
        <v>1</v>
      </c>
      <c r="F14" s="851">
        <f t="shared" si="0"/>
        <v>1</v>
      </c>
    </row>
    <row r="15" spans="1:10" x14ac:dyDescent="0.25">
      <c r="A15" s="66" t="s">
        <v>10</v>
      </c>
      <c r="B15" s="345">
        <v>1</v>
      </c>
      <c r="C15" s="345">
        <v>1</v>
      </c>
      <c r="D15" s="302">
        <v>0</v>
      </c>
      <c r="E15" s="849">
        <v>1</v>
      </c>
      <c r="F15" s="851">
        <f t="shared" si="0"/>
        <v>1</v>
      </c>
    </row>
    <row r="16" spans="1:10" x14ac:dyDescent="0.25">
      <c r="A16" s="1901" t="s">
        <v>105</v>
      </c>
      <c r="B16" s="1902"/>
      <c r="C16" s="1902"/>
      <c r="D16" s="1903"/>
      <c r="E16" s="349"/>
      <c r="F16" s="357"/>
    </row>
    <row r="17" spans="1:6" x14ac:dyDescent="0.25">
      <c r="A17" s="66" t="s">
        <v>6</v>
      </c>
      <c r="B17" s="302">
        <v>0</v>
      </c>
      <c r="C17" s="302">
        <v>0</v>
      </c>
      <c r="D17" s="302">
        <v>0</v>
      </c>
      <c r="E17" s="848">
        <v>0</v>
      </c>
      <c r="F17" s="851" t="str">
        <f>IF(OR(B17=1,C17=1,D17=1,E17=1),(($F$2=$B$2)*$B17+($F$2=$C$2)*$C17+($F$2=$D$2)*$D17)+($F$2=$E$2)*$E17*1*(($F$2=$B$2)*$B17+($F$2=$C$2)*$C17+($F$2=$D$2)*$D17+($F$2=$E$2)*$E17),"-")</f>
        <v>-</v>
      </c>
    </row>
    <row r="18" spans="1:6" x14ac:dyDescent="0.25">
      <c r="A18" s="1901" t="s">
        <v>13</v>
      </c>
      <c r="B18" s="1902"/>
      <c r="C18" s="1902"/>
      <c r="D18" s="1903"/>
      <c r="E18" s="349"/>
      <c r="F18" s="357"/>
    </row>
    <row r="19" spans="1:6" x14ac:dyDescent="0.25">
      <c r="A19" s="66" t="s">
        <v>14</v>
      </c>
      <c r="B19" s="345">
        <v>1</v>
      </c>
      <c r="C19" s="302">
        <v>0</v>
      </c>
      <c r="D19" s="345">
        <v>1</v>
      </c>
      <c r="E19" s="345">
        <v>1</v>
      </c>
      <c r="F19" s="851">
        <f>IF(OR(B19=1,C19=1,D19=1,E19=1),(($F$2=$B$2)*$B19+($F$2=$C$2)*$C19+($F$2=$D$2)*$D19)+($F$2=$E$2)*$E19*1*(($F$2=$B$2)*$B19+($F$2=$C$2)*$C19+($F$2=$D$2)*$D19+($F$2=$E$2)*$E19),"-")</f>
        <v>1</v>
      </c>
    </row>
    <row r="20" spans="1:6" x14ac:dyDescent="0.25">
      <c r="A20" s="66" t="s">
        <v>15</v>
      </c>
      <c r="B20" s="345">
        <v>1</v>
      </c>
      <c r="C20" s="302">
        <v>0</v>
      </c>
      <c r="D20" s="302">
        <v>0</v>
      </c>
      <c r="E20" s="848">
        <v>0</v>
      </c>
      <c r="F20" s="851">
        <f>IF(OR(B20=1,C20=1,D20=1,E20=1),(($F$2=$B$2)*$B20+($F$2=$C$2)*$C20+($F$2=$D$2)*$D20)+($F$2=$E$2)*$E20*1*(($F$2=$B$2)*$B20+($F$2=$C$2)*$C20+($F$2=$D$2)*$D20+($F$2=$E$2)*$E20),"-")</f>
        <v>1</v>
      </c>
    </row>
    <row r="21" spans="1:6" x14ac:dyDescent="0.25">
      <c r="A21" s="66" t="s">
        <v>16</v>
      </c>
      <c r="B21" s="302">
        <v>0</v>
      </c>
      <c r="C21" s="302">
        <v>0</v>
      </c>
      <c r="D21" s="302">
        <v>0</v>
      </c>
      <c r="E21" s="848">
        <v>0</v>
      </c>
      <c r="F21" s="851" t="str">
        <f>IF(OR(B21=1,C21=1,D21=1,E21=1),(($F$2=$B$2)*$B21+($F$2=$C$2)*$C21+($F$2=$D$2)*$D21)+($F$2=$E$2)*$E21*1*(($F$2=$B$2)*$B21+($F$2=$C$2)*$C21+($F$2=$D$2)*$D21+($F$2=$E$2)*$E21),"-")</f>
        <v>-</v>
      </c>
    </row>
    <row r="22" spans="1:6" x14ac:dyDescent="0.25">
      <c r="A22" s="66" t="s">
        <v>17</v>
      </c>
      <c r="B22" s="302">
        <v>0</v>
      </c>
      <c r="C22" s="302">
        <v>0</v>
      </c>
      <c r="D22" s="302">
        <v>0</v>
      </c>
      <c r="E22" s="848">
        <v>0</v>
      </c>
      <c r="F22" s="851" t="str">
        <f>IF(OR(B22=1,C22=1,D22=1,E22=1),(($F$2=$B$2)*$B22+($F$2=$C$2)*$C22+($F$2=$D$2)*$D22)+($F$2=$E$2)*$E22*1*(($F$2=$B$2)*$B22+($F$2=$C$2)*$C22+($F$2=$D$2)*$D22+($F$2=$E$2)*$E22),"-")</f>
        <v>-</v>
      </c>
    </row>
    <row r="23" spans="1:6" x14ac:dyDescent="0.25">
      <c r="A23" s="66" t="s">
        <v>18</v>
      </c>
      <c r="B23" s="302">
        <v>0</v>
      </c>
      <c r="C23" s="302">
        <v>0</v>
      </c>
      <c r="D23" s="302">
        <v>0</v>
      </c>
      <c r="E23" s="848">
        <v>0</v>
      </c>
      <c r="F23" s="851" t="str">
        <f>IF(OR(B23=1,C23=1,D23=1,E23=1),(($F$2=$B$2)*$B23+($F$2=$C$2)*$C23+($F$2=$D$2)*$D23)+($F$2=$E$2)*$E23*1*(($F$2=$B$2)*$B23+($F$2=$C$2)*$C23+($F$2=$D$2)*$D23+($F$2=$E$2)*$E23),"-")</f>
        <v>-</v>
      </c>
    </row>
    <row r="24" spans="1:6" x14ac:dyDescent="0.25">
      <c r="A24" s="66" t="s">
        <v>19</v>
      </c>
      <c r="B24" s="302">
        <v>0</v>
      </c>
      <c r="C24" s="302">
        <v>0</v>
      </c>
      <c r="D24" s="302">
        <v>0</v>
      </c>
      <c r="E24" s="848">
        <v>0</v>
      </c>
      <c r="F24" s="851" t="str">
        <f t="shared" ref="F24:F30" si="1">IF(OR(B24=1,C24=1,D24=1,E24=1),(($F$2=$B$2)*$B24+($F$2=$C$2)*$C24+($F$2=$D$2)*$D24)+($F$2=$E$2)*$E24*1*(($F$2=$B$2)*$B24+($F$2=$C$2)*$C24+($F$2=$D$2)*$D24+($F$2=$E$2)*$E24),"-")</f>
        <v>-</v>
      </c>
    </row>
    <row r="25" spans="1:6" x14ac:dyDescent="0.25">
      <c r="A25" s="66" t="s">
        <v>450</v>
      </c>
      <c r="B25" s="345">
        <v>1</v>
      </c>
      <c r="C25" s="302">
        <v>0</v>
      </c>
      <c r="D25" s="302">
        <v>0</v>
      </c>
      <c r="E25" s="848">
        <v>0</v>
      </c>
      <c r="F25" s="851">
        <f t="shared" si="1"/>
        <v>1</v>
      </c>
    </row>
    <row r="26" spans="1:6" x14ac:dyDescent="0.25">
      <c r="A26" s="347" t="s">
        <v>451</v>
      </c>
      <c r="B26" s="345">
        <v>1</v>
      </c>
      <c r="C26" s="302">
        <v>0</v>
      </c>
      <c r="D26" s="302">
        <v>0</v>
      </c>
      <c r="E26" s="848">
        <v>0</v>
      </c>
      <c r="F26" s="851">
        <f t="shared" si="1"/>
        <v>1</v>
      </c>
    </row>
    <row r="27" spans="1:6" x14ac:dyDescent="0.25">
      <c r="A27" s="347" t="s">
        <v>452</v>
      </c>
      <c r="B27" s="345">
        <v>1</v>
      </c>
      <c r="C27" s="302">
        <v>0</v>
      </c>
      <c r="D27" s="302">
        <v>0</v>
      </c>
      <c r="E27" s="848">
        <v>0</v>
      </c>
      <c r="F27" s="851">
        <f t="shared" si="1"/>
        <v>1</v>
      </c>
    </row>
    <row r="28" spans="1:6" x14ac:dyDescent="0.25">
      <c r="A28" s="390" t="s">
        <v>533</v>
      </c>
      <c r="B28" s="345">
        <v>1</v>
      </c>
      <c r="C28" s="302">
        <v>0</v>
      </c>
      <c r="D28" s="302">
        <v>0</v>
      </c>
      <c r="E28" s="848">
        <v>0</v>
      </c>
      <c r="F28" s="851">
        <f t="shared" si="1"/>
        <v>1</v>
      </c>
    </row>
    <row r="29" spans="1:6" x14ac:dyDescent="0.25">
      <c r="A29" s="390" t="s">
        <v>534</v>
      </c>
      <c r="B29" s="345">
        <v>1</v>
      </c>
      <c r="C29" s="302">
        <v>0</v>
      </c>
      <c r="D29" s="302">
        <v>0</v>
      </c>
      <c r="E29" s="848">
        <v>0</v>
      </c>
      <c r="F29" s="851">
        <f t="shared" si="1"/>
        <v>1</v>
      </c>
    </row>
    <row r="30" spans="1:6" x14ac:dyDescent="0.25">
      <c r="A30" s="66" t="s">
        <v>21</v>
      </c>
      <c r="B30" s="302">
        <v>0</v>
      </c>
      <c r="C30" s="302">
        <v>0</v>
      </c>
      <c r="D30" s="302">
        <v>0</v>
      </c>
      <c r="E30" s="848">
        <v>0</v>
      </c>
      <c r="F30" s="851" t="str">
        <f t="shared" si="1"/>
        <v>-</v>
      </c>
    </row>
    <row r="31" spans="1:6" x14ac:dyDescent="0.25">
      <c r="A31" s="66" t="s">
        <v>208</v>
      </c>
      <c r="B31" s="302">
        <v>0</v>
      </c>
      <c r="C31" s="302">
        <v>0</v>
      </c>
      <c r="D31" s="302">
        <v>0</v>
      </c>
      <c r="E31" s="848">
        <v>0</v>
      </c>
      <c r="F31" s="851" t="str">
        <f>IF(OR(B31=1,C31=1,D31=1,E31=1),(($F$2=$B$2)*$B31+($F$2=$C$2)*$C31+($F$2=$D$2)*$D31)+($F$2=$E$2)*$E31*1*(($F$2=$B$2)*$B31+($F$2=$C$2)*$C31+($F$2=$D$2)*$D31+($F$2=$E$2)*$E31),"-")</f>
        <v>-</v>
      </c>
    </row>
    <row r="32" spans="1:6" x14ac:dyDescent="0.25">
      <c r="A32" s="66" t="s">
        <v>209</v>
      </c>
      <c r="B32" s="302">
        <v>0</v>
      </c>
      <c r="C32" s="302">
        <v>0</v>
      </c>
      <c r="D32" s="302">
        <v>0</v>
      </c>
      <c r="E32" s="848">
        <v>0</v>
      </c>
      <c r="F32" s="851" t="str">
        <f>IF(OR(B32=1,C32=1,D32=1,E32=1),(($F$2=$B$2)*$B32+($F$2=$C$2)*$C32+($F$2=$D$2)*$D32)+($F$2=$E$2)*$E32*1*(($F$2=$B$2)*$B32+($F$2=$C$2)*$C32+($F$2=$D$2)*$D32+($F$2=$E$2)*$E32),"-")</f>
        <v>-</v>
      </c>
    </row>
    <row r="33" spans="1:6" x14ac:dyDescent="0.25">
      <c r="A33" s="66" t="s">
        <v>210</v>
      </c>
      <c r="B33" s="302">
        <v>0</v>
      </c>
      <c r="C33" s="302">
        <v>0</v>
      </c>
      <c r="D33" s="302">
        <v>0</v>
      </c>
      <c r="E33" s="848">
        <v>0</v>
      </c>
      <c r="F33" s="851" t="str">
        <f>IF(OR(B33=1,C33=1,D33=1,E33=1),(($F$2=$B$2)*$B33+($F$2=$C$2)*$C33+($F$2=$D$2)*$D33)+($F$2=$E$2)*$E33*1*(($F$2=$B$2)*$B33+($F$2=$C$2)*$C33+($F$2=$D$2)*$D33+($F$2=$E$2)*$E33),"-")</f>
        <v>-</v>
      </c>
    </row>
    <row r="34" spans="1:6" x14ac:dyDescent="0.25">
      <c r="A34" s="1901" t="s">
        <v>22</v>
      </c>
      <c r="B34" s="1902"/>
      <c r="C34" s="1902"/>
      <c r="D34" s="1903"/>
      <c r="E34" s="349"/>
      <c r="F34" s="357"/>
    </row>
    <row r="35" spans="1:6" x14ac:dyDescent="0.25">
      <c r="A35" s="66" t="s">
        <v>23</v>
      </c>
      <c r="B35" s="302">
        <v>0</v>
      </c>
      <c r="C35" s="302">
        <v>0</v>
      </c>
      <c r="D35" s="302">
        <v>0</v>
      </c>
      <c r="E35" s="848">
        <v>0</v>
      </c>
      <c r="F35" s="851" t="str">
        <f t="shared" ref="F35:F40" si="2">IF(OR(B35=1,C35=1,D35=1),(($F$2=$B$2)*$B35+($F$2=$C$2)*$C35+($F$2=$D$2)*$D35)*1*(($F$2=$B$2)*$B35+($F$2=$C$2)*$C35+($F$2=$D$2)*$D35),"-")</f>
        <v>-</v>
      </c>
    </row>
    <row r="36" spans="1:6" x14ac:dyDescent="0.25">
      <c r="A36" s="66" t="s">
        <v>24</v>
      </c>
      <c r="B36" s="345">
        <v>1</v>
      </c>
      <c r="C36" s="302">
        <v>0</v>
      </c>
      <c r="D36" s="302">
        <v>0</v>
      </c>
      <c r="E36" s="849">
        <v>1</v>
      </c>
      <c r="F36" s="851">
        <f t="shared" si="2"/>
        <v>1</v>
      </c>
    </row>
    <row r="37" spans="1:6" x14ac:dyDescent="0.25">
      <c r="A37" s="66" t="s">
        <v>25</v>
      </c>
      <c r="B37" s="345">
        <v>1</v>
      </c>
      <c r="C37" s="302">
        <v>0</v>
      </c>
      <c r="D37" s="302">
        <v>0</v>
      </c>
      <c r="E37" s="849">
        <v>1</v>
      </c>
      <c r="F37" s="851">
        <f t="shared" si="2"/>
        <v>1</v>
      </c>
    </row>
    <row r="38" spans="1:6" x14ac:dyDescent="0.25">
      <c r="A38" s="66" t="s">
        <v>26</v>
      </c>
      <c r="B38" s="302">
        <v>0</v>
      </c>
      <c r="C38" s="302">
        <v>0</v>
      </c>
      <c r="D38" s="302">
        <v>0</v>
      </c>
      <c r="E38" s="848">
        <v>0</v>
      </c>
      <c r="F38" s="851" t="str">
        <f t="shared" si="2"/>
        <v>-</v>
      </c>
    </row>
    <row r="39" spans="1:6" x14ac:dyDescent="0.25">
      <c r="A39" s="66" t="s">
        <v>27</v>
      </c>
      <c r="B39" s="302">
        <v>0</v>
      </c>
      <c r="C39" s="302">
        <v>0</v>
      </c>
      <c r="D39" s="302">
        <v>0</v>
      </c>
      <c r="E39" s="848">
        <v>0</v>
      </c>
      <c r="F39" s="851" t="str">
        <f t="shared" si="2"/>
        <v>-</v>
      </c>
    </row>
    <row r="40" spans="1:6" ht="15.75" thickBot="1" x14ac:dyDescent="0.3">
      <c r="A40" s="74" t="s">
        <v>28</v>
      </c>
      <c r="B40" s="348">
        <v>0</v>
      </c>
      <c r="C40" s="348">
        <v>0</v>
      </c>
      <c r="D40" s="348">
        <v>0</v>
      </c>
      <c r="E40" s="850">
        <v>0</v>
      </c>
      <c r="F40" s="852" t="str">
        <f t="shared" si="2"/>
        <v>-</v>
      </c>
    </row>
    <row r="41" spans="1:6" x14ac:dyDescent="0.25">
      <c r="F41" s="354"/>
    </row>
  </sheetData>
  <mergeCells count="6">
    <mergeCell ref="A34:D34"/>
    <mergeCell ref="A3:D3"/>
    <mergeCell ref="A6:D6"/>
    <mergeCell ref="A8:D8"/>
    <mergeCell ref="A16:D16"/>
    <mergeCell ref="A18:D18"/>
  </mergeCells>
  <conditionalFormatting sqref="F2 F4:F5 F17 F7 F9:F15 F19:F33 F35:F40">
    <cfRule type="expression" dxfId="17" priority="2">
      <formula>F2</formula>
    </cfRule>
  </conditionalFormatting>
  <conditionalFormatting sqref="F3">
    <cfRule type="expression" dxfId="16" priority="1">
      <formula>F3</formula>
    </cfRule>
  </conditionalFormatting>
  <dataValidations count="1">
    <dataValidation type="list" allowBlank="1" showInputMessage="1" showErrorMessage="1" sqref="F2" xr:uid="{00000000-0002-0000-0900-000000000000}">
      <formula1>Тип_Проекта</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2"/>
  <dimension ref="A1:HL118"/>
  <sheetViews>
    <sheetView zoomScale="55" zoomScaleNormal="55" workbookViewId="0">
      <pane xSplit="3" ySplit="3" topLeftCell="CQ73" activePane="bottomRight" state="frozen"/>
      <selection activeCell="D32" sqref="D32"/>
      <selection pane="topRight" activeCell="D32" sqref="D32"/>
      <selection pane="bottomLeft" activeCell="D32" sqref="D32"/>
      <selection pane="bottomRight" activeCell="CS66" sqref="CS66"/>
    </sheetView>
  </sheetViews>
  <sheetFormatPr defaultRowHeight="15" outlineLevelCol="1" x14ac:dyDescent="0.25"/>
  <cols>
    <col min="1" max="1" width="63.28515625" bestFit="1" customWidth="1"/>
    <col min="2" max="2" width="17.28515625" customWidth="1"/>
    <col min="3" max="3" width="12.28515625" bestFit="1" customWidth="1"/>
    <col min="4" max="4" width="13.7109375" customWidth="1"/>
    <col min="5" max="5" width="56.140625" bestFit="1" customWidth="1"/>
    <col min="6" max="6" width="26.42578125" bestFit="1" customWidth="1"/>
    <col min="7" max="7" width="22" customWidth="1"/>
    <col min="8" max="8" width="15" bestFit="1" customWidth="1"/>
    <col min="9" max="9" width="10.5703125" bestFit="1" customWidth="1"/>
    <col min="10" max="10" width="17.5703125" bestFit="1" customWidth="1"/>
    <col min="11" max="11" width="23.28515625" bestFit="1" customWidth="1"/>
    <col min="12" max="12" width="23.28515625" customWidth="1"/>
    <col min="13" max="13" width="47" customWidth="1"/>
    <col min="14" max="14" width="61.7109375" bestFit="1" customWidth="1"/>
    <col min="15" max="33" width="47" customWidth="1"/>
    <col min="34" max="34" width="49.42578125" bestFit="1" customWidth="1"/>
    <col min="35" max="38" width="47" customWidth="1"/>
    <col min="39" max="39" width="25.28515625" customWidth="1"/>
    <col min="40" max="99" width="47" customWidth="1"/>
    <col min="100" max="100" width="10.28515625" bestFit="1" customWidth="1"/>
    <col min="101" max="101" width="5.42578125" customWidth="1" outlineLevel="1"/>
    <col min="102" max="102" width="6" customWidth="1" outlineLevel="1"/>
    <col min="103" max="103" width="7.7109375" customWidth="1" outlineLevel="1"/>
    <col min="104" max="104" width="19.42578125" customWidth="1" outlineLevel="1"/>
    <col min="105" max="105" width="6.28515625" customWidth="1" outlineLevel="1"/>
    <col min="106" max="106" width="3.85546875" customWidth="1" outlineLevel="1"/>
    <col min="107" max="107" width="5" customWidth="1" outlineLevel="1"/>
    <col min="108" max="108" width="4.42578125" customWidth="1" outlineLevel="1"/>
    <col min="109" max="109" width="11.140625" customWidth="1" outlineLevel="1"/>
    <col min="110" max="110" width="63.140625" bestFit="1" customWidth="1" outlineLevel="1"/>
    <col min="111" max="111" width="5.85546875" customWidth="1" outlineLevel="1"/>
    <col min="112" max="112" width="8.140625" customWidth="1" outlineLevel="1"/>
    <col min="113" max="113" width="12.140625" customWidth="1" outlineLevel="1"/>
    <col min="114" max="114" width="6.42578125" customWidth="1" outlineLevel="1"/>
    <col min="115" max="115" width="36.5703125" customWidth="1" outlineLevel="1"/>
    <col min="116" max="116" width="11.28515625" customWidth="1" outlineLevel="1"/>
    <col min="117" max="117" width="62.140625" customWidth="1" outlineLevel="1"/>
    <col min="118" max="118" width="10.42578125" customWidth="1" outlineLevel="1"/>
    <col min="119" max="119" width="12.85546875" customWidth="1" outlineLevel="1"/>
    <col min="120" max="120" width="26.5703125" customWidth="1" outlineLevel="1"/>
    <col min="121" max="121" width="5.28515625" customWidth="1" outlineLevel="1"/>
    <col min="122" max="122" width="7.7109375" customWidth="1" outlineLevel="1"/>
    <col min="123" max="123" width="5" customWidth="1" outlineLevel="1"/>
    <col min="124" max="124" width="5.42578125" customWidth="1" outlineLevel="1"/>
    <col min="125" max="125" width="9.42578125" customWidth="1" outlineLevel="1"/>
    <col min="126" max="126" width="5.5703125" customWidth="1" outlineLevel="1"/>
    <col min="127" max="127" width="5.7109375" customWidth="1" outlineLevel="1"/>
    <col min="128" max="128" width="9.28515625" customWidth="1" outlineLevel="1"/>
    <col min="129" max="129" width="10" customWidth="1" outlineLevel="1"/>
    <col min="130" max="130" width="9.7109375" customWidth="1" outlineLevel="1"/>
  </cols>
  <sheetData>
    <row r="1" spans="1:220" ht="21.75" thickBot="1" x14ac:dyDescent="0.3">
      <c r="E1" s="1922" t="s">
        <v>42</v>
      </c>
      <c r="F1" s="1923"/>
      <c r="G1" s="1923"/>
      <c r="H1" s="1923"/>
      <c r="I1" s="1923"/>
      <c r="J1" s="1923"/>
      <c r="K1" s="1923"/>
      <c r="L1" s="1923"/>
      <c r="M1" s="1904" t="s">
        <v>43</v>
      </c>
      <c r="N1" s="1906"/>
      <c r="O1" s="1904" t="s">
        <v>44</v>
      </c>
      <c r="P1" s="1905"/>
      <c r="Q1" s="1905"/>
      <c r="R1" s="1906"/>
      <c r="S1" s="1904" t="s">
        <v>359</v>
      </c>
      <c r="T1" s="1905"/>
      <c r="U1" s="1906"/>
      <c r="V1" s="1904" t="s">
        <v>45</v>
      </c>
      <c r="W1" s="1905"/>
      <c r="X1" s="1905"/>
      <c r="Y1" s="1905"/>
      <c r="Z1" s="1906"/>
      <c r="AA1" s="1904" t="s">
        <v>46</v>
      </c>
      <c r="AB1" s="1905"/>
      <c r="AC1" s="1905"/>
      <c r="AD1" s="1905"/>
      <c r="AE1" s="1906"/>
      <c r="AF1" s="1904" t="s">
        <v>99</v>
      </c>
      <c r="AG1" s="1905"/>
      <c r="AH1" s="1904" t="s">
        <v>375</v>
      </c>
      <c r="AI1" s="1905"/>
      <c r="AJ1" s="1906"/>
      <c r="AK1" s="1904" t="s">
        <v>646</v>
      </c>
      <c r="AL1" s="1906"/>
      <c r="AM1" s="1904" t="s">
        <v>98</v>
      </c>
      <c r="AN1" s="1905"/>
      <c r="AO1" s="1906"/>
      <c r="AP1" s="1904" t="s">
        <v>535</v>
      </c>
      <c r="AQ1" s="1905"/>
      <c r="AR1" s="1905"/>
      <c r="AS1" s="1906"/>
      <c r="AT1" s="1904" t="s">
        <v>290</v>
      </c>
      <c r="AU1" s="1905"/>
      <c r="AV1" s="1905"/>
      <c r="AW1" s="1906"/>
      <c r="AX1" s="1928" t="s">
        <v>393</v>
      </c>
      <c r="AY1" s="1928"/>
      <c r="AZ1" s="1928"/>
      <c r="BA1" s="1904" t="s">
        <v>396</v>
      </c>
      <c r="BB1" s="1905"/>
      <c r="BC1" s="1905"/>
      <c r="BD1" s="1906"/>
      <c r="BE1" s="1922" t="s">
        <v>398</v>
      </c>
      <c r="BF1" s="1923"/>
      <c r="BG1" s="1923"/>
      <c r="BH1" s="1923"/>
      <c r="BI1" s="1923"/>
      <c r="BJ1" s="1904" t="s">
        <v>619</v>
      </c>
      <c r="BK1" s="1905"/>
      <c r="BL1" s="1904" t="s">
        <v>399</v>
      </c>
      <c r="BM1" s="1906"/>
      <c r="BN1" s="1929" t="s">
        <v>400</v>
      </c>
      <c r="BO1" s="1928"/>
      <c r="BP1" s="1904" t="s">
        <v>401</v>
      </c>
      <c r="BQ1" s="1905"/>
      <c r="BR1" s="1906"/>
      <c r="BS1" s="301" t="s">
        <v>402</v>
      </c>
      <c r="BT1" s="1904" t="s">
        <v>403</v>
      </c>
      <c r="BU1" s="1905"/>
      <c r="BV1" s="1905"/>
      <c r="BW1" s="1906"/>
      <c r="BX1" s="301" t="s">
        <v>404</v>
      </c>
      <c r="BY1" s="1928" t="s">
        <v>405</v>
      </c>
      <c r="BZ1" s="1928"/>
      <c r="CA1" s="1928"/>
      <c r="CB1" s="301" t="s">
        <v>406</v>
      </c>
      <c r="CC1" s="1904" t="s">
        <v>407</v>
      </c>
      <c r="CD1" s="1906"/>
      <c r="CE1" s="1904" t="s">
        <v>408</v>
      </c>
      <c r="CF1" s="1906"/>
      <c r="CG1" s="1904" t="s">
        <v>100</v>
      </c>
      <c r="CH1" s="1905"/>
      <c r="CI1" s="1906"/>
      <c r="CJ1" s="1904" t="s">
        <v>603</v>
      </c>
      <c r="CK1" s="1905"/>
      <c r="CL1" s="1905"/>
      <c r="CM1" s="1905"/>
      <c r="CN1" s="1905"/>
      <c r="CO1" s="1906"/>
      <c r="CP1" s="1904" t="s">
        <v>604</v>
      </c>
      <c r="CQ1" s="1905"/>
      <c r="CR1" s="1905"/>
      <c r="CS1" s="1906"/>
      <c r="CT1" s="1904" t="s">
        <v>605</v>
      </c>
      <c r="CU1" s="1906"/>
    </row>
    <row r="2" spans="1:220" ht="21.75" thickBot="1" x14ac:dyDescent="0.3">
      <c r="A2" s="50" t="s">
        <v>51</v>
      </c>
      <c r="B2" s="79"/>
      <c r="E2" s="49">
        <f xml:space="preserve"> COUNTIF(ТрЗ_ОП!$C$11:$C$41,'Документы АСУТП'!E3)</f>
        <v>1</v>
      </c>
      <c r="F2" s="49">
        <f xml:space="preserve"> COUNTIF(ТрЗ_ОП!$C$11:$C$41,'Документы АСУТП'!F3)</f>
        <v>0</v>
      </c>
      <c r="G2" s="49">
        <f xml:space="preserve"> COUNTIF(ТрЗ_ОП!$C$11:$C$41,'Документы АСУТП'!G3)</f>
        <v>0</v>
      </c>
      <c r="H2" s="49">
        <f xml:space="preserve"> COUNTIF(ТрЗ_ОП!$C$11:$C$41,'Документы АСУТП'!H3)</f>
        <v>0</v>
      </c>
      <c r="I2" s="49">
        <f xml:space="preserve"> COUNTIF(ТрЗ_ОП!$C$11:$C$41,'Документы АСУТП'!I3)</f>
        <v>0</v>
      </c>
      <c r="J2" s="49">
        <f xml:space="preserve"> COUNTIF(ТрЗ_ОП!$C$11:$C$41,'Документы АСУТП'!J3)</f>
        <v>0</v>
      </c>
      <c r="K2" s="49">
        <f xml:space="preserve"> COUNTIF(ТрЗ_ОП!$C$11:$C$41,'Документы АСУТП'!K3)</f>
        <v>0</v>
      </c>
      <c r="L2" s="49">
        <f xml:space="preserve"> COUNTIF(ТрЗ_ОП!$C$11:$C$41,'Документы АСУТП'!L3)</f>
        <v>0</v>
      </c>
      <c r="M2" s="49">
        <f xml:space="preserve"> COUNTIF(ТрЗ_ОП!$C$11:$C$41,'Документы АСУТП'!M3)</f>
        <v>0</v>
      </c>
      <c r="N2" s="49">
        <f xml:space="preserve"> COUNTIF(ТрЗ_ОП!$C$11:$C$41,'Документы АСУТП'!N3)</f>
        <v>1</v>
      </c>
      <c r="O2" s="49">
        <f xml:space="preserve"> COUNTIF(ТрЗ_ОП!$C$11:$C$41,'Документы АСУТП'!O3)</f>
        <v>0</v>
      </c>
      <c r="P2" s="49">
        <f xml:space="preserve"> COUNTIF(ТрЗ_ОП!$C$11:$C$41,'Документы АСУТП'!P3)</f>
        <v>0</v>
      </c>
      <c r="Q2" s="49">
        <f xml:space="preserve"> COUNTIF(ТрЗ_ОП!$C$11:$C$41,'Документы АСУТП'!Q3)</f>
        <v>0</v>
      </c>
      <c r="R2" s="49">
        <f xml:space="preserve"> COUNTIF(ТрЗ_ОП!$C$11:$C$41,'Документы АСУТП'!R3)</f>
        <v>0</v>
      </c>
      <c r="S2" s="49">
        <f xml:space="preserve"> COUNTIF(ТрЗ_ОП!$C$11:$C$41,'Документы АСУТП'!S3)</f>
        <v>0</v>
      </c>
      <c r="T2" s="49">
        <f xml:space="preserve"> COUNTIF(ТрЗ_ОП!$C$11:$C$41,'Документы АСУТП'!T3)</f>
        <v>0</v>
      </c>
      <c r="U2" s="49">
        <f xml:space="preserve"> COUNTIF(ТрЗ_ОП!$C$11:$C$41,'Документы АСУТП'!U3)</f>
        <v>0</v>
      </c>
      <c r="V2" s="49">
        <f xml:space="preserve"> COUNTIF(ТрЗ_ОП!$C$11:$C$41,'Документы АСУТП'!V3)</f>
        <v>0</v>
      </c>
      <c r="W2" s="49">
        <f xml:space="preserve"> COUNTIF(ТрЗ_ОП!$C$11:$C$41,'Документы АСУТП'!W3)</f>
        <v>0</v>
      </c>
      <c r="X2" s="49">
        <f xml:space="preserve"> COUNTIF(ТрЗ_ОП!$C$11:$C$41,'Документы АСУТП'!X3)</f>
        <v>0</v>
      </c>
      <c r="Y2" s="49">
        <f xml:space="preserve"> COUNTIF(ТрЗ_ОП!$C$11:$C$41,'Документы АСУТП'!Y3)</f>
        <v>0</v>
      </c>
      <c r="Z2" s="49">
        <f xml:space="preserve"> COUNTIF(ТрЗ_ОП!$C$11:$C$41,'Документы АСУТП'!Z3)</f>
        <v>0</v>
      </c>
      <c r="AA2" s="49">
        <f xml:space="preserve"> COUNTIF(ТрЗ_ОП!$C$11:$C$41,'Документы АСУТП'!AA3)</f>
        <v>0</v>
      </c>
      <c r="AB2" s="49">
        <f xml:space="preserve"> COUNTIF(ТрЗ_ОП!$C$11:$C$41,'Документы АСУТП'!AB3)</f>
        <v>0</v>
      </c>
      <c r="AC2" s="49">
        <f xml:space="preserve"> COUNTIF(ТрЗ_ОП!$C$11:$C$41,'Документы АСУТП'!AC3)</f>
        <v>0</v>
      </c>
      <c r="AD2" s="49">
        <f xml:space="preserve"> COUNTIF(ТрЗ_ОП!$C$11:$C$41,'Документы АСУТП'!AD3)</f>
        <v>0</v>
      </c>
      <c r="AE2" s="49">
        <f xml:space="preserve"> COUNTIF(ТрЗ_ОП!$C$11:$C$41,'Документы АСУТП'!AE3)</f>
        <v>0</v>
      </c>
      <c r="AF2" s="49">
        <f xml:space="preserve"> COUNTIF(ТрЗ_ОП!$C$11:$C$41,'Документы АСУТП'!AF3)</f>
        <v>0</v>
      </c>
      <c r="AG2" s="49">
        <f xml:space="preserve"> COUNTIF(ТрЗ_ОП!$C$11:$C$41,'Документы АСУТП'!AG3)</f>
        <v>0</v>
      </c>
      <c r="AH2" s="49">
        <f xml:space="preserve"> COUNTIF(ТрЗ_ОП!$C$11:$C$41,'Документы АСУТП'!AH3)</f>
        <v>0</v>
      </c>
      <c r="AI2" s="49">
        <f xml:space="preserve"> COUNTIF(ТрЗ_ОП!$C$11:$C$41,'Документы АСУТП'!AI3)</f>
        <v>0</v>
      </c>
      <c r="AJ2" s="49">
        <f xml:space="preserve"> COUNTIF(ТрЗ_ОП!$C$11:$C$41,'Документы АСУТП'!AJ3)</f>
        <v>0</v>
      </c>
      <c r="AK2" s="49">
        <f xml:space="preserve"> COUNTIF(ТрЗ_ОП!$C$11:$C$41,'Документы АСУТП'!AK3)</f>
        <v>0</v>
      </c>
      <c r="AL2" s="49">
        <f xml:space="preserve"> COUNTIF(ТрЗ_ОП!$C$11:$C$41,'Документы АСУТП'!AL3)</f>
        <v>0</v>
      </c>
      <c r="AM2" s="49">
        <f xml:space="preserve"> COUNTIF(ТрЗ_ОП!$C$11:$C$41,'Документы АСУТП'!AM3)</f>
        <v>0</v>
      </c>
      <c r="AN2" s="49">
        <f xml:space="preserve"> COUNTIF(ТрЗ_ОП!$C$11:$C$41,'Документы АСУТП'!AN3)</f>
        <v>0</v>
      </c>
      <c r="AO2" s="49">
        <f xml:space="preserve"> COUNTIF(ТрЗ_ОП!$C$11:$C$41,'Документы АСУТП'!AO3)</f>
        <v>0</v>
      </c>
      <c r="AP2" s="49">
        <f xml:space="preserve"> COUNTIF(ТрЗ_ОП!$C$11:$C$41,'Документы АСУТП'!AP3)</f>
        <v>0</v>
      </c>
      <c r="AQ2" s="49">
        <f xml:space="preserve"> COUNTIF(ТрЗ_ОП!$C$11:$C$41,'Документы АСУТП'!AQ3)</f>
        <v>0</v>
      </c>
      <c r="AR2" s="49">
        <f xml:space="preserve"> COUNTIF(ТрЗ_ОП!$C$11:$C$41,'Документы АСУТП'!AR3)</f>
        <v>0</v>
      </c>
      <c r="AS2" s="49">
        <f xml:space="preserve"> COUNTIF(ТрЗ_ОП!$C$11:$C$41,'Документы АСУТП'!AS3)</f>
        <v>0</v>
      </c>
      <c r="AT2" s="49">
        <f xml:space="preserve"> COUNTIF(ТрЗ_ОП!$C$11:$C$42,'Документы АСУТП'!AT3)</f>
        <v>0</v>
      </c>
      <c r="AU2" s="49">
        <f xml:space="preserve"> COUNTIF(ТрЗ_ОП!$C$11:$C$42,'Документы АСУТП'!AU3)</f>
        <v>0</v>
      </c>
      <c r="AV2" s="49">
        <f xml:space="preserve"> COUNTIF(ТрЗ_ОП!$C$11:$C$42,'Документы АСУТП'!AV3)</f>
        <v>0</v>
      </c>
      <c r="AW2" s="49">
        <f xml:space="preserve"> COUNTIF(ТрЗ_ОП!$C$11:$C$42,'Документы АСУТП'!AW3)</f>
        <v>0</v>
      </c>
      <c r="AX2" s="49">
        <f xml:space="preserve"> COUNTIF(ТрЗ_ОП!$C$11:$C$42,'Документы АСУТП'!AX3)</f>
        <v>0</v>
      </c>
      <c r="AY2" s="49">
        <f xml:space="preserve"> COUNTIF(ТрЗ_ОП!$C$11:$C$42,'Документы АСУТП'!AY3)</f>
        <v>0</v>
      </c>
      <c r="AZ2" s="49">
        <f xml:space="preserve"> COUNTIF(ТрЗ_ОП!$C$11:$C$42,'Документы АСУТП'!AZ3)</f>
        <v>0</v>
      </c>
      <c r="BA2" s="49">
        <f xml:space="preserve"> COUNTIF(ТрЗ_ОП!$C$11:$C$42,'Документы АСУТП'!BA3)</f>
        <v>0</v>
      </c>
      <c r="BB2" s="49">
        <f xml:space="preserve"> COUNTIF(ТрЗ_ОП!$C$11:$C$42,'Документы АСУТП'!BB3)</f>
        <v>0</v>
      </c>
      <c r="BC2" s="49">
        <f xml:space="preserve"> COUNTIF(ТрЗ_ОП!$C$11:$C$42,'Документы АСУТП'!BC3)</f>
        <v>0</v>
      </c>
      <c r="BD2" s="49">
        <f xml:space="preserve"> COUNTIF(ТрЗ_ОП!$C$11:$C$42,'Документы АСУТП'!BD3)</f>
        <v>0</v>
      </c>
      <c r="BE2" s="49">
        <f xml:space="preserve"> COUNTIF(ТрЗ_ОП!$C$11:$C$42,'Документы АСУТП'!BE3)</f>
        <v>0</v>
      </c>
      <c r="BF2" s="49">
        <f xml:space="preserve"> COUNTIF(ТрЗ_ОП!$C$11:$C$42,'Документы АСУТП'!BF3)</f>
        <v>0</v>
      </c>
      <c r="BG2" s="49">
        <f xml:space="preserve"> COUNTIF(ТрЗ_ОП!$C$11:$C$42,'Документы АСУТП'!BG3)</f>
        <v>0</v>
      </c>
      <c r="BH2" s="49">
        <f xml:space="preserve"> COUNTIF(ТрЗ_ОП!$C$11:$C$42,'Документы АСУТП'!BH3)</f>
        <v>0</v>
      </c>
      <c r="BI2" s="49">
        <f xml:space="preserve"> COUNTIF(ТрЗ_ОП!$C$11:$C$42,'Документы АСУТП'!BI3)</f>
        <v>0</v>
      </c>
      <c r="BJ2" s="49">
        <f xml:space="preserve"> COUNTIF(ТрЗ_ОП!$C$11:$C$42,'Документы АСУТП'!BJ3)</f>
        <v>0</v>
      </c>
      <c r="BK2" s="49">
        <f xml:space="preserve"> COUNTIF(ТрЗ_ОП!$C$11:$C$42,'Документы АСУТП'!BK3)</f>
        <v>0</v>
      </c>
      <c r="BL2" s="49">
        <f xml:space="preserve"> COUNTIF(ТрЗ_ОП!$C$11:$C$42,'Документы АСУТП'!BL3)</f>
        <v>0</v>
      </c>
      <c r="BM2" s="49">
        <f xml:space="preserve"> COUNTIF(ТрЗ_ОП!$C$11:$C$42,'Документы АСУТП'!BM3)</f>
        <v>0</v>
      </c>
      <c r="BN2" s="49">
        <f xml:space="preserve"> COUNTIF(ТрЗ_ОП!$C$11:$C$42,'Документы АСУТП'!BN3)</f>
        <v>0</v>
      </c>
      <c r="BO2" s="49">
        <f xml:space="preserve"> COUNTIF(ТрЗ_ОП!$C$11:$C$42,'Документы АСУТП'!BO3)</f>
        <v>0</v>
      </c>
      <c r="BP2" s="49">
        <f xml:space="preserve"> COUNTIF(ТрЗ_ОП!$C$11:$C$42,'Документы АСУТП'!BP3)</f>
        <v>0</v>
      </c>
      <c r="BQ2" s="49">
        <f xml:space="preserve"> COUNTIF(ТрЗ_ОП!$C$11:$C$42,'Документы АСУТП'!BQ3)</f>
        <v>0</v>
      </c>
      <c r="BR2" s="49">
        <f xml:space="preserve"> COUNTIF(ТрЗ_ОП!$C$11:$C$42,'Документы АСУТП'!BR3)</f>
        <v>0</v>
      </c>
      <c r="BS2" s="49">
        <f xml:space="preserve"> COUNTIF(ТрЗ_ОП!$C$11:$C$42,'Документы АСУТП'!BS3)</f>
        <v>0</v>
      </c>
      <c r="BT2" s="49">
        <f xml:space="preserve"> COUNTIF(ТрЗ_ОП!$C$11:$C$42,'Документы АСУТП'!BT3)</f>
        <v>0</v>
      </c>
      <c r="BU2" s="49">
        <f xml:space="preserve"> COUNTIF(ТрЗ_ОП!$C$11:$C$42,'Документы АСУТП'!BU3)</f>
        <v>0</v>
      </c>
      <c r="BV2" s="49">
        <f xml:space="preserve"> COUNTIF(ТрЗ_ОП!$C$11:$C$42,'Документы АСУТП'!BV3)</f>
        <v>0</v>
      </c>
      <c r="BW2" s="49">
        <f xml:space="preserve"> COUNTIF(ТрЗ_ОП!$C$11:$C$42,'Документы АСУТП'!BW3)</f>
        <v>0</v>
      </c>
      <c r="BX2" s="49">
        <f xml:space="preserve"> COUNTIF(ТрЗ_ОП!$C$11:$C$42,'Документы АСУТП'!BX3)</f>
        <v>0</v>
      </c>
      <c r="BY2" s="49">
        <f xml:space="preserve"> COUNTIF(ТрЗ_ОП!$C$11:$C$42,'Документы АСУТП'!BY3)</f>
        <v>0</v>
      </c>
      <c r="BZ2" s="49">
        <f xml:space="preserve"> COUNTIF(ТрЗ_ОП!$C$11:$C$42,'Документы АСУТП'!BZ3)</f>
        <v>0</v>
      </c>
      <c r="CA2" s="49">
        <f xml:space="preserve"> COUNTIF(ТрЗ_ОП!$C$11:$C$42,'Документы АСУТП'!CA3)</f>
        <v>0</v>
      </c>
      <c r="CB2" s="49">
        <f xml:space="preserve"> COUNTIF(ТрЗ_ОП!$C$11:$C$42,'Документы АСУТП'!CB3)</f>
        <v>0</v>
      </c>
      <c r="CC2" s="49">
        <f xml:space="preserve"> COUNTIF(ТрЗ_ОП!$C$11:$C$42,'Документы АСУТП'!CC3)</f>
        <v>0</v>
      </c>
      <c r="CD2" s="49">
        <f xml:space="preserve"> COUNTIF(ТрЗ_ОП!$C$11:$C$42,'Документы АСУТП'!CD3)</f>
        <v>0</v>
      </c>
      <c r="CE2" s="49">
        <f xml:space="preserve"> COUNTIF(ТрЗ_ОП!$C$11:$C$42,'Документы АСУТП'!CE3)</f>
        <v>0</v>
      </c>
      <c r="CF2" s="49">
        <f xml:space="preserve"> COUNTIF(ТрЗ_ОП!$C$11:$C$42,'Документы АСУТП'!CF3)</f>
        <v>0</v>
      </c>
      <c r="CG2" s="49">
        <f xml:space="preserve"> COUNTIF(ТрЗ_ОП!$C$11:$C$42,'Документы АСУТП'!CG3)</f>
        <v>0</v>
      </c>
      <c r="CH2" s="49">
        <f xml:space="preserve"> COUNTIF(ТрЗ_ОП!$C$11:$C$42,'Документы АСУТП'!CH3)</f>
        <v>0</v>
      </c>
      <c r="CI2" s="49">
        <f xml:space="preserve"> COUNTIF(ТрЗ_ОП!$C$11:$C$42,'Документы АСУТП'!CI3)</f>
        <v>0</v>
      </c>
      <c r="CJ2" s="49">
        <f xml:space="preserve"> COUNTIF(ТрЗ_ОП!$C$11:$C$42,'Документы АСУТП'!CJ3)</f>
        <v>0</v>
      </c>
      <c r="CK2" s="49">
        <f xml:space="preserve"> COUNTIF(ТрЗ_ОП!$C$11:$C$42,'Документы АСУТП'!CK3)</f>
        <v>0</v>
      </c>
      <c r="CL2" s="49">
        <f xml:space="preserve"> COUNTIF(ТрЗ_ОП!$C$11:$C$42,'Документы АСУТП'!CL3)</f>
        <v>0</v>
      </c>
      <c r="CM2" s="49">
        <f xml:space="preserve"> COUNTIF(ТрЗ_ОП!$C$11:$C$42,'Документы АСУТП'!CM3)</f>
        <v>0</v>
      </c>
      <c r="CN2" s="49">
        <f xml:space="preserve"> COUNTIF(ТрЗ_ОП!$C$11:$C$42,'Документы АСУТП'!CN3)</f>
        <v>0</v>
      </c>
      <c r="CO2" s="49">
        <f xml:space="preserve"> COUNTIF(ТрЗ_ОП!$C$11:$C$42,'Документы АСУТП'!CO3)</f>
        <v>0</v>
      </c>
      <c r="CP2" s="49">
        <f xml:space="preserve"> COUNTIF(ТрЗ_ОП!$C$11:$C$42,'Документы АСУТП'!CP3)</f>
        <v>0</v>
      </c>
      <c r="CQ2" s="49">
        <f xml:space="preserve"> COUNTIF(ТрЗ_ОП!$C$11:$C$42,'Документы АСУТП'!CQ3)</f>
        <v>0</v>
      </c>
      <c r="CR2" s="49">
        <f xml:space="preserve"> COUNTIF(ТрЗ_ОП!$C$11:$C$42,'Документы АСУТП'!CR3)</f>
        <v>0</v>
      </c>
      <c r="CS2" s="49">
        <f xml:space="preserve"> COUNTIF(ТрЗ_ОП!$C$11:$C$42,'Документы АСУТП'!CS3)</f>
        <v>0</v>
      </c>
      <c r="CT2" s="49">
        <f xml:space="preserve"> COUNTIF(ТрЗ_ОП!$C$11:$C$42,'Документы АСУТП'!CT3)</f>
        <v>0</v>
      </c>
      <c r="CU2" s="49">
        <f xml:space="preserve"> COUNTIF(ТрЗ_ОП!$C$11:$C$42,'Документы АСУТП'!CU3)</f>
        <v>0</v>
      </c>
    </row>
    <row r="3" spans="1:220" ht="32.25" thickBot="1" x14ac:dyDescent="0.3">
      <c r="A3" s="3" t="s">
        <v>76</v>
      </c>
      <c r="B3" s="45" t="s">
        <v>74</v>
      </c>
      <c r="C3" s="45" t="s">
        <v>73</v>
      </c>
      <c r="D3" s="45" t="s">
        <v>35</v>
      </c>
      <c r="E3" s="76" t="s">
        <v>349</v>
      </c>
      <c r="F3" s="76" t="s">
        <v>347</v>
      </c>
      <c r="G3" s="76" t="s">
        <v>348</v>
      </c>
      <c r="H3" s="44" t="s">
        <v>350</v>
      </c>
      <c r="I3" s="76" t="s">
        <v>351</v>
      </c>
      <c r="J3" s="76" t="s">
        <v>352</v>
      </c>
      <c r="K3" s="44" t="s">
        <v>353</v>
      </c>
      <c r="L3" s="44" t="s">
        <v>354</v>
      </c>
      <c r="M3" s="44" t="s">
        <v>40</v>
      </c>
      <c r="N3" s="44" t="s">
        <v>355</v>
      </c>
      <c r="O3" s="44" t="str">
        <f>'МСЭ АСУТП'!D1</f>
        <v>Межсетевой экран UserGate</v>
      </c>
      <c r="P3" s="44" t="str">
        <f>'МСЭ АСУТП'!H1</f>
        <v>Solar NGFW</v>
      </c>
      <c r="Q3" s="44" t="str">
        <f>'МСЭ АСУТП'!L1</f>
        <v>Континент 4</v>
      </c>
      <c r="R3" s="44" t="str">
        <f>'МСЭ АСУТП'!P1</f>
        <v>ViPNet xFirewall</v>
      </c>
      <c r="S3" s="44" t="str">
        <f>'PAM АСУТП'!D1</f>
        <v xml:space="preserve">Solar SafeInspect </v>
      </c>
      <c r="T3" s="44" t="str">
        <f>'PAM АСУТП'!H1</f>
        <v>Indeed Access Manager</v>
      </c>
      <c r="U3" s="44" t="str">
        <f>'PAM АСУТП'!L1</f>
        <v>СКДПУ НТ</v>
      </c>
      <c r="V3" s="44" t="str">
        <f>'СКЗИ АСУТП'!D1</f>
        <v>Vipnet Coordinator HW</v>
      </c>
      <c r="W3" s="44" t="str">
        <f>'СКЗИ АСУТП'!H1</f>
        <v>Vipnet Coordinator IG</v>
      </c>
      <c r="X3" s="44" t="str">
        <f>'СКЗИ АСУТП'!L1</f>
        <v>C-TERRA ШЛЮЗ</v>
      </c>
      <c r="Y3" s="44" t="str">
        <f>'СКЗИ АСУТП'!P1</f>
        <v>АПКШ Континент</v>
      </c>
      <c r="Z3" s="44" t="str">
        <f>'СКЗИ АСУТП'!T1</f>
        <v>ЗАСТАВА</v>
      </c>
      <c r="AA3" s="44" t="str">
        <f>'АЗ АСУТП'!D1</f>
        <v>RedCheck</v>
      </c>
      <c r="AB3" s="44" t="str">
        <f>'АЗ АСУТП'!H1</f>
        <v>MaxPatrol VM</v>
      </c>
      <c r="AC3" s="44" t="str">
        <f>'АЗ АСУТП'!L1</f>
        <v>MaxPatrol 8</v>
      </c>
      <c r="AD3" s="44" t="str">
        <f>'АЗ АСУТП'!P1</f>
        <v>PT xSpider</v>
      </c>
      <c r="AE3" s="44" t="str">
        <f>'АЗ АСУТП'!T1</f>
        <v>Сканер-ВС</v>
      </c>
      <c r="AF3" s="44" t="str">
        <f>'РК АСУТП'!D1</f>
        <v>RuBackup</v>
      </c>
      <c r="AG3" s="44" t="str">
        <f>'РК АСУТП'!H1</f>
        <v>Кибер Бэкап</v>
      </c>
      <c r="AH3" s="44" t="str">
        <f>'IDS АСУТП'!D1</f>
        <v>Континент СОВ/СОА</v>
      </c>
      <c r="AI3" s="44" t="str">
        <f>'IDS АСУТП'!H1</f>
        <v xml:space="preserve">ViPNet IDS </v>
      </c>
      <c r="AJ3" s="44" t="str">
        <f>'IDS АСУТП'!L1</f>
        <v>С-Терра СОВ</v>
      </c>
      <c r="AK3" s="44" t="str">
        <f>'АПМДЗ АСУТП'!D1</f>
        <v>Соболь</v>
      </c>
      <c r="AL3" s="44" t="str">
        <f>'АПМДЗ АСУТП'!H1</f>
        <v>Аккорд</v>
      </c>
      <c r="AM3" s="44" t="str">
        <f>'НСД АСУТП'!D1</f>
        <v>SecretNet</v>
      </c>
      <c r="AN3" s="44" t="str">
        <f>'НСД АСУТП'!H1</f>
        <v>Dalas Lock</v>
      </c>
      <c r="AO3" s="44" t="str">
        <f>'НСД АСУТП'!L1</f>
        <v>Блокхост сеть</v>
      </c>
      <c r="AP3" s="44" t="str">
        <f>'MFA АСУТП'!D1</f>
        <v>JaCarta MS</v>
      </c>
      <c r="AQ3" s="44" t="str">
        <f>'MFA АСУТП'!H1</f>
        <v>Рутокен</v>
      </c>
      <c r="AR3" s="44" t="str">
        <f>'MFA АСУТП'!L1</f>
        <v>Indeed</v>
      </c>
      <c r="AS3" s="44" t="str">
        <f>'MFA АСУТП'!P1</f>
        <v>Мультифактор</v>
      </c>
      <c r="AT3" s="44" t="str">
        <f>'ДИОД АСУТП'!D1</f>
        <v>АМТ InfoDiode</v>
      </c>
      <c r="AU3" s="44" t="str">
        <f>'ДИОД АСУТП'!H1</f>
        <v>Инконтрол - Д</v>
      </c>
      <c r="AV3" s="44" t="str">
        <f>'ДИОД АСУТП'!L1</f>
        <v>DS Integrity</v>
      </c>
      <c r="AW3" s="44" t="str">
        <f>'ДИОД АСУТП'!P1</f>
        <v>Profitap</v>
      </c>
      <c r="AX3" s="269" t="str">
        <f>'СЗВ АСУТП'!D1</f>
        <v>vGate</v>
      </c>
      <c r="AY3" s="269" t="str">
        <f>'СЗВ АСУТП'!H1</f>
        <v>Базис.Virtual Security</v>
      </c>
      <c r="AZ3" s="269" t="str">
        <f>'СЗВ АСУТП'!L1</f>
        <v>СЗИ ВИ Dallas Lock</v>
      </c>
      <c r="BA3" s="269" t="str">
        <f>'SOAR АСУТП'!D1</f>
        <v>R-Vision SOAR</v>
      </c>
      <c r="BB3" s="269" t="str">
        <f>'SOAR АСУТП'!H1</f>
        <v>Security Vision SOAR</v>
      </c>
      <c r="BC3" s="269" t="str">
        <f>'SOAR АСУТП'!L1</f>
        <v>UDV SOAR</v>
      </c>
      <c r="BD3" s="269" t="e">
        <f>'SOAR АСУТП'!#REF!</f>
        <v>#REF!</v>
      </c>
      <c r="BE3" s="269" t="str">
        <f>'VDI АСУТП'!D1</f>
        <v>Базис.WorkPlace</v>
      </c>
      <c r="BF3" s="269" t="str">
        <f>'VDI АСУТП'!H1</f>
        <v>Termidesk VDI</v>
      </c>
      <c r="BG3" s="269" t="str">
        <f>'VDI АСУТП'!L1</f>
        <v>Space VDI</v>
      </c>
      <c r="BH3" s="269" t="str">
        <f>'VDI АСУТП'!P1</f>
        <v>Горизонт-ВС VDI</v>
      </c>
      <c r="BI3" s="269" t="str">
        <f>'VDI АСУТП'!T1</f>
        <v>РУСТЭК.VDI</v>
      </c>
      <c r="BJ3" s="269" t="str">
        <f>'СУБД АСУТП'!D1</f>
        <v xml:space="preserve">PGSQL Pro </v>
      </c>
      <c r="BK3" s="269" t="str">
        <f>'СУБД АСУТП'!H1</f>
        <v xml:space="preserve">СУБД ЛИНТЕР БАСТИОН </v>
      </c>
      <c r="BL3" s="269" t="str">
        <f>'ГОССОПКА АСУТП'!D1</f>
        <v>PT Platform 187</v>
      </c>
      <c r="BM3" s="269" t="str">
        <f>'ГОССОПКА АСУТП'!H1</f>
        <v>Platform GosSOPKA (KUMA)</v>
      </c>
      <c r="BN3" s="269" t="str">
        <f>'TLS АСУТП'!D1</f>
        <v>ViPNet TLS Gateway</v>
      </c>
      <c r="BO3" s="269" t="str">
        <f>'TLS АСУТП'!H1</f>
        <v>Континент TLS</v>
      </c>
      <c r="BP3" s="269" t="str">
        <f>'DCAP АСУТП'!D1</f>
        <v>DCAP/DAG «СПЕКТР»</v>
      </c>
      <c r="BQ3" s="269" t="str">
        <f>'DCAP АСУТП'!H1</f>
        <v>Solar DAG</v>
      </c>
      <c r="BR3" s="269" t="str">
        <f>'DCAP АСУТП'!L1</f>
        <v>Makves DCAP</v>
      </c>
      <c r="BS3" s="269" t="str">
        <f>'DO АСУТП'!D1</f>
        <v>Efros Defence Operations</v>
      </c>
      <c r="BT3" s="269" t="str">
        <f>'NTA АСУТП'!D1</f>
        <v>Kaspersky Industrial CyberSecurity for Networks</v>
      </c>
      <c r="BU3" s="269" t="str">
        <f>'NTA АСУТП'!H1</f>
        <v>PT ISIM</v>
      </c>
      <c r="BV3" s="269" t="str">
        <f>'NTA АСУТП'!L1</f>
        <v>PT NAD</v>
      </c>
      <c r="BW3" s="269" t="str">
        <f>'NTA АСУТП'!P1</f>
        <v>Гарда Монитор</v>
      </c>
      <c r="BX3" s="269" t="str">
        <f>'SEG АСУТП'!D1</f>
        <v>Kaspersky Secure Mail Gateway</v>
      </c>
      <c r="BY3" s="269" t="str">
        <f>'APT АСУТП'!D1</f>
        <v>InfoWatch Targeted Attack Detector</v>
      </c>
      <c r="BZ3" s="269" t="str">
        <f>'APT АСУТП'!H1</f>
        <v>KATA</v>
      </c>
      <c r="CA3" s="269" t="str">
        <f>'APT АСУТП'!L1</f>
        <v>PT Anti-APT</v>
      </c>
      <c r="CB3" s="269" t="str">
        <f>'NAC АСУТП'!D1</f>
        <v>Efros ACS</v>
      </c>
      <c r="CC3" s="269" t="str">
        <f>'SANDBOX АСУТП'!D1</f>
        <v>Kaspersky Sandbox</v>
      </c>
      <c r="CD3" s="269" t="str">
        <f>'SANDBOX АСУТП'!H1</f>
        <v>PT Sandbox</v>
      </c>
      <c r="CE3" s="269" t="str">
        <f>'EDR АСУТП'!D1</f>
        <v>MaxPatrol XDR/EDR</v>
      </c>
      <c r="CF3" s="269" t="str">
        <f>'EDR АСУТП'!H1</f>
        <v>Kaspersky EDR</v>
      </c>
      <c r="CG3" s="269" t="str">
        <f>'WAF АСУТП'!D1</f>
        <v>PT Application Firewall</v>
      </c>
      <c r="CH3" s="269" t="str">
        <f>'WAF АСУТП'!H1</f>
        <v>Континент WAF</v>
      </c>
      <c r="CI3" s="269" t="str">
        <f>'WAF АСУТП'!L1</f>
        <v>SolidWall WAF</v>
      </c>
      <c r="CJ3" s="269" t="str">
        <f>'ВМ ЗСВ'!D1</f>
        <v>Vmware</v>
      </c>
      <c r="CK3" s="269" t="str">
        <f>'ВМ ЗСВ'!H1</f>
        <v>Брест</v>
      </c>
      <c r="CL3" s="269" t="str">
        <f>'ВМ ЗСВ'!L1</f>
        <v xml:space="preserve">zVirt </v>
      </c>
      <c r="CM3" s="269" t="str">
        <f>'ВМ ЗСВ'!P1</f>
        <v>РЕД Виртуализация</v>
      </c>
      <c r="CN3" s="269" t="str">
        <f>'ВМ ЗСВ'!T1</f>
        <v>SpaceVM</v>
      </c>
      <c r="CO3" s="269" t="str">
        <f>'ВМ ЗСВ'!X1</f>
        <v>Горизонт-ВС</v>
      </c>
      <c r="CP3" s="269" t="str">
        <f>'ВМ СПО'!D1</f>
        <v>Windows Security Options</v>
      </c>
      <c r="CQ3" s="269" t="str">
        <f>'ВМ СПО'!H1</f>
        <v>Linux Security Options</v>
      </c>
      <c r="CR3" s="269" t="str">
        <f>'ВМ СПО'!L1</f>
        <v>Astra Linux</v>
      </c>
      <c r="CS3" s="269" t="str">
        <f>'ВМ СПО'!P1</f>
        <v>РЕД ОС</v>
      </c>
      <c r="CT3" s="269" t="str">
        <f>'ВМ АСО'!D1</f>
        <v>LAN</v>
      </c>
      <c r="CU3" s="269" t="str">
        <f>'ВМ АСО'!H1</f>
        <v>WLAN</v>
      </c>
      <c r="CV3" s="394" t="s">
        <v>38</v>
      </c>
      <c r="CW3" s="394" t="str">
        <f ca="1">INDIRECT("'Служебный АСУТП'!" &amp; ADDRESS(ROW('Служебный АСУТП'!$E1), COLUMN('Служебный АСУТП'!E1)))</f>
        <v>АВЗ</v>
      </c>
      <c r="CX3" s="394" t="str">
        <f ca="1">INDIRECT("'Служебный АСУТП'!" &amp; ADDRESS(ROW('Служебный АСУТП'!$E1), COLUMN('Служебный АСУТП'!F1)))</f>
        <v>SIEM</v>
      </c>
      <c r="CY3" s="394" t="str">
        <f ca="1">INDIRECT("'Служебный АСУТП'!" &amp; ADDRESS(ROW('Служебный АСУТП'!$E1), COLUMN('Служебный АСУТП'!G1)))</f>
        <v>МСЭ</v>
      </c>
      <c r="CZ3" s="394" t="str">
        <f ca="1">INDIRECT("'Служебный АСУТП'!" &amp; ADDRESS(ROW('Служебный АСУТП'!$E1), COLUMN('Служебный АСУТП'!H1)))</f>
        <v xml:space="preserve">PIM / PAM / PUM </v>
      </c>
      <c r="DA3" s="394" t="str">
        <f ca="1">INDIRECT("'Служебный АСУТП'!" &amp; ADDRESS(ROW('Служебный АСУТП'!$E1), COLUMN('Служебный АСУТП'!I1)))</f>
        <v>СКЗИ</v>
      </c>
      <c r="DB3" s="394" t="str">
        <f ca="1">INDIRECT("'Служебный АСУТП'!" &amp; ADDRESS(ROW('Служебный АСУТП'!$E1), COLUMN('Служебный АСУТП'!J1)))</f>
        <v>АЗ</v>
      </c>
      <c r="DC3" s="394" t="str">
        <f ca="1">INDIRECT("'Служебный АСУТП'!" &amp; ADDRESS(ROW('Служебный АСУТП'!$E1), COLUMN('Служебный АСУТП'!K1)))</f>
        <v>СРК</v>
      </c>
      <c r="DD3" s="394" t="str">
        <f ca="1">INDIRECT("'Служебный АСУТП'!" &amp; ADDRESS(ROW('Служебный АСУТП'!$E1), COLUMN('Служебный АСУТП'!L1)))</f>
        <v>IDS</v>
      </c>
      <c r="DE3" s="924" t="str">
        <f ca="1">INDIRECT("'Служебный АСУТП'!" &amp; ADDRESS(ROW('Служебный АСУТП'!$E1), COLUMN('Служебный АСУТП'!N1)))</f>
        <v>АПМДЗ</v>
      </c>
      <c r="DF3" s="394" t="str">
        <f ca="1">INDIRECT("'Служебный АСУТП'!" &amp; ADDRESS(ROW('Служебный АСУТП'!$E1), COLUMN('Служебный АСУТП'!M1)))</f>
        <v>НСД</v>
      </c>
      <c r="DG3" s="394" t="s">
        <v>535</v>
      </c>
      <c r="DH3" s="394" t="str">
        <f ca="1">INDIRECT("'Служебный АСУТП'!" &amp; ADDRESS(ROW('Служебный АСУТП'!$E1), COLUMN('Служебный АСУТП'!P1)))</f>
        <v>Диод</v>
      </c>
      <c r="DI3" s="394" t="str">
        <f ca="1">INDIRECT("'Служебный АСУТП'!" &amp; ADDRESS(ROW('Служебный АСУТП'!$E1), COLUMN('Служебный АСУТП'!Q1)))</f>
        <v>СЗВ</v>
      </c>
      <c r="DJ3" s="394" t="str">
        <f ca="1">INDIRECT("'Служебный АСУТП'!" &amp; ADDRESS(ROW('Служебный АСУТП'!$E1), COLUMN('Служебный АСУТП'!R1)))</f>
        <v>SOAR</v>
      </c>
      <c r="DK3" s="394" t="str">
        <f ca="1">INDIRECT("'Служебный АСУТП'!" &amp; ADDRESS(ROW('Служебный АСУТП'!$E1), COLUMN('Служебный АСУТП'!S1)))</f>
        <v>Виртуализация рабочих мест (VDI)</v>
      </c>
      <c r="DL3" s="395" t="str">
        <f ca="1">INDIRECT("'Служебный АСУТП'!" &amp; ADDRESS(ROW('Служебный АСУТП'!$E1), COLUMN('Служебный АСУТП'!T1)))</f>
        <v>СУБД</v>
      </c>
      <c r="DM3" s="394" t="str">
        <f ca="1">INDIRECT("'Служебный АСУТП'!" &amp; ADDRESS(ROW('Служебный АСУТП'!$E1), COLUMN('Служебный АСУТП'!U1)))</f>
        <v>Платформа взаимодействия с главным центром ГосСОПКА</v>
      </c>
      <c r="DN3" s="394" t="str">
        <f ca="1">INDIRECT("'Служебный АСУТП'!" &amp; ADDRESS(ROW('Служебный АСУТП'!$E1), COLUMN('Служебный АСУТП'!V1)))</f>
        <v>TLS шлюз</v>
      </c>
      <c r="DO3" s="394" t="str">
        <f ca="1">INDIRECT("'Служебный АСУТП'!" &amp; ADDRESS(ROW('Служебный АСУТП'!$E1), COLUMN('Служебный АСУТП'!W1)))</f>
        <v>DCAP / DAG</v>
      </c>
      <c r="DP3" s="394" t="str">
        <f ca="1">INDIRECT("'Служебный АСУТП'!" &amp; ADDRESS(ROW('Служебный АСУТП'!$E1), COLUMN('Служебный АСУТП'!X1)))</f>
        <v>Контроль конфигураций</v>
      </c>
      <c r="DQ3" s="394" t="str">
        <f ca="1">INDIRECT("'Служебный АСУТП'!" &amp; ADDRESS(ROW('Служебный АСУТП'!$E1), COLUMN('Служебный АСУТП'!Y1)))</f>
        <v>NTA</v>
      </c>
      <c r="DR3" s="394" t="str">
        <f ca="1">INDIRECT("'Служебный АСУТП'!" &amp; ADDRESS(ROW('Служебный АСУТП'!$E1), COLUMN('Служебный АСУТП'!Z1)))</f>
        <v>SEG</v>
      </c>
      <c r="DS3" s="394" t="str">
        <f ca="1">INDIRECT("'Служебный АСУТП'!" &amp; ADDRESS(ROW('Служебный АСУТП'!$E1), COLUMN('Служебный АСУТП'!AA1)))</f>
        <v>APT</v>
      </c>
      <c r="DT3" s="394" t="str">
        <f ca="1">INDIRECT("'Служебный АСУТП'!" &amp; ADDRESS(ROW('Служебный АСУТП'!$E1), COLUMN('Служебный АСУТП'!AB1)))</f>
        <v>NAC</v>
      </c>
      <c r="DU3" s="394" t="str">
        <f ca="1">INDIRECT("'Служебный АСУТП'!" &amp; ADDRESS(ROW('Служебный АСУТП'!$E1), COLUMN('Служебный АСУТП'!AC1)))</f>
        <v>Sandbox</v>
      </c>
      <c r="DV3" s="394" t="str">
        <f ca="1">INDIRECT("'Служебный АСУТП'!" &amp; ADDRESS(ROW('Служебный АСУТП'!$E1), COLUMN('Служебный АСУТП'!AD1)))</f>
        <v>EDR</v>
      </c>
      <c r="DW3" s="395" t="str">
        <f ca="1">INDIRECT("'Служебный АСУТП'!" &amp; ADDRESS(ROW('Служебный АСУТП'!$E1), COLUMN('Служебный АСУТП'!AE1)))</f>
        <v>WAF</v>
      </c>
      <c r="DX3" s="779" t="str">
        <f ca="1">INDIRECT("'Служебный АСУТП'!" &amp; ADDRESS(ROW('Служебный АСУТП'!$E1), COLUMN('Служебный АСУТП'!AF1)))</f>
        <v>ВМ ЗСВ</v>
      </c>
      <c r="DY3" s="779" t="str">
        <f ca="1">INDIRECT("'Служебный АСУТП'!" &amp; ADDRESS(ROW('Служебный АСУТП'!$E1), COLUMN('Служебный АСУТП'!AG1)))</f>
        <v>ВМ СПО</v>
      </c>
      <c r="DZ3" s="779" t="str">
        <f ca="1">INDIRECT("'Служебный АСУТП'!" &amp; ADDRESS(ROW('Служебный АСУТП'!$E1), COLUMN('Служебный АСУТП'!AH1)))</f>
        <v>ВМ АСО</v>
      </c>
    </row>
    <row r="4" spans="1:220" ht="16.149999999999999" customHeight="1" thickBot="1" x14ac:dyDescent="0.3">
      <c r="A4" s="326" t="s">
        <v>448</v>
      </c>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7"/>
      <c r="BR4" s="327"/>
      <c r="BS4" s="327"/>
      <c r="BT4" s="327"/>
      <c r="BU4" s="327"/>
      <c r="BV4" s="327"/>
      <c r="BW4" s="327"/>
      <c r="BX4" s="327"/>
      <c r="BY4" s="327"/>
      <c r="BZ4" s="327"/>
      <c r="CA4" s="327"/>
      <c r="CB4" s="327"/>
      <c r="CC4" s="327"/>
      <c r="CD4" s="327"/>
      <c r="CE4" s="327"/>
      <c r="CF4" s="327"/>
      <c r="CG4" s="327"/>
      <c r="CH4" s="327"/>
      <c r="CI4" s="327"/>
      <c r="CJ4" s="327"/>
      <c r="CK4" s="327"/>
      <c r="CL4" s="327"/>
      <c r="CM4" s="327"/>
      <c r="CN4" s="327"/>
      <c r="CO4" s="327"/>
      <c r="CP4" s="327"/>
      <c r="CQ4" s="327"/>
      <c r="CR4" s="327"/>
      <c r="CS4" s="327"/>
      <c r="CT4" s="327"/>
      <c r="CU4" s="327"/>
      <c r="CV4" s="327"/>
      <c r="CW4" s="327" t="s">
        <v>448</v>
      </c>
      <c r="CX4" s="327"/>
      <c r="CY4" s="327"/>
      <c r="CZ4" s="327"/>
      <c r="DA4" s="327"/>
      <c r="DB4" s="327"/>
      <c r="DC4" s="327"/>
      <c r="DD4" s="327"/>
      <c r="DE4" s="327"/>
      <c r="DF4" s="327"/>
      <c r="DG4" s="327"/>
      <c r="DH4" s="327"/>
      <c r="DI4" s="327"/>
      <c r="DJ4" s="327"/>
      <c r="DK4" s="327"/>
      <c r="DL4" s="327"/>
      <c r="DM4" s="327"/>
      <c r="DN4" s="327"/>
      <c r="DO4" s="327"/>
      <c r="DP4" s="327"/>
      <c r="DQ4" s="327"/>
      <c r="DR4" s="327"/>
      <c r="DS4" s="327"/>
      <c r="DT4" s="327"/>
      <c r="DU4" s="327"/>
      <c r="DV4" s="327"/>
      <c r="DW4" s="327"/>
      <c r="DX4" s="327"/>
      <c r="DY4" s="530"/>
      <c r="DZ4" s="396"/>
    </row>
    <row r="5" spans="1:220" ht="15" customHeight="1" x14ac:dyDescent="0.25">
      <c r="A5" s="1911" t="s">
        <v>0</v>
      </c>
      <c r="B5" s="1918">
        <f>IF('Тип разраб-ой док-ции'!F4=1,1,0)</f>
        <v>0</v>
      </c>
      <c r="C5" s="325" t="s">
        <v>32</v>
      </c>
      <c r="D5" s="230"/>
      <c r="E5" s="316">
        <f>'АВЗ АСУТП'!G5</f>
        <v>2.75</v>
      </c>
      <c r="F5" s="316">
        <f>'АВЗ АСУТП'!K5</f>
        <v>2.75</v>
      </c>
      <c r="G5" s="316">
        <f>'АВЗ АСУТП'!O5</f>
        <v>2.75</v>
      </c>
      <c r="H5" s="230">
        <f>'АВЗ АСУТП'!S5</f>
        <v>2.75</v>
      </c>
      <c r="I5" s="316">
        <f>'АВЗ АСУТП'!W5</f>
        <v>2.75</v>
      </c>
      <c r="J5" s="230">
        <f>'АВЗ АСУТП'!AA5</f>
        <v>2.75</v>
      </c>
      <c r="K5" s="230">
        <f>'АВЗ АСУТП'!AE5</f>
        <v>2.75</v>
      </c>
      <c r="L5" s="230">
        <f>'АВЗ АСУТП'!AI5</f>
        <v>2.75</v>
      </c>
      <c r="M5" s="230">
        <f>'SIEM АСУТП'!G5</f>
        <v>1.25</v>
      </c>
      <c r="N5" s="230">
        <f>'SIEM АСУТП'!K5</f>
        <v>1.25</v>
      </c>
      <c r="O5" s="230">
        <f>'МСЭ АСУТП'!G5</f>
        <v>4</v>
      </c>
      <c r="P5" s="317">
        <f>'МСЭ АСУТП'!K5</f>
        <v>4</v>
      </c>
      <c r="Q5" s="230">
        <f>'МСЭ АСУТП'!O5</f>
        <v>4</v>
      </c>
      <c r="R5" s="230">
        <f>'МСЭ АСУТП'!S5</f>
        <v>4</v>
      </c>
      <c r="S5" s="230">
        <f>'PAM АСУТП'!G5</f>
        <v>1.5</v>
      </c>
      <c r="T5" s="230">
        <f>'PAM АСУТП'!K5</f>
        <v>1.5</v>
      </c>
      <c r="U5" s="230">
        <f>'PAM АСУТП'!O5</f>
        <v>1.5</v>
      </c>
      <c r="V5" s="230">
        <f>'СКЗИ АСУТП'!G5</f>
        <v>5</v>
      </c>
      <c r="W5" s="230">
        <f>'СКЗИ АСУТП'!K5</f>
        <v>5</v>
      </c>
      <c r="X5" s="230">
        <f>'СКЗИ АСУТП'!O5</f>
        <v>5</v>
      </c>
      <c r="Y5" s="230">
        <f>'СКЗИ АСУТП'!S5</f>
        <v>5</v>
      </c>
      <c r="Z5" s="230">
        <f>'СКЗИ АСУТП'!W5</f>
        <v>5</v>
      </c>
      <c r="AA5" s="230">
        <f>'АЗ АСУТП'!G5</f>
        <v>1</v>
      </c>
      <c r="AB5" s="230">
        <f>'АЗ АСУТП'!K5</f>
        <v>1</v>
      </c>
      <c r="AC5" s="230">
        <f>'АЗ АСУТП'!O5</f>
        <v>1</v>
      </c>
      <c r="AD5" s="230">
        <f>'АЗ АСУТП'!S5</f>
        <v>1</v>
      </c>
      <c r="AE5" s="230">
        <f>'АЗ АСУТП'!W5</f>
        <v>1</v>
      </c>
      <c r="AF5" s="230">
        <f>'РК АСУТП'!G5</f>
        <v>1.9</v>
      </c>
      <c r="AG5" s="230">
        <f>'РК АСУТП'!K5</f>
        <v>1.9</v>
      </c>
      <c r="AH5" s="230">
        <f>'IDS АСУТП'!G5</f>
        <v>1</v>
      </c>
      <c r="AI5" s="230">
        <f>'IDS АСУТП'!K5</f>
        <v>1</v>
      </c>
      <c r="AJ5" s="230">
        <f>'IDS АСУТП'!O5</f>
        <v>1</v>
      </c>
      <c r="AK5" s="230">
        <f>'АПМДЗ АСУТП'!G5</f>
        <v>0.96000000000000019</v>
      </c>
      <c r="AL5" s="230">
        <f>'АПМДЗ АСУТП'!K5</f>
        <v>0.96000000000000019</v>
      </c>
      <c r="AM5" s="230">
        <f>'НСД АСУТП'!G5</f>
        <v>0.96000000000000019</v>
      </c>
      <c r="AN5" s="230">
        <f>'НСД АСУТП'!K5</f>
        <v>0.96000000000000019</v>
      </c>
      <c r="AO5" s="230">
        <f>'НСД АСУТП'!O5</f>
        <v>0.96000000000000019</v>
      </c>
      <c r="AP5" s="230">
        <f>'MFA АСУТП'!G5</f>
        <v>2</v>
      </c>
      <c r="AQ5" s="230">
        <f>'MFA АСУТП'!K5</f>
        <v>2</v>
      </c>
      <c r="AR5" s="230">
        <f>'MFA АСУТП'!O5</f>
        <v>2</v>
      </c>
      <c r="AS5" s="230">
        <f>'MFA АСУТП'!S5</f>
        <v>2</v>
      </c>
      <c r="AT5" s="230">
        <f>'ДИОД АСУТП'!G5</f>
        <v>0.5</v>
      </c>
      <c r="AU5" s="230">
        <f>'ДИОД АСУТП'!K5</f>
        <v>0.5</v>
      </c>
      <c r="AV5" s="230">
        <f>'ДИОД АСУТП'!O5</f>
        <v>0.5</v>
      </c>
      <c r="AW5" s="230">
        <f>'ДИОД АСУТП'!S5</f>
        <v>0.5</v>
      </c>
      <c r="AX5" s="230">
        <f>'СЗВ АСУТП'!G5</f>
        <v>1.5</v>
      </c>
      <c r="AY5" s="230">
        <f>'СЗВ АСУТП'!K5</f>
        <v>1.5</v>
      </c>
      <c r="AZ5" s="230">
        <f>'СЗВ АСУТП'!O5</f>
        <v>1.5</v>
      </c>
      <c r="BA5" s="230">
        <f>'SOAR АСУТП'!G5</f>
        <v>1</v>
      </c>
      <c r="BB5" s="230">
        <f>'SOAR АСУТП'!K5</f>
        <v>1</v>
      </c>
      <c r="BC5" s="230">
        <f>'SOAR АСУТП'!O5</f>
        <v>1</v>
      </c>
      <c r="BD5" s="230" t="e">
        <f>'SOAR АСУТП'!#REF!</f>
        <v>#REF!</v>
      </c>
      <c r="BE5" s="230">
        <f>'VDI АСУТП'!G5</f>
        <v>2.5</v>
      </c>
      <c r="BF5" s="230">
        <f>'VDI АСУТП'!K5</f>
        <v>2.5</v>
      </c>
      <c r="BG5" s="230">
        <f>'VDI АСУТП'!O5</f>
        <v>2.5</v>
      </c>
      <c r="BH5" s="230">
        <f>'VDI АСУТП'!S5</f>
        <v>2.5</v>
      </c>
      <c r="BI5" s="230">
        <f>'VDI АСУТП'!W5</f>
        <v>2.5</v>
      </c>
      <c r="BJ5" s="316">
        <f>'СУБД АСУТП'!G5</f>
        <v>1</v>
      </c>
      <c r="BK5" s="316">
        <f>'СУБД АСУТП'!K5</f>
        <v>1</v>
      </c>
      <c r="BL5" s="316">
        <f>'ГОССОПКА АСУТП'!G5</f>
        <v>4.5</v>
      </c>
      <c r="BM5" s="316">
        <f>'ГОССОПКА АСУТП'!K5</f>
        <v>4.5</v>
      </c>
      <c r="BN5" s="316">
        <f>'TLS АСУТП'!G5</f>
        <v>8.5</v>
      </c>
      <c r="BO5" s="316">
        <f>'TLS АСУТП'!K5</f>
        <v>8.5</v>
      </c>
      <c r="BP5" s="316">
        <f>'DCAP АСУТП'!G5</f>
        <v>2.5</v>
      </c>
      <c r="BQ5" s="316">
        <f>'DCAP АСУТП'!K5</f>
        <v>2.5</v>
      </c>
      <c r="BR5" s="316">
        <f>'DCAP АСУТП'!O5</f>
        <v>2.5</v>
      </c>
      <c r="BS5" s="316">
        <f>'DO АСУТП'!G5</f>
        <v>2.5</v>
      </c>
      <c r="BT5" s="316">
        <f>'NTA АСУТП'!G5</f>
        <v>1.5</v>
      </c>
      <c r="BU5" s="316">
        <f>'NTA АСУТП'!K5</f>
        <v>1.5</v>
      </c>
      <c r="BV5" s="316">
        <f>'NTA АСУТП'!O5</f>
        <v>1.5</v>
      </c>
      <c r="BW5" s="316">
        <f>'NTA АСУТП'!S5</f>
        <v>8.5</v>
      </c>
      <c r="BX5" s="316">
        <f>'SEG АСУТП'!G5</f>
        <v>2.5</v>
      </c>
      <c r="BY5" s="316">
        <f>'APT АСУТП'!G5</f>
        <v>1</v>
      </c>
      <c r="BZ5" s="316">
        <f>'APT АСУТП'!K5</f>
        <v>1</v>
      </c>
      <c r="CA5" s="316">
        <f>'APT АСУТП'!O5</f>
        <v>1</v>
      </c>
      <c r="CB5" s="316">
        <f>'NAC АСУТП'!G5</f>
        <v>1</v>
      </c>
      <c r="CC5" s="316">
        <f>'SANDBOX АСУТП'!G5</f>
        <v>2.5</v>
      </c>
      <c r="CD5" s="316">
        <f>'SANDBOX АСУТП'!K5</f>
        <v>2.5</v>
      </c>
      <c r="CE5" s="316">
        <f>'EDR АСУТП'!G5</f>
        <v>1</v>
      </c>
      <c r="CF5" s="316">
        <f>'EDR АСУТП'!K5</f>
        <v>1</v>
      </c>
      <c r="CG5" s="316">
        <f>'WAF АСУТП'!G5</f>
        <v>1</v>
      </c>
      <c r="CH5" s="316">
        <f>'WAF АСУТП'!K5</f>
        <v>1</v>
      </c>
      <c r="CI5" s="316">
        <f>'WAF АСУТП'!O5</f>
        <v>1</v>
      </c>
      <c r="CJ5" s="316">
        <f>'ВМ ЗСВ'!G5</f>
        <v>1.5</v>
      </c>
      <c r="CK5" s="316">
        <f>'ВМ ЗСВ'!K5</f>
        <v>1.5</v>
      </c>
      <c r="CL5" s="316">
        <f>'ВМ ЗСВ'!O5</f>
        <v>1.5</v>
      </c>
      <c r="CM5" s="316">
        <f>'ВМ ЗСВ'!S5</f>
        <v>1.5</v>
      </c>
      <c r="CN5" s="316">
        <f>'ВМ ЗСВ'!W5</f>
        <v>1.5</v>
      </c>
      <c r="CO5" s="316">
        <f>'ВМ ЗСВ'!AA5</f>
        <v>1.5</v>
      </c>
      <c r="CP5" s="316">
        <f>'ВМ СПО'!G5</f>
        <v>1</v>
      </c>
      <c r="CQ5" s="316">
        <f>'ВМ СПО'!K5</f>
        <v>1</v>
      </c>
      <c r="CR5" s="316">
        <f>'ВМ СПО'!O5</f>
        <v>1</v>
      </c>
      <c r="CS5" s="316">
        <f>'ВМ СПО'!S5</f>
        <v>1</v>
      </c>
      <c r="CT5" s="316">
        <f>'ВМ АСО'!G5</f>
        <v>0</v>
      </c>
      <c r="CU5" s="316">
        <f>'ВМ АСО'!K5</f>
        <v>0</v>
      </c>
      <c r="CV5" s="316" t="e">
        <f t="shared" ref="CV5:CV10" si="0">SUMPRODUCT(E5:CU5,$E$2:$CU$2) + D5</f>
        <v>#REF!</v>
      </c>
      <c r="CW5" s="317">
        <f t="shared" ref="CW5:CW10" si="1">SUMPRODUCT(E5:L5,$E$2:$L$2) + D5</f>
        <v>2.75</v>
      </c>
      <c r="CX5" s="317">
        <f t="shared" ref="CX5:CX10" si="2">SUMPRODUCT(M5:N5,$M$2:$N$2) + D5</f>
        <v>1.25</v>
      </c>
      <c r="CY5" s="317">
        <f t="shared" ref="CY5:CY10" si="3">SUMPRODUCT(O5:Q5,$O$2:$Q$2) + D5</f>
        <v>0</v>
      </c>
      <c r="CZ5" s="317">
        <f t="shared" ref="CZ5:CZ10" si="4">SUMPRODUCT(S5:U5,$S$2:$U$2) + $D5</f>
        <v>0</v>
      </c>
      <c r="DA5" s="317">
        <f t="shared" ref="DA5:DA10" si="5">SUMPRODUCT(V5:Z5,$V$2:$Z$2) + $D5</f>
        <v>0</v>
      </c>
      <c r="DB5" s="317">
        <f t="shared" ref="DB5:DB10" si="6">SUMPRODUCT(AA5:AE5,$AA$2:$AE$2) + $D5</f>
        <v>0</v>
      </c>
      <c r="DC5" s="317">
        <f t="shared" ref="DC5:DC10" si="7">SUMPRODUCT(AF5:AG5,$AF$2:$AG$2) + $D5</f>
        <v>0</v>
      </c>
      <c r="DD5" s="317">
        <f t="shared" ref="DD5:DD10" si="8">SUMPRODUCT(AH5:AJ5,$AH$2:$AJ$2) + $D5</f>
        <v>0</v>
      </c>
      <c r="DE5" s="317">
        <f t="shared" ref="DE5:DE10" si="9">SUMPRODUCT(AK5:AL5,$AK$2:$AL$2) + $D5</f>
        <v>0</v>
      </c>
      <c r="DF5" s="317">
        <f t="shared" ref="DF5:DF10" si="10">SUMPRODUCT(AM5:AO5,$AM$2:$AO$2) + $D5</f>
        <v>0</v>
      </c>
      <c r="DG5" s="317">
        <f t="shared" ref="DG5:DG10" si="11">SUMPRODUCT(AP5:AS5,$AP$2:$AS$2) + $D5</f>
        <v>0</v>
      </c>
      <c r="DH5" s="317">
        <f t="shared" ref="DH5:DH10" si="12">SUMPRODUCT(AT5:AW5,$AT$2:$AW$2) + $D5</f>
        <v>0</v>
      </c>
      <c r="DI5" s="317">
        <f t="shared" ref="DI5:DI10" si="13">SUMPRODUCT(AX5:AZ5,$AX$2:$AZ$2) + $D5</f>
        <v>0</v>
      </c>
      <c r="DJ5" s="317" t="e">
        <f t="shared" ref="DJ5:DJ10" si="14">SUMPRODUCT(BA5:BD5,$BA$2:$BD$2) + $D5</f>
        <v>#REF!</v>
      </c>
      <c r="DK5" s="317">
        <f t="shared" ref="DK5:DK10" si="15">SUMPRODUCT(BE5:BI5,$BE$2:$BI$2) + $D5</f>
        <v>0</v>
      </c>
      <c r="DL5" s="317">
        <f t="shared" ref="DL5:DL10" si="16">SUMPRODUCT(BJ5:BK5,$BJ$2:$BK$2) + $D5</f>
        <v>0</v>
      </c>
      <c r="DM5" s="317">
        <f t="shared" ref="DM5:DM10" si="17">SUMPRODUCT(BL5:BM5,$BL$2:$BM$2) + $D5</f>
        <v>0</v>
      </c>
      <c r="DN5" s="317">
        <f t="shared" ref="DN5:DN10" si="18">SUMPRODUCT(BN5:BO5,$BN$2:$BO$2) + $D5</f>
        <v>0</v>
      </c>
      <c r="DO5" s="317">
        <f t="shared" ref="DO5:DO10" si="19">SUMPRODUCT(BP5:BR5,$BP$2:$BR$2) + $D5</f>
        <v>0</v>
      </c>
      <c r="DP5" s="317">
        <f t="shared" ref="DP5:DP10" si="20">SUMPRODUCT(BS5:BS5,$BS$2:$BS$2) + $D5</f>
        <v>0</v>
      </c>
      <c r="DQ5" s="317">
        <f t="shared" ref="DQ5:DQ10" si="21">SUMPRODUCT(BT5:BW5,$BT$2:$BW$2) + $D5</f>
        <v>0</v>
      </c>
      <c r="DR5" s="317">
        <f t="shared" ref="DR5:DR10" si="22">SUMPRODUCT(BX5:BX5,$BX$2:$BX$2) + $D5</f>
        <v>0</v>
      </c>
      <c r="DS5" s="317">
        <f t="shared" ref="DS5:DS10" si="23">SUMPRODUCT(BY5:CA5,$BY$2:$CA$2) + $D5</f>
        <v>0</v>
      </c>
      <c r="DT5" s="317">
        <f t="shared" ref="DT5:DT10" si="24">SUMPRODUCT(CB5:CB5,$CB$2:$CB$2) + $D5</f>
        <v>0</v>
      </c>
      <c r="DU5" s="317">
        <f t="shared" ref="DU5:DU10" si="25">SUMPRODUCT(CC5:CD5,$CC$2:$CD$2) + $D5</f>
        <v>0</v>
      </c>
      <c r="DV5" s="230">
        <f t="shared" ref="DV5:DV10" si="26">SUMPRODUCT(CE5:CF5,$CE$2:$CF$2) + $D5</f>
        <v>0</v>
      </c>
      <c r="DW5" s="317">
        <f t="shared" ref="DW5:DW10" si="27">SUMPRODUCT(CG5:CI5,$CG$2:$CI$2) + $D5</f>
        <v>0</v>
      </c>
      <c r="DX5" s="317">
        <f t="shared" ref="DX5:DX10" si="28">SUMPRODUCT(CJ5:CO5,$CJ$2:$CO$2) + $D5</f>
        <v>0</v>
      </c>
      <c r="DY5" s="317">
        <f t="shared" ref="DY5:DY10" si="29">SUMPRODUCT(CP5:CS5,$CP$2:$CS$2) + $D5</f>
        <v>0</v>
      </c>
      <c r="DZ5" s="683">
        <f t="shared" ref="DZ5:DZ10" si="30">SUMPRODUCT(CT5:CU5,$CT$2:$CU$2) + $D5</f>
        <v>0</v>
      </c>
    </row>
    <row r="6" spans="1:220" ht="15" customHeight="1" x14ac:dyDescent="0.25">
      <c r="A6" s="1912"/>
      <c r="B6" s="1909"/>
      <c r="C6" s="18" t="s">
        <v>33</v>
      </c>
      <c r="D6" s="21"/>
      <c r="E6" s="316">
        <f>'АВЗ АСУТП'!G6</f>
        <v>0.75</v>
      </c>
      <c r="F6" s="316">
        <f>'АВЗ АСУТП'!K6</f>
        <v>0.75</v>
      </c>
      <c r="G6" s="316">
        <f>'АВЗ АСУТП'!O6</f>
        <v>0.75</v>
      </c>
      <c r="H6" s="230">
        <f>'АВЗ АСУТП'!S6</f>
        <v>0.75</v>
      </c>
      <c r="I6" s="316">
        <f>'АВЗ АСУТП'!W6</f>
        <v>0.75</v>
      </c>
      <c r="J6" s="230">
        <f>'АВЗ АСУТП'!AA6</f>
        <v>0.75</v>
      </c>
      <c r="K6" s="230">
        <f>'АВЗ АСУТП'!AE6</f>
        <v>0.75</v>
      </c>
      <c r="L6" s="230">
        <f>'АВЗ АСУТП'!AI6</f>
        <v>0.75</v>
      </c>
      <c r="M6" s="230">
        <f>'SIEM АСУТП'!G6</f>
        <v>1</v>
      </c>
      <c r="N6" s="230">
        <f>'SIEM АСУТП'!K6</f>
        <v>1</v>
      </c>
      <c r="O6" s="230">
        <f>'МСЭ АСУТП'!G6</f>
        <v>5</v>
      </c>
      <c r="P6" s="317">
        <f>'МСЭ АСУТП'!K6</f>
        <v>5</v>
      </c>
      <c r="Q6" s="230">
        <f>'МСЭ АСУТП'!O6</f>
        <v>5</v>
      </c>
      <c r="R6" s="230">
        <f>'МСЭ АСУТП'!S6</f>
        <v>5</v>
      </c>
      <c r="S6" s="230">
        <f>'PAM АСУТП'!G6</f>
        <v>3</v>
      </c>
      <c r="T6" s="230">
        <f>'PAM АСУТП'!K6</f>
        <v>3</v>
      </c>
      <c r="U6" s="230">
        <f>'PAM АСУТП'!O6</f>
        <v>3</v>
      </c>
      <c r="V6" s="230">
        <f>'СКЗИ АСУТП'!G6</f>
        <v>8</v>
      </c>
      <c r="W6" s="230">
        <f>'СКЗИ АСУТП'!K6</f>
        <v>8</v>
      </c>
      <c r="X6" s="230">
        <f>'СКЗИ АСУТП'!O6</f>
        <v>8</v>
      </c>
      <c r="Y6" s="230">
        <f>'СКЗИ АСУТП'!S6</f>
        <v>8</v>
      </c>
      <c r="Z6" s="230">
        <f>'СКЗИ АСУТП'!W6</f>
        <v>8</v>
      </c>
      <c r="AA6" s="230">
        <f>'АЗ АСУТП'!G6</f>
        <v>1.5</v>
      </c>
      <c r="AB6" s="230">
        <f>'АЗ АСУТП'!K6</f>
        <v>1.5</v>
      </c>
      <c r="AC6" s="230">
        <f>'АЗ АСУТП'!O6</f>
        <v>1.5</v>
      </c>
      <c r="AD6" s="230">
        <f>'АЗ АСУТП'!S6</f>
        <v>1.5</v>
      </c>
      <c r="AE6" s="230">
        <f>'АЗ АСУТП'!W6</f>
        <v>1.5</v>
      </c>
      <c r="AF6" s="230">
        <f>'РК АСУТП'!G6</f>
        <v>2.5</v>
      </c>
      <c r="AG6" s="230">
        <f>'РК АСУТП'!K6</f>
        <v>2.5</v>
      </c>
      <c r="AH6" s="230">
        <f>'IDS АСУТП'!G6</f>
        <v>1.5</v>
      </c>
      <c r="AI6" s="230">
        <f>'IDS АСУТП'!K6</f>
        <v>1.5</v>
      </c>
      <c r="AJ6" s="230">
        <f>'IDS АСУТП'!O6</f>
        <v>1.5</v>
      </c>
      <c r="AK6" s="230">
        <f>'АПМДЗ АСУТП'!G6</f>
        <v>1.2000000000000002</v>
      </c>
      <c r="AL6" s="230">
        <f>'АПМДЗ АСУТП'!K6</f>
        <v>1.2000000000000002</v>
      </c>
      <c r="AM6" s="230">
        <f>'НСД АСУТП'!G6</f>
        <v>1.2000000000000002</v>
      </c>
      <c r="AN6" s="230">
        <f>'НСД АСУТП'!K6</f>
        <v>1.2000000000000002</v>
      </c>
      <c r="AO6" s="230">
        <f>'НСД АСУТП'!O6</f>
        <v>1.2000000000000002</v>
      </c>
      <c r="AP6" s="230">
        <f>'MFA АСУТП'!G6</f>
        <v>4</v>
      </c>
      <c r="AQ6" s="230">
        <f>'MFA АСУТП'!K6</f>
        <v>4</v>
      </c>
      <c r="AR6" s="230">
        <f>'MFA АСУТП'!O6</f>
        <v>4</v>
      </c>
      <c r="AS6" s="230">
        <f>'MFA АСУТП'!S6</f>
        <v>4</v>
      </c>
      <c r="AT6" s="230">
        <f>'ДИОД АСУТП'!G6</f>
        <v>0.5</v>
      </c>
      <c r="AU6" s="230">
        <f>'ДИОД АСУТП'!K6</f>
        <v>0.5</v>
      </c>
      <c r="AV6" s="230">
        <f>'ДИОД АСУТП'!O6</f>
        <v>0.5</v>
      </c>
      <c r="AW6" s="230">
        <f>'ДИОД АСУТП'!S6</f>
        <v>0.5</v>
      </c>
      <c r="AX6" s="230">
        <f>'СЗВ АСУТП'!G6</f>
        <v>3</v>
      </c>
      <c r="AY6" s="230">
        <f>'СЗВ АСУТП'!K6</f>
        <v>3</v>
      </c>
      <c r="AZ6" s="230">
        <f>'СЗВ АСУТП'!O6</f>
        <v>3</v>
      </c>
      <c r="BA6" s="230">
        <f>'SOAR АСУТП'!G6</f>
        <v>1</v>
      </c>
      <c r="BB6" s="230">
        <f>'SOAR АСУТП'!K6</f>
        <v>1</v>
      </c>
      <c r="BC6" s="230">
        <f>'SOAR АСУТП'!O6</f>
        <v>1</v>
      </c>
      <c r="BD6" s="230" t="e">
        <f>'SOAR АСУТП'!#REF!</f>
        <v>#REF!</v>
      </c>
      <c r="BE6" s="230">
        <f>'VDI АСУТП'!G6</f>
        <v>4.5</v>
      </c>
      <c r="BF6" s="230">
        <f>'VDI АСУТП'!K6</f>
        <v>4.5</v>
      </c>
      <c r="BG6" s="230">
        <f>'VDI АСУТП'!O6</f>
        <v>4.5</v>
      </c>
      <c r="BH6" s="230">
        <f>'VDI АСУТП'!S6</f>
        <v>4.5</v>
      </c>
      <c r="BI6" s="230">
        <f>'VDI АСУТП'!W6</f>
        <v>4.5</v>
      </c>
      <c r="BJ6" s="316">
        <f>'СУБД АСУТП'!G6</f>
        <v>0.5</v>
      </c>
      <c r="BK6" s="316">
        <f>'СУБД АСУТП'!K6</f>
        <v>0.5</v>
      </c>
      <c r="BL6" s="316">
        <f>'ГОССОПКА АСУТП'!G6</f>
        <v>8.5</v>
      </c>
      <c r="BM6" s="316">
        <f>'ГОССОПКА АСУТП'!K6</f>
        <v>8.5</v>
      </c>
      <c r="BN6" s="316">
        <f>'TLS АСУТП'!G6</f>
        <v>10.5</v>
      </c>
      <c r="BO6" s="316">
        <f>'TLS АСУТП'!K6</f>
        <v>10.5</v>
      </c>
      <c r="BP6" s="316">
        <f>'DCAP АСУТП'!G6</f>
        <v>4.5</v>
      </c>
      <c r="BQ6" s="316">
        <f>'DCAP АСУТП'!K6</f>
        <v>4.5</v>
      </c>
      <c r="BR6" s="316">
        <f>'DCAP АСУТП'!O6</f>
        <v>4.5</v>
      </c>
      <c r="BS6" s="316">
        <f>'DO АСУТП'!G6</f>
        <v>1.25</v>
      </c>
      <c r="BT6" s="316">
        <f>'NTA АСУТП'!G6</f>
        <v>2.5</v>
      </c>
      <c r="BU6" s="316">
        <f>'NTA АСУТП'!K6</f>
        <v>2.5</v>
      </c>
      <c r="BV6" s="316">
        <f>'NTA АСУТП'!O6</f>
        <v>2.5</v>
      </c>
      <c r="BW6" s="316">
        <f>'NTA АСУТП'!S6</f>
        <v>10.5</v>
      </c>
      <c r="BX6" s="316">
        <f>'SEG АСУТП'!G6</f>
        <v>4.5</v>
      </c>
      <c r="BY6" s="316">
        <f>'APT АСУТП'!G6</f>
        <v>1.5</v>
      </c>
      <c r="BZ6" s="316">
        <f>'APT АСУТП'!K6</f>
        <v>1.5</v>
      </c>
      <c r="CA6" s="316">
        <f>'APT АСУТП'!O6</f>
        <v>1.5</v>
      </c>
      <c r="CB6" s="316">
        <f>'NAC АСУТП'!G6</f>
        <v>2</v>
      </c>
      <c r="CC6" s="316">
        <f>'SANDBOX АСУТП'!G6</f>
        <v>4.5</v>
      </c>
      <c r="CD6" s="316">
        <f>'SANDBOX АСУТП'!K6</f>
        <v>4.5</v>
      </c>
      <c r="CE6" s="316">
        <f>'EDR АСУТП'!G6</f>
        <v>0.5</v>
      </c>
      <c r="CF6" s="316">
        <f>'EDR АСУТП'!K6</f>
        <v>0.5</v>
      </c>
      <c r="CG6" s="316">
        <f>'WAF АСУТП'!G6</f>
        <v>2</v>
      </c>
      <c r="CH6" s="316">
        <f>'WAF АСУТП'!K6</f>
        <v>2</v>
      </c>
      <c r="CI6" s="316">
        <f>'WAF АСУТП'!O6</f>
        <v>2</v>
      </c>
      <c r="CJ6" s="316">
        <f>'ВМ ЗСВ'!G6</f>
        <v>3</v>
      </c>
      <c r="CK6" s="316">
        <f>'ВМ ЗСВ'!K6</f>
        <v>3</v>
      </c>
      <c r="CL6" s="316">
        <f>'ВМ ЗСВ'!O6</f>
        <v>3</v>
      </c>
      <c r="CM6" s="316">
        <f>'ВМ ЗСВ'!S6</f>
        <v>3</v>
      </c>
      <c r="CN6" s="316">
        <f>'ВМ ЗСВ'!W6</f>
        <v>3</v>
      </c>
      <c r="CO6" s="316">
        <f>'ВМ ЗСВ'!AA6</f>
        <v>3</v>
      </c>
      <c r="CP6" s="316">
        <f>'ВМ СПО'!G6</f>
        <v>0.5</v>
      </c>
      <c r="CQ6" s="316">
        <f>'ВМ СПО'!K6</f>
        <v>0.5</v>
      </c>
      <c r="CR6" s="316">
        <f>'ВМ СПО'!O6</f>
        <v>0.5</v>
      </c>
      <c r="CS6" s="316">
        <f>'ВМ СПО'!S6</f>
        <v>0.5</v>
      </c>
      <c r="CT6" s="316">
        <f>'ВМ АСО'!G6</f>
        <v>0</v>
      </c>
      <c r="CU6" s="316">
        <f>'ВМ АСО'!K6</f>
        <v>0</v>
      </c>
      <c r="CV6" s="16" t="e">
        <f t="shared" si="0"/>
        <v>#REF!</v>
      </c>
      <c r="CW6" s="25">
        <f t="shared" si="1"/>
        <v>0.75</v>
      </c>
      <c r="CX6" s="25">
        <f t="shared" si="2"/>
        <v>1</v>
      </c>
      <c r="CY6" s="25">
        <f t="shared" si="3"/>
        <v>0</v>
      </c>
      <c r="CZ6" s="25">
        <f t="shared" si="4"/>
        <v>0</v>
      </c>
      <c r="DA6" s="25">
        <f t="shared" si="5"/>
        <v>0</v>
      </c>
      <c r="DB6" s="25">
        <f t="shared" si="6"/>
        <v>0</v>
      </c>
      <c r="DC6" s="25">
        <f t="shared" si="7"/>
        <v>0</v>
      </c>
      <c r="DD6" s="25">
        <f t="shared" si="8"/>
        <v>0</v>
      </c>
      <c r="DE6" s="25">
        <f t="shared" si="9"/>
        <v>0</v>
      </c>
      <c r="DF6" s="25">
        <f t="shared" si="10"/>
        <v>0</v>
      </c>
      <c r="DG6" s="25">
        <f t="shared" si="11"/>
        <v>0</v>
      </c>
      <c r="DH6" s="25">
        <f t="shared" si="12"/>
        <v>0</v>
      </c>
      <c r="DI6" s="25">
        <f t="shared" si="13"/>
        <v>0</v>
      </c>
      <c r="DJ6" s="25" t="e">
        <f t="shared" si="14"/>
        <v>#REF!</v>
      </c>
      <c r="DK6" s="25">
        <f t="shared" si="15"/>
        <v>0</v>
      </c>
      <c r="DL6" s="25">
        <f t="shared" si="16"/>
        <v>0</v>
      </c>
      <c r="DM6" s="25">
        <f t="shared" si="17"/>
        <v>0</v>
      </c>
      <c r="DN6" s="25">
        <f t="shared" si="18"/>
        <v>0</v>
      </c>
      <c r="DO6" s="25">
        <f t="shared" si="19"/>
        <v>0</v>
      </c>
      <c r="DP6" s="25">
        <f t="shared" si="20"/>
        <v>0</v>
      </c>
      <c r="DQ6" s="25">
        <f t="shared" si="21"/>
        <v>0</v>
      </c>
      <c r="DR6" s="25">
        <f t="shared" si="22"/>
        <v>0</v>
      </c>
      <c r="DS6" s="25">
        <f t="shared" si="23"/>
        <v>0</v>
      </c>
      <c r="DT6" s="25">
        <f t="shared" si="24"/>
        <v>0</v>
      </c>
      <c r="DU6" s="25">
        <f t="shared" si="25"/>
        <v>0</v>
      </c>
      <c r="DV6" s="21">
        <f t="shared" si="26"/>
        <v>0</v>
      </c>
      <c r="DW6" s="317">
        <f t="shared" si="27"/>
        <v>0</v>
      </c>
      <c r="DX6" s="317">
        <f t="shared" si="28"/>
        <v>0</v>
      </c>
      <c r="DY6" s="317">
        <f t="shared" si="29"/>
        <v>0</v>
      </c>
      <c r="DZ6" s="230">
        <f t="shared" si="30"/>
        <v>0</v>
      </c>
    </row>
    <row r="7" spans="1:220" ht="15.75" customHeight="1" x14ac:dyDescent="0.25">
      <c r="A7" s="1913"/>
      <c r="B7" s="1909"/>
      <c r="C7" s="198" t="s">
        <v>34</v>
      </c>
      <c r="D7" s="21"/>
      <c r="E7" s="316">
        <f>'АВЗ АСУТП'!G7</f>
        <v>1.5</v>
      </c>
      <c r="F7" s="316">
        <f>'АВЗ АСУТП'!K7</f>
        <v>1.5</v>
      </c>
      <c r="G7" s="316">
        <f>'АВЗ АСУТП'!O7</f>
        <v>1.5</v>
      </c>
      <c r="H7" s="230">
        <f>'АВЗ АСУТП'!S7</f>
        <v>1.5</v>
      </c>
      <c r="I7" s="316">
        <f>'АВЗ АСУТП'!W7</f>
        <v>1.5</v>
      </c>
      <c r="J7" s="230">
        <f>'АВЗ АСУТП'!AA7</f>
        <v>1.5</v>
      </c>
      <c r="K7" s="230">
        <f>'АВЗ АСУТП'!AE7</f>
        <v>1.5</v>
      </c>
      <c r="L7" s="230">
        <f>'АВЗ АСУТП'!AI7</f>
        <v>1.5</v>
      </c>
      <c r="M7" s="230">
        <f>'SIEM АСУТП'!G7</f>
        <v>2</v>
      </c>
      <c r="N7" s="230">
        <f>'SIEM АСУТП'!K7</f>
        <v>2</v>
      </c>
      <c r="O7" s="230">
        <f>'МСЭ АСУТП'!G7</f>
        <v>6</v>
      </c>
      <c r="P7" s="317">
        <f>'МСЭ АСУТП'!K7</f>
        <v>6</v>
      </c>
      <c r="Q7" s="230">
        <f>'МСЭ АСУТП'!O7</f>
        <v>6</v>
      </c>
      <c r="R7" s="230">
        <f>'МСЭ АСУТП'!S7</f>
        <v>6</v>
      </c>
      <c r="S7" s="230">
        <f>'PAM АСУТП'!G7</f>
        <v>5.5</v>
      </c>
      <c r="T7" s="230">
        <f>'PAM АСУТП'!K7</f>
        <v>5.5</v>
      </c>
      <c r="U7" s="230">
        <f>'PAM АСУТП'!O7</f>
        <v>5.5</v>
      </c>
      <c r="V7" s="230">
        <f>'СКЗИ АСУТП'!G7</f>
        <v>11</v>
      </c>
      <c r="W7" s="230">
        <f>'СКЗИ АСУТП'!K7</f>
        <v>11</v>
      </c>
      <c r="X7" s="230">
        <f>'СКЗИ АСУТП'!O7</f>
        <v>11</v>
      </c>
      <c r="Y7" s="230">
        <f>'СКЗИ АСУТП'!S7</f>
        <v>11</v>
      </c>
      <c r="Z7" s="230">
        <f>'СКЗИ АСУТП'!W7</f>
        <v>11</v>
      </c>
      <c r="AA7" s="230">
        <f>'АЗ АСУТП'!G7</f>
        <v>2.5</v>
      </c>
      <c r="AB7" s="230">
        <f>'АЗ АСУТП'!K7</f>
        <v>2.5</v>
      </c>
      <c r="AC7" s="230">
        <f>'АЗ АСУТП'!O7</f>
        <v>2.5</v>
      </c>
      <c r="AD7" s="230">
        <f>'АЗ АСУТП'!S7</f>
        <v>2.5</v>
      </c>
      <c r="AE7" s="230">
        <f>'АЗ АСУТП'!W7</f>
        <v>2.5</v>
      </c>
      <c r="AF7" s="230">
        <f>'РК АСУТП'!G7</f>
        <v>3</v>
      </c>
      <c r="AG7" s="230">
        <f>'РК АСУТП'!K7</f>
        <v>3</v>
      </c>
      <c r="AH7" s="230">
        <f>'IDS АСУТП'!G7</f>
        <v>2</v>
      </c>
      <c r="AI7" s="230">
        <f>'IDS АСУТП'!K7</f>
        <v>2</v>
      </c>
      <c r="AJ7" s="230">
        <f>'IDS АСУТП'!O7</f>
        <v>2</v>
      </c>
      <c r="AK7" s="230">
        <f>'АПМДЗ АСУТП'!G7</f>
        <v>1.8000000000000003</v>
      </c>
      <c r="AL7" s="230">
        <f>'АПМДЗ АСУТП'!K7</f>
        <v>1.8000000000000003</v>
      </c>
      <c r="AM7" s="230">
        <f>'НСД АСУТП'!G7</f>
        <v>1.8000000000000003</v>
      </c>
      <c r="AN7" s="230">
        <f>'НСД АСУТП'!K7</f>
        <v>1.8000000000000003</v>
      </c>
      <c r="AO7" s="230">
        <f>'НСД АСУТП'!O7</f>
        <v>1.8000000000000003</v>
      </c>
      <c r="AP7" s="230">
        <f>'MFA АСУТП'!G7</f>
        <v>8</v>
      </c>
      <c r="AQ7" s="230">
        <f>'MFA АСУТП'!K7</f>
        <v>8</v>
      </c>
      <c r="AR7" s="230">
        <f>'MFA АСУТП'!O7</f>
        <v>8</v>
      </c>
      <c r="AS7" s="230">
        <f>'MFA АСУТП'!S7</f>
        <v>8</v>
      </c>
      <c r="AT7" s="230">
        <f>'ДИОД АСУТП'!G7</f>
        <v>0.5</v>
      </c>
      <c r="AU7" s="230">
        <f>'ДИОД АСУТП'!K7</f>
        <v>0.5</v>
      </c>
      <c r="AV7" s="230">
        <f>'ДИОД АСУТП'!O7</f>
        <v>0.5</v>
      </c>
      <c r="AW7" s="230">
        <f>'ДИОД АСУТП'!S7</f>
        <v>0.5</v>
      </c>
      <c r="AX7" s="230">
        <f>'СЗВ АСУТП'!G7</f>
        <v>6</v>
      </c>
      <c r="AY7" s="230">
        <f>'СЗВ АСУТП'!K7</f>
        <v>6</v>
      </c>
      <c r="AZ7" s="230">
        <f>'СЗВ АСУТП'!O7</f>
        <v>6</v>
      </c>
      <c r="BA7" s="230">
        <f>'SOAR АСУТП'!G7</f>
        <v>2</v>
      </c>
      <c r="BB7" s="230">
        <f>'SOAR АСУТП'!K7</f>
        <v>2</v>
      </c>
      <c r="BC7" s="230">
        <f>'SOAR АСУТП'!O7</f>
        <v>2</v>
      </c>
      <c r="BD7" s="230" t="e">
        <f>'SOAR АСУТП'!#REF!</f>
        <v>#REF!</v>
      </c>
      <c r="BE7" s="230">
        <f>'VDI АСУТП'!G7</f>
        <v>8.5</v>
      </c>
      <c r="BF7" s="230">
        <f>'VDI АСУТП'!K7</f>
        <v>8.5</v>
      </c>
      <c r="BG7" s="230">
        <f>'VDI АСУТП'!O7</f>
        <v>8.5</v>
      </c>
      <c r="BH7" s="230">
        <f>'VDI АСУТП'!S7</f>
        <v>8.5</v>
      </c>
      <c r="BI7" s="230">
        <f>'VDI АСУТП'!W7</f>
        <v>8.5</v>
      </c>
      <c r="BJ7" s="316">
        <f>'СУБД АСУТП'!G7</f>
        <v>1</v>
      </c>
      <c r="BK7" s="316">
        <f>'СУБД АСУТП'!K7</f>
        <v>1</v>
      </c>
      <c r="BL7" s="316">
        <f>'ГОССОПКА АСУТП'!G7</f>
        <v>12.5</v>
      </c>
      <c r="BM7" s="316">
        <f>'ГОССОПКА АСУТП'!K7</f>
        <v>12.5</v>
      </c>
      <c r="BN7" s="316">
        <f>'TLS АСУТП'!G7</f>
        <v>12.5</v>
      </c>
      <c r="BO7" s="316">
        <f>'TLS АСУТП'!K7</f>
        <v>12.5</v>
      </c>
      <c r="BP7" s="316">
        <f>'DCAP АСУТП'!G7</f>
        <v>8.5</v>
      </c>
      <c r="BQ7" s="316">
        <f>'DCAP АСУТП'!K7</f>
        <v>8.5</v>
      </c>
      <c r="BR7" s="316">
        <f>'DCAP АСУТП'!O7</f>
        <v>8.5</v>
      </c>
      <c r="BS7" s="316">
        <f>'DO АСУТП'!G7</f>
        <v>2.25</v>
      </c>
      <c r="BT7" s="316">
        <f>'NTA АСУТП'!G7</f>
        <v>4.5</v>
      </c>
      <c r="BU7" s="316">
        <f>'NTA АСУТП'!K7</f>
        <v>4.5</v>
      </c>
      <c r="BV7" s="316">
        <f>'NTA АСУТП'!O7</f>
        <v>4.5</v>
      </c>
      <c r="BW7" s="316">
        <f>'NTA АСУТП'!S7</f>
        <v>12.5</v>
      </c>
      <c r="BX7" s="316">
        <f>'SEG АСУТП'!G7</f>
        <v>8.5</v>
      </c>
      <c r="BY7" s="316">
        <f>'APT АСУТП'!G7</f>
        <v>2</v>
      </c>
      <c r="BZ7" s="316">
        <f>'APT АСУТП'!K7</f>
        <v>2</v>
      </c>
      <c r="CA7" s="316">
        <f>'APT АСУТП'!O7</f>
        <v>2</v>
      </c>
      <c r="CB7" s="316">
        <f>'NAC АСУТП'!G7</f>
        <v>4</v>
      </c>
      <c r="CC7" s="316">
        <f>'SANDBOX АСУТП'!G7</f>
        <v>8.5</v>
      </c>
      <c r="CD7" s="316">
        <f>'SANDBOX АСУТП'!K7</f>
        <v>8.5</v>
      </c>
      <c r="CE7" s="316">
        <f>'EDR АСУТП'!G7</f>
        <v>1.5</v>
      </c>
      <c r="CF7" s="316">
        <f>'EDR АСУТП'!K7</f>
        <v>1.5</v>
      </c>
      <c r="CG7" s="316">
        <f>'WAF АСУТП'!G7</f>
        <v>4</v>
      </c>
      <c r="CH7" s="316">
        <f>'WAF АСУТП'!K7</f>
        <v>4</v>
      </c>
      <c r="CI7" s="316">
        <f>'WAF АСУТП'!O7</f>
        <v>4</v>
      </c>
      <c r="CJ7" s="316">
        <f>'ВМ ЗСВ'!G7</f>
        <v>6</v>
      </c>
      <c r="CK7" s="316">
        <f>'ВМ ЗСВ'!K7</f>
        <v>6</v>
      </c>
      <c r="CL7" s="316">
        <f>'ВМ ЗСВ'!O7</f>
        <v>6</v>
      </c>
      <c r="CM7" s="316">
        <f>'ВМ ЗСВ'!S7</f>
        <v>6</v>
      </c>
      <c r="CN7" s="316">
        <f>'ВМ ЗСВ'!W7</f>
        <v>6</v>
      </c>
      <c r="CO7" s="316">
        <f>'ВМ ЗСВ'!AA7</f>
        <v>6</v>
      </c>
      <c r="CP7" s="316">
        <f>'ВМ СПО'!G7</f>
        <v>1</v>
      </c>
      <c r="CQ7" s="316">
        <f>'ВМ СПО'!K7</f>
        <v>1</v>
      </c>
      <c r="CR7" s="316">
        <f>'ВМ СПО'!O7</f>
        <v>1</v>
      </c>
      <c r="CS7" s="316">
        <f>'ВМ СПО'!S7</f>
        <v>1</v>
      </c>
      <c r="CT7" s="316">
        <f>'ВМ АСО'!G7</f>
        <v>0</v>
      </c>
      <c r="CU7" s="316">
        <f>'ВМ АСО'!K7</f>
        <v>0</v>
      </c>
      <c r="CV7" s="16" t="e">
        <f t="shared" si="0"/>
        <v>#REF!</v>
      </c>
      <c r="CW7" s="25">
        <f t="shared" si="1"/>
        <v>1.5</v>
      </c>
      <c r="CX7" s="25">
        <f t="shared" si="2"/>
        <v>2</v>
      </c>
      <c r="CY7" s="25">
        <f t="shared" si="3"/>
        <v>0</v>
      </c>
      <c r="CZ7" s="25">
        <f t="shared" si="4"/>
        <v>0</v>
      </c>
      <c r="DA7" s="25">
        <f t="shared" si="5"/>
        <v>0</v>
      </c>
      <c r="DB7" s="25">
        <f t="shared" si="6"/>
        <v>0</v>
      </c>
      <c r="DC7" s="25">
        <f t="shared" si="7"/>
        <v>0</v>
      </c>
      <c r="DD7" s="25">
        <f t="shared" si="8"/>
        <v>0</v>
      </c>
      <c r="DE7" s="25">
        <f t="shared" si="9"/>
        <v>0</v>
      </c>
      <c r="DF7" s="25">
        <f t="shared" si="10"/>
        <v>0</v>
      </c>
      <c r="DG7" s="25">
        <f t="shared" si="11"/>
        <v>0</v>
      </c>
      <c r="DH7" s="25">
        <f t="shared" si="12"/>
        <v>0</v>
      </c>
      <c r="DI7" s="25">
        <f t="shared" si="13"/>
        <v>0</v>
      </c>
      <c r="DJ7" s="25" t="e">
        <f t="shared" si="14"/>
        <v>#REF!</v>
      </c>
      <c r="DK7" s="25">
        <f t="shared" si="15"/>
        <v>0</v>
      </c>
      <c r="DL7" s="25">
        <f t="shared" si="16"/>
        <v>0</v>
      </c>
      <c r="DM7" s="25">
        <f t="shared" si="17"/>
        <v>0</v>
      </c>
      <c r="DN7" s="25">
        <f t="shared" si="18"/>
        <v>0</v>
      </c>
      <c r="DO7" s="25">
        <f t="shared" si="19"/>
        <v>0</v>
      </c>
      <c r="DP7" s="25">
        <f t="shared" si="20"/>
        <v>0</v>
      </c>
      <c r="DQ7" s="25">
        <f t="shared" si="21"/>
        <v>0</v>
      </c>
      <c r="DR7" s="25">
        <f t="shared" si="22"/>
        <v>0</v>
      </c>
      <c r="DS7" s="25">
        <f t="shared" si="23"/>
        <v>0</v>
      </c>
      <c r="DT7" s="25">
        <f t="shared" si="24"/>
        <v>0</v>
      </c>
      <c r="DU7" s="25">
        <f t="shared" si="25"/>
        <v>0</v>
      </c>
      <c r="DV7" s="21">
        <f t="shared" si="26"/>
        <v>0</v>
      </c>
      <c r="DW7" s="317">
        <f t="shared" si="27"/>
        <v>0</v>
      </c>
      <c r="DX7" s="317">
        <f t="shared" si="28"/>
        <v>0</v>
      </c>
      <c r="DY7" s="317">
        <f t="shared" si="29"/>
        <v>0</v>
      </c>
      <c r="DZ7" s="230">
        <f t="shared" si="30"/>
        <v>0</v>
      </c>
    </row>
    <row r="8" spans="1:220" ht="15" customHeight="1" x14ac:dyDescent="0.25">
      <c r="A8" s="1912" t="s">
        <v>449</v>
      </c>
      <c r="B8" s="1927">
        <f>IF('Тип разраб-ой док-ции'!F5=1,1,0)</f>
        <v>0</v>
      </c>
      <c r="C8" s="325" t="s">
        <v>32</v>
      </c>
      <c r="D8" s="230"/>
      <c r="E8" s="316">
        <f>'АВЗ АСУТП'!G8</f>
        <v>2.75</v>
      </c>
      <c r="F8" s="316">
        <f>'АВЗ АСУТП'!K8</f>
        <v>2.75</v>
      </c>
      <c r="G8" s="316">
        <f>'АВЗ АСУТП'!O8</f>
        <v>2.75</v>
      </c>
      <c r="H8" s="230">
        <f>'АВЗ АСУТП'!S8</f>
        <v>2.75</v>
      </c>
      <c r="I8" s="316">
        <f>'АВЗ АСУТП'!W8</f>
        <v>2.75</v>
      </c>
      <c r="J8" s="230">
        <f>'АВЗ АСУТП'!AA8</f>
        <v>2.75</v>
      </c>
      <c r="K8" s="230">
        <f>'АВЗ АСУТП'!AE8</f>
        <v>2.75</v>
      </c>
      <c r="L8" s="230">
        <f>'АВЗ АСУТП'!AI8</f>
        <v>2.75</v>
      </c>
      <c r="M8" s="230">
        <f>'SIEM АСУТП'!G8</f>
        <v>1.25</v>
      </c>
      <c r="N8" s="230">
        <f>'SIEM АСУТП'!K8</f>
        <v>1.25</v>
      </c>
      <c r="O8" s="230">
        <f>'МСЭ АСУТП'!G8</f>
        <v>4</v>
      </c>
      <c r="P8" s="317">
        <f>'МСЭ АСУТП'!K8</f>
        <v>4</v>
      </c>
      <c r="Q8" s="230">
        <f>'МСЭ АСУТП'!O8</f>
        <v>4</v>
      </c>
      <c r="R8" s="230">
        <f>'МСЭ АСУТП'!S8</f>
        <v>4</v>
      </c>
      <c r="S8" s="230">
        <f>'PAM АСУТП'!G8</f>
        <v>1.5</v>
      </c>
      <c r="T8" s="230">
        <f>'PAM АСУТП'!K8</f>
        <v>1.5</v>
      </c>
      <c r="U8" s="230">
        <f>'PAM АСУТП'!O8</f>
        <v>1.5</v>
      </c>
      <c r="V8" s="230">
        <f>'СКЗИ АСУТП'!G8</f>
        <v>5</v>
      </c>
      <c r="W8" s="230">
        <f>'СКЗИ АСУТП'!K8</f>
        <v>5</v>
      </c>
      <c r="X8" s="230">
        <f>'СКЗИ АСУТП'!O8</f>
        <v>5</v>
      </c>
      <c r="Y8" s="230">
        <f>'СКЗИ АСУТП'!S8</f>
        <v>5</v>
      </c>
      <c r="Z8" s="230">
        <f>'СКЗИ АСУТП'!W8</f>
        <v>5</v>
      </c>
      <c r="AA8" s="230">
        <f>'АЗ АСУТП'!G8</f>
        <v>1</v>
      </c>
      <c r="AB8" s="230">
        <f>'АЗ АСУТП'!K8</f>
        <v>1</v>
      </c>
      <c r="AC8" s="230">
        <f>'АЗ АСУТП'!O8</f>
        <v>1</v>
      </c>
      <c r="AD8" s="230">
        <f>'АЗ АСУТП'!S8</f>
        <v>1</v>
      </c>
      <c r="AE8" s="230">
        <f>'АЗ АСУТП'!W8</f>
        <v>1</v>
      </c>
      <c r="AF8" s="230">
        <f>'РК АСУТП'!G8</f>
        <v>1.9</v>
      </c>
      <c r="AG8" s="230">
        <f>'РК АСУТП'!K8</f>
        <v>1.9</v>
      </c>
      <c r="AH8" s="230">
        <f>'IDS АСУТП'!G8</f>
        <v>1</v>
      </c>
      <c r="AI8" s="230">
        <f>'IDS АСУТП'!K8</f>
        <v>1</v>
      </c>
      <c r="AJ8" s="230">
        <f>'IDS АСУТП'!O8</f>
        <v>1</v>
      </c>
      <c r="AK8" s="230">
        <f>'АПМДЗ АСУТП'!G8</f>
        <v>0.96000000000000019</v>
      </c>
      <c r="AL8" s="230">
        <f>'АПМДЗ АСУТП'!K8</f>
        <v>0.96000000000000019</v>
      </c>
      <c r="AM8" s="230">
        <f>'НСД АСУТП'!G8</f>
        <v>0.96000000000000019</v>
      </c>
      <c r="AN8" s="230">
        <f>'НСД АСУТП'!K8</f>
        <v>0.96000000000000019</v>
      </c>
      <c r="AO8" s="230">
        <f>'НСД АСУТП'!O8</f>
        <v>0.96000000000000019</v>
      </c>
      <c r="AP8" s="230">
        <f>'MFA АСУТП'!G8</f>
        <v>2</v>
      </c>
      <c r="AQ8" s="230">
        <f>'MFA АСУТП'!K8</f>
        <v>2</v>
      </c>
      <c r="AR8" s="230">
        <f>'MFA АСУТП'!O8</f>
        <v>2</v>
      </c>
      <c r="AS8" s="230">
        <f>'MFA АСУТП'!S8</f>
        <v>2</v>
      </c>
      <c r="AT8" s="230">
        <f>'ДИОД АСУТП'!G8</f>
        <v>0.5</v>
      </c>
      <c r="AU8" s="230">
        <f>'ДИОД АСУТП'!K8</f>
        <v>0.5</v>
      </c>
      <c r="AV8" s="230">
        <f>'ДИОД АСУТП'!O8</f>
        <v>0.5</v>
      </c>
      <c r="AW8" s="230">
        <f>'ДИОД АСУТП'!S8</f>
        <v>0.5</v>
      </c>
      <c r="AX8" s="230">
        <f>'СЗВ АСУТП'!G8</f>
        <v>1.5</v>
      </c>
      <c r="AY8" s="230">
        <f>'СЗВ АСУТП'!K8</f>
        <v>1.5</v>
      </c>
      <c r="AZ8" s="230">
        <f>'СЗВ АСУТП'!O8</f>
        <v>1.5</v>
      </c>
      <c r="BA8" s="230">
        <f>'SOAR АСУТП'!G8</f>
        <v>1</v>
      </c>
      <c r="BB8" s="230">
        <f>'SOAR АСУТП'!K8</f>
        <v>1</v>
      </c>
      <c r="BC8" s="230">
        <f>'SOAR АСУТП'!O8</f>
        <v>1</v>
      </c>
      <c r="BD8" s="230" t="e">
        <f>'SOAR АСУТП'!#REF!</f>
        <v>#REF!</v>
      </c>
      <c r="BE8" s="230">
        <f>'VDI АСУТП'!G8</f>
        <v>2.5</v>
      </c>
      <c r="BF8" s="230">
        <f>'VDI АСУТП'!K8</f>
        <v>2.5</v>
      </c>
      <c r="BG8" s="230">
        <f>'VDI АСУТП'!O8</f>
        <v>2.5</v>
      </c>
      <c r="BH8" s="230">
        <f>'VDI АСУТП'!S8</f>
        <v>2.5</v>
      </c>
      <c r="BI8" s="230">
        <f>'VDI АСУТП'!W8</f>
        <v>2.5</v>
      </c>
      <c r="BJ8" s="316">
        <f>'СУБД АСУТП'!G8</f>
        <v>1</v>
      </c>
      <c r="BK8" s="316">
        <f>'СУБД АСУТП'!K8</f>
        <v>1</v>
      </c>
      <c r="BL8" s="316">
        <f>'ГОССОПКА АСУТП'!G8</f>
        <v>4.5</v>
      </c>
      <c r="BM8" s="316">
        <f>'ГОССОПКА АСУТП'!K8</f>
        <v>4.5</v>
      </c>
      <c r="BN8" s="316">
        <f>'TLS АСУТП'!G8</f>
        <v>8.5</v>
      </c>
      <c r="BO8" s="316">
        <f>'TLS АСУТП'!K8</f>
        <v>8.5</v>
      </c>
      <c r="BP8" s="316">
        <f>'DCAP АСУТП'!G8</f>
        <v>2.5</v>
      </c>
      <c r="BQ8" s="316">
        <f>'DCAP АСУТП'!K8</f>
        <v>2.5</v>
      </c>
      <c r="BR8" s="316">
        <f>'DCAP АСУТП'!O8</f>
        <v>2.5</v>
      </c>
      <c r="BS8" s="316">
        <f>'DO АСУТП'!G8</f>
        <v>2.5</v>
      </c>
      <c r="BT8" s="316">
        <f>'NTA АСУТП'!G8</f>
        <v>1.5</v>
      </c>
      <c r="BU8" s="316">
        <f>'NTA АСУТП'!K8</f>
        <v>1.5</v>
      </c>
      <c r="BV8" s="316">
        <f>'NTA АСУТП'!O8</f>
        <v>1.5</v>
      </c>
      <c r="BW8" s="316">
        <f>'NTA АСУТП'!S8</f>
        <v>8.5</v>
      </c>
      <c r="BX8" s="316">
        <f>'SEG АСУТП'!G8</f>
        <v>2.5</v>
      </c>
      <c r="BY8" s="316">
        <f>'APT АСУТП'!G8</f>
        <v>1</v>
      </c>
      <c r="BZ8" s="316">
        <f>'APT АСУТП'!K8</f>
        <v>1</v>
      </c>
      <c r="CA8" s="316">
        <f>'APT АСУТП'!O8</f>
        <v>1</v>
      </c>
      <c r="CB8" s="316">
        <f>'NAC АСУТП'!G8</f>
        <v>1</v>
      </c>
      <c r="CC8" s="316">
        <f>'SANDBOX АСУТП'!G8</f>
        <v>2.5</v>
      </c>
      <c r="CD8" s="316">
        <f>'SANDBOX АСУТП'!K8</f>
        <v>2.5</v>
      </c>
      <c r="CE8" s="316">
        <f>'EDR АСУТП'!G8</f>
        <v>1</v>
      </c>
      <c r="CF8" s="316">
        <f>'EDR АСУТП'!K8</f>
        <v>1</v>
      </c>
      <c r="CG8" s="316">
        <f>'WAF АСУТП'!G8</f>
        <v>1</v>
      </c>
      <c r="CH8" s="316">
        <f>'WAF АСУТП'!K8</f>
        <v>1</v>
      </c>
      <c r="CI8" s="316">
        <f>'WAF АСУТП'!O8</f>
        <v>1</v>
      </c>
      <c r="CJ8" s="316">
        <f>'ВМ ЗСВ'!G8</f>
        <v>1.5</v>
      </c>
      <c r="CK8" s="316">
        <f>'ВМ ЗСВ'!K8</f>
        <v>1.5</v>
      </c>
      <c r="CL8" s="316">
        <f>'ВМ ЗСВ'!O8</f>
        <v>1.5</v>
      </c>
      <c r="CM8" s="316">
        <f>'ВМ ЗСВ'!S8</f>
        <v>1.5</v>
      </c>
      <c r="CN8" s="316">
        <f>'ВМ ЗСВ'!W8</f>
        <v>1.5</v>
      </c>
      <c r="CO8" s="316">
        <f>'ВМ ЗСВ'!AA8</f>
        <v>1.5</v>
      </c>
      <c r="CP8" s="316">
        <f>'ВМ СПО'!G8</f>
        <v>1</v>
      </c>
      <c r="CQ8" s="316">
        <f>'ВМ СПО'!K8</f>
        <v>1</v>
      </c>
      <c r="CR8" s="316">
        <f>'ВМ СПО'!O8</f>
        <v>1</v>
      </c>
      <c r="CS8" s="316">
        <f>'ВМ СПО'!S8</f>
        <v>1</v>
      </c>
      <c r="CT8" s="316">
        <f>'ВМ АСО'!G8</f>
        <v>0</v>
      </c>
      <c r="CU8" s="316">
        <f>'ВМ АСО'!K8</f>
        <v>0</v>
      </c>
      <c r="CV8" s="16" t="e">
        <f t="shared" si="0"/>
        <v>#REF!</v>
      </c>
      <c r="CW8" s="25">
        <f t="shared" si="1"/>
        <v>2.75</v>
      </c>
      <c r="CX8" s="25">
        <f t="shared" si="2"/>
        <v>1.25</v>
      </c>
      <c r="CY8" s="25">
        <f t="shared" si="3"/>
        <v>0</v>
      </c>
      <c r="CZ8" s="25">
        <f t="shared" si="4"/>
        <v>0</v>
      </c>
      <c r="DA8" s="25">
        <f t="shared" si="5"/>
        <v>0</v>
      </c>
      <c r="DB8" s="25">
        <f t="shared" si="6"/>
        <v>0</v>
      </c>
      <c r="DC8" s="25">
        <f t="shared" si="7"/>
        <v>0</v>
      </c>
      <c r="DD8" s="25">
        <f t="shared" si="8"/>
        <v>0</v>
      </c>
      <c r="DE8" s="25">
        <f t="shared" si="9"/>
        <v>0</v>
      </c>
      <c r="DF8" s="25">
        <f t="shared" si="10"/>
        <v>0</v>
      </c>
      <c r="DG8" s="25">
        <f t="shared" si="11"/>
        <v>0</v>
      </c>
      <c r="DH8" s="25">
        <f t="shared" si="12"/>
        <v>0</v>
      </c>
      <c r="DI8" s="25">
        <f t="shared" si="13"/>
        <v>0</v>
      </c>
      <c r="DJ8" s="25" t="e">
        <f t="shared" si="14"/>
        <v>#REF!</v>
      </c>
      <c r="DK8" s="25">
        <f t="shared" si="15"/>
        <v>0</v>
      </c>
      <c r="DL8" s="25">
        <f t="shared" si="16"/>
        <v>0</v>
      </c>
      <c r="DM8" s="25">
        <f t="shared" si="17"/>
        <v>0</v>
      </c>
      <c r="DN8" s="25">
        <f t="shared" si="18"/>
        <v>0</v>
      </c>
      <c r="DO8" s="25">
        <f t="shared" si="19"/>
        <v>0</v>
      </c>
      <c r="DP8" s="25">
        <f t="shared" si="20"/>
        <v>0</v>
      </c>
      <c r="DQ8" s="25">
        <f t="shared" si="21"/>
        <v>0</v>
      </c>
      <c r="DR8" s="25">
        <f t="shared" si="22"/>
        <v>0</v>
      </c>
      <c r="DS8" s="25">
        <f t="shared" si="23"/>
        <v>0</v>
      </c>
      <c r="DT8" s="25">
        <f t="shared" si="24"/>
        <v>0</v>
      </c>
      <c r="DU8" s="25">
        <f t="shared" si="25"/>
        <v>0</v>
      </c>
      <c r="DV8" s="21">
        <f t="shared" si="26"/>
        <v>0</v>
      </c>
      <c r="DW8" s="317">
        <f t="shared" si="27"/>
        <v>0</v>
      </c>
      <c r="DX8" s="317">
        <f t="shared" si="28"/>
        <v>0</v>
      </c>
      <c r="DY8" s="317">
        <f t="shared" si="29"/>
        <v>0</v>
      </c>
      <c r="DZ8" s="230">
        <f t="shared" si="30"/>
        <v>0</v>
      </c>
    </row>
    <row r="9" spans="1:220" ht="15" customHeight="1" x14ac:dyDescent="0.25">
      <c r="A9" s="1912"/>
      <c r="B9" s="1909"/>
      <c r="C9" s="18" t="s">
        <v>33</v>
      </c>
      <c r="D9" s="21"/>
      <c r="E9" s="316">
        <f>'АВЗ АСУТП'!G9</f>
        <v>0.75</v>
      </c>
      <c r="F9" s="316">
        <f>'АВЗ АСУТП'!K9</f>
        <v>0.75</v>
      </c>
      <c r="G9" s="316">
        <f>'АВЗ АСУТП'!O9</f>
        <v>0.75</v>
      </c>
      <c r="H9" s="230">
        <f>'АВЗ АСУТП'!S9</f>
        <v>0.75</v>
      </c>
      <c r="I9" s="316">
        <f>'АВЗ АСУТП'!W9</f>
        <v>0.75</v>
      </c>
      <c r="J9" s="230">
        <f>'АВЗ АСУТП'!AA9</f>
        <v>0.75</v>
      </c>
      <c r="K9" s="230">
        <f>'АВЗ АСУТП'!AE9</f>
        <v>0.75</v>
      </c>
      <c r="L9" s="230">
        <f>'АВЗ АСУТП'!AI9</f>
        <v>0.75</v>
      </c>
      <c r="M9" s="230">
        <f>'SIEM АСУТП'!G9</f>
        <v>1</v>
      </c>
      <c r="N9" s="230">
        <f>'SIEM АСУТП'!K9</f>
        <v>1</v>
      </c>
      <c r="O9" s="230">
        <f>'МСЭ АСУТП'!G9</f>
        <v>5</v>
      </c>
      <c r="P9" s="317">
        <f>'МСЭ АСУТП'!K9</f>
        <v>5</v>
      </c>
      <c r="Q9" s="230">
        <f>'МСЭ АСУТП'!O9</f>
        <v>5</v>
      </c>
      <c r="R9" s="230">
        <f>'МСЭ АСУТП'!S9</f>
        <v>5</v>
      </c>
      <c r="S9" s="230">
        <f>'PAM АСУТП'!G9</f>
        <v>3</v>
      </c>
      <c r="T9" s="230">
        <f>'PAM АСУТП'!K9</f>
        <v>3</v>
      </c>
      <c r="U9" s="230">
        <f>'PAM АСУТП'!O9</f>
        <v>3</v>
      </c>
      <c r="V9" s="230">
        <f>'СКЗИ АСУТП'!G9</f>
        <v>8</v>
      </c>
      <c r="W9" s="230">
        <f>'СКЗИ АСУТП'!K9</f>
        <v>8</v>
      </c>
      <c r="X9" s="230">
        <f>'СКЗИ АСУТП'!O9</f>
        <v>8</v>
      </c>
      <c r="Y9" s="230">
        <f>'СКЗИ АСУТП'!S9</f>
        <v>8</v>
      </c>
      <c r="Z9" s="230">
        <f>'СКЗИ АСУТП'!W9</f>
        <v>8</v>
      </c>
      <c r="AA9" s="230">
        <f>'АЗ АСУТП'!G9</f>
        <v>1.5</v>
      </c>
      <c r="AB9" s="230">
        <f>'АЗ АСУТП'!K9</f>
        <v>1.5</v>
      </c>
      <c r="AC9" s="230">
        <f>'АЗ АСУТП'!O9</f>
        <v>1.5</v>
      </c>
      <c r="AD9" s="230">
        <f>'АЗ АСУТП'!S9</f>
        <v>1.5</v>
      </c>
      <c r="AE9" s="230">
        <f>'АЗ АСУТП'!W9</f>
        <v>1.5</v>
      </c>
      <c r="AF9" s="230">
        <f>'РК АСУТП'!G9</f>
        <v>2.5</v>
      </c>
      <c r="AG9" s="230">
        <f>'РК АСУТП'!K9</f>
        <v>2.5</v>
      </c>
      <c r="AH9" s="230">
        <f>'IDS АСУТП'!G9</f>
        <v>1.5</v>
      </c>
      <c r="AI9" s="230">
        <f>'IDS АСУТП'!K9</f>
        <v>1.5</v>
      </c>
      <c r="AJ9" s="230">
        <f>'IDS АСУТП'!O9</f>
        <v>1.5</v>
      </c>
      <c r="AK9" s="230">
        <f>'АПМДЗ АСУТП'!G9</f>
        <v>1.2000000000000002</v>
      </c>
      <c r="AL9" s="230">
        <f>'АПМДЗ АСУТП'!K9</f>
        <v>1.2000000000000002</v>
      </c>
      <c r="AM9" s="230">
        <f>'НСД АСУТП'!G9</f>
        <v>1.2000000000000002</v>
      </c>
      <c r="AN9" s="230">
        <f>'НСД АСУТП'!K9</f>
        <v>1.2000000000000002</v>
      </c>
      <c r="AO9" s="230">
        <f>'НСД АСУТП'!O9</f>
        <v>1.2000000000000002</v>
      </c>
      <c r="AP9" s="230">
        <f>'MFA АСУТП'!G9</f>
        <v>4</v>
      </c>
      <c r="AQ9" s="230">
        <f>'MFA АСУТП'!K9</f>
        <v>4</v>
      </c>
      <c r="AR9" s="230">
        <f>'MFA АСУТП'!O9</f>
        <v>4</v>
      </c>
      <c r="AS9" s="230">
        <f>'MFA АСУТП'!S9</f>
        <v>4</v>
      </c>
      <c r="AT9" s="230">
        <f>'ДИОД АСУТП'!G9</f>
        <v>0.5</v>
      </c>
      <c r="AU9" s="230">
        <f>'ДИОД АСУТП'!K9</f>
        <v>0.5</v>
      </c>
      <c r="AV9" s="230">
        <f>'ДИОД АСУТП'!O9</f>
        <v>0.5</v>
      </c>
      <c r="AW9" s="230">
        <f>'ДИОД АСУТП'!S9</f>
        <v>0.5</v>
      </c>
      <c r="AX9" s="230">
        <f>'СЗВ АСУТП'!G9</f>
        <v>3</v>
      </c>
      <c r="AY9" s="230">
        <f>'СЗВ АСУТП'!K9</f>
        <v>3</v>
      </c>
      <c r="AZ9" s="230">
        <f>'СЗВ АСУТП'!O9</f>
        <v>3</v>
      </c>
      <c r="BA9" s="230">
        <f>'SOAR АСУТП'!G9</f>
        <v>1</v>
      </c>
      <c r="BB9" s="230">
        <f>'SOAR АСУТП'!K9</f>
        <v>1</v>
      </c>
      <c r="BC9" s="230">
        <f>'SOAR АСУТП'!O9</f>
        <v>1</v>
      </c>
      <c r="BD9" s="230" t="e">
        <f>'SOAR АСУТП'!#REF!</f>
        <v>#REF!</v>
      </c>
      <c r="BE9" s="230">
        <f>'VDI АСУТП'!G9</f>
        <v>4.5</v>
      </c>
      <c r="BF9" s="230">
        <f>'VDI АСУТП'!K9</f>
        <v>4.5</v>
      </c>
      <c r="BG9" s="230">
        <f>'VDI АСУТП'!O9</f>
        <v>4.5</v>
      </c>
      <c r="BH9" s="230">
        <f>'VDI АСУТП'!S9</f>
        <v>4.5</v>
      </c>
      <c r="BI9" s="230">
        <f>'VDI АСУТП'!W9</f>
        <v>4.5</v>
      </c>
      <c r="BJ9" s="316">
        <f>'СУБД АСУТП'!G9</f>
        <v>0.5</v>
      </c>
      <c r="BK9" s="316">
        <f>'СУБД АСУТП'!K9</f>
        <v>0.5</v>
      </c>
      <c r="BL9" s="316">
        <f>'ГОССОПКА АСУТП'!G9</f>
        <v>8.5</v>
      </c>
      <c r="BM9" s="316">
        <f>'ГОССОПКА АСУТП'!K9</f>
        <v>8.5</v>
      </c>
      <c r="BN9" s="316">
        <f>'TLS АСУТП'!G9</f>
        <v>10.5</v>
      </c>
      <c r="BO9" s="316">
        <f>'TLS АСУТП'!K9</f>
        <v>10.5</v>
      </c>
      <c r="BP9" s="316">
        <f>'DCAP АСУТП'!G9</f>
        <v>4.5</v>
      </c>
      <c r="BQ9" s="316">
        <f>'DCAP АСУТП'!K9</f>
        <v>4.5</v>
      </c>
      <c r="BR9" s="316">
        <f>'DCAP АСУТП'!O9</f>
        <v>4.5</v>
      </c>
      <c r="BS9" s="316">
        <f>'DO АСУТП'!G9</f>
        <v>1.25</v>
      </c>
      <c r="BT9" s="316">
        <f>'NTA АСУТП'!G9</f>
        <v>2.5</v>
      </c>
      <c r="BU9" s="316">
        <f>'NTA АСУТП'!K9</f>
        <v>2.5</v>
      </c>
      <c r="BV9" s="316">
        <f>'NTA АСУТП'!O9</f>
        <v>2.5</v>
      </c>
      <c r="BW9" s="316">
        <f>'NTA АСУТП'!S9</f>
        <v>10.5</v>
      </c>
      <c r="BX9" s="316">
        <f>'SEG АСУТП'!G9</f>
        <v>4.5</v>
      </c>
      <c r="BY9" s="316">
        <f>'APT АСУТП'!G9</f>
        <v>1.5</v>
      </c>
      <c r="BZ9" s="316">
        <f>'APT АСУТП'!K9</f>
        <v>1.5</v>
      </c>
      <c r="CA9" s="316">
        <f>'APT АСУТП'!O9</f>
        <v>1.5</v>
      </c>
      <c r="CB9" s="316">
        <f>'NAC АСУТП'!G9</f>
        <v>2</v>
      </c>
      <c r="CC9" s="316">
        <f>'SANDBOX АСУТП'!G9</f>
        <v>4.5</v>
      </c>
      <c r="CD9" s="316">
        <f>'SANDBOX АСУТП'!K9</f>
        <v>4.5</v>
      </c>
      <c r="CE9" s="316">
        <f>'EDR АСУТП'!G9</f>
        <v>0.5</v>
      </c>
      <c r="CF9" s="316">
        <f>'EDR АСУТП'!K9</f>
        <v>0.5</v>
      </c>
      <c r="CG9" s="316">
        <f>'WAF АСУТП'!G9</f>
        <v>2</v>
      </c>
      <c r="CH9" s="316">
        <f>'WAF АСУТП'!K9</f>
        <v>2</v>
      </c>
      <c r="CI9" s="316">
        <f>'WAF АСУТП'!O9</f>
        <v>2</v>
      </c>
      <c r="CJ9" s="316">
        <f>'ВМ ЗСВ'!G9</f>
        <v>3</v>
      </c>
      <c r="CK9" s="316">
        <f>'ВМ ЗСВ'!K9</f>
        <v>3</v>
      </c>
      <c r="CL9" s="316">
        <f>'ВМ ЗСВ'!O9</f>
        <v>3</v>
      </c>
      <c r="CM9" s="316">
        <f>'ВМ ЗСВ'!S9</f>
        <v>3</v>
      </c>
      <c r="CN9" s="316">
        <f>'ВМ ЗСВ'!W9</f>
        <v>3</v>
      </c>
      <c r="CO9" s="316">
        <f>'ВМ ЗСВ'!AA9</f>
        <v>3</v>
      </c>
      <c r="CP9" s="316">
        <f>'ВМ СПО'!G9</f>
        <v>0.5</v>
      </c>
      <c r="CQ9" s="316">
        <f>'ВМ СПО'!K9</f>
        <v>0.5</v>
      </c>
      <c r="CR9" s="316">
        <f>'ВМ СПО'!O9</f>
        <v>0.5</v>
      </c>
      <c r="CS9" s="316">
        <f>'ВМ СПО'!S9</f>
        <v>0.5</v>
      </c>
      <c r="CT9" s="316">
        <f>'ВМ АСО'!G9</f>
        <v>0</v>
      </c>
      <c r="CU9" s="316">
        <f>'ВМ АСО'!K9</f>
        <v>0</v>
      </c>
      <c r="CV9" s="16" t="e">
        <f t="shared" si="0"/>
        <v>#REF!</v>
      </c>
      <c r="CW9" s="25">
        <f t="shared" si="1"/>
        <v>0.75</v>
      </c>
      <c r="CX9" s="25">
        <f t="shared" si="2"/>
        <v>1</v>
      </c>
      <c r="CY9" s="25">
        <f t="shared" si="3"/>
        <v>0</v>
      </c>
      <c r="CZ9" s="25">
        <f t="shared" si="4"/>
        <v>0</v>
      </c>
      <c r="DA9" s="25">
        <f t="shared" si="5"/>
        <v>0</v>
      </c>
      <c r="DB9" s="25">
        <f t="shared" si="6"/>
        <v>0</v>
      </c>
      <c r="DC9" s="25">
        <f t="shared" si="7"/>
        <v>0</v>
      </c>
      <c r="DD9" s="25">
        <f t="shared" si="8"/>
        <v>0</v>
      </c>
      <c r="DE9" s="25">
        <f t="shared" si="9"/>
        <v>0</v>
      </c>
      <c r="DF9" s="25">
        <f t="shared" si="10"/>
        <v>0</v>
      </c>
      <c r="DG9" s="25">
        <f t="shared" si="11"/>
        <v>0</v>
      </c>
      <c r="DH9" s="25">
        <f t="shared" si="12"/>
        <v>0</v>
      </c>
      <c r="DI9" s="25">
        <f t="shared" si="13"/>
        <v>0</v>
      </c>
      <c r="DJ9" s="25" t="e">
        <f t="shared" si="14"/>
        <v>#REF!</v>
      </c>
      <c r="DK9" s="25">
        <f t="shared" si="15"/>
        <v>0</v>
      </c>
      <c r="DL9" s="25">
        <f t="shared" si="16"/>
        <v>0</v>
      </c>
      <c r="DM9" s="25">
        <f t="shared" si="17"/>
        <v>0</v>
      </c>
      <c r="DN9" s="25">
        <f t="shared" si="18"/>
        <v>0</v>
      </c>
      <c r="DO9" s="25">
        <f t="shared" si="19"/>
        <v>0</v>
      </c>
      <c r="DP9" s="25">
        <f t="shared" si="20"/>
        <v>0</v>
      </c>
      <c r="DQ9" s="25">
        <f t="shared" si="21"/>
        <v>0</v>
      </c>
      <c r="DR9" s="25">
        <f t="shared" si="22"/>
        <v>0</v>
      </c>
      <c r="DS9" s="25">
        <f t="shared" si="23"/>
        <v>0</v>
      </c>
      <c r="DT9" s="25">
        <f t="shared" si="24"/>
        <v>0</v>
      </c>
      <c r="DU9" s="25">
        <f t="shared" si="25"/>
        <v>0</v>
      </c>
      <c r="DV9" s="21">
        <f t="shared" si="26"/>
        <v>0</v>
      </c>
      <c r="DW9" s="317">
        <f t="shared" si="27"/>
        <v>0</v>
      </c>
      <c r="DX9" s="317">
        <f t="shared" si="28"/>
        <v>0</v>
      </c>
      <c r="DY9" s="317">
        <f t="shared" si="29"/>
        <v>0</v>
      </c>
      <c r="DZ9" s="230">
        <f t="shared" si="30"/>
        <v>0</v>
      </c>
      <c r="EE9" s="323"/>
      <c r="EF9" s="323"/>
      <c r="EG9" s="323"/>
      <c r="EH9" s="323"/>
      <c r="EI9" s="323"/>
      <c r="EJ9" s="323"/>
      <c r="EK9" s="323"/>
      <c r="EL9" s="323"/>
      <c r="EM9" s="323"/>
      <c r="EN9" s="323"/>
      <c r="EO9" s="323"/>
      <c r="EP9" s="323"/>
      <c r="EQ9" s="323"/>
      <c r="ER9" s="323"/>
      <c r="ES9" s="323"/>
      <c r="ET9" s="323"/>
      <c r="EU9" s="323"/>
      <c r="EV9" s="323"/>
      <c r="EW9" s="323"/>
      <c r="EX9" s="323"/>
      <c r="EY9" s="323"/>
      <c r="EZ9" s="323"/>
      <c r="FA9" s="323"/>
      <c r="FB9" s="323"/>
      <c r="FC9" s="323"/>
      <c r="FD9" s="323"/>
      <c r="FE9" s="323"/>
      <c r="FF9" s="323"/>
      <c r="FG9" s="323"/>
      <c r="FH9" s="323"/>
      <c r="FI9" s="323"/>
      <c r="FJ9" s="323"/>
      <c r="FK9" s="323"/>
      <c r="FL9" s="323"/>
      <c r="FM9" s="323"/>
      <c r="FN9" s="323"/>
      <c r="FO9" s="323"/>
      <c r="FP9" s="323"/>
      <c r="FQ9" s="323"/>
      <c r="FR9" s="323"/>
      <c r="FS9" s="323"/>
      <c r="FT9" s="323"/>
      <c r="FU9" s="323"/>
      <c r="FV9" s="323"/>
      <c r="FW9" s="323"/>
      <c r="FX9" s="323"/>
      <c r="FY9" s="323"/>
      <c r="FZ9" s="323"/>
      <c r="GA9" s="323"/>
      <c r="GB9" s="323"/>
      <c r="GC9" s="323"/>
      <c r="GD9" s="323"/>
      <c r="GE9" s="323"/>
      <c r="GF9" s="323"/>
      <c r="GG9" s="323"/>
      <c r="GH9" s="323"/>
      <c r="GI9" s="323"/>
      <c r="GJ9" s="323"/>
      <c r="GK9" s="323"/>
      <c r="GL9" s="323"/>
      <c r="GM9" s="323"/>
      <c r="GN9" s="323"/>
      <c r="GO9" s="323"/>
      <c r="GP9" s="323"/>
      <c r="GQ9" s="323"/>
      <c r="GR9" s="323"/>
      <c r="GS9" s="323"/>
      <c r="GT9" s="323"/>
      <c r="GU9" s="323"/>
      <c r="GV9" s="323"/>
      <c r="GW9" s="323"/>
      <c r="GX9" s="323"/>
      <c r="GY9" s="323"/>
      <c r="GZ9" s="323"/>
      <c r="HA9" s="323"/>
      <c r="HB9" s="323"/>
      <c r="HC9" s="323"/>
      <c r="HD9" s="323"/>
      <c r="HE9" s="323"/>
      <c r="HF9" s="323"/>
      <c r="HG9" s="323"/>
      <c r="HH9" s="323"/>
      <c r="HI9" s="323"/>
      <c r="HJ9" s="323"/>
      <c r="HK9" s="323"/>
      <c r="HL9" s="323"/>
    </row>
    <row r="10" spans="1:220" ht="15.75" customHeight="1" thickBot="1" x14ac:dyDescent="0.3">
      <c r="A10" s="1912"/>
      <c r="B10" s="1917"/>
      <c r="C10" s="81" t="s">
        <v>34</v>
      </c>
      <c r="D10" s="77"/>
      <c r="E10" s="466">
        <f>'АВЗ АСУТП'!G10</f>
        <v>1.5</v>
      </c>
      <c r="F10" s="466">
        <f>'АВЗ АСУТП'!K10</f>
        <v>1.5</v>
      </c>
      <c r="G10" s="466">
        <f>'АВЗ АСУТП'!O10</f>
        <v>1.5</v>
      </c>
      <c r="H10" s="467">
        <f>'АВЗ АСУТП'!S10</f>
        <v>1.5</v>
      </c>
      <c r="I10" s="466">
        <f>'АВЗ АСУТП'!W10</f>
        <v>1.5</v>
      </c>
      <c r="J10" s="467">
        <f>'АВЗ АСУТП'!AA10</f>
        <v>1.5</v>
      </c>
      <c r="K10" s="467">
        <f>'АВЗ АСУТП'!AE10</f>
        <v>1.5</v>
      </c>
      <c r="L10" s="467">
        <f>'АВЗ АСУТП'!AI10</f>
        <v>1.5</v>
      </c>
      <c r="M10" s="467">
        <f>'SIEM АСУТП'!G10</f>
        <v>2</v>
      </c>
      <c r="N10" s="467">
        <f>'SIEM АСУТП'!K10</f>
        <v>2</v>
      </c>
      <c r="O10" s="467">
        <f>'МСЭ АСУТП'!G10</f>
        <v>6</v>
      </c>
      <c r="P10" s="468">
        <f>'МСЭ АСУТП'!K10</f>
        <v>6</v>
      </c>
      <c r="Q10" s="467">
        <f>'МСЭ АСУТП'!O10</f>
        <v>6</v>
      </c>
      <c r="R10" s="467">
        <f>'МСЭ АСУТП'!S10</f>
        <v>6</v>
      </c>
      <c r="S10" s="467">
        <f>'PAM АСУТП'!G10</f>
        <v>5.5</v>
      </c>
      <c r="T10" s="467">
        <f>'PAM АСУТП'!K10</f>
        <v>5.5</v>
      </c>
      <c r="U10" s="467">
        <f>'PAM АСУТП'!O10</f>
        <v>5.5</v>
      </c>
      <c r="V10" s="467">
        <f>'СКЗИ АСУТП'!G10</f>
        <v>11</v>
      </c>
      <c r="W10" s="467">
        <f>'СКЗИ АСУТП'!K10</f>
        <v>11</v>
      </c>
      <c r="X10" s="467">
        <f>'СКЗИ АСУТП'!O10</f>
        <v>11</v>
      </c>
      <c r="Y10" s="467">
        <f>'СКЗИ АСУТП'!S10</f>
        <v>11</v>
      </c>
      <c r="Z10" s="467">
        <f>'СКЗИ АСУТП'!W10</f>
        <v>11</v>
      </c>
      <c r="AA10" s="467">
        <f>'АЗ АСУТП'!G10</f>
        <v>2.5</v>
      </c>
      <c r="AB10" s="467">
        <f>'АЗ АСУТП'!K10</f>
        <v>2.5</v>
      </c>
      <c r="AC10" s="467">
        <f>'АЗ АСУТП'!O10</f>
        <v>2.5</v>
      </c>
      <c r="AD10" s="467">
        <f>'АЗ АСУТП'!S10</f>
        <v>2.5</v>
      </c>
      <c r="AE10" s="467">
        <f>'АЗ АСУТП'!W10</f>
        <v>2.5</v>
      </c>
      <c r="AF10" s="467">
        <f>'РК АСУТП'!G10</f>
        <v>3</v>
      </c>
      <c r="AG10" s="467">
        <f>'РК АСУТП'!K10</f>
        <v>3</v>
      </c>
      <c r="AH10" s="467">
        <f>'IDS АСУТП'!G10</f>
        <v>2</v>
      </c>
      <c r="AI10" s="467">
        <f>'IDS АСУТП'!K10</f>
        <v>2</v>
      </c>
      <c r="AJ10" s="467">
        <f>'IDS АСУТП'!O10</f>
        <v>2</v>
      </c>
      <c r="AK10" s="467">
        <f>'АПМДЗ АСУТП'!G10</f>
        <v>1.8000000000000003</v>
      </c>
      <c r="AL10" s="467">
        <f>'АПМДЗ АСУТП'!K10</f>
        <v>1.8000000000000003</v>
      </c>
      <c r="AM10" s="467">
        <f>'НСД АСУТП'!G10</f>
        <v>1.8000000000000003</v>
      </c>
      <c r="AN10" s="467">
        <f>'НСД АСУТП'!K10</f>
        <v>1.8000000000000003</v>
      </c>
      <c r="AO10" s="467">
        <f>'НСД АСУТП'!O10</f>
        <v>1.8000000000000003</v>
      </c>
      <c r="AP10" s="467">
        <f>'MFA АСУТП'!G10</f>
        <v>8</v>
      </c>
      <c r="AQ10" s="467">
        <f>'MFA АСУТП'!K10</f>
        <v>8</v>
      </c>
      <c r="AR10" s="467">
        <f>'MFA АСУТП'!O10</f>
        <v>8</v>
      </c>
      <c r="AS10" s="467">
        <f>'MFA АСУТП'!S10</f>
        <v>8</v>
      </c>
      <c r="AT10" s="467">
        <f>'ДИОД АСУТП'!G10</f>
        <v>0.5</v>
      </c>
      <c r="AU10" s="467">
        <f>'ДИОД АСУТП'!K10</f>
        <v>0.5</v>
      </c>
      <c r="AV10" s="467">
        <f>'ДИОД АСУТП'!O10</f>
        <v>0.5</v>
      </c>
      <c r="AW10" s="467">
        <f>'ДИОД АСУТП'!S10</f>
        <v>0.5</v>
      </c>
      <c r="AX10" s="467">
        <f>'СЗВ АСУТП'!G10</f>
        <v>6</v>
      </c>
      <c r="AY10" s="467">
        <f>'СЗВ АСУТП'!K10</f>
        <v>6</v>
      </c>
      <c r="AZ10" s="467">
        <f>'СЗВ АСУТП'!O10</f>
        <v>6</v>
      </c>
      <c r="BA10" s="467">
        <f>'SOAR АСУТП'!G10</f>
        <v>2</v>
      </c>
      <c r="BB10" s="467">
        <f>'SOAR АСУТП'!K10</f>
        <v>2</v>
      </c>
      <c r="BC10" s="467">
        <f>'SOAR АСУТП'!O10</f>
        <v>2</v>
      </c>
      <c r="BD10" s="467" t="e">
        <f>'SOAR АСУТП'!#REF!</f>
        <v>#REF!</v>
      </c>
      <c r="BE10" s="467">
        <f>'VDI АСУТП'!G10</f>
        <v>8.5</v>
      </c>
      <c r="BF10" s="467">
        <f>'VDI АСУТП'!K10</f>
        <v>8.5</v>
      </c>
      <c r="BG10" s="467">
        <f>'VDI АСУТП'!O10</f>
        <v>8.5</v>
      </c>
      <c r="BH10" s="467">
        <f>'VDI АСУТП'!S10</f>
        <v>8.5</v>
      </c>
      <c r="BI10" s="467">
        <f>'VDI АСУТП'!W10</f>
        <v>8.5</v>
      </c>
      <c r="BJ10" s="466">
        <f>'СУБД АСУТП'!G10</f>
        <v>1</v>
      </c>
      <c r="BK10" s="466">
        <f>'СУБД АСУТП'!K10</f>
        <v>1</v>
      </c>
      <c r="BL10" s="466">
        <f>'ГОССОПКА АСУТП'!G10</f>
        <v>12.5</v>
      </c>
      <c r="BM10" s="466">
        <f>'ГОССОПКА АСУТП'!K10</f>
        <v>12.5</v>
      </c>
      <c r="BN10" s="466">
        <f>'TLS АСУТП'!G10</f>
        <v>12.5</v>
      </c>
      <c r="BO10" s="466">
        <f>'TLS АСУТП'!K10</f>
        <v>12.5</v>
      </c>
      <c r="BP10" s="466">
        <f>'DCAP АСУТП'!G10</f>
        <v>8.5</v>
      </c>
      <c r="BQ10" s="466">
        <f>'DCAP АСУТП'!K10</f>
        <v>8.5</v>
      </c>
      <c r="BR10" s="466">
        <f>'DCAP АСУТП'!O10</f>
        <v>8.5</v>
      </c>
      <c r="BS10" s="466">
        <f>'DO АСУТП'!G10</f>
        <v>2.25</v>
      </c>
      <c r="BT10" s="466">
        <f>'NTA АСУТП'!G10</f>
        <v>4.5</v>
      </c>
      <c r="BU10" s="466">
        <f>'NTA АСУТП'!K10</f>
        <v>4.5</v>
      </c>
      <c r="BV10" s="466">
        <f>'NTA АСУТП'!O10</f>
        <v>4.5</v>
      </c>
      <c r="BW10" s="466">
        <f>'NTA АСУТП'!S10</f>
        <v>12.5</v>
      </c>
      <c r="BX10" s="466">
        <f>'SEG АСУТП'!G10</f>
        <v>8.5</v>
      </c>
      <c r="BY10" s="466">
        <f>'APT АСУТП'!G10</f>
        <v>2</v>
      </c>
      <c r="BZ10" s="466">
        <f>'APT АСУТП'!K10</f>
        <v>2</v>
      </c>
      <c r="CA10" s="466">
        <f>'APT АСУТП'!O10</f>
        <v>2</v>
      </c>
      <c r="CB10" s="466">
        <f>'NAC АСУТП'!G10</f>
        <v>4</v>
      </c>
      <c r="CC10" s="466">
        <f>'SANDBOX АСУТП'!G10</f>
        <v>8.5</v>
      </c>
      <c r="CD10" s="466">
        <f>'SANDBOX АСУТП'!K10</f>
        <v>8.5</v>
      </c>
      <c r="CE10" s="466">
        <f>'EDR АСУТП'!G10</f>
        <v>1.5</v>
      </c>
      <c r="CF10" s="466">
        <f>'EDR АСУТП'!K10</f>
        <v>1.5</v>
      </c>
      <c r="CG10" s="466">
        <f>'WAF АСУТП'!G10</f>
        <v>4</v>
      </c>
      <c r="CH10" s="466">
        <f>'WAF АСУТП'!K10</f>
        <v>4</v>
      </c>
      <c r="CI10" s="466">
        <f>'WAF АСУТП'!O10</f>
        <v>4</v>
      </c>
      <c r="CJ10" s="622">
        <f>'ВМ ЗСВ'!G10</f>
        <v>6</v>
      </c>
      <c r="CK10" s="742">
        <f>'ВМ ЗСВ'!K10</f>
        <v>6</v>
      </c>
      <c r="CL10" s="742">
        <f>'ВМ ЗСВ'!O10</f>
        <v>6</v>
      </c>
      <c r="CM10" s="742">
        <f>'ВМ ЗСВ'!S10</f>
        <v>6</v>
      </c>
      <c r="CN10" s="742">
        <f>'ВМ ЗСВ'!W10</f>
        <v>6</v>
      </c>
      <c r="CO10" s="742">
        <f>'ВМ ЗСВ'!AA10</f>
        <v>6</v>
      </c>
      <c r="CP10" s="622">
        <f>'ВМ СПО'!G10</f>
        <v>1</v>
      </c>
      <c r="CQ10" s="742">
        <f>'ВМ СПО'!K10</f>
        <v>1</v>
      </c>
      <c r="CR10" s="742">
        <f>'ВМ СПО'!O10</f>
        <v>1</v>
      </c>
      <c r="CS10" s="742">
        <f>'ВМ СПО'!S10</f>
        <v>1</v>
      </c>
      <c r="CT10" s="742">
        <f>'ВМ АСО'!G10</f>
        <v>0</v>
      </c>
      <c r="CU10" s="742">
        <f>'ВМ АСО'!K10</f>
        <v>0</v>
      </c>
      <c r="CV10" s="192" t="e">
        <f t="shared" si="0"/>
        <v>#REF!</v>
      </c>
      <c r="CW10" s="392">
        <f t="shared" si="1"/>
        <v>1.5</v>
      </c>
      <c r="CX10" s="392">
        <f t="shared" si="2"/>
        <v>2</v>
      </c>
      <c r="CY10" s="392">
        <f t="shared" si="3"/>
        <v>0</v>
      </c>
      <c r="CZ10" s="392">
        <f t="shared" si="4"/>
        <v>0</v>
      </c>
      <c r="DA10" s="392">
        <f t="shared" si="5"/>
        <v>0</v>
      </c>
      <c r="DB10" s="392">
        <f t="shared" si="6"/>
        <v>0</v>
      </c>
      <c r="DC10" s="392">
        <f t="shared" si="7"/>
        <v>0</v>
      </c>
      <c r="DD10" s="392">
        <f t="shared" si="8"/>
        <v>0</v>
      </c>
      <c r="DE10" s="392">
        <f t="shared" si="9"/>
        <v>0</v>
      </c>
      <c r="DF10" s="392">
        <f t="shared" si="10"/>
        <v>0</v>
      </c>
      <c r="DG10" s="392">
        <f t="shared" si="11"/>
        <v>0</v>
      </c>
      <c r="DH10" s="392">
        <f t="shared" si="12"/>
        <v>0</v>
      </c>
      <c r="DI10" s="392">
        <f t="shared" si="13"/>
        <v>0</v>
      </c>
      <c r="DJ10" s="392" t="e">
        <f t="shared" si="14"/>
        <v>#REF!</v>
      </c>
      <c r="DK10" s="392">
        <f t="shared" si="15"/>
        <v>0</v>
      </c>
      <c r="DL10" s="392">
        <f t="shared" si="16"/>
        <v>0</v>
      </c>
      <c r="DM10" s="392">
        <f t="shared" si="17"/>
        <v>0</v>
      </c>
      <c r="DN10" s="392">
        <f t="shared" si="18"/>
        <v>0</v>
      </c>
      <c r="DO10" s="392">
        <f t="shared" si="19"/>
        <v>0</v>
      </c>
      <c r="DP10" s="392">
        <f t="shared" si="20"/>
        <v>0</v>
      </c>
      <c r="DQ10" s="392">
        <f t="shared" si="21"/>
        <v>0</v>
      </c>
      <c r="DR10" s="392">
        <f t="shared" si="22"/>
        <v>0</v>
      </c>
      <c r="DS10" s="392">
        <f t="shared" si="23"/>
        <v>0</v>
      </c>
      <c r="DT10" s="392">
        <f t="shared" si="24"/>
        <v>0</v>
      </c>
      <c r="DU10" s="392">
        <f t="shared" si="25"/>
        <v>0</v>
      </c>
      <c r="DV10" s="77">
        <f t="shared" si="26"/>
        <v>0</v>
      </c>
      <c r="DW10" s="468">
        <f t="shared" si="27"/>
        <v>0</v>
      </c>
      <c r="DX10" s="788">
        <f t="shared" si="28"/>
        <v>0</v>
      </c>
      <c r="DY10" s="622">
        <f t="shared" si="29"/>
        <v>0</v>
      </c>
      <c r="DZ10" s="778">
        <f t="shared" si="30"/>
        <v>0</v>
      </c>
    </row>
    <row r="11" spans="1:220" ht="16.5" thickBot="1" x14ac:dyDescent="0.3">
      <c r="A11" s="326" t="s">
        <v>1</v>
      </c>
      <c r="B11" s="327"/>
      <c r="C11" s="327"/>
      <c r="D11" s="327"/>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c r="BF11" s="393"/>
      <c r="BG11" s="393"/>
      <c r="BH11" s="393"/>
      <c r="BI11" s="393"/>
      <c r="BJ11" s="393"/>
      <c r="BK11" s="393"/>
      <c r="BL11" s="393"/>
      <c r="BM11" s="393"/>
      <c r="BN11" s="393"/>
      <c r="BO11" s="393"/>
      <c r="BP11" s="393"/>
      <c r="BQ11" s="393"/>
      <c r="BR11" s="393"/>
      <c r="BS11" s="393"/>
      <c r="BT11" s="393"/>
      <c r="BU11" s="393"/>
      <c r="BV11" s="393"/>
      <c r="BW11" s="393"/>
      <c r="BX11" s="393"/>
      <c r="BY11" s="393"/>
      <c r="BZ11" s="393"/>
      <c r="CA11" s="393"/>
      <c r="CB11" s="393"/>
      <c r="CC11" s="393"/>
      <c r="CD11" s="393"/>
      <c r="CE11" s="393"/>
      <c r="CF11" s="393"/>
      <c r="CG11" s="393"/>
      <c r="CH11" s="393"/>
      <c r="CI11" s="393"/>
      <c r="CJ11" s="393"/>
      <c r="CK11" s="393"/>
      <c r="CL11" s="393"/>
      <c r="CM11" s="393"/>
      <c r="CN11" s="393"/>
      <c r="CO11" s="393"/>
      <c r="CP11" s="783"/>
      <c r="CQ11" s="783"/>
      <c r="CR11" s="783"/>
      <c r="CS11" s="783"/>
      <c r="CT11" s="783"/>
      <c r="CU11" s="783"/>
      <c r="CV11" s="329"/>
      <c r="CW11" s="329"/>
      <c r="CX11" s="329"/>
      <c r="CY11" s="329"/>
      <c r="CZ11" s="329"/>
      <c r="DA11" s="329"/>
      <c r="DB11" s="329"/>
      <c r="DC11" s="329"/>
      <c r="DD11" s="329"/>
      <c r="DE11" s="329"/>
      <c r="DF11" s="329"/>
      <c r="DG11" s="329"/>
      <c r="DH11" s="329"/>
      <c r="DI11" s="329"/>
      <c r="DJ11" s="329"/>
      <c r="DK11" s="329"/>
      <c r="DL11" s="329"/>
      <c r="DM11" s="329"/>
      <c r="DN11" s="329"/>
      <c r="DO11" s="329"/>
      <c r="DP11" s="329"/>
      <c r="DQ11" s="329"/>
      <c r="DR11" s="329"/>
      <c r="DS11" s="329"/>
      <c r="DT11" s="329"/>
      <c r="DU11" s="329"/>
      <c r="DV11" s="329"/>
      <c r="DW11" s="329"/>
      <c r="DX11" s="393"/>
      <c r="DY11" s="393"/>
      <c r="DZ11" s="789"/>
    </row>
    <row r="12" spans="1:220" ht="15" customHeight="1" x14ac:dyDescent="0.25">
      <c r="A12" s="1907" t="s">
        <v>2</v>
      </c>
      <c r="B12" s="1909">
        <f>IF('Тип разраб-ой док-ции'!F7=1,1,0)</f>
        <v>0</v>
      </c>
      <c r="C12" s="325" t="s">
        <v>32</v>
      </c>
      <c r="D12" s="230"/>
      <c r="E12" s="316">
        <f>'АВЗ АСУТП'!G12</f>
        <v>5.5</v>
      </c>
      <c r="F12" s="316">
        <f>'АВЗ АСУТП'!K12</f>
        <v>5.5</v>
      </c>
      <c r="G12" s="316">
        <f>'АВЗ АСУТП'!O12</f>
        <v>5.5</v>
      </c>
      <c r="H12" s="230">
        <f>'АВЗ АСУТП'!S12</f>
        <v>5.5</v>
      </c>
      <c r="I12" s="316">
        <f>'АВЗ АСУТП'!W12</f>
        <v>5.5</v>
      </c>
      <c r="J12" s="230">
        <f>'АВЗ АСУТП'!AA12</f>
        <v>5.5</v>
      </c>
      <c r="K12" s="230">
        <f>'АВЗ АСУТП'!AE12</f>
        <v>5.5</v>
      </c>
      <c r="L12" s="230">
        <f>'АВЗ АСУТП'!AI12</f>
        <v>5.5</v>
      </c>
      <c r="M12" s="230">
        <f>'SIEM АСУТП'!G12</f>
        <v>6</v>
      </c>
      <c r="N12" s="230">
        <f>'SIEM АСУТП'!K12</f>
        <v>6</v>
      </c>
      <c r="O12" s="230">
        <f>'МСЭ АСУТП'!G12</f>
        <v>4</v>
      </c>
      <c r="P12" s="317">
        <f>'МСЭ АСУТП'!K12</f>
        <v>4</v>
      </c>
      <c r="Q12" s="230">
        <f>'МСЭ АСУТП'!O12</f>
        <v>4</v>
      </c>
      <c r="R12" s="230">
        <f>'МСЭ АСУТП'!S12</f>
        <v>4</v>
      </c>
      <c r="S12" s="230">
        <f>'PAM АСУТП'!G12</f>
        <v>13</v>
      </c>
      <c r="T12" s="230">
        <f>'PAM АСУТП'!K12</f>
        <v>13</v>
      </c>
      <c r="U12" s="230">
        <f>'PAM АСУТП'!O12</f>
        <v>13</v>
      </c>
      <c r="V12" s="230">
        <f>'СКЗИ АСУТП'!G12</f>
        <v>6</v>
      </c>
      <c r="W12" s="230">
        <f>'СКЗИ АСУТП'!K12</f>
        <v>6</v>
      </c>
      <c r="X12" s="230">
        <f>'СКЗИ АСУТП'!O12</f>
        <v>6</v>
      </c>
      <c r="Y12" s="230">
        <f>'СКЗИ АСУТП'!S12</f>
        <v>6</v>
      </c>
      <c r="Z12" s="230">
        <f>'СКЗИ АСУТП'!W12</f>
        <v>6</v>
      </c>
      <c r="AA12" s="230">
        <f>'АЗ АСУТП'!G12</f>
        <v>2.8</v>
      </c>
      <c r="AB12" s="230">
        <f>'АЗ АСУТП'!K12</f>
        <v>2.8</v>
      </c>
      <c r="AC12" s="230">
        <f>'АЗ АСУТП'!O12</f>
        <v>2.8</v>
      </c>
      <c r="AD12" s="230">
        <f>'АЗ АСУТП'!S12</f>
        <v>2.8</v>
      </c>
      <c r="AE12" s="230">
        <f>'АЗ АСУТП'!W12</f>
        <v>2.8</v>
      </c>
      <c r="AF12" s="230">
        <f>'РК АСУТП'!G12</f>
        <v>5.5</v>
      </c>
      <c r="AG12" s="230">
        <f>'РК АСУТП'!K12</f>
        <v>5.5</v>
      </c>
      <c r="AH12" s="230">
        <f>'IDS АСУТП'!G12</f>
        <v>8</v>
      </c>
      <c r="AI12" s="230">
        <f>'IDS АСУТП'!K12</f>
        <v>8</v>
      </c>
      <c r="AJ12" s="230">
        <f>'IDS АСУТП'!O12</f>
        <v>8</v>
      </c>
      <c r="AK12" s="230">
        <f>'АПМДЗ АСУТП'!G12</f>
        <v>1.2800000000000002</v>
      </c>
      <c r="AL12" s="230">
        <f>'АПМДЗ АСУТП'!K12</f>
        <v>1.2800000000000002</v>
      </c>
      <c r="AM12" s="230">
        <f>'НСД АСУТП'!G12</f>
        <v>1.2800000000000002</v>
      </c>
      <c r="AN12" s="230">
        <f>'НСД АСУТП'!K12</f>
        <v>1.2800000000000002</v>
      </c>
      <c r="AO12" s="230">
        <f>'НСД АСУТП'!O12</f>
        <v>1.2800000000000002</v>
      </c>
      <c r="AP12" s="230">
        <f>'MFA АСУТП'!G12</f>
        <v>24</v>
      </c>
      <c r="AQ12" s="230">
        <f>'MFA АСУТП'!K12</f>
        <v>24</v>
      </c>
      <c r="AR12" s="230">
        <f>'MFA АСУТП'!O12</f>
        <v>24</v>
      </c>
      <c r="AS12" s="230">
        <f>'MFA АСУТП'!S12</f>
        <v>24</v>
      </c>
      <c r="AT12" s="230">
        <f>'ДИОД АСУТП'!G12</f>
        <v>2.5</v>
      </c>
      <c r="AU12" s="230">
        <f>'ДИОД АСУТП'!K12</f>
        <v>2.5</v>
      </c>
      <c r="AV12" s="230">
        <f>'ДИОД АСУТП'!O12</f>
        <v>2.5</v>
      </c>
      <c r="AW12" s="230">
        <f>'ДИОД АСУТП'!S12</f>
        <v>2.5</v>
      </c>
      <c r="AX12" s="230">
        <f>'СЗВ АСУТП'!G12</f>
        <v>8.3999999999999986</v>
      </c>
      <c r="AY12" s="230">
        <f>'СЗВ АСУТП'!K12</f>
        <v>9.7999999999999989</v>
      </c>
      <c r="AZ12" s="230">
        <f>'СЗВ АСУТП'!O12</f>
        <v>7</v>
      </c>
      <c r="BA12" s="230">
        <f>'SOAR АСУТП'!G12</f>
        <v>4</v>
      </c>
      <c r="BB12" s="230">
        <f>'SOAR АСУТП'!K12</f>
        <v>4</v>
      </c>
      <c r="BC12" s="230">
        <f>'SOAR АСУТП'!O12</f>
        <v>4</v>
      </c>
      <c r="BD12" s="230" t="e">
        <f>'SOAR АСУТП'!#REF!</f>
        <v>#REF!</v>
      </c>
      <c r="BE12" s="230">
        <f>'VDI АСУТП'!G12</f>
        <v>4.1999999999999993</v>
      </c>
      <c r="BF12" s="230">
        <f>'VDI АСУТП'!K12</f>
        <v>5.6</v>
      </c>
      <c r="BG12" s="230">
        <f>'VDI АСУТП'!O12</f>
        <v>5.6</v>
      </c>
      <c r="BH12" s="230">
        <f>'VDI АСУТП'!S12</f>
        <v>5.6</v>
      </c>
      <c r="BI12" s="230">
        <f>'VDI АСУТП'!W12</f>
        <v>5.6</v>
      </c>
      <c r="BJ12" s="316">
        <f>'СУБД АСУТП'!G12</f>
        <v>4</v>
      </c>
      <c r="BK12" s="316">
        <f>'СУБД АСУТП'!K12</f>
        <v>4</v>
      </c>
      <c r="BL12" s="316">
        <f>'ГОССОПКА АСУТП'!G12</f>
        <v>24</v>
      </c>
      <c r="BM12" s="316">
        <f>'ГОССОПКА АСУТП'!K12</f>
        <v>24</v>
      </c>
      <c r="BN12" s="316">
        <f>'TLS АСУТП'!G12</f>
        <v>8</v>
      </c>
      <c r="BO12" s="316">
        <f>'TLS АСУТП'!K12</f>
        <v>8</v>
      </c>
      <c r="BP12" s="316">
        <f>'DCAP АСУТП'!G12</f>
        <v>5.6</v>
      </c>
      <c r="BQ12" s="316">
        <f>'DCAP АСУТП'!K12</f>
        <v>5.6</v>
      </c>
      <c r="BR12" s="316">
        <f>'DCAP АСУТП'!O12</f>
        <v>5.6</v>
      </c>
      <c r="BS12" s="316">
        <f>'DO АСУТП'!G12</f>
        <v>8</v>
      </c>
      <c r="BT12" s="316">
        <f>'NTA АСУТП'!G12</f>
        <v>5.6</v>
      </c>
      <c r="BU12" s="316">
        <f>'NTA АСУТП'!K12</f>
        <v>5.6</v>
      </c>
      <c r="BV12" s="316">
        <f>'NTA АСУТП'!O12</f>
        <v>16</v>
      </c>
      <c r="BW12" s="316">
        <f>'NTA АСУТП'!S12</f>
        <v>5.6</v>
      </c>
      <c r="BX12" s="316">
        <f>'SEG АСУТП'!G12</f>
        <v>5.6</v>
      </c>
      <c r="BY12" s="316">
        <f>'APT АСУТП'!G12</f>
        <v>20</v>
      </c>
      <c r="BZ12" s="316">
        <f>'APT АСУТП'!K12</f>
        <v>20</v>
      </c>
      <c r="CA12" s="316">
        <f>'APT АСУТП'!O12</f>
        <v>20</v>
      </c>
      <c r="CB12" s="316">
        <f>'NAC АСУТП'!G12</f>
        <v>8</v>
      </c>
      <c r="CC12" s="316">
        <f>'SANDBOX АСУТП'!G12</f>
        <v>8</v>
      </c>
      <c r="CD12" s="316">
        <f>'SANDBOX АСУТП'!K12</f>
        <v>8</v>
      </c>
      <c r="CE12" s="316">
        <f>'EDR АСУТП'!G12</f>
        <v>4</v>
      </c>
      <c r="CF12" s="316">
        <f>'EDR АСУТП'!K12</f>
        <v>4</v>
      </c>
      <c r="CG12" s="316">
        <f>'WAF АСУТП'!G12</f>
        <v>8</v>
      </c>
      <c r="CH12" s="316">
        <f>'WAF АСУТП'!K12</f>
        <v>8</v>
      </c>
      <c r="CI12" s="316">
        <f>'WAF АСУТП'!O12</f>
        <v>8</v>
      </c>
      <c r="CJ12" s="316">
        <f>'ВМ ЗСВ'!G12</f>
        <v>5.6</v>
      </c>
      <c r="CK12" s="316">
        <f>'ВМ ЗСВ'!K12</f>
        <v>7</v>
      </c>
      <c r="CL12" s="316">
        <f>'ВМ ЗСВ'!O12</f>
        <v>7</v>
      </c>
      <c r="CM12" s="316">
        <f>'ВМ ЗСВ'!S12</f>
        <v>7</v>
      </c>
      <c r="CN12" s="316">
        <f>'ВМ ЗСВ'!W12</f>
        <v>5.6</v>
      </c>
      <c r="CO12" s="316">
        <f>'ВМ ЗСВ'!AA12</f>
        <v>8.3999999999999986</v>
      </c>
      <c r="CP12" s="316">
        <f>'ВМ СПО'!G12</f>
        <v>4</v>
      </c>
      <c r="CQ12" s="316">
        <f>'ВМ СПО'!K12</f>
        <v>4</v>
      </c>
      <c r="CR12" s="316">
        <f>'ВМ СПО'!O12</f>
        <v>4</v>
      </c>
      <c r="CS12" s="316">
        <f>'ВМ СПО'!S12</f>
        <v>4</v>
      </c>
      <c r="CT12" s="316">
        <f>'ВМ АСО'!G12</f>
        <v>1</v>
      </c>
      <c r="CU12" s="316">
        <f>'ВМ АСО'!K12</f>
        <v>2</v>
      </c>
      <c r="CV12" s="316" t="e">
        <f>SUMPRODUCT(E12:CU12,$E$2:$CU$2) + D12</f>
        <v>#REF!</v>
      </c>
      <c r="CW12" s="317">
        <f>SUMPRODUCT(E12:L12,$E$2:$L$2) + D12</f>
        <v>5.5</v>
      </c>
      <c r="CX12" s="317">
        <f>SUMPRODUCT(M12:N12,$M$2:$N$2) + D12</f>
        <v>6</v>
      </c>
      <c r="CY12" s="317">
        <f>SUMPRODUCT(O12:Q12,$O$2:$Q$2) + D12</f>
        <v>0</v>
      </c>
      <c r="CZ12" s="317">
        <f>SUMPRODUCT(S12:U12,$S$2:$U$2) + $D12</f>
        <v>0</v>
      </c>
      <c r="DA12" s="317">
        <f>SUMPRODUCT(V12:Z12,$V$2:$Z$2) + $D12</f>
        <v>0</v>
      </c>
      <c r="DB12" s="317">
        <f>SUMPRODUCT(AA12:AE12,$AA$2:$AE$2) + $D12</f>
        <v>0</v>
      </c>
      <c r="DC12" s="317">
        <f>SUMPRODUCT(AF12:AG12,$AF$2:$AG$2) + $D12</f>
        <v>0</v>
      </c>
      <c r="DD12" s="317">
        <f>SUMPRODUCT(AH12:AJ12,$AH$2:$AJ$2) + $D12</f>
        <v>0</v>
      </c>
      <c r="DE12" s="317">
        <f>SUMPRODUCT(AK12:AL12,$AK$2:$AL$2) + $D12</f>
        <v>0</v>
      </c>
      <c r="DF12" s="317">
        <f>SUMPRODUCT(AM12:AO12,$AM$2:$AO$2) + $D12</f>
        <v>0</v>
      </c>
      <c r="DG12" s="317">
        <f>SUMPRODUCT(AP12:AS12,$AP$2:$AS$2) + $D12</f>
        <v>0</v>
      </c>
      <c r="DH12" s="317">
        <f>SUMPRODUCT(AT12:AW12,$AT$2:$AW$2) + $D12</f>
        <v>0</v>
      </c>
      <c r="DI12" s="317">
        <f>SUMPRODUCT(AX12:AZ12,$AX$2:$AZ$2) + $D12</f>
        <v>0</v>
      </c>
      <c r="DJ12" s="317" t="e">
        <f>SUMPRODUCT(BA12:BD12,$BA$2:$BD$2) + $D12</f>
        <v>#REF!</v>
      </c>
      <c r="DK12" s="317">
        <f>SUMPRODUCT(BE12:BI12,$BE$2:$BI$2) + $D12</f>
        <v>0</v>
      </c>
      <c r="DL12" s="317">
        <f>SUMPRODUCT(BJ12:BK12,$BJ$2:$BK$2) + $D12</f>
        <v>0</v>
      </c>
      <c r="DM12" s="317">
        <f>SUMPRODUCT(BL12:BM12,$BL$2:$BM$2) + $D12</f>
        <v>0</v>
      </c>
      <c r="DN12" s="317">
        <f>SUMPRODUCT(BN12:BO12,$BN$2:$BO$2) + $D12</f>
        <v>0</v>
      </c>
      <c r="DO12" s="317">
        <f>SUMPRODUCT(BP12:BR12,$BP$2:$BR$2) + $D12</f>
        <v>0</v>
      </c>
      <c r="DP12" s="317">
        <f>SUMPRODUCT(BS12:BS12,$BS$2:$BS$2) + $D12</f>
        <v>0</v>
      </c>
      <c r="DQ12" s="317">
        <f>SUMPRODUCT(BT12:BW12,$BT$2:$BW$2) + $D12</f>
        <v>0</v>
      </c>
      <c r="DR12" s="317">
        <f>SUMPRODUCT(BX12:BX12,$BX$2:$BX$2) + $D12</f>
        <v>0</v>
      </c>
      <c r="DS12" s="317">
        <f>SUMPRODUCT(BY12:CA12,$BY$2:$CA$2) + $D12</f>
        <v>0</v>
      </c>
      <c r="DT12" s="317">
        <f>SUMPRODUCT(CB12:CB12,$CB$2:$CB$2) + $D12</f>
        <v>0</v>
      </c>
      <c r="DU12" s="317">
        <f>SUMPRODUCT(CC12:CD12,$CC$2:$CD$2) + $D12</f>
        <v>0</v>
      </c>
      <c r="DV12" s="230">
        <f>SUMPRODUCT(CE12:CF12,$CE$2:$CF$2) + $D12</f>
        <v>0</v>
      </c>
      <c r="DW12" s="317">
        <f>SUMPRODUCT(CG12:CI12,$CG$2:$CI$2) + $D12</f>
        <v>0</v>
      </c>
      <c r="DX12" s="317">
        <f>SUMPRODUCT(CJ12:CO12,$CJ$2:$CO$2) + $D12</f>
        <v>0</v>
      </c>
      <c r="DY12" s="317">
        <f>SUMPRODUCT(CP12:CS12,$CP$2:$CS$2) + $D12</f>
        <v>0</v>
      </c>
      <c r="DZ12" s="230">
        <f>SUMPRODUCT(CT12:CU12,$CT$2:$CU$2) + $D12</f>
        <v>0</v>
      </c>
    </row>
    <row r="13" spans="1:220" ht="15" customHeight="1" x14ac:dyDescent="0.25">
      <c r="A13" s="1907"/>
      <c r="B13" s="1909"/>
      <c r="C13" s="18" t="s">
        <v>33</v>
      </c>
      <c r="D13" s="21"/>
      <c r="E13" s="316">
        <f>'АВЗ АСУТП'!G13</f>
        <v>2</v>
      </c>
      <c r="F13" s="316">
        <f>'АВЗ АСУТП'!K13</f>
        <v>2</v>
      </c>
      <c r="G13" s="316">
        <f>'АВЗ АСУТП'!O13</f>
        <v>2</v>
      </c>
      <c r="H13" s="230">
        <f>'АВЗ АСУТП'!S13</f>
        <v>2</v>
      </c>
      <c r="I13" s="316">
        <f>'АВЗ АСУТП'!W13</f>
        <v>2</v>
      </c>
      <c r="J13" s="230">
        <f>'АВЗ АСУТП'!AA13</f>
        <v>2</v>
      </c>
      <c r="K13" s="230">
        <f>'АВЗ АСУТП'!AE13</f>
        <v>2</v>
      </c>
      <c r="L13" s="230">
        <f>'АВЗ АСУТП'!AI13</f>
        <v>2</v>
      </c>
      <c r="M13" s="230">
        <f>'SIEM АСУТП'!G13</f>
        <v>2.5</v>
      </c>
      <c r="N13" s="230">
        <f>'SIEM АСУТП'!K13</f>
        <v>2.5</v>
      </c>
      <c r="O13" s="230">
        <f>'МСЭ АСУТП'!G13</f>
        <v>5</v>
      </c>
      <c r="P13" s="317">
        <f>'МСЭ АСУТП'!K13</f>
        <v>5</v>
      </c>
      <c r="Q13" s="230">
        <f>'МСЭ АСУТП'!O13</f>
        <v>5</v>
      </c>
      <c r="R13" s="230">
        <f>'МСЭ АСУТП'!S13</f>
        <v>5</v>
      </c>
      <c r="S13" s="230">
        <f>'PAM АСУТП'!G13</f>
        <v>18</v>
      </c>
      <c r="T13" s="230">
        <f>'PAM АСУТП'!K13</f>
        <v>18</v>
      </c>
      <c r="U13" s="230">
        <f>'PAM АСУТП'!O13</f>
        <v>18</v>
      </c>
      <c r="V13" s="230">
        <f>'СКЗИ АСУТП'!G13</f>
        <v>10</v>
      </c>
      <c r="W13" s="230">
        <f>'СКЗИ АСУТП'!K13</f>
        <v>10</v>
      </c>
      <c r="X13" s="230">
        <f>'СКЗИ АСУТП'!O13</f>
        <v>10</v>
      </c>
      <c r="Y13" s="230">
        <f>'СКЗИ АСУТП'!S13</f>
        <v>10</v>
      </c>
      <c r="Z13" s="230">
        <f>'СКЗИ АСУТП'!W13</f>
        <v>10</v>
      </c>
      <c r="AA13" s="230">
        <f>'АЗ АСУТП'!G13</f>
        <v>4.1999999999999993</v>
      </c>
      <c r="AB13" s="230">
        <f>'АЗ АСУТП'!K13</f>
        <v>4.1999999999999993</v>
      </c>
      <c r="AC13" s="230">
        <f>'АЗ АСУТП'!O13</f>
        <v>4.1999999999999993</v>
      </c>
      <c r="AD13" s="230">
        <f>'АЗ АСУТП'!S13</f>
        <v>4.1999999999999993</v>
      </c>
      <c r="AE13" s="230">
        <f>'АЗ АСУТП'!W13</f>
        <v>4.1999999999999993</v>
      </c>
      <c r="AF13" s="230">
        <f>'РК АСУТП'!G13</f>
        <v>6.4</v>
      </c>
      <c r="AG13" s="230">
        <f>'РК АСУТП'!K13</f>
        <v>6.4</v>
      </c>
      <c r="AH13" s="230">
        <f>'IDS АСУТП'!G13</f>
        <v>8</v>
      </c>
      <c r="AI13" s="230">
        <f>'IDS АСУТП'!K13</f>
        <v>8</v>
      </c>
      <c r="AJ13" s="230">
        <f>'IDS АСУТП'!O13</f>
        <v>8</v>
      </c>
      <c r="AK13" s="230">
        <f>'АПМДЗ АСУТП'!G13</f>
        <v>1.6</v>
      </c>
      <c r="AL13" s="230">
        <f>'АПМДЗ АСУТП'!K13</f>
        <v>1.6</v>
      </c>
      <c r="AM13" s="230">
        <f>'НСД АСУТП'!G13</f>
        <v>1.6</v>
      </c>
      <c r="AN13" s="230">
        <f>'НСД АСУТП'!K13</f>
        <v>1.6</v>
      </c>
      <c r="AO13" s="230">
        <f>'НСД АСУТП'!O13</f>
        <v>1.6</v>
      </c>
      <c r="AP13" s="230">
        <f>'MFA АСУТП'!G13</f>
        <v>32</v>
      </c>
      <c r="AQ13" s="230">
        <f>'MFA АСУТП'!K13</f>
        <v>32</v>
      </c>
      <c r="AR13" s="230">
        <f>'MFA АСУТП'!O13</f>
        <v>32</v>
      </c>
      <c r="AS13" s="230">
        <f>'MFA АСУТП'!S13</f>
        <v>32</v>
      </c>
      <c r="AT13" s="230">
        <f>'ДИОД АСУТП'!G13</f>
        <v>5</v>
      </c>
      <c r="AU13" s="230">
        <f>'ДИОД АСУТП'!K13</f>
        <v>5</v>
      </c>
      <c r="AV13" s="230">
        <f>'ДИОД АСУТП'!O13</f>
        <v>5</v>
      </c>
      <c r="AW13" s="230">
        <f>'ДИОД АСУТП'!S13</f>
        <v>5</v>
      </c>
      <c r="AX13" s="230">
        <f>'СЗВ АСУТП'!G13</f>
        <v>11.2</v>
      </c>
      <c r="AY13" s="230">
        <f>'СЗВ АСУТП'!K13</f>
        <v>12.6</v>
      </c>
      <c r="AZ13" s="230">
        <f>'СЗВ АСУТП'!O13</f>
        <v>9.7999999999999989</v>
      </c>
      <c r="BA13" s="230">
        <f>'SOAR АСУТП'!G13</f>
        <v>2</v>
      </c>
      <c r="BB13" s="230">
        <f>'SOAR АСУТП'!K13</f>
        <v>2</v>
      </c>
      <c r="BC13" s="230">
        <f>'SOAR АСУТП'!O13</f>
        <v>2</v>
      </c>
      <c r="BD13" s="230" t="e">
        <f>'SOAR АСУТП'!#REF!</f>
        <v>#REF!</v>
      </c>
      <c r="BE13" s="230">
        <f>'VDI АСУТП'!G13</f>
        <v>5.6</v>
      </c>
      <c r="BF13" s="230">
        <f>'VDI АСУТП'!K13</f>
        <v>8.3999999999999986</v>
      </c>
      <c r="BG13" s="230">
        <f>'VDI АСУТП'!O13</f>
        <v>8.3999999999999986</v>
      </c>
      <c r="BH13" s="230">
        <f>'VDI АСУТП'!S13</f>
        <v>8.3999999999999986</v>
      </c>
      <c r="BI13" s="230">
        <f>'VDI АСУТП'!W13</f>
        <v>8.3999999999999986</v>
      </c>
      <c r="BJ13" s="316">
        <f>'СУБД АСУТП'!G13</f>
        <v>1</v>
      </c>
      <c r="BK13" s="316">
        <f>'СУБД АСУТП'!K13</f>
        <v>1</v>
      </c>
      <c r="BL13" s="316">
        <f>'ГОССОПКА АСУТП'!G13</f>
        <v>32</v>
      </c>
      <c r="BM13" s="316">
        <f>'ГОССОПКА АСУТП'!K13</f>
        <v>32</v>
      </c>
      <c r="BN13" s="316">
        <f>'TLS АСУТП'!G13</f>
        <v>12</v>
      </c>
      <c r="BO13" s="316">
        <f>'TLS АСУТП'!K13</f>
        <v>12</v>
      </c>
      <c r="BP13" s="316">
        <f>'DCAP АСУТП'!G13</f>
        <v>8.3999999999999986</v>
      </c>
      <c r="BQ13" s="316">
        <f>'DCAP АСУТП'!K13</f>
        <v>8.3999999999999986</v>
      </c>
      <c r="BR13" s="316">
        <f>'DCAP АСУТП'!O13</f>
        <v>8.3999999999999986</v>
      </c>
      <c r="BS13" s="316">
        <f>'DO АСУТП'!G13</f>
        <v>2.5</v>
      </c>
      <c r="BT13" s="316">
        <f>'NTA АСУТП'!G13</f>
        <v>8.3999999999999986</v>
      </c>
      <c r="BU13" s="316">
        <f>'NTA АСУТП'!K13</f>
        <v>8.3999999999999986</v>
      </c>
      <c r="BV13" s="316">
        <f>'NTA АСУТП'!O13</f>
        <v>20</v>
      </c>
      <c r="BW13" s="316">
        <f>'NTA АСУТП'!S13</f>
        <v>8.3999999999999986</v>
      </c>
      <c r="BX13" s="316">
        <f>'SEG АСУТП'!G13</f>
        <v>8.3999999999999986</v>
      </c>
      <c r="BY13" s="316">
        <f>'APT АСУТП'!G13</f>
        <v>20</v>
      </c>
      <c r="BZ13" s="316">
        <f>'APT АСУТП'!K13</f>
        <v>20</v>
      </c>
      <c r="CA13" s="316">
        <f>'APT АСУТП'!O13</f>
        <v>20</v>
      </c>
      <c r="CB13" s="316">
        <f>'NAC АСУТП'!G13</f>
        <v>12</v>
      </c>
      <c r="CC13" s="316">
        <f>'SANDBOX АСУТП'!G13</f>
        <v>12</v>
      </c>
      <c r="CD13" s="316">
        <f>'SANDBOX АСУТП'!K13</f>
        <v>12</v>
      </c>
      <c r="CE13" s="316">
        <f>'EDR АСУТП'!G13</f>
        <v>2</v>
      </c>
      <c r="CF13" s="316">
        <f>'EDR АСУТП'!K13</f>
        <v>2</v>
      </c>
      <c r="CG13" s="316">
        <f>'WAF АСУТП'!G13</f>
        <v>12</v>
      </c>
      <c r="CH13" s="316">
        <f>'WAF АСУТП'!K13</f>
        <v>12</v>
      </c>
      <c r="CI13" s="316">
        <f>'WAF АСУТП'!O13</f>
        <v>12</v>
      </c>
      <c r="CJ13" s="316">
        <f>'ВМ ЗСВ'!G13</f>
        <v>7</v>
      </c>
      <c r="CK13" s="316">
        <f>'ВМ ЗСВ'!K13</f>
        <v>9.7999999999999989</v>
      </c>
      <c r="CL13" s="316">
        <f>'ВМ ЗСВ'!O13</f>
        <v>9.7999999999999989</v>
      </c>
      <c r="CM13" s="316">
        <f>'ВМ ЗСВ'!S13</f>
        <v>9.7999999999999989</v>
      </c>
      <c r="CN13" s="316">
        <f>'ВМ ЗСВ'!W13</f>
        <v>8.3999999999999986</v>
      </c>
      <c r="CO13" s="316">
        <f>'ВМ ЗСВ'!AA13</f>
        <v>11.2</v>
      </c>
      <c r="CP13" s="316">
        <f>'ВМ СПО'!G13</f>
        <v>1</v>
      </c>
      <c r="CQ13" s="316">
        <f>'ВМ СПО'!K13</f>
        <v>1</v>
      </c>
      <c r="CR13" s="316">
        <f>'ВМ СПО'!O13</f>
        <v>2</v>
      </c>
      <c r="CS13" s="316">
        <f>'ВМ СПО'!S13</f>
        <v>2</v>
      </c>
      <c r="CT13" s="316">
        <f>'ВМ АСО'!G13</f>
        <v>2</v>
      </c>
      <c r="CU13" s="316">
        <f>'ВМ АСО'!K13</f>
        <v>4</v>
      </c>
      <c r="CV13" s="16" t="e">
        <f>SUMPRODUCT(E13:CU13,$E$2:$CU$2) + D13</f>
        <v>#REF!</v>
      </c>
      <c r="CW13" s="25">
        <f>SUMPRODUCT(E13:L13,$E$2:$L$2) + D13</f>
        <v>2</v>
      </c>
      <c r="CX13" s="25">
        <f>SUMPRODUCT(M13:N13,$M$2:$N$2) + D13</f>
        <v>2.5</v>
      </c>
      <c r="CY13" s="25">
        <f>SUMPRODUCT(O13:Q13,$O$2:$Q$2) + D13</f>
        <v>0</v>
      </c>
      <c r="CZ13" s="25">
        <f>SUMPRODUCT(S13:U13,$S$2:$U$2) + $D13</f>
        <v>0</v>
      </c>
      <c r="DA13" s="25">
        <f>SUMPRODUCT(V13:Z13,$V$2:$Z$2) + $D13</f>
        <v>0</v>
      </c>
      <c r="DB13" s="25">
        <f>SUMPRODUCT(AA13:AE13,$AA$2:$AE$2) + $D13</f>
        <v>0</v>
      </c>
      <c r="DC13" s="25">
        <f>SUMPRODUCT(AF13:AG13,$AF$2:$AG$2) + $D13</f>
        <v>0</v>
      </c>
      <c r="DD13" s="25">
        <f>SUMPRODUCT(AH13:AJ13,$AH$2:$AJ$2) + $D13</f>
        <v>0</v>
      </c>
      <c r="DE13" s="25">
        <f>SUMPRODUCT(AK13:AL13,$AK$2:$AL$2) + $D13</f>
        <v>0</v>
      </c>
      <c r="DF13" s="25">
        <f>SUMPRODUCT(AM13:AO13,$AM$2:$AO$2) + $D13</f>
        <v>0</v>
      </c>
      <c r="DG13" s="25">
        <f>SUMPRODUCT(AP13:AS13,$AP$2:$AS$2) + $D13</f>
        <v>0</v>
      </c>
      <c r="DH13" s="25">
        <f>SUMPRODUCT(AT13:AW13,$AT$2:$AW$2) + $D13</f>
        <v>0</v>
      </c>
      <c r="DI13" s="25">
        <f>SUMPRODUCT(AX13:AZ13,$AX$2:$AZ$2) + $D13</f>
        <v>0</v>
      </c>
      <c r="DJ13" s="25" t="e">
        <f>SUMPRODUCT(BA13:BD13,$BA$2:$BD$2) + $D13</f>
        <v>#REF!</v>
      </c>
      <c r="DK13" s="25">
        <f>SUMPRODUCT(BE13:BI13,$BE$2:$BI$2) + $D13</f>
        <v>0</v>
      </c>
      <c r="DL13" s="25">
        <f>SUMPRODUCT(BJ13:BK13,$BJ$2:$BK$2) + $D13</f>
        <v>0</v>
      </c>
      <c r="DM13" s="25">
        <f>SUMPRODUCT(BL13:BM13,$BL$2:$BM$2) + $D13</f>
        <v>0</v>
      </c>
      <c r="DN13" s="25">
        <f>SUMPRODUCT(BN13:BO13,$BN$2:$BO$2) + $D13</f>
        <v>0</v>
      </c>
      <c r="DO13" s="25">
        <f>SUMPRODUCT(BP13:BR13,$BP$2:$BR$2) + $D13</f>
        <v>0</v>
      </c>
      <c r="DP13" s="25">
        <f>SUMPRODUCT(BS13:BS13,$BS$2:$BS$2) + $D13</f>
        <v>0</v>
      </c>
      <c r="DQ13" s="25">
        <f>SUMPRODUCT(BT13:BW13,$BT$2:$BW$2) + $D13</f>
        <v>0</v>
      </c>
      <c r="DR13" s="25">
        <f>SUMPRODUCT(BX13:BX13,$BX$2:$BX$2) + $D13</f>
        <v>0</v>
      </c>
      <c r="DS13" s="25">
        <f>SUMPRODUCT(BY13:CA13,$BY$2:$CA$2) + $D13</f>
        <v>0</v>
      </c>
      <c r="DT13" s="25">
        <f>SUMPRODUCT(CB13:CB13,$CB$2:$CB$2) + $D13</f>
        <v>0</v>
      </c>
      <c r="DU13" s="25">
        <f>SUMPRODUCT(CC13:CD13,$CC$2:$CD$2) + $D13</f>
        <v>0</v>
      </c>
      <c r="DV13" s="21">
        <f>SUMPRODUCT(CE13:CF13,$CE$2:$CF$2) + $D13</f>
        <v>0</v>
      </c>
      <c r="DW13" s="317">
        <f>SUMPRODUCT(CG13:CI13,$CG$2:$CI$2) + $D13</f>
        <v>0</v>
      </c>
      <c r="DX13" s="25">
        <f>SUMPRODUCT(CJ13:CO13,$CJ$2:$CO$2) + $D13</f>
        <v>0</v>
      </c>
      <c r="DY13" s="25">
        <f>SUMPRODUCT(CP13:CS13,$CP$2:$CS$2) + $D13</f>
        <v>0</v>
      </c>
      <c r="DZ13" s="619">
        <f>SUMPRODUCT(CT13:CU13,$CT$2:$CU$2) + $D13</f>
        <v>0</v>
      </c>
    </row>
    <row r="14" spans="1:220" ht="15.75" customHeight="1" thickBot="1" x14ac:dyDescent="0.3">
      <c r="A14" s="1907"/>
      <c r="B14" s="1909"/>
      <c r="C14" s="81" t="s">
        <v>34</v>
      </c>
      <c r="D14" s="77"/>
      <c r="E14" s="466">
        <f>'АВЗ АСУТП'!G14</f>
        <v>3</v>
      </c>
      <c r="F14" s="466">
        <f>'АВЗ АСУТП'!K14</f>
        <v>3</v>
      </c>
      <c r="G14" s="466">
        <f>'АВЗ АСУТП'!O14</f>
        <v>3</v>
      </c>
      <c r="H14" s="467">
        <f>'АВЗ АСУТП'!S14</f>
        <v>3</v>
      </c>
      <c r="I14" s="466">
        <f>'АВЗ АСУТП'!W14</f>
        <v>3</v>
      </c>
      <c r="J14" s="467">
        <f>'АВЗ АСУТП'!AA14</f>
        <v>3</v>
      </c>
      <c r="K14" s="467">
        <f>'АВЗ АСУТП'!AE14</f>
        <v>3</v>
      </c>
      <c r="L14" s="467">
        <f>'АВЗ АСУТП'!AI14</f>
        <v>3</v>
      </c>
      <c r="M14" s="467">
        <f>'SIEM АСУТП'!G14</f>
        <v>4.5</v>
      </c>
      <c r="N14" s="467">
        <f>'SIEM АСУТП'!K14</f>
        <v>4.5</v>
      </c>
      <c r="O14" s="467">
        <f>'МСЭ АСУТП'!G14</f>
        <v>7</v>
      </c>
      <c r="P14" s="468">
        <f>'МСЭ АСУТП'!K14</f>
        <v>7</v>
      </c>
      <c r="Q14" s="467">
        <f>'МСЭ АСУТП'!O14</f>
        <v>7</v>
      </c>
      <c r="R14" s="467">
        <f>'МСЭ АСУТП'!S14</f>
        <v>7</v>
      </c>
      <c r="S14" s="467">
        <f>'PAM АСУТП'!G14</f>
        <v>21</v>
      </c>
      <c r="T14" s="467">
        <f>'PAM АСУТП'!K14</f>
        <v>21</v>
      </c>
      <c r="U14" s="467">
        <f>'PAM АСУТП'!O14</f>
        <v>21</v>
      </c>
      <c r="V14" s="467">
        <f>'СКЗИ АСУТП'!G14</f>
        <v>16</v>
      </c>
      <c r="W14" s="467">
        <f>'СКЗИ АСУТП'!K14</f>
        <v>16</v>
      </c>
      <c r="X14" s="467">
        <f>'СКЗИ АСУТП'!O14</f>
        <v>16</v>
      </c>
      <c r="Y14" s="467">
        <f>'СКЗИ АСУТП'!S14</f>
        <v>16</v>
      </c>
      <c r="Z14" s="467">
        <f>'СКЗИ АСУТП'!W14</f>
        <v>16</v>
      </c>
      <c r="AA14" s="467">
        <f>'АЗ АСУТП'!G14</f>
        <v>5.6</v>
      </c>
      <c r="AB14" s="467">
        <f>'АЗ АСУТП'!K14</f>
        <v>5.6</v>
      </c>
      <c r="AC14" s="467">
        <f>'АЗ АСУТП'!O14</f>
        <v>5.6</v>
      </c>
      <c r="AD14" s="467">
        <f>'АЗ АСУТП'!S14</f>
        <v>5.6</v>
      </c>
      <c r="AE14" s="467">
        <f>'АЗ АСУТП'!W14</f>
        <v>5.6</v>
      </c>
      <c r="AF14" s="467">
        <f>'РК АСУТП'!G14</f>
        <v>7.2</v>
      </c>
      <c r="AG14" s="467">
        <f>'РК АСУТП'!K14</f>
        <v>7.2</v>
      </c>
      <c r="AH14" s="467">
        <f>'IDS АСУТП'!G14</f>
        <v>8</v>
      </c>
      <c r="AI14" s="467">
        <f>'IDS АСУТП'!K14</f>
        <v>8</v>
      </c>
      <c r="AJ14" s="467">
        <f>'IDS АСУТП'!O14</f>
        <v>8</v>
      </c>
      <c r="AK14" s="467">
        <f>'АПМДЗ АСУТП'!G14</f>
        <v>2.4000000000000004</v>
      </c>
      <c r="AL14" s="467">
        <f>'АПМДЗ АСУТП'!K14</f>
        <v>2.4000000000000004</v>
      </c>
      <c r="AM14" s="467">
        <f>'НСД АСУТП'!G14</f>
        <v>2.4000000000000004</v>
      </c>
      <c r="AN14" s="467">
        <f>'НСД АСУТП'!K14</f>
        <v>2.4000000000000004</v>
      </c>
      <c r="AO14" s="467">
        <f>'НСД АСУТП'!O14</f>
        <v>2.4000000000000004</v>
      </c>
      <c r="AP14" s="467">
        <f>'MFA АСУТП'!G14</f>
        <v>40</v>
      </c>
      <c r="AQ14" s="467">
        <f>'MFA АСУТП'!K14</f>
        <v>40</v>
      </c>
      <c r="AR14" s="467">
        <f>'MFA АСУТП'!O14</f>
        <v>40</v>
      </c>
      <c r="AS14" s="467">
        <f>'MFA АСУТП'!S14</f>
        <v>40</v>
      </c>
      <c r="AT14" s="467">
        <f>'ДИОД АСУТП'!G14</f>
        <v>9.5</v>
      </c>
      <c r="AU14" s="467">
        <f>'ДИОД АСУТП'!K14</f>
        <v>9.5</v>
      </c>
      <c r="AV14" s="467">
        <f>'ДИОД АСУТП'!O14</f>
        <v>9.5</v>
      </c>
      <c r="AW14" s="467">
        <f>'ДИОД АСУТП'!S14</f>
        <v>9.5</v>
      </c>
      <c r="AX14" s="467">
        <f>'СЗВ АСУТП'!G14</f>
        <v>14</v>
      </c>
      <c r="AY14" s="467">
        <f>'СЗВ АСУТП'!K14</f>
        <v>15.399999999999999</v>
      </c>
      <c r="AZ14" s="467">
        <f>'СЗВ АСУТП'!O14</f>
        <v>11.2</v>
      </c>
      <c r="BA14" s="467">
        <f>'SOAR АСУТП'!G14</f>
        <v>4</v>
      </c>
      <c r="BB14" s="467">
        <f>'SOAR АСУТП'!K14</f>
        <v>4</v>
      </c>
      <c r="BC14" s="467">
        <f>'SOAR АСУТП'!O14</f>
        <v>4</v>
      </c>
      <c r="BD14" s="467" t="e">
        <f>'SOAR АСУТП'!#REF!</f>
        <v>#REF!</v>
      </c>
      <c r="BE14" s="467">
        <f>'VDI АСУТП'!G14</f>
        <v>8.3999999999999986</v>
      </c>
      <c r="BF14" s="467">
        <f>'VDI АСУТП'!K14</f>
        <v>9.7999999999999989</v>
      </c>
      <c r="BG14" s="467">
        <f>'VDI АСУТП'!O14</f>
        <v>9.7999999999999989</v>
      </c>
      <c r="BH14" s="467">
        <f>'VDI АСУТП'!S14</f>
        <v>9.7999999999999989</v>
      </c>
      <c r="BI14" s="467">
        <f>'VDI АСУТП'!W14</f>
        <v>9.7999999999999989</v>
      </c>
      <c r="BJ14" s="466">
        <f>'СУБД АСУТП'!G14</f>
        <v>2</v>
      </c>
      <c r="BK14" s="466">
        <f>'СУБД АСУТП'!K14</f>
        <v>2</v>
      </c>
      <c r="BL14" s="466">
        <f>'ГОССОПКА АСУТП'!G14</f>
        <v>40</v>
      </c>
      <c r="BM14" s="466">
        <f>'ГОССОПКА АСУТП'!K14</f>
        <v>40</v>
      </c>
      <c r="BN14" s="466">
        <f>'TLS АСУТП'!G14</f>
        <v>16</v>
      </c>
      <c r="BO14" s="466">
        <f>'TLS АСУТП'!K14</f>
        <v>16</v>
      </c>
      <c r="BP14" s="466">
        <f>'DCAP АСУТП'!G14</f>
        <v>9.7999999999999989</v>
      </c>
      <c r="BQ14" s="466">
        <f>'DCAP АСУТП'!K14</f>
        <v>9.7999999999999989</v>
      </c>
      <c r="BR14" s="466">
        <f>'DCAP АСУТП'!O14</f>
        <v>9.7999999999999989</v>
      </c>
      <c r="BS14" s="466">
        <f>'DO АСУТП'!G14</f>
        <v>4.5</v>
      </c>
      <c r="BT14" s="466">
        <f>'NTA АСУТП'!G14</f>
        <v>9.7999999999999989</v>
      </c>
      <c r="BU14" s="466">
        <f>'NTA АСУТП'!K14</f>
        <v>9.7999999999999989</v>
      </c>
      <c r="BV14" s="466">
        <f>'NTA АСУТП'!O14</f>
        <v>24</v>
      </c>
      <c r="BW14" s="466">
        <f>'NTA АСУТП'!S14</f>
        <v>9.7999999999999989</v>
      </c>
      <c r="BX14" s="466">
        <f>'SEG АСУТП'!G14</f>
        <v>9.7999999999999989</v>
      </c>
      <c r="BY14" s="466">
        <f>'APT АСУТП'!G14</f>
        <v>20</v>
      </c>
      <c r="BZ14" s="466">
        <f>'APT АСУТП'!K14</f>
        <v>20</v>
      </c>
      <c r="CA14" s="466">
        <f>'APT АСУТП'!O14</f>
        <v>20</v>
      </c>
      <c r="CB14" s="466">
        <f>'NAC АСУТП'!G14</f>
        <v>16</v>
      </c>
      <c r="CC14" s="466">
        <f>'SANDBOX АСУТП'!G14</f>
        <v>16</v>
      </c>
      <c r="CD14" s="466">
        <f>'SANDBOX АСУТП'!K14</f>
        <v>16</v>
      </c>
      <c r="CE14" s="466">
        <f>'EDR АСУТП'!G14</f>
        <v>3</v>
      </c>
      <c r="CF14" s="466">
        <f>'EDR АСУТП'!K14</f>
        <v>3</v>
      </c>
      <c r="CG14" s="466">
        <f>'WAF АСУТП'!G14</f>
        <v>16</v>
      </c>
      <c r="CH14" s="466">
        <f>'WAF АСУТП'!K14</f>
        <v>16</v>
      </c>
      <c r="CI14" s="466">
        <f>'WAF АСУТП'!O14</f>
        <v>16</v>
      </c>
      <c r="CJ14" s="622">
        <f>'ВМ ЗСВ'!G14</f>
        <v>8.3999999999999986</v>
      </c>
      <c r="CK14" s="622">
        <f>'ВМ ЗСВ'!K14</f>
        <v>11.2</v>
      </c>
      <c r="CL14" s="742">
        <f>'ВМ ЗСВ'!O14</f>
        <v>12.6</v>
      </c>
      <c r="CM14" s="742">
        <f>'ВМ ЗСВ'!S14</f>
        <v>12.6</v>
      </c>
      <c r="CN14" s="742">
        <f>'ВМ ЗСВ'!W14</f>
        <v>11.2</v>
      </c>
      <c r="CO14" s="742">
        <f>'ВМ ЗСВ'!AA14</f>
        <v>14</v>
      </c>
      <c r="CP14" s="622">
        <f>'ВМ СПО'!G14</f>
        <v>2</v>
      </c>
      <c r="CQ14" s="742">
        <f>'ВМ СПО'!K14</f>
        <v>2</v>
      </c>
      <c r="CR14" s="742">
        <f>'ВМ СПО'!O14</f>
        <v>4</v>
      </c>
      <c r="CS14" s="742">
        <f>'ВМ СПО'!S14</f>
        <v>4</v>
      </c>
      <c r="CT14" s="742">
        <f>'ВМ АСО'!G14</f>
        <v>4</v>
      </c>
      <c r="CU14" s="742">
        <f>'ВМ АСО'!K14</f>
        <v>8</v>
      </c>
      <c r="CV14" s="192" t="e">
        <f>SUMPRODUCT(E14:CU14,$E$2:$CU$2) + D14</f>
        <v>#REF!</v>
      </c>
      <c r="CW14" s="392">
        <f>SUMPRODUCT(E14:L14,$E$2:$L$2) + D14</f>
        <v>3</v>
      </c>
      <c r="CX14" s="392">
        <f>SUMPRODUCT(M14:N14,$M$2:$N$2) + D14</f>
        <v>4.5</v>
      </c>
      <c r="CY14" s="392">
        <f>SUMPRODUCT(O14:Q14,$O$2:$Q$2) + D14</f>
        <v>0</v>
      </c>
      <c r="CZ14" s="392">
        <f>SUMPRODUCT(S14:U14,$S$2:$U$2) + $D14</f>
        <v>0</v>
      </c>
      <c r="DA14" s="392">
        <f>SUMPRODUCT(V14:Z14,$V$2:$Z$2) + $D14</f>
        <v>0</v>
      </c>
      <c r="DB14" s="392">
        <f>SUMPRODUCT(AA14:AE14,$AA$2:$AE$2) + $D14</f>
        <v>0</v>
      </c>
      <c r="DC14" s="392">
        <f>SUMPRODUCT(AF14:AG14,$AF$2:$AG$2) + $D14</f>
        <v>0</v>
      </c>
      <c r="DD14" s="392">
        <f>SUMPRODUCT(AH14:AJ14,$AH$2:$AJ$2) + $D14</f>
        <v>0</v>
      </c>
      <c r="DE14" s="392">
        <f>SUMPRODUCT(AK14:AL14,$AK$2:$AL$2) + $D14</f>
        <v>0</v>
      </c>
      <c r="DF14" s="392">
        <f>SUMPRODUCT(AM14:AO14,$AM$2:$AO$2) + $D14</f>
        <v>0</v>
      </c>
      <c r="DG14" s="392">
        <f>SUMPRODUCT(AP14:AS14,$AP$2:$AS$2) + $D14</f>
        <v>0</v>
      </c>
      <c r="DH14" s="392">
        <f>SUMPRODUCT(AT14:AW14,$AT$2:$AW$2) + $D14</f>
        <v>0</v>
      </c>
      <c r="DI14" s="392">
        <f>SUMPRODUCT(AX14:AZ14,$AX$2:$AZ$2) + $D14</f>
        <v>0</v>
      </c>
      <c r="DJ14" s="392" t="e">
        <f>SUMPRODUCT(BA14:BD14,$BA$2:$BD$2) + $D14</f>
        <v>#REF!</v>
      </c>
      <c r="DK14" s="392">
        <f>SUMPRODUCT(BE14:BI14,$BE$2:$BI$2) + $D14</f>
        <v>0</v>
      </c>
      <c r="DL14" s="392">
        <f>SUMPRODUCT(BJ14:BK14,$BJ$2:$BK$2) + $D14</f>
        <v>0</v>
      </c>
      <c r="DM14" s="392">
        <f>SUMPRODUCT(BL14:BM14,$BL$2:$BM$2) + $D14</f>
        <v>0</v>
      </c>
      <c r="DN14" s="392">
        <f>SUMPRODUCT(BN14:BO14,$BN$2:$BO$2) + $D14</f>
        <v>0</v>
      </c>
      <c r="DO14" s="392">
        <f>SUMPRODUCT(BP14:BR14,$BP$2:$BR$2) + $D14</f>
        <v>0</v>
      </c>
      <c r="DP14" s="392">
        <f>SUMPRODUCT(BS14:BS14,$BS$2:$BS$2) + $D14</f>
        <v>0</v>
      </c>
      <c r="DQ14" s="392">
        <f>SUMPRODUCT(BT14:BW14,$BT$2:$BW$2) + $D14</f>
        <v>0</v>
      </c>
      <c r="DR14" s="392">
        <f>SUMPRODUCT(BX14:BX14,$BX$2:$BX$2) + $D14</f>
        <v>0</v>
      </c>
      <c r="DS14" s="392">
        <f>SUMPRODUCT(BY14:CA14,$BY$2:$CA$2) + $D14</f>
        <v>0</v>
      </c>
      <c r="DT14" s="392">
        <f>SUMPRODUCT(CB14:CB14,$CB$2:$CB$2) + $D14</f>
        <v>0</v>
      </c>
      <c r="DU14" s="392">
        <f>SUMPRODUCT(CC14:CD14,$CC$2:$CD$2) + $D14</f>
        <v>0</v>
      </c>
      <c r="DV14" s="77">
        <f>SUMPRODUCT(CE14:CF14,$CE$2:$CF$2) + $D14</f>
        <v>0</v>
      </c>
      <c r="DW14" s="468">
        <f>SUMPRODUCT(CG14:CI14,$CG$2:$CI$2) + $D14</f>
        <v>0</v>
      </c>
      <c r="DX14" s="777">
        <f>SUMPRODUCT(CJ14:CO14,$CJ$2:$CO$2) + $D14</f>
        <v>0</v>
      </c>
      <c r="DY14" s="777">
        <f>SUMPRODUCT(CP14:CS14,$CP$2:$CS$2) + $D14</f>
        <v>0</v>
      </c>
      <c r="DZ14" s="778">
        <f>SUMPRODUCT(CT14:CU14,$CT$2:$CU$2) + $D14</f>
        <v>0</v>
      </c>
    </row>
    <row r="15" spans="1:220" ht="16.5" thickBot="1" x14ac:dyDescent="0.3">
      <c r="A15" s="330" t="s">
        <v>3</v>
      </c>
      <c r="B15" s="329"/>
      <c r="C15" s="329"/>
      <c r="D15" s="327"/>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c r="BL15" s="393"/>
      <c r="BM15" s="393"/>
      <c r="BN15" s="393"/>
      <c r="BO15" s="393"/>
      <c r="BP15" s="393"/>
      <c r="BQ15" s="393"/>
      <c r="BR15" s="393"/>
      <c r="BS15" s="393"/>
      <c r="BT15" s="393"/>
      <c r="BU15" s="393"/>
      <c r="BV15" s="393"/>
      <c r="BW15" s="393"/>
      <c r="BX15" s="393"/>
      <c r="BY15" s="393"/>
      <c r="BZ15" s="393"/>
      <c r="CA15" s="393"/>
      <c r="CB15" s="393"/>
      <c r="CC15" s="393"/>
      <c r="CD15" s="393"/>
      <c r="CE15" s="393"/>
      <c r="CF15" s="393"/>
      <c r="CG15" s="393"/>
      <c r="CH15" s="393"/>
      <c r="CI15" s="393"/>
      <c r="CJ15" s="783"/>
      <c r="CK15" s="783"/>
      <c r="CL15" s="783"/>
      <c r="CM15" s="783"/>
      <c r="CN15" s="783"/>
      <c r="CO15" s="783"/>
      <c r="CP15" s="783"/>
      <c r="CQ15" s="783"/>
      <c r="CR15" s="783"/>
      <c r="CS15" s="783"/>
      <c r="CT15" s="783"/>
      <c r="CU15" s="783"/>
      <c r="CV15" s="329"/>
      <c r="CW15" s="329"/>
      <c r="CX15" s="329"/>
      <c r="CY15" s="329"/>
      <c r="CZ15" s="329"/>
      <c r="DA15" s="329"/>
      <c r="DB15" s="329"/>
      <c r="DC15" s="329"/>
      <c r="DD15" s="329"/>
      <c r="DE15" s="329"/>
      <c r="DF15" s="329"/>
      <c r="DG15" s="329"/>
      <c r="DH15" s="329"/>
      <c r="DI15" s="329"/>
      <c r="DJ15" s="329"/>
      <c r="DK15" s="329"/>
      <c r="DL15" s="329"/>
      <c r="DM15" s="329"/>
      <c r="DN15" s="329"/>
      <c r="DO15" s="329"/>
      <c r="DP15" s="329"/>
      <c r="DQ15" s="329"/>
      <c r="DR15" s="329"/>
      <c r="DS15" s="329"/>
      <c r="DT15" s="329"/>
      <c r="DU15" s="329"/>
      <c r="DV15" s="329"/>
      <c r="DW15" s="329"/>
      <c r="DX15" s="783"/>
      <c r="DY15" s="783"/>
      <c r="DZ15" s="782"/>
    </row>
    <row r="16" spans="1:220" ht="15" customHeight="1" x14ac:dyDescent="0.25">
      <c r="A16" s="1914" t="s">
        <v>4</v>
      </c>
      <c r="B16" s="1909">
        <f>IF('Тип разраб-ой док-ции'!F9=1,1,0)</f>
        <v>1</v>
      </c>
      <c r="C16" s="325" t="s">
        <v>32</v>
      </c>
      <c r="D16" s="230"/>
      <c r="E16" s="316">
        <f>'АВЗ АСУТП'!G16</f>
        <v>0.25</v>
      </c>
      <c r="F16" s="316">
        <f>'АВЗ АСУТП'!K16</f>
        <v>0.25</v>
      </c>
      <c r="G16" s="316">
        <f>'АВЗ АСУТП'!O16</f>
        <v>0.25</v>
      </c>
      <c r="H16" s="230">
        <f>'АВЗ АСУТП'!S16</f>
        <v>0.25</v>
      </c>
      <c r="I16" s="316">
        <f>'АВЗ АСУТП'!W16</f>
        <v>0.25</v>
      </c>
      <c r="J16" s="230">
        <f>'АВЗ АСУТП'!AA16</f>
        <v>0.25</v>
      </c>
      <c r="K16" s="230">
        <f>'АВЗ АСУТП'!AE16</f>
        <v>0.25</v>
      </c>
      <c r="L16" s="230">
        <f>'АВЗ АСУТП'!AI16</f>
        <v>0.25</v>
      </c>
      <c r="M16" s="230">
        <f>'SIEM АСУТП'!G16</f>
        <v>0.25</v>
      </c>
      <c r="N16" s="230">
        <f>'SIEM АСУТП'!K16</f>
        <v>0.25</v>
      </c>
      <c r="O16" s="230">
        <f>'МСЭ АСУТП'!G16</f>
        <v>0.25</v>
      </c>
      <c r="P16" s="317">
        <f>'МСЭ АСУТП'!K16</f>
        <v>0.25</v>
      </c>
      <c r="Q16" s="230">
        <f>'МСЭ АСУТП'!O16</f>
        <v>0.25</v>
      </c>
      <c r="R16" s="230">
        <f>'МСЭ АСУТП'!S16</f>
        <v>0.25</v>
      </c>
      <c r="S16" s="230">
        <f>'PAM АСУТП'!G16</f>
        <v>0.25</v>
      </c>
      <c r="T16" s="230">
        <f>'PAM АСУТП'!K16</f>
        <v>0.25</v>
      </c>
      <c r="U16" s="230">
        <f>'PAM АСУТП'!O16</f>
        <v>0.25</v>
      </c>
      <c r="V16" s="230">
        <f>'СКЗИ АСУТП'!G16</f>
        <v>0.25</v>
      </c>
      <c r="W16" s="230">
        <f>'СКЗИ АСУТП'!K16</f>
        <v>0.25</v>
      </c>
      <c r="X16" s="230">
        <f>'СКЗИ АСУТП'!O16</f>
        <v>0.25</v>
      </c>
      <c r="Y16" s="230">
        <f>'СКЗИ АСУТП'!S16</f>
        <v>0.25</v>
      </c>
      <c r="Z16" s="230">
        <f>'СКЗИ АСУТП'!W16</f>
        <v>0.25</v>
      </c>
      <c r="AA16" s="230">
        <f>'АЗ АСУТП'!G16</f>
        <v>0.25</v>
      </c>
      <c r="AB16" s="230">
        <f>'АЗ АСУТП'!K16</f>
        <v>0.25</v>
      </c>
      <c r="AC16" s="230">
        <f>'АЗ АСУТП'!O16</f>
        <v>0.25</v>
      </c>
      <c r="AD16" s="230">
        <f>'АЗ АСУТП'!S16</f>
        <v>0.25</v>
      </c>
      <c r="AE16" s="230">
        <f>'АЗ АСУТП'!W16</f>
        <v>0.25</v>
      </c>
      <c r="AF16" s="230">
        <f>'РК АСУТП'!G16</f>
        <v>0</v>
      </c>
      <c r="AG16" s="230">
        <f>'РК АСУТП'!K16</f>
        <v>1</v>
      </c>
      <c r="AH16" s="230">
        <f>'IDS АСУТП'!G16</f>
        <v>0.25</v>
      </c>
      <c r="AI16" s="230">
        <f>'IDS АСУТП'!K16</f>
        <v>0.25</v>
      </c>
      <c r="AJ16" s="230">
        <f>'IDS АСУТП'!O16</f>
        <v>0.25</v>
      </c>
      <c r="AK16" s="230">
        <f>'АПМДЗ АСУТП'!G16</f>
        <v>0.25</v>
      </c>
      <c r="AL16" s="230">
        <f>'АПМДЗ АСУТП'!K16</f>
        <v>0.25</v>
      </c>
      <c r="AM16" s="230">
        <f>'НСД АСУТП'!G16</f>
        <v>0.25</v>
      </c>
      <c r="AN16" s="230">
        <f>'НСД АСУТП'!K16</f>
        <v>0.25</v>
      </c>
      <c r="AO16" s="230">
        <f>'НСД АСУТП'!O16</f>
        <v>0.25</v>
      </c>
      <c r="AP16" s="230">
        <f>'MFA АСУТП'!G16</f>
        <v>0.25</v>
      </c>
      <c r="AQ16" s="230">
        <f>'MFA АСУТП'!K16</f>
        <v>0.25</v>
      </c>
      <c r="AR16" s="230">
        <f>'MFA АСУТП'!O16</f>
        <v>0.25</v>
      </c>
      <c r="AS16" s="230">
        <f>'MFA АСУТП'!S16</f>
        <v>0.25</v>
      </c>
      <c r="AT16" s="230">
        <f>'ДИОД АСУТП'!G16</f>
        <v>0</v>
      </c>
      <c r="AU16" s="230">
        <f>'ДИОД АСУТП'!K16</f>
        <v>0</v>
      </c>
      <c r="AV16" s="230">
        <f>'ДИОД АСУТП'!O16</f>
        <v>0</v>
      </c>
      <c r="AW16" s="230">
        <f>'ДИОД АСУТП'!S16</f>
        <v>0</v>
      </c>
      <c r="AX16" s="230">
        <f>'СЗВ АСУТП'!G16</f>
        <v>1</v>
      </c>
      <c r="AY16" s="230">
        <f>'СЗВ АСУТП'!K16</f>
        <v>1</v>
      </c>
      <c r="AZ16" s="230">
        <f>'СЗВ АСУТП'!O16</f>
        <v>1</v>
      </c>
      <c r="BA16" s="230">
        <f>'SOAR АСУТП'!G16</f>
        <v>0.25</v>
      </c>
      <c r="BB16" s="230">
        <f>'SOAR АСУТП'!K16</f>
        <v>0.25</v>
      </c>
      <c r="BC16" s="230">
        <f>'SOAR АСУТП'!O16</f>
        <v>0.25</v>
      </c>
      <c r="BD16" s="230" t="e">
        <f>'SOAR АСУТП'!#REF!</f>
        <v>#REF!</v>
      </c>
      <c r="BE16" s="230">
        <f>'VDI АСУТП'!G16</f>
        <v>0.25</v>
      </c>
      <c r="BF16" s="230">
        <f>'VDI АСУТП'!K16</f>
        <v>0.25</v>
      </c>
      <c r="BG16" s="230">
        <f>'VDI АСУТП'!O16</f>
        <v>0.25</v>
      </c>
      <c r="BH16" s="230">
        <f>'VDI АСУТП'!S16</f>
        <v>0.25</v>
      </c>
      <c r="BI16" s="230">
        <f>'VDI АСУТП'!W16</f>
        <v>0.25</v>
      </c>
      <c r="BJ16" s="316">
        <f>'СУБД АСУТП'!G16</f>
        <v>0</v>
      </c>
      <c r="BK16" s="316">
        <f>'СУБД АСУТП'!K16</f>
        <v>0</v>
      </c>
      <c r="BL16" s="316">
        <f>'ГОССОПКА АСУТП'!G16</f>
        <v>0.25</v>
      </c>
      <c r="BM16" s="316">
        <f>'ГОССОПКА АСУТП'!K16</f>
        <v>0.25</v>
      </c>
      <c r="BN16" s="316">
        <f>'TLS АСУТП'!G16</f>
        <v>0.25</v>
      </c>
      <c r="BO16" s="316">
        <f>'TLS АСУТП'!K16</f>
        <v>0.25</v>
      </c>
      <c r="BP16" s="316">
        <f>'DCAP АСУТП'!G16</f>
        <v>0.25</v>
      </c>
      <c r="BQ16" s="316">
        <f>'DCAP АСУТП'!K16</f>
        <v>0.25</v>
      </c>
      <c r="BR16" s="316">
        <f>'DCAP АСУТП'!O16</f>
        <v>0.25</v>
      </c>
      <c r="BS16" s="316">
        <f>'DO АСУТП'!G16</f>
        <v>0.25</v>
      </c>
      <c r="BT16" s="316">
        <f>'NTA АСУТП'!G16</f>
        <v>0.25</v>
      </c>
      <c r="BU16" s="316">
        <f>'NTA АСУТП'!K16</f>
        <v>0.25</v>
      </c>
      <c r="BV16" s="316">
        <f>'NTA АСУТП'!O16</f>
        <v>0.25</v>
      </c>
      <c r="BW16" s="316">
        <f>'NTA АСУТП'!S16</f>
        <v>0.25</v>
      </c>
      <c r="BX16" s="316">
        <f>'SEG АСУТП'!G16</f>
        <v>0.25</v>
      </c>
      <c r="BY16" s="316">
        <f>'APT АСУТП'!G16</f>
        <v>0.25</v>
      </c>
      <c r="BZ16" s="316">
        <f>'APT АСУТП'!K16</f>
        <v>0.25</v>
      </c>
      <c r="CA16" s="316">
        <f>'APT АСУТП'!O16</f>
        <v>0.25</v>
      </c>
      <c r="CB16" s="316">
        <f>'NAC АСУТП'!G16</f>
        <v>0.25</v>
      </c>
      <c r="CC16" s="316">
        <f>'SANDBOX АСУТП'!G16</f>
        <v>0.25</v>
      </c>
      <c r="CD16" s="316">
        <f>'SANDBOX АСУТП'!K16</f>
        <v>0.25</v>
      </c>
      <c r="CE16" s="316">
        <f>'EDR АСУТП'!G16</f>
        <v>0.25</v>
      </c>
      <c r="CF16" s="316">
        <f>'EDR АСУТП'!K16</f>
        <v>0.25</v>
      </c>
      <c r="CG16" s="316">
        <f>'WAF АСУТП'!G16</f>
        <v>0.25</v>
      </c>
      <c r="CH16" s="316">
        <f>'WAF АСУТП'!K16</f>
        <v>0.25</v>
      </c>
      <c r="CI16" s="316">
        <f>'WAF АСУТП'!O16</f>
        <v>0.25</v>
      </c>
      <c r="CJ16" s="316">
        <f>'ВМ ЗСВ'!G16</f>
        <v>1</v>
      </c>
      <c r="CK16" s="316">
        <f>'ВМ ЗСВ'!K16</f>
        <v>1</v>
      </c>
      <c r="CL16" s="316">
        <f>'ВМ ЗСВ'!O16</f>
        <v>1</v>
      </c>
      <c r="CM16" s="316">
        <f>'ВМ ЗСВ'!S16</f>
        <v>1</v>
      </c>
      <c r="CN16" s="316">
        <f>'ВМ ЗСВ'!W16</f>
        <v>1</v>
      </c>
      <c r="CO16" s="316">
        <f>'ВМ ЗСВ'!AA16</f>
        <v>1</v>
      </c>
      <c r="CP16" s="316">
        <f>'ВМ СПО'!G16</f>
        <v>0</v>
      </c>
      <c r="CQ16" s="316">
        <f>'ВМ СПО'!K16</f>
        <v>0</v>
      </c>
      <c r="CR16" s="316">
        <f>'ВМ СПО'!O16</f>
        <v>0</v>
      </c>
      <c r="CS16" s="316">
        <f>'ВМ СПО'!S16</f>
        <v>0</v>
      </c>
      <c r="CT16" s="316">
        <f>'ВМ АСО'!G16</f>
        <v>0</v>
      </c>
      <c r="CU16" s="316">
        <f>'ВМ АСО'!K16</f>
        <v>0</v>
      </c>
      <c r="CV16" s="316" t="e">
        <f t="shared" ref="CV16:CV36" si="31">SUMPRODUCT(E16:CU16,$E$2:$CU$2) + D16</f>
        <v>#REF!</v>
      </c>
      <c r="CW16" s="317">
        <f t="shared" ref="CW16:CW36" si="32">SUMPRODUCT(E16:L16,$E$2:$L$2) + D16</f>
        <v>0.25</v>
      </c>
      <c r="CX16" s="317">
        <f t="shared" ref="CX16:CX36" si="33">SUMPRODUCT(M16:N16,$M$2:$N$2) + D16</f>
        <v>0.25</v>
      </c>
      <c r="CY16" s="317">
        <f t="shared" ref="CY16:CY36" si="34">SUMPRODUCT(O16:Q16,$O$2:$Q$2) + D16</f>
        <v>0</v>
      </c>
      <c r="CZ16" s="317">
        <f t="shared" ref="CZ16:CZ36" si="35">SUMPRODUCT(S16:U16,$S$2:$U$2) + $D16</f>
        <v>0</v>
      </c>
      <c r="DA16" s="317">
        <f t="shared" ref="DA16:DA36" si="36">SUMPRODUCT(V16:Z16,$V$2:$Z$2) + $D16</f>
        <v>0</v>
      </c>
      <c r="DB16" s="317">
        <f t="shared" ref="DB16:DB36" si="37">SUMPRODUCT(AA16:AE16,$AA$2:$AE$2) + $D16</f>
        <v>0</v>
      </c>
      <c r="DC16" s="317">
        <f t="shared" ref="DC16:DC36" si="38">SUMPRODUCT(AF16:AG16,$AF$2:$AG$2) + $D16</f>
        <v>0</v>
      </c>
      <c r="DD16" s="317">
        <f t="shared" ref="DD16:DD36" si="39">SUMPRODUCT(AH16:AJ16,$AH$2:$AJ$2) + $D16</f>
        <v>0</v>
      </c>
      <c r="DE16" s="317">
        <f t="shared" ref="DE16:DE36" si="40">SUMPRODUCT(AK16:AL16,$AK$2:$AL$2) + $D16</f>
        <v>0</v>
      </c>
      <c r="DF16" s="317">
        <f t="shared" ref="DF16:DF36" si="41">SUMPRODUCT(AM16:AO16,$AM$2:$AO$2) + $D16</f>
        <v>0</v>
      </c>
      <c r="DG16" s="317">
        <f t="shared" ref="DG16:DG36" si="42">SUMPRODUCT(AP16:AS16,$AP$2:$AS$2) + $D16</f>
        <v>0</v>
      </c>
      <c r="DH16" s="317">
        <f t="shared" ref="DH16:DH36" si="43">SUMPRODUCT(AT16:AW16,$AT$2:$AW$2) + $D16</f>
        <v>0</v>
      </c>
      <c r="DI16" s="317">
        <f t="shared" ref="DI16:DI36" si="44">SUMPRODUCT(AX16:AZ16,$AX$2:$AZ$2) + $D16</f>
        <v>0</v>
      </c>
      <c r="DJ16" s="317" t="e">
        <f t="shared" ref="DJ16:DJ36" si="45">SUMPRODUCT(BA16:BD16,$BA$2:$BD$2) + $D16</f>
        <v>#REF!</v>
      </c>
      <c r="DK16" s="317">
        <f t="shared" ref="DK16:DK36" si="46">SUMPRODUCT(BE16:BI16,$BE$2:$BI$2) + $D16</f>
        <v>0</v>
      </c>
      <c r="DL16" s="317">
        <f t="shared" ref="DL16:DL36" si="47">SUMPRODUCT(BJ16:BK16,$BJ$2:$BK$2) + $D16</f>
        <v>0</v>
      </c>
      <c r="DM16" s="317">
        <f t="shared" ref="DM16:DM36" si="48">SUMPRODUCT(BL16:BM16,$BL$2:$BM$2) + $D16</f>
        <v>0</v>
      </c>
      <c r="DN16" s="317">
        <f t="shared" ref="DN16:DN36" si="49">SUMPRODUCT(BN16:BO16,$BN$2:$BO$2) + $D16</f>
        <v>0</v>
      </c>
      <c r="DO16" s="317">
        <f t="shared" ref="DO16:DO36" si="50">SUMPRODUCT(BP16:BR16,$BP$2:$BR$2) + $D16</f>
        <v>0</v>
      </c>
      <c r="DP16" s="317">
        <f t="shared" ref="DP16:DP36" si="51">SUMPRODUCT(BS16:BS16,$BS$2:$BS$2) + $D16</f>
        <v>0</v>
      </c>
      <c r="DQ16" s="317">
        <f t="shared" ref="DQ16:DQ36" si="52">SUMPRODUCT(BT16:BW16,$BT$2:$BW$2) + $D16</f>
        <v>0</v>
      </c>
      <c r="DR16" s="317">
        <f t="shared" ref="DR16:DR36" si="53">SUMPRODUCT(BX16:BX16,$BX$2:$BX$2) + $D16</f>
        <v>0</v>
      </c>
      <c r="DS16" s="317">
        <f t="shared" ref="DS16:DS36" si="54">SUMPRODUCT(BY16:CA16,$BY$2:$CA$2) + $D16</f>
        <v>0</v>
      </c>
      <c r="DT16" s="317">
        <f t="shared" ref="DT16:DT36" si="55">SUMPRODUCT(CB16:CB16,$CB$2:$CB$2) + $D16</f>
        <v>0</v>
      </c>
      <c r="DU16" s="317">
        <f t="shared" ref="DU16:DU36" si="56">SUMPRODUCT(CC16:CD16,$CC$2:$CD$2) + $D16</f>
        <v>0</v>
      </c>
      <c r="DV16" s="230">
        <f t="shared" ref="DV16:DV36" si="57">SUMPRODUCT(CE16:CF16,$CE$2:$CF$2) + $D16</f>
        <v>0</v>
      </c>
      <c r="DW16" s="317">
        <f t="shared" ref="DW16:DW36" si="58">SUMPRODUCT(CG16:CI16,$CG$2:$CI$2) + $D16</f>
        <v>0</v>
      </c>
      <c r="DX16" s="317">
        <f t="shared" ref="DX16:DX36" si="59">SUMPRODUCT(CJ16:CO16,$CJ$2:$CO$2) + $D16</f>
        <v>0</v>
      </c>
      <c r="DY16" s="317">
        <f t="shared" ref="DY16:DY36" si="60">SUMPRODUCT(CP16:CS16,$CP$2:$CS$2) + $D16</f>
        <v>0</v>
      </c>
      <c r="DZ16" s="230">
        <f t="shared" ref="DZ16:DZ36" si="61">SUMPRODUCT(CT16:CU16,$CT$2:$CU$2) + $D16</f>
        <v>0</v>
      </c>
    </row>
    <row r="17" spans="1:220" ht="15" customHeight="1" x14ac:dyDescent="0.25">
      <c r="A17" s="1915"/>
      <c r="B17" s="1909"/>
      <c r="C17" s="18" t="s">
        <v>33</v>
      </c>
      <c r="D17" s="21"/>
      <c r="E17" s="316">
        <f>'АВЗ АСУТП'!G17</f>
        <v>0</v>
      </c>
      <c r="F17" s="316">
        <f>'АВЗ АСУТП'!K17</f>
        <v>0</v>
      </c>
      <c r="G17" s="316">
        <f>'АВЗ АСУТП'!O17</f>
        <v>0</v>
      </c>
      <c r="H17" s="230">
        <f>'АВЗ АСУТП'!S17</f>
        <v>0</v>
      </c>
      <c r="I17" s="316">
        <f>'АВЗ АСУТП'!W17</f>
        <v>0</v>
      </c>
      <c r="J17" s="230">
        <f>'АВЗ АСУТП'!AA17</f>
        <v>0</v>
      </c>
      <c r="K17" s="230">
        <f>'АВЗ АСУТП'!AE17</f>
        <v>0</v>
      </c>
      <c r="L17" s="230">
        <f>'АВЗ АСУТП'!AI17</f>
        <v>0</v>
      </c>
      <c r="M17" s="230">
        <f>'SIEM АСУТП'!G17</f>
        <v>0</v>
      </c>
      <c r="N17" s="230">
        <f>'SIEM АСУТП'!K17</f>
        <v>0</v>
      </c>
      <c r="O17" s="230">
        <f>'МСЭ АСУТП'!G17</f>
        <v>0.25</v>
      </c>
      <c r="P17" s="317">
        <f>'МСЭ АСУТП'!K17</f>
        <v>0.25</v>
      </c>
      <c r="Q17" s="230">
        <f>'МСЭ АСУТП'!O17</f>
        <v>0.25</v>
      </c>
      <c r="R17" s="230">
        <f>'МСЭ АСУТП'!S17</f>
        <v>0.25</v>
      </c>
      <c r="S17" s="230">
        <f>'PAM АСУТП'!G17</f>
        <v>0.25</v>
      </c>
      <c r="T17" s="230">
        <f>'PAM АСУТП'!K17</f>
        <v>0.25</v>
      </c>
      <c r="U17" s="230">
        <f>'PAM АСУТП'!O17</f>
        <v>0.25</v>
      </c>
      <c r="V17" s="230">
        <f>'СКЗИ АСУТП'!G17</f>
        <v>0.25</v>
      </c>
      <c r="W17" s="230">
        <f>'СКЗИ АСУТП'!K17</f>
        <v>0.25</v>
      </c>
      <c r="X17" s="230">
        <f>'СКЗИ АСУТП'!O17</f>
        <v>0.25</v>
      </c>
      <c r="Y17" s="230">
        <f>'СКЗИ АСУТП'!S17</f>
        <v>0.25</v>
      </c>
      <c r="Z17" s="230">
        <f>'СКЗИ АСУТП'!W17</f>
        <v>0.25</v>
      </c>
      <c r="AA17" s="230">
        <f>'АЗ АСУТП'!G17</f>
        <v>0.25</v>
      </c>
      <c r="AB17" s="230">
        <f>'АЗ АСУТП'!K17</f>
        <v>0.25</v>
      </c>
      <c r="AC17" s="230">
        <f>'АЗ АСУТП'!O17</f>
        <v>0.25</v>
      </c>
      <c r="AD17" s="230">
        <f>'АЗ АСУТП'!S17</f>
        <v>0.25</v>
      </c>
      <c r="AE17" s="230">
        <f>'АЗ АСУТП'!W17</f>
        <v>0.25</v>
      </c>
      <c r="AF17" s="230">
        <f>'РК АСУТП'!G17</f>
        <v>0.5</v>
      </c>
      <c r="AG17" s="230">
        <f>'РК АСУТП'!K17</f>
        <v>1</v>
      </c>
      <c r="AH17" s="230">
        <f>'IDS АСУТП'!G17</f>
        <v>0.25</v>
      </c>
      <c r="AI17" s="230">
        <f>'IDS АСУТП'!K17</f>
        <v>0.25</v>
      </c>
      <c r="AJ17" s="230">
        <f>'IDS АСУТП'!O17</f>
        <v>0.25</v>
      </c>
      <c r="AK17" s="230">
        <f>'АПМДЗ АСУТП'!G17</f>
        <v>0.25</v>
      </c>
      <c r="AL17" s="230">
        <f>'АПМДЗ АСУТП'!K17</f>
        <v>0.25</v>
      </c>
      <c r="AM17" s="230">
        <f>'НСД АСУТП'!G17</f>
        <v>0.25</v>
      </c>
      <c r="AN17" s="230">
        <f>'НСД АСУТП'!K17</f>
        <v>0.25</v>
      </c>
      <c r="AO17" s="230">
        <f>'НСД АСУТП'!O17</f>
        <v>0.25</v>
      </c>
      <c r="AP17" s="230">
        <f>'MFA АСУТП'!G17</f>
        <v>0.25</v>
      </c>
      <c r="AQ17" s="230">
        <f>'MFA АСУТП'!K17</f>
        <v>0.25</v>
      </c>
      <c r="AR17" s="230">
        <f>'MFA АСУТП'!O17</f>
        <v>0.25</v>
      </c>
      <c r="AS17" s="230">
        <f>'MFA АСУТП'!S17</f>
        <v>0.25</v>
      </c>
      <c r="AT17" s="230">
        <f>'ДИОД АСУТП'!G17</f>
        <v>0</v>
      </c>
      <c r="AU17" s="230">
        <f>'ДИОД АСУТП'!K17</f>
        <v>0</v>
      </c>
      <c r="AV17" s="230">
        <f>'ДИОД АСУТП'!O17</f>
        <v>0</v>
      </c>
      <c r="AW17" s="230">
        <f>'ДИОД АСУТП'!S17</f>
        <v>0</v>
      </c>
      <c r="AX17" s="230">
        <f>'СЗВ АСУТП'!G17</f>
        <v>1</v>
      </c>
      <c r="AY17" s="230">
        <f>'СЗВ АСУТП'!K17</f>
        <v>1</v>
      </c>
      <c r="AZ17" s="230">
        <f>'СЗВ АСУТП'!O17</f>
        <v>1</v>
      </c>
      <c r="BA17" s="230">
        <f>'SOAR АСУТП'!G17</f>
        <v>0</v>
      </c>
      <c r="BB17" s="230">
        <f>'SOAR АСУТП'!K17</f>
        <v>0</v>
      </c>
      <c r="BC17" s="230">
        <f>'SOAR АСУТП'!O17</f>
        <v>0</v>
      </c>
      <c r="BD17" s="230" t="e">
        <f>'SOAR АСУТП'!#REF!</f>
        <v>#REF!</v>
      </c>
      <c r="BE17" s="230">
        <f>'VDI АСУТП'!G17</f>
        <v>0.25</v>
      </c>
      <c r="BF17" s="230">
        <f>'VDI АСУТП'!K17</f>
        <v>0.25</v>
      </c>
      <c r="BG17" s="230">
        <f>'VDI АСУТП'!O17</f>
        <v>0.25</v>
      </c>
      <c r="BH17" s="230">
        <f>'VDI АСУТП'!S17</f>
        <v>0.25</v>
      </c>
      <c r="BI17" s="230">
        <f>'VDI АСУТП'!W17</f>
        <v>0.25</v>
      </c>
      <c r="BJ17" s="316">
        <f>'СУБД АСУТП'!G17</f>
        <v>0</v>
      </c>
      <c r="BK17" s="316">
        <f>'СУБД АСУТП'!K17</f>
        <v>0</v>
      </c>
      <c r="BL17" s="316">
        <f>'ГОССОПКА АСУТП'!G17</f>
        <v>0.25</v>
      </c>
      <c r="BM17" s="316">
        <f>'ГОССОПКА АСУТП'!K17</f>
        <v>0.25</v>
      </c>
      <c r="BN17" s="316">
        <f>'TLS АСУТП'!G17</f>
        <v>0.25</v>
      </c>
      <c r="BO17" s="316">
        <f>'TLS АСУТП'!K17</f>
        <v>0.25</v>
      </c>
      <c r="BP17" s="316">
        <f>'DCAP АСУТП'!G17</f>
        <v>0.25</v>
      </c>
      <c r="BQ17" s="316">
        <f>'DCAP АСУТП'!K17</f>
        <v>0.25</v>
      </c>
      <c r="BR17" s="316">
        <f>'DCAP АСУТП'!O17</f>
        <v>0.25</v>
      </c>
      <c r="BS17" s="316">
        <f>'DO АСУТП'!G17</f>
        <v>0</v>
      </c>
      <c r="BT17" s="316">
        <f>'NTA АСУТП'!G17</f>
        <v>0.25</v>
      </c>
      <c r="BU17" s="316">
        <f>'NTA АСУТП'!K17</f>
        <v>0.25</v>
      </c>
      <c r="BV17" s="316">
        <f>'NTA АСУТП'!O17</f>
        <v>0.25</v>
      </c>
      <c r="BW17" s="316">
        <f>'NTA АСУТП'!S17</f>
        <v>0.25</v>
      </c>
      <c r="BX17" s="316">
        <f>'SEG АСУТП'!G17</f>
        <v>0.25</v>
      </c>
      <c r="BY17" s="316">
        <f>'APT АСУТП'!G17</f>
        <v>0.25</v>
      </c>
      <c r="BZ17" s="316">
        <f>'APT АСУТП'!K17</f>
        <v>0.25</v>
      </c>
      <c r="CA17" s="316">
        <f>'APT АСУТП'!O17</f>
        <v>0.25</v>
      </c>
      <c r="CB17" s="316">
        <f>'NAC АСУТП'!G17</f>
        <v>0.25</v>
      </c>
      <c r="CC17" s="316">
        <f>'SANDBOX АСУТП'!G17</f>
        <v>0.25</v>
      </c>
      <c r="CD17" s="316">
        <f>'SANDBOX АСУТП'!K17</f>
        <v>0.25</v>
      </c>
      <c r="CE17" s="316">
        <f>'EDR АСУТП'!G17</f>
        <v>0</v>
      </c>
      <c r="CF17" s="316">
        <f>'EDR АСУТП'!K17</f>
        <v>0</v>
      </c>
      <c r="CG17" s="316">
        <f>'WAF АСУТП'!G17</f>
        <v>0.25</v>
      </c>
      <c r="CH17" s="316">
        <f>'WAF АСУТП'!K17</f>
        <v>0.25</v>
      </c>
      <c r="CI17" s="316">
        <f>'WAF АСУТП'!O17</f>
        <v>0.25</v>
      </c>
      <c r="CJ17" s="316">
        <f>'ВМ ЗСВ'!G17</f>
        <v>1</v>
      </c>
      <c r="CK17" s="316">
        <f>'ВМ ЗСВ'!K17</f>
        <v>1</v>
      </c>
      <c r="CL17" s="316">
        <f>'ВМ ЗСВ'!O17</f>
        <v>1</v>
      </c>
      <c r="CM17" s="316">
        <f>'ВМ ЗСВ'!S17</f>
        <v>1</v>
      </c>
      <c r="CN17" s="316">
        <f>'ВМ ЗСВ'!W17</f>
        <v>1</v>
      </c>
      <c r="CO17" s="316">
        <f>'ВМ ЗСВ'!AA17</f>
        <v>1</v>
      </c>
      <c r="CP17" s="316">
        <f>'ВМ СПО'!G17</f>
        <v>0</v>
      </c>
      <c r="CQ17" s="316">
        <f>'ВМ СПО'!K17</f>
        <v>0</v>
      </c>
      <c r="CR17" s="316">
        <f>'ВМ СПО'!O17</f>
        <v>0</v>
      </c>
      <c r="CS17" s="316">
        <f>'ВМ СПО'!S17</f>
        <v>0</v>
      </c>
      <c r="CT17" s="316">
        <f>'ВМ АСО'!G17</f>
        <v>0</v>
      </c>
      <c r="CU17" s="316">
        <f>'ВМ АСО'!K17</f>
        <v>0</v>
      </c>
      <c r="CV17" s="16" t="e">
        <f t="shared" si="31"/>
        <v>#REF!</v>
      </c>
      <c r="CW17" s="25">
        <f t="shared" si="32"/>
        <v>0</v>
      </c>
      <c r="CX17" s="25">
        <f t="shared" si="33"/>
        <v>0</v>
      </c>
      <c r="CY17" s="25">
        <f t="shared" si="34"/>
        <v>0</v>
      </c>
      <c r="CZ17" s="25">
        <f t="shared" si="35"/>
        <v>0</v>
      </c>
      <c r="DA17" s="25">
        <f t="shared" si="36"/>
        <v>0</v>
      </c>
      <c r="DB17" s="25">
        <f t="shared" si="37"/>
        <v>0</v>
      </c>
      <c r="DC17" s="25">
        <f t="shared" si="38"/>
        <v>0</v>
      </c>
      <c r="DD17" s="25">
        <f t="shared" si="39"/>
        <v>0</v>
      </c>
      <c r="DE17" s="25">
        <f t="shared" si="40"/>
        <v>0</v>
      </c>
      <c r="DF17" s="25">
        <f t="shared" si="41"/>
        <v>0</v>
      </c>
      <c r="DG17" s="25">
        <f t="shared" si="42"/>
        <v>0</v>
      </c>
      <c r="DH17" s="25">
        <f t="shared" si="43"/>
        <v>0</v>
      </c>
      <c r="DI17" s="25">
        <f t="shared" si="44"/>
        <v>0</v>
      </c>
      <c r="DJ17" s="25" t="e">
        <f t="shared" si="45"/>
        <v>#REF!</v>
      </c>
      <c r="DK17" s="25">
        <f t="shared" si="46"/>
        <v>0</v>
      </c>
      <c r="DL17" s="25">
        <f t="shared" si="47"/>
        <v>0</v>
      </c>
      <c r="DM17" s="25">
        <f t="shared" si="48"/>
        <v>0</v>
      </c>
      <c r="DN17" s="25">
        <f t="shared" si="49"/>
        <v>0</v>
      </c>
      <c r="DO17" s="25">
        <f t="shared" si="50"/>
        <v>0</v>
      </c>
      <c r="DP17" s="25">
        <f t="shared" si="51"/>
        <v>0</v>
      </c>
      <c r="DQ17" s="25">
        <f t="shared" si="52"/>
        <v>0</v>
      </c>
      <c r="DR17" s="25">
        <f t="shared" si="53"/>
        <v>0</v>
      </c>
      <c r="DS17" s="25">
        <f t="shared" si="54"/>
        <v>0</v>
      </c>
      <c r="DT17" s="25">
        <f t="shared" si="55"/>
        <v>0</v>
      </c>
      <c r="DU17" s="25">
        <f t="shared" si="56"/>
        <v>0</v>
      </c>
      <c r="DV17" s="21">
        <f t="shared" si="57"/>
        <v>0</v>
      </c>
      <c r="DW17" s="317">
        <f t="shared" si="58"/>
        <v>0</v>
      </c>
      <c r="DX17" s="317">
        <f t="shared" si="59"/>
        <v>0</v>
      </c>
      <c r="DY17" s="317">
        <f t="shared" si="60"/>
        <v>0</v>
      </c>
      <c r="DZ17" s="230">
        <f t="shared" si="61"/>
        <v>0</v>
      </c>
    </row>
    <row r="18" spans="1:220" ht="15" customHeight="1" x14ac:dyDescent="0.25">
      <c r="A18" s="1915"/>
      <c r="B18" s="1910"/>
      <c r="C18" s="18" t="s">
        <v>34</v>
      </c>
      <c r="D18" s="21"/>
      <c r="E18" s="316">
        <f>'АВЗ АСУТП'!G18</f>
        <v>0</v>
      </c>
      <c r="F18" s="316">
        <f>'АВЗ АСУТП'!K18</f>
        <v>0</v>
      </c>
      <c r="G18" s="316">
        <f>'АВЗ АСУТП'!O18</f>
        <v>0</v>
      </c>
      <c r="H18" s="230">
        <f>'АВЗ АСУТП'!S18</f>
        <v>0</v>
      </c>
      <c r="I18" s="316">
        <f>'АВЗ АСУТП'!W18</f>
        <v>0</v>
      </c>
      <c r="J18" s="230">
        <f>'АВЗ АСУТП'!AA18</f>
        <v>0</v>
      </c>
      <c r="K18" s="230">
        <f>'АВЗ АСУТП'!AE18</f>
        <v>0</v>
      </c>
      <c r="L18" s="230">
        <f>'АВЗ АСУТП'!AI18</f>
        <v>0</v>
      </c>
      <c r="M18" s="230">
        <f>'SIEM АСУТП'!G18</f>
        <v>0</v>
      </c>
      <c r="N18" s="230">
        <f>'SIEM АСУТП'!K18</f>
        <v>0</v>
      </c>
      <c r="O18" s="230">
        <f>'МСЭ АСУТП'!G18</f>
        <v>0.25</v>
      </c>
      <c r="P18" s="317">
        <f>'МСЭ АСУТП'!K18</f>
        <v>0.25</v>
      </c>
      <c r="Q18" s="230">
        <f>'МСЭ АСУТП'!O18</f>
        <v>0.25</v>
      </c>
      <c r="R18" s="230">
        <f>'МСЭ АСУТП'!S18</f>
        <v>0.25</v>
      </c>
      <c r="S18" s="230">
        <f>'PAM АСУТП'!G18</f>
        <v>0.25</v>
      </c>
      <c r="T18" s="230">
        <f>'PAM АСУТП'!K18</f>
        <v>0.25</v>
      </c>
      <c r="U18" s="230">
        <f>'PAM АСУТП'!O18</f>
        <v>0.25</v>
      </c>
      <c r="V18" s="230">
        <f>'СКЗИ АСУТП'!G18</f>
        <v>0.25</v>
      </c>
      <c r="W18" s="230">
        <f>'СКЗИ АСУТП'!K18</f>
        <v>0.25</v>
      </c>
      <c r="X18" s="230">
        <f>'СКЗИ АСУТП'!O18</f>
        <v>0.25</v>
      </c>
      <c r="Y18" s="230">
        <f>'СКЗИ АСУТП'!S18</f>
        <v>0.25</v>
      </c>
      <c r="Z18" s="230">
        <f>'СКЗИ АСУТП'!W18</f>
        <v>0.25</v>
      </c>
      <c r="AA18" s="230">
        <f>'АЗ АСУТП'!G18</f>
        <v>0.25</v>
      </c>
      <c r="AB18" s="230">
        <f>'АЗ АСУТП'!K18</f>
        <v>0.25</v>
      </c>
      <c r="AC18" s="230">
        <f>'АЗ АСУТП'!O18</f>
        <v>0.25</v>
      </c>
      <c r="AD18" s="230">
        <f>'АЗ АСУТП'!S18</f>
        <v>0.25</v>
      </c>
      <c r="AE18" s="230">
        <f>'АЗ АСУТП'!W18</f>
        <v>0.25</v>
      </c>
      <c r="AF18" s="230">
        <f>'РК АСУТП'!G18</f>
        <v>1</v>
      </c>
      <c r="AG18" s="230">
        <f>'РК АСУТП'!K18</f>
        <v>1</v>
      </c>
      <c r="AH18" s="230">
        <f>'IDS АСУТП'!G18</f>
        <v>0.25</v>
      </c>
      <c r="AI18" s="230">
        <f>'IDS АСУТП'!K18</f>
        <v>0.25</v>
      </c>
      <c r="AJ18" s="230">
        <f>'IDS АСУТП'!O18</f>
        <v>0.25</v>
      </c>
      <c r="AK18" s="230">
        <f>'АПМДЗ АСУТП'!G18</f>
        <v>0.25</v>
      </c>
      <c r="AL18" s="230">
        <f>'АПМДЗ АСУТП'!K18</f>
        <v>0.25</v>
      </c>
      <c r="AM18" s="230">
        <f>'НСД АСУТП'!G18</f>
        <v>0.25</v>
      </c>
      <c r="AN18" s="230">
        <f>'НСД АСУТП'!K18</f>
        <v>0.25</v>
      </c>
      <c r="AO18" s="230">
        <f>'НСД АСУТП'!O18</f>
        <v>0.25</v>
      </c>
      <c r="AP18" s="230">
        <f>'MFA АСУТП'!G18</f>
        <v>0.25</v>
      </c>
      <c r="AQ18" s="230">
        <f>'MFA АСУТП'!K18</f>
        <v>0.25</v>
      </c>
      <c r="AR18" s="230">
        <f>'MFA АСУТП'!O18</f>
        <v>0.25</v>
      </c>
      <c r="AS18" s="230">
        <f>'MFA АСУТП'!S18</f>
        <v>0.25</v>
      </c>
      <c r="AT18" s="230">
        <f>'ДИОД АСУТП'!G18</f>
        <v>0</v>
      </c>
      <c r="AU18" s="230">
        <f>'ДИОД АСУТП'!K18</f>
        <v>0</v>
      </c>
      <c r="AV18" s="230">
        <f>'ДИОД АСУТП'!O18</f>
        <v>0</v>
      </c>
      <c r="AW18" s="230">
        <f>'ДИОД АСУТП'!S18</f>
        <v>0</v>
      </c>
      <c r="AX18" s="230">
        <f>'СЗВ АСУТП'!G18</f>
        <v>1</v>
      </c>
      <c r="AY18" s="230">
        <f>'СЗВ АСУТП'!K18</f>
        <v>1</v>
      </c>
      <c r="AZ18" s="230">
        <f>'СЗВ АСУТП'!O18</f>
        <v>1</v>
      </c>
      <c r="BA18" s="230">
        <f>'SOAR АСУТП'!G18</f>
        <v>0</v>
      </c>
      <c r="BB18" s="230">
        <f>'SOAR АСУТП'!K18</f>
        <v>0</v>
      </c>
      <c r="BC18" s="230">
        <f>'SOAR АСУТП'!O18</f>
        <v>0</v>
      </c>
      <c r="BD18" s="230" t="e">
        <f>'SOAR АСУТП'!#REF!</f>
        <v>#REF!</v>
      </c>
      <c r="BE18" s="230">
        <f>'VDI АСУТП'!G18</f>
        <v>0.25</v>
      </c>
      <c r="BF18" s="230">
        <f>'VDI АСУТП'!K18</f>
        <v>0.25</v>
      </c>
      <c r="BG18" s="230">
        <f>'VDI АСУТП'!O18</f>
        <v>0.25</v>
      </c>
      <c r="BH18" s="230">
        <f>'VDI АСУТП'!S18</f>
        <v>0.25</v>
      </c>
      <c r="BI18" s="230">
        <f>'VDI АСУТП'!W18</f>
        <v>0.25</v>
      </c>
      <c r="BJ18" s="316">
        <f>'СУБД АСУТП'!G18</f>
        <v>0</v>
      </c>
      <c r="BK18" s="316">
        <f>'СУБД АСУТП'!K18</f>
        <v>0</v>
      </c>
      <c r="BL18" s="316">
        <f>'ГОССОПКА АСУТП'!G18</f>
        <v>0.25</v>
      </c>
      <c r="BM18" s="316">
        <f>'ГОССОПКА АСУТП'!K18</f>
        <v>0.25</v>
      </c>
      <c r="BN18" s="316">
        <f>'TLS АСУТП'!G18</f>
        <v>0.25</v>
      </c>
      <c r="BO18" s="316">
        <f>'TLS АСУТП'!K18</f>
        <v>0.25</v>
      </c>
      <c r="BP18" s="316">
        <f>'DCAP АСУТП'!G18</f>
        <v>0.25</v>
      </c>
      <c r="BQ18" s="316">
        <f>'DCAP АСУТП'!K18</f>
        <v>0.25</v>
      </c>
      <c r="BR18" s="316">
        <f>'DCAP АСУТП'!O18</f>
        <v>0.25</v>
      </c>
      <c r="BS18" s="316">
        <f>'DO АСУТП'!G18</f>
        <v>0</v>
      </c>
      <c r="BT18" s="316">
        <f>'NTA АСУТП'!G18</f>
        <v>0.25</v>
      </c>
      <c r="BU18" s="316">
        <f>'NTA АСУТП'!K18</f>
        <v>0.25</v>
      </c>
      <c r="BV18" s="316">
        <f>'NTA АСУТП'!O18</f>
        <v>0.25</v>
      </c>
      <c r="BW18" s="316">
        <f>'NTA АСУТП'!S18</f>
        <v>0.25</v>
      </c>
      <c r="BX18" s="316">
        <f>'SEG АСУТП'!G18</f>
        <v>0.25</v>
      </c>
      <c r="BY18" s="316">
        <f>'APT АСУТП'!G18</f>
        <v>0.25</v>
      </c>
      <c r="BZ18" s="316">
        <f>'APT АСУТП'!K18</f>
        <v>0.25</v>
      </c>
      <c r="CA18" s="316">
        <f>'APT АСУТП'!O18</f>
        <v>0.25</v>
      </c>
      <c r="CB18" s="316">
        <f>'NAC АСУТП'!G18</f>
        <v>0.25</v>
      </c>
      <c r="CC18" s="316">
        <f>'SANDBOX АСУТП'!G18</f>
        <v>0.25</v>
      </c>
      <c r="CD18" s="316">
        <f>'SANDBOX АСУТП'!K18</f>
        <v>0.25</v>
      </c>
      <c r="CE18" s="316">
        <f>'EDR АСУТП'!G18</f>
        <v>0</v>
      </c>
      <c r="CF18" s="316">
        <f>'EDR АСУТП'!K18</f>
        <v>0</v>
      </c>
      <c r="CG18" s="316">
        <f>'WAF АСУТП'!G18</f>
        <v>0.25</v>
      </c>
      <c r="CH18" s="316">
        <f>'WAF АСУТП'!K18</f>
        <v>0.25</v>
      </c>
      <c r="CI18" s="316">
        <f>'WAF АСУТП'!O18</f>
        <v>0.25</v>
      </c>
      <c r="CJ18" s="316">
        <f>'ВМ ЗСВ'!G18</f>
        <v>1</v>
      </c>
      <c r="CK18" s="316">
        <f>'ВМ ЗСВ'!K18</f>
        <v>1</v>
      </c>
      <c r="CL18" s="316">
        <f>'ВМ ЗСВ'!O18</f>
        <v>1</v>
      </c>
      <c r="CM18" s="316">
        <f>'ВМ ЗСВ'!S18</f>
        <v>1</v>
      </c>
      <c r="CN18" s="316">
        <f>'ВМ ЗСВ'!W18</f>
        <v>1</v>
      </c>
      <c r="CO18" s="316">
        <f>'ВМ ЗСВ'!AA18</f>
        <v>1</v>
      </c>
      <c r="CP18" s="316">
        <f>'ВМ СПО'!G18</f>
        <v>0</v>
      </c>
      <c r="CQ18" s="316">
        <f>'ВМ СПО'!K18</f>
        <v>0</v>
      </c>
      <c r="CR18" s="316">
        <f>'ВМ СПО'!O18</f>
        <v>0</v>
      </c>
      <c r="CS18" s="316">
        <f>'ВМ СПО'!S18</f>
        <v>0</v>
      </c>
      <c r="CT18" s="316">
        <f>'ВМ АСО'!G18</f>
        <v>0</v>
      </c>
      <c r="CU18" s="316">
        <f>'ВМ АСО'!K18</f>
        <v>0</v>
      </c>
      <c r="CV18" s="16" t="e">
        <f t="shared" si="31"/>
        <v>#REF!</v>
      </c>
      <c r="CW18" s="25">
        <f t="shared" si="32"/>
        <v>0</v>
      </c>
      <c r="CX18" s="25">
        <f t="shared" si="33"/>
        <v>0</v>
      </c>
      <c r="CY18" s="25">
        <f t="shared" si="34"/>
        <v>0</v>
      </c>
      <c r="CZ18" s="25">
        <f t="shared" si="35"/>
        <v>0</v>
      </c>
      <c r="DA18" s="25">
        <f t="shared" si="36"/>
        <v>0</v>
      </c>
      <c r="DB18" s="25">
        <f t="shared" si="37"/>
        <v>0</v>
      </c>
      <c r="DC18" s="25">
        <f t="shared" si="38"/>
        <v>0</v>
      </c>
      <c r="DD18" s="25">
        <f t="shared" si="39"/>
        <v>0</v>
      </c>
      <c r="DE18" s="25">
        <f t="shared" si="40"/>
        <v>0</v>
      </c>
      <c r="DF18" s="25">
        <f t="shared" si="41"/>
        <v>0</v>
      </c>
      <c r="DG18" s="25">
        <f t="shared" si="42"/>
        <v>0</v>
      </c>
      <c r="DH18" s="25">
        <f t="shared" si="43"/>
        <v>0</v>
      </c>
      <c r="DI18" s="25">
        <f t="shared" si="44"/>
        <v>0</v>
      </c>
      <c r="DJ18" s="25" t="e">
        <f t="shared" si="45"/>
        <v>#REF!</v>
      </c>
      <c r="DK18" s="25">
        <f t="shared" si="46"/>
        <v>0</v>
      </c>
      <c r="DL18" s="25">
        <f t="shared" si="47"/>
        <v>0</v>
      </c>
      <c r="DM18" s="25">
        <f t="shared" si="48"/>
        <v>0</v>
      </c>
      <c r="DN18" s="25">
        <f t="shared" si="49"/>
        <v>0</v>
      </c>
      <c r="DO18" s="25">
        <f t="shared" si="50"/>
        <v>0</v>
      </c>
      <c r="DP18" s="25">
        <f t="shared" si="51"/>
        <v>0</v>
      </c>
      <c r="DQ18" s="25">
        <f t="shared" si="52"/>
        <v>0</v>
      </c>
      <c r="DR18" s="25">
        <f t="shared" si="53"/>
        <v>0</v>
      </c>
      <c r="DS18" s="25">
        <f t="shared" si="54"/>
        <v>0</v>
      </c>
      <c r="DT18" s="25">
        <f t="shared" si="55"/>
        <v>0</v>
      </c>
      <c r="DU18" s="25">
        <f t="shared" si="56"/>
        <v>0</v>
      </c>
      <c r="DV18" s="21">
        <f t="shared" si="57"/>
        <v>0</v>
      </c>
      <c r="DW18" s="317">
        <f t="shared" si="58"/>
        <v>0</v>
      </c>
      <c r="DX18" s="317">
        <f t="shared" si="59"/>
        <v>0</v>
      </c>
      <c r="DY18" s="317">
        <f t="shared" si="60"/>
        <v>0</v>
      </c>
      <c r="DZ18" s="230">
        <f t="shared" si="61"/>
        <v>0</v>
      </c>
      <c r="EB18" s="291"/>
    </row>
    <row r="19" spans="1:220" ht="15" customHeight="1" x14ac:dyDescent="0.25">
      <c r="A19" s="1915" t="s">
        <v>5</v>
      </c>
      <c r="B19" s="1909">
        <f>IF('Тип разраб-ой док-ции'!F10=1,1,0)</f>
        <v>0</v>
      </c>
      <c r="C19" s="18" t="s">
        <v>32</v>
      </c>
      <c r="D19" s="21"/>
      <c r="E19" s="316">
        <f>'АВЗ АСУТП'!G19</f>
        <v>2</v>
      </c>
      <c r="F19" s="316">
        <f>'АВЗ АСУТП'!K19</f>
        <v>2</v>
      </c>
      <c r="G19" s="316">
        <f>'АВЗ АСУТП'!O19</f>
        <v>2</v>
      </c>
      <c r="H19" s="230">
        <f>'АВЗ АСУТП'!S19</f>
        <v>2</v>
      </c>
      <c r="I19" s="316">
        <f>'АВЗ АСУТП'!W19</f>
        <v>2</v>
      </c>
      <c r="J19" s="230">
        <f>'АВЗ АСУТП'!AA19</f>
        <v>2</v>
      </c>
      <c r="K19" s="230">
        <f>'АВЗ АСУТП'!AE19</f>
        <v>2</v>
      </c>
      <c r="L19" s="230">
        <f>'АВЗ АСУТП'!AI19</f>
        <v>2</v>
      </c>
      <c r="M19" s="230">
        <f>'SIEM АСУТП'!G19</f>
        <v>0.5</v>
      </c>
      <c r="N19" s="230">
        <f>'SIEM АСУТП'!K19</f>
        <v>0.5</v>
      </c>
      <c r="O19" s="230">
        <f>'МСЭ АСУТП'!G19</f>
        <v>1</v>
      </c>
      <c r="P19" s="317">
        <f>'МСЭ АСУТП'!K19</f>
        <v>1</v>
      </c>
      <c r="Q19" s="230">
        <f>'МСЭ АСУТП'!O19</f>
        <v>1</v>
      </c>
      <c r="R19" s="230">
        <f>'МСЭ АСУТП'!S19</f>
        <v>1</v>
      </c>
      <c r="S19" s="230">
        <f>'PAM АСУТП'!G19</f>
        <v>1</v>
      </c>
      <c r="T19" s="230">
        <f>'PAM АСУТП'!K19</f>
        <v>1</v>
      </c>
      <c r="U19" s="230">
        <f>'PAM АСУТП'!O19</f>
        <v>1</v>
      </c>
      <c r="V19" s="230">
        <f>'СКЗИ АСУТП'!G19</f>
        <v>1</v>
      </c>
      <c r="W19" s="230">
        <f>'СКЗИ АСУТП'!K19</f>
        <v>1</v>
      </c>
      <c r="X19" s="230">
        <f>'СКЗИ АСУТП'!O19</f>
        <v>1</v>
      </c>
      <c r="Y19" s="230">
        <f>'СКЗИ АСУТП'!S19</f>
        <v>1</v>
      </c>
      <c r="Z19" s="230">
        <f>'СКЗИ АСУТП'!W19</f>
        <v>1</v>
      </c>
      <c r="AA19" s="230">
        <f>'АЗ АСУТП'!G19</f>
        <v>1</v>
      </c>
      <c r="AB19" s="230">
        <f>'АЗ АСУТП'!K19</f>
        <v>1</v>
      </c>
      <c r="AC19" s="230">
        <f>'АЗ АСУТП'!O19</f>
        <v>1</v>
      </c>
      <c r="AD19" s="230">
        <f>'АЗ АСУТП'!S19</f>
        <v>1</v>
      </c>
      <c r="AE19" s="230">
        <f>'АЗ АСУТП'!W19</f>
        <v>1</v>
      </c>
      <c r="AF19" s="230">
        <f>'РК АСУТП'!G19</f>
        <v>1</v>
      </c>
      <c r="AG19" s="230">
        <f>'РК АСУТП'!K19</f>
        <v>1</v>
      </c>
      <c r="AH19" s="230">
        <f>'IDS АСУТП'!G19</f>
        <v>1</v>
      </c>
      <c r="AI19" s="230">
        <f>'IDS АСУТП'!K19</f>
        <v>1</v>
      </c>
      <c r="AJ19" s="230">
        <f>'IDS АСУТП'!O19</f>
        <v>1</v>
      </c>
      <c r="AK19" s="230">
        <f>'АПМДЗ АСУТП'!G19</f>
        <v>0.2</v>
      </c>
      <c r="AL19" s="230">
        <f>'АПМДЗ АСУТП'!K19</f>
        <v>0.2</v>
      </c>
      <c r="AM19" s="230">
        <f>'НСД АСУТП'!G19</f>
        <v>0.2</v>
      </c>
      <c r="AN19" s="230">
        <f>'НСД АСУТП'!K19</f>
        <v>0.2</v>
      </c>
      <c r="AO19" s="230">
        <f>'НСД АСУТП'!O19</f>
        <v>0.2</v>
      </c>
      <c r="AP19" s="230">
        <f>'MFA АСУТП'!G19</f>
        <v>1</v>
      </c>
      <c r="AQ19" s="230">
        <f>'MFA АСУТП'!K19</f>
        <v>1</v>
      </c>
      <c r="AR19" s="230">
        <f>'MFA АСУТП'!O19</f>
        <v>1</v>
      </c>
      <c r="AS19" s="230">
        <f>'MFA АСУТП'!S19</f>
        <v>1</v>
      </c>
      <c r="AT19" s="230">
        <f>'ДИОД АСУТП'!G19</f>
        <v>0</v>
      </c>
      <c r="AU19" s="230">
        <f>'ДИОД АСУТП'!K19</f>
        <v>0</v>
      </c>
      <c r="AV19" s="230">
        <f>'ДИОД АСУТП'!O19</f>
        <v>0</v>
      </c>
      <c r="AW19" s="230">
        <f>'ДИОД АСУТП'!S19</f>
        <v>0</v>
      </c>
      <c r="AX19" s="230">
        <f>'СЗВ АСУТП'!G19</f>
        <v>1</v>
      </c>
      <c r="AY19" s="230">
        <f>'СЗВ АСУТП'!K19</f>
        <v>1</v>
      </c>
      <c r="AZ19" s="230">
        <f>'СЗВ АСУТП'!O19</f>
        <v>1</v>
      </c>
      <c r="BA19" s="230">
        <f>'SOAR АСУТП'!G19</f>
        <v>0</v>
      </c>
      <c r="BB19" s="230">
        <f>'SOAR АСУТП'!K19</f>
        <v>0</v>
      </c>
      <c r="BC19" s="230">
        <f>'SOAR АСУТП'!O19</f>
        <v>0</v>
      </c>
      <c r="BD19" s="230" t="e">
        <f>'SOAR АСУТП'!#REF!</f>
        <v>#REF!</v>
      </c>
      <c r="BE19" s="230">
        <f>'VDI АСУТП'!G19</f>
        <v>1</v>
      </c>
      <c r="BF19" s="230">
        <f>'VDI АСУТП'!K19</f>
        <v>1</v>
      </c>
      <c r="BG19" s="230">
        <f>'VDI АСУТП'!O19</f>
        <v>1</v>
      </c>
      <c r="BH19" s="230">
        <f>'VDI АСУТП'!S19</f>
        <v>1</v>
      </c>
      <c r="BI19" s="230">
        <f>'VDI АСУТП'!W19</f>
        <v>1</v>
      </c>
      <c r="BJ19" s="316">
        <f>'СУБД АСУТП'!G19</f>
        <v>1</v>
      </c>
      <c r="BK19" s="316">
        <f>'СУБД АСУТП'!K19</f>
        <v>1</v>
      </c>
      <c r="BL19" s="316">
        <f>'ГОССОПКА АСУТП'!G19</f>
        <v>2</v>
      </c>
      <c r="BM19" s="316">
        <f>'ГОССОПКА АСУТП'!K19</f>
        <v>2</v>
      </c>
      <c r="BN19" s="316">
        <f>'TLS АСУТП'!G19</f>
        <v>1</v>
      </c>
      <c r="BO19" s="316">
        <f>'TLS АСУТП'!K19</f>
        <v>1</v>
      </c>
      <c r="BP19" s="316">
        <f>'DCAP АСУТП'!G19</f>
        <v>1</v>
      </c>
      <c r="BQ19" s="316">
        <f>'DCAP АСУТП'!K19</f>
        <v>1</v>
      </c>
      <c r="BR19" s="316">
        <f>'DCAP АСУТП'!O19</f>
        <v>1</v>
      </c>
      <c r="BS19" s="316">
        <f>'DO АСУТП'!G19</f>
        <v>1</v>
      </c>
      <c r="BT19" s="316">
        <f>'NTA АСУТП'!G19</f>
        <v>1</v>
      </c>
      <c r="BU19" s="316">
        <f>'NTA АСУТП'!K19</f>
        <v>1</v>
      </c>
      <c r="BV19" s="316">
        <f>'NTA АСУТП'!O19</f>
        <v>1</v>
      </c>
      <c r="BW19" s="316">
        <f>'NTA АСУТП'!S19</f>
        <v>1</v>
      </c>
      <c r="BX19" s="316">
        <f>'SEG АСУТП'!G19</f>
        <v>1</v>
      </c>
      <c r="BY19" s="316">
        <f>'APT АСУТП'!G19</f>
        <v>1</v>
      </c>
      <c r="BZ19" s="316">
        <f>'APT АСУТП'!K19</f>
        <v>1</v>
      </c>
      <c r="CA19" s="316">
        <f>'APT АСУТП'!O19</f>
        <v>1</v>
      </c>
      <c r="CB19" s="316">
        <f>'NAC АСУТП'!G19</f>
        <v>0</v>
      </c>
      <c r="CC19" s="316">
        <f>'SANDBOX АСУТП'!G19</f>
        <v>1</v>
      </c>
      <c r="CD19" s="316">
        <f>'SANDBOX АСУТП'!K19</f>
        <v>1</v>
      </c>
      <c r="CE19" s="316">
        <f>'EDR АСУТП'!G19</f>
        <v>0</v>
      </c>
      <c r="CF19" s="316">
        <f>'EDR АСУТП'!K19</f>
        <v>0</v>
      </c>
      <c r="CG19" s="316">
        <f>'WAF АСУТП'!G19</f>
        <v>0</v>
      </c>
      <c r="CH19" s="316">
        <f>'WAF АСУТП'!K19</f>
        <v>0</v>
      </c>
      <c r="CI19" s="316">
        <f>'WAF АСУТП'!O19</f>
        <v>0</v>
      </c>
      <c r="CJ19" s="316">
        <f>'ВМ ЗСВ'!G19</f>
        <v>1</v>
      </c>
      <c r="CK19" s="316">
        <f>'ВМ ЗСВ'!K19</f>
        <v>1</v>
      </c>
      <c r="CL19" s="316">
        <f>'ВМ ЗСВ'!O19</f>
        <v>1</v>
      </c>
      <c r="CM19" s="316">
        <f>'ВМ ЗСВ'!S19</f>
        <v>1</v>
      </c>
      <c r="CN19" s="316">
        <f>'ВМ ЗСВ'!W19</f>
        <v>1</v>
      </c>
      <c r="CO19" s="316">
        <f>'ВМ ЗСВ'!AA19</f>
        <v>1</v>
      </c>
      <c r="CP19" s="316">
        <f>'ВМ СПО'!G19</f>
        <v>1</v>
      </c>
      <c r="CQ19" s="316">
        <f>'ВМ СПО'!K19</f>
        <v>2</v>
      </c>
      <c r="CR19" s="316">
        <f>'ВМ СПО'!O19</f>
        <v>2</v>
      </c>
      <c r="CS19" s="316">
        <f>'ВМ СПО'!S19</f>
        <v>4</v>
      </c>
      <c r="CT19" s="316">
        <f>'ВМ АСО'!G19</f>
        <v>0</v>
      </c>
      <c r="CU19" s="316">
        <f>'ВМ АСО'!K19</f>
        <v>0</v>
      </c>
      <c r="CV19" s="16" t="e">
        <f t="shared" si="31"/>
        <v>#REF!</v>
      </c>
      <c r="CW19" s="25">
        <f t="shared" si="32"/>
        <v>2</v>
      </c>
      <c r="CX19" s="25">
        <f t="shared" si="33"/>
        <v>0.5</v>
      </c>
      <c r="CY19" s="25">
        <f t="shared" si="34"/>
        <v>0</v>
      </c>
      <c r="CZ19" s="25">
        <f t="shared" si="35"/>
        <v>0</v>
      </c>
      <c r="DA19" s="25">
        <f t="shared" si="36"/>
        <v>0</v>
      </c>
      <c r="DB19" s="25">
        <f t="shared" si="37"/>
        <v>0</v>
      </c>
      <c r="DC19" s="25">
        <f t="shared" si="38"/>
        <v>0</v>
      </c>
      <c r="DD19" s="25">
        <f t="shared" si="39"/>
        <v>0</v>
      </c>
      <c r="DE19" s="25">
        <f t="shared" si="40"/>
        <v>0</v>
      </c>
      <c r="DF19" s="25">
        <f t="shared" si="41"/>
        <v>0</v>
      </c>
      <c r="DG19" s="25">
        <f t="shared" si="42"/>
        <v>0</v>
      </c>
      <c r="DH19" s="25">
        <f t="shared" si="43"/>
        <v>0</v>
      </c>
      <c r="DI19" s="25">
        <f t="shared" si="44"/>
        <v>0</v>
      </c>
      <c r="DJ19" s="25" t="e">
        <f t="shared" si="45"/>
        <v>#REF!</v>
      </c>
      <c r="DK19" s="25">
        <f t="shared" si="46"/>
        <v>0</v>
      </c>
      <c r="DL19" s="25">
        <f t="shared" si="47"/>
        <v>0</v>
      </c>
      <c r="DM19" s="25">
        <f t="shared" si="48"/>
        <v>0</v>
      </c>
      <c r="DN19" s="25">
        <f t="shared" si="49"/>
        <v>0</v>
      </c>
      <c r="DO19" s="25">
        <f t="shared" si="50"/>
        <v>0</v>
      </c>
      <c r="DP19" s="25">
        <f t="shared" si="51"/>
        <v>0</v>
      </c>
      <c r="DQ19" s="25">
        <f t="shared" si="52"/>
        <v>0</v>
      </c>
      <c r="DR19" s="25">
        <f t="shared" si="53"/>
        <v>0</v>
      </c>
      <c r="DS19" s="25">
        <f t="shared" si="54"/>
        <v>0</v>
      </c>
      <c r="DT19" s="25">
        <f t="shared" si="55"/>
        <v>0</v>
      </c>
      <c r="DU19" s="25">
        <f t="shared" si="56"/>
        <v>0</v>
      </c>
      <c r="DV19" s="21">
        <f t="shared" si="57"/>
        <v>0</v>
      </c>
      <c r="DW19" s="317">
        <f t="shared" si="58"/>
        <v>0</v>
      </c>
      <c r="DX19" s="317">
        <f t="shared" si="59"/>
        <v>0</v>
      </c>
      <c r="DY19" s="317">
        <f t="shared" si="60"/>
        <v>0</v>
      </c>
      <c r="DZ19" s="230">
        <f t="shared" si="61"/>
        <v>0</v>
      </c>
    </row>
    <row r="20" spans="1:220" ht="15" customHeight="1" x14ac:dyDescent="0.25">
      <c r="A20" s="1915"/>
      <c r="B20" s="1909"/>
      <c r="C20" s="18" t="s">
        <v>33</v>
      </c>
      <c r="D20" s="21"/>
      <c r="E20" s="316">
        <f>'АВЗ АСУТП'!G20</f>
        <v>0.5</v>
      </c>
      <c r="F20" s="316">
        <f>'АВЗ АСУТП'!K20</f>
        <v>0.5</v>
      </c>
      <c r="G20" s="316">
        <f>'АВЗ АСУТП'!O20</f>
        <v>0.5</v>
      </c>
      <c r="H20" s="230">
        <f>'АВЗ АСУТП'!S20</f>
        <v>0.5</v>
      </c>
      <c r="I20" s="316">
        <f>'АВЗ АСУТП'!W20</f>
        <v>0.5</v>
      </c>
      <c r="J20" s="230">
        <f>'АВЗ АСУТП'!AA20</f>
        <v>0.5</v>
      </c>
      <c r="K20" s="230">
        <f>'АВЗ АСУТП'!AE20</f>
        <v>0.5</v>
      </c>
      <c r="L20" s="230">
        <f>'АВЗ АСУТП'!AI20</f>
        <v>0.5</v>
      </c>
      <c r="M20" s="230">
        <f>'SIEM АСУТП'!G20</f>
        <v>1</v>
      </c>
      <c r="N20" s="230">
        <f>'SIEM АСУТП'!K20</f>
        <v>1</v>
      </c>
      <c r="O20" s="230">
        <f>'МСЭ АСУТП'!G20</f>
        <v>2</v>
      </c>
      <c r="P20" s="317">
        <f>'МСЭ АСУТП'!K20</f>
        <v>2</v>
      </c>
      <c r="Q20" s="230">
        <f>'МСЭ АСУТП'!O20</f>
        <v>2</v>
      </c>
      <c r="R20" s="230">
        <f>'МСЭ АСУТП'!S20</f>
        <v>2</v>
      </c>
      <c r="S20" s="230">
        <f>'PAM АСУТП'!G20</f>
        <v>2</v>
      </c>
      <c r="T20" s="230">
        <f>'PAM АСУТП'!K20</f>
        <v>2</v>
      </c>
      <c r="U20" s="230">
        <f>'PAM АСУТП'!O20</f>
        <v>2</v>
      </c>
      <c r="V20" s="230">
        <f>'СКЗИ АСУТП'!G20</f>
        <v>2</v>
      </c>
      <c r="W20" s="230">
        <f>'СКЗИ АСУТП'!K20</f>
        <v>2</v>
      </c>
      <c r="X20" s="230">
        <f>'СКЗИ АСУТП'!O20</f>
        <v>2</v>
      </c>
      <c r="Y20" s="230">
        <f>'СКЗИ АСУТП'!S20</f>
        <v>2</v>
      </c>
      <c r="Z20" s="230">
        <f>'СКЗИ АСУТП'!W20</f>
        <v>2</v>
      </c>
      <c r="AA20" s="230">
        <f>'АЗ АСУТП'!G20</f>
        <v>2</v>
      </c>
      <c r="AB20" s="230">
        <f>'АЗ АСУТП'!K20</f>
        <v>2</v>
      </c>
      <c r="AC20" s="230">
        <f>'АЗ АСУТП'!O20</f>
        <v>2</v>
      </c>
      <c r="AD20" s="230">
        <f>'АЗ АСУТП'!S20</f>
        <v>2</v>
      </c>
      <c r="AE20" s="230">
        <f>'АЗ АСУТП'!W20</f>
        <v>2</v>
      </c>
      <c r="AF20" s="230">
        <f>'РК АСУТП'!G20</f>
        <v>1</v>
      </c>
      <c r="AG20" s="230">
        <f>'РК АСУТП'!K20</f>
        <v>1</v>
      </c>
      <c r="AH20" s="230">
        <f>'IDS АСУТП'!G20</f>
        <v>2</v>
      </c>
      <c r="AI20" s="230">
        <f>'IDS АСУТП'!K20</f>
        <v>2</v>
      </c>
      <c r="AJ20" s="230">
        <f>'IDS АСУТП'!O20</f>
        <v>2</v>
      </c>
      <c r="AK20" s="230">
        <f>'АПМДЗ АСУТП'!G20</f>
        <v>0.2</v>
      </c>
      <c r="AL20" s="230">
        <f>'АПМДЗ АСУТП'!K20</f>
        <v>0.2</v>
      </c>
      <c r="AM20" s="230">
        <f>'НСД АСУТП'!G20</f>
        <v>0.2</v>
      </c>
      <c r="AN20" s="230">
        <f>'НСД АСУТП'!K20</f>
        <v>0.2</v>
      </c>
      <c r="AO20" s="230">
        <f>'НСД АСУТП'!O20</f>
        <v>0.2</v>
      </c>
      <c r="AP20" s="230">
        <f>'MFA АСУТП'!G20</f>
        <v>2</v>
      </c>
      <c r="AQ20" s="230">
        <f>'MFA АСУТП'!K20</f>
        <v>2</v>
      </c>
      <c r="AR20" s="230">
        <f>'MFA АСУТП'!O20</f>
        <v>2</v>
      </c>
      <c r="AS20" s="230">
        <f>'MFA АСУТП'!S20</f>
        <v>2</v>
      </c>
      <c r="AT20" s="230">
        <f>'ДИОД АСУТП'!G20</f>
        <v>1</v>
      </c>
      <c r="AU20" s="230">
        <f>'ДИОД АСУТП'!K20</f>
        <v>1</v>
      </c>
      <c r="AV20" s="230">
        <f>'ДИОД АСУТП'!O20</f>
        <v>1</v>
      </c>
      <c r="AW20" s="230">
        <f>'ДИОД АСУТП'!S20</f>
        <v>1</v>
      </c>
      <c r="AX20" s="230">
        <f>'СЗВ АСУТП'!G20</f>
        <v>2</v>
      </c>
      <c r="AY20" s="230">
        <f>'СЗВ АСУТП'!K20</f>
        <v>2</v>
      </c>
      <c r="AZ20" s="230">
        <f>'СЗВ АСУТП'!O20</f>
        <v>2</v>
      </c>
      <c r="BA20" s="230">
        <f>'SOAR АСУТП'!G20</f>
        <v>1</v>
      </c>
      <c r="BB20" s="230">
        <f>'SOAR АСУТП'!K20</f>
        <v>1</v>
      </c>
      <c r="BC20" s="230">
        <f>'SOAR АСУТП'!O20</f>
        <v>1</v>
      </c>
      <c r="BD20" s="230" t="e">
        <f>'SOAR АСУТП'!#REF!</f>
        <v>#REF!</v>
      </c>
      <c r="BE20" s="230">
        <f>'VDI АСУТП'!G20</f>
        <v>2</v>
      </c>
      <c r="BF20" s="230">
        <f>'VDI АСУТП'!K20</f>
        <v>2</v>
      </c>
      <c r="BG20" s="230">
        <f>'VDI АСУТП'!O20</f>
        <v>2</v>
      </c>
      <c r="BH20" s="230">
        <f>'VDI АСУТП'!S20</f>
        <v>2</v>
      </c>
      <c r="BI20" s="230">
        <f>'VDI АСУТП'!W20</f>
        <v>2</v>
      </c>
      <c r="BJ20" s="316">
        <f>'СУБД АСУТП'!G20</f>
        <v>0.5</v>
      </c>
      <c r="BK20" s="316">
        <f>'СУБД АСУТП'!K20</f>
        <v>0.5</v>
      </c>
      <c r="BL20" s="316">
        <f>'ГОССОПКА АСУТП'!G20</f>
        <v>4</v>
      </c>
      <c r="BM20" s="316">
        <f>'ГОССОПКА АСУТП'!K20</f>
        <v>4</v>
      </c>
      <c r="BN20" s="316">
        <f>'TLS АСУТП'!G20</f>
        <v>2</v>
      </c>
      <c r="BO20" s="316">
        <f>'TLS АСУТП'!K20</f>
        <v>2</v>
      </c>
      <c r="BP20" s="316">
        <f>'DCAP АСУТП'!G20</f>
        <v>2</v>
      </c>
      <c r="BQ20" s="316">
        <f>'DCAP АСУТП'!K20</f>
        <v>2</v>
      </c>
      <c r="BR20" s="316">
        <f>'DCAP АСУТП'!O20</f>
        <v>2</v>
      </c>
      <c r="BS20" s="316">
        <f>'DO АСУТП'!G20</f>
        <v>1.25</v>
      </c>
      <c r="BT20" s="316">
        <f>'NTA АСУТП'!G20</f>
        <v>2</v>
      </c>
      <c r="BU20" s="316">
        <f>'NTA АСУТП'!K20</f>
        <v>2</v>
      </c>
      <c r="BV20" s="316">
        <f>'NTA АСУТП'!O20</f>
        <v>2</v>
      </c>
      <c r="BW20" s="316">
        <f>'NTA АСУТП'!S20</f>
        <v>2</v>
      </c>
      <c r="BX20" s="316">
        <f>'SEG АСУТП'!G20</f>
        <v>2</v>
      </c>
      <c r="BY20" s="316">
        <f>'APT АСУТП'!G20</f>
        <v>2</v>
      </c>
      <c r="BZ20" s="316">
        <f>'APT АСУТП'!K20</f>
        <v>2</v>
      </c>
      <c r="CA20" s="316">
        <f>'APT АСУТП'!O20</f>
        <v>2</v>
      </c>
      <c r="CB20" s="316">
        <f>'NAC АСУТП'!G20</f>
        <v>0</v>
      </c>
      <c r="CC20" s="316">
        <f>'SANDBOX АСУТП'!G20</f>
        <v>2</v>
      </c>
      <c r="CD20" s="316">
        <f>'SANDBOX АСУТП'!K20</f>
        <v>2</v>
      </c>
      <c r="CE20" s="316">
        <f>'EDR АСУТП'!G20</f>
        <v>1</v>
      </c>
      <c r="CF20" s="316">
        <f>'EDR АСУТП'!K20</f>
        <v>1</v>
      </c>
      <c r="CG20" s="316">
        <f>'WAF АСУТП'!G20</f>
        <v>0</v>
      </c>
      <c r="CH20" s="316">
        <f>'WAF АСУТП'!K20</f>
        <v>0</v>
      </c>
      <c r="CI20" s="316">
        <f>'WAF АСУТП'!O20</f>
        <v>0</v>
      </c>
      <c r="CJ20" s="316">
        <f>'ВМ ЗСВ'!G20</f>
        <v>2</v>
      </c>
      <c r="CK20" s="316">
        <f>'ВМ ЗСВ'!K20</f>
        <v>2</v>
      </c>
      <c r="CL20" s="316">
        <f>'ВМ ЗСВ'!O20</f>
        <v>2</v>
      </c>
      <c r="CM20" s="316">
        <f>'ВМ ЗСВ'!S20</f>
        <v>2</v>
      </c>
      <c r="CN20" s="316">
        <f>'ВМ ЗСВ'!W20</f>
        <v>2</v>
      </c>
      <c r="CO20" s="316">
        <f>'ВМ ЗСВ'!AA20</f>
        <v>2</v>
      </c>
      <c r="CP20" s="316">
        <f>'ВМ СПО'!G20</f>
        <v>0</v>
      </c>
      <c r="CQ20" s="316">
        <f>'ВМ СПО'!K20</f>
        <v>0</v>
      </c>
      <c r="CR20" s="316">
        <f>'ВМ СПО'!O20</f>
        <v>0</v>
      </c>
      <c r="CS20" s="316">
        <f>'ВМ СПО'!S20</f>
        <v>0</v>
      </c>
      <c r="CT20" s="316">
        <f>'ВМ АСО'!G20</f>
        <v>0</v>
      </c>
      <c r="CU20" s="316">
        <f>'ВМ АСО'!K20</f>
        <v>0</v>
      </c>
      <c r="CV20" s="16" t="e">
        <f t="shared" si="31"/>
        <v>#REF!</v>
      </c>
      <c r="CW20" s="25">
        <f t="shared" si="32"/>
        <v>0.5</v>
      </c>
      <c r="CX20" s="25">
        <f t="shared" si="33"/>
        <v>1</v>
      </c>
      <c r="CY20" s="25">
        <f t="shared" si="34"/>
        <v>0</v>
      </c>
      <c r="CZ20" s="25">
        <f t="shared" si="35"/>
        <v>0</v>
      </c>
      <c r="DA20" s="25">
        <f t="shared" si="36"/>
        <v>0</v>
      </c>
      <c r="DB20" s="25">
        <f t="shared" si="37"/>
        <v>0</v>
      </c>
      <c r="DC20" s="25">
        <f t="shared" si="38"/>
        <v>0</v>
      </c>
      <c r="DD20" s="25">
        <f t="shared" si="39"/>
        <v>0</v>
      </c>
      <c r="DE20" s="25">
        <f t="shared" si="40"/>
        <v>0</v>
      </c>
      <c r="DF20" s="25">
        <f t="shared" si="41"/>
        <v>0</v>
      </c>
      <c r="DG20" s="25">
        <f t="shared" si="42"/>
        <v>0</v>
      </c>
      <c r="DH20" s="25">
        <f t="shared" si="43"/>
        <v>0</v>
      </c>
      <c r="DI20" s="25">
        <f t="shared" si="44"/>
        <v>0</v>
      </c>
      <c r="DJ20" s="25" t="e">
        <f t="shared" si="45"/>
        <v>#REF!</v>
      </c>
      <c r="DK20" s="25">
        <f t="shared" si="46"/>
        <v>0</v>
      </c>
      <c r="DL20" s="25">
        <f t="shared" si="47"/>
        <v>0</v>
      </c>
      <c r="DM20" s="25">
        <f t="shared" si="48"/>
        <v>0</v>
      </c>
      <c r="DN20" s="25">
        <f t="shared" si="49"/>
        <v>0</v>
      </c>
      <c r="DO20" s="25">
        <f t="shared" si="50"/>
        <v>0</v>
      </c>
      <c r="DP20" s="25">
        <f t="shared" si="51"/>
        <v>0</v>
      </c>
      <c r="DQ20" s="25">
        <f t="shared" si="52"/>
        <v>0</v>
      </c>
      <c r="DR20" s="25">
        <f t="shared" si="53"/>
        <v>0</v>
      </c>
      <c r="DS20" s="25">
        <f t="shared" si="54"/>
        <v>0</v>
      </c>
      <c r="DT20" s="25">
        <f t="shared" si="55"/>
        <v>0</v>
      </c>
      <c r="DU20" s="25">
        <f t="shared" si="56"/>
        <v>0</v>
      </c>
      <c r="DV20" s="21">
        <f t="shared" si="57"/>
        <v>0</v>
      </c>
      <c r="DW20" s="317">
        <f t="shared" si="58"/>
        <v>0</v>
      </c>
      <c r="DX20" s="317">
        <f t="shared" si="59"/>
        <v>0</v>
      </c>
      <c r="DY20" s="317">
        <f t="shared" si="60"/>
        <v>0</v>
      </c>
      <c r="DZ20" s="230">
        <f t="shared" si="61"/>
        <v>0</v>
      </c>
    </row>
    <row r="21" spans="1:220" ht="15" customHeight="1" x14ac:dyDescent="0.25">
      <c r="A21" s="1915"/>
      <c r="B21" s="1910"/>
      <c r="C21" s="18" t="s">
        <v>34</v>
      </c>
      <c r="D21" s="21"/>
      <c r="E21" s="316">
        <f>'АВЗ АСУТП'!G21</f>
        <v>0.5</v>
      </c>
      <c r="F21" s="316">
        <f>'АВЗ АСУТП'!K21</f>
        <v>0.5</v>
      </c>
      <c r="G21" s="316">
        <f>'АВЗ АСУТП'!O21</f>
        <v>0.5</v>
      </c>
      <c r="H21" s="230">
        <f>'АВЗ АСУТП'!S21</f>
        <v>0.5</v>
      </c>
      <c r="I21" s="316">
        <f>'АВЗ АСУТП'!W21</f>
        <v>0.5</v>
      </c>
      <c r="J21" s="230">
        <f>'АВЗ АСУТП'!AA21</f>
        <v>0.5</v>
      </c>
      <c r="K21" s="230">
        <f>'АВЗ АСУТП'!AE21</f>
        <v>0.5</v>
      </c>
      <c r="L21" s="230">
        <f>'АВЗ АСУТП'!AI21</f>
        <v>0.5</v>
      </c>
      <c r="M21" s="230">
        <f>'SIEM АСУТП'!G21</f>
        <v>1</v>
      </c>
      <c r="N21" s="230">
        <f>'SIEM АСУТП'!K21</f>
        <v>1</v>
      </c>
      <c r="O21" s="230">
        <f>'МСЭ АСУТП'!G21</f>
        <v>4</v>
      </c>
      <c r="P21" s="317">
        <f>'МСЭ АСУТП'!K21</f>
        <v>4</v>
      </c>
      <c r="Q21" s="230">
        <f>'МСЭ АСУТП'!O21</f>
        <v>4</v>
      </c>
      <c r="R21" s="230">
        <f>'МСЭ АСУТП'!S21</f>
        <v>4</v>
      </c>
      <c r="S21" s="230">
        <f>'PAM АСУТП'!G21</f>
        <v>3</v>
      </c>
      <c r="T21" s="230">
        <f>'PAM АСУТП'!K21</f>
        <v>3</v>
      </c>
      <c r="U21" s="230">
        <f>'PAM АСУТП'!O21</f>
        <v>3</v>
      </c>
      <c r="V21" s="230">
        <f>'СКЗИ АСУТП'!G21</f>
        <v>3</v>
      </c>
      <c r="W21" s="230">
        <f>'СКЗИ АСУТП'!K21</f>
        <v>3</v>
      </c>
      <c r="X21" s="230">
        <f>'СКЗИ АСУТП'!O21</f>
        <v>3</v>
      </c>
      <c r="Y21" s="230">
        <f>'СКЗИ АСУТП'!S21</f>
        <v>3</v>
      </c>
      <c r="Z21" s="230">
        <f>'СКЗИ АСУТП'!W21</f>
        <v>3</v>
      </c>
      <c r="AA21" s="230">
        <f>'АЗ АСУТП'!G21</f>
        <v>3</v>
      </c>
      <c r="AB21" s="230">
        <f>'АЗ АСУТП'!K21</f>
        <v>3</v>
      </c>
      <c r="AC21" s="230">
        <f>'АЗ АСУТП'!O21</f>
        <v>3</v>
      </c>
      <c r="AD21" s="230">
        <f>'АЗ АСУТП'!S21</f>
        <v>3</v>
      </c>
      <c r="AE21" s="230">
        <f>'АЗ АСУТП'!W21</f>
        <v>3</v>
      </c>
      <c r="AF21" s="230">
        <f>'РК АСУТП'!G21</f>
        <v>1</v>
      </c>
      <c r="AG21" s="230">
        <f>'РК АСУТП'!K21</f>
        <v>1</v>
      </c>
      <c r="AH21" s="230">
        <f>'IDS АСУТП'!G21</f>
        <v>4</v>
      </c>
      <c r="AI21" s="230">
        <f>'IDS АСУТП'!K21</f>
        <v>4</v>
      </c>
      <c r="AJ21" s="230">
        <f>'IDS АСУТП'!O21</f>
        <v>4</v>
      </c>
      <c r="AK21" s="230">
        <f>'АПМДЗ АСУТП'!G21</f>
        <v>0.2</v>
      </c>
      <c r="AL21" s="230">
        <f>'АПМДЗ АСУТП'!K21</f>
        <v>0.2</v>
      </c>
      <c r="AM21" s="230">
        <f>'НСД АСУТП'!G21</f>
        <v>0.2</v>
      </c>
      <c r="AN21" s="230">
        <f>'НСД АСУТП'!K21</f>
        <v>0.2</v>
      </c>
      <c r="AO21" s="230">
        <f>'НСД АСУТП'!O21</f>
        <v>0.2</v>
      </c>
      <c r="AP21" s="230">
        <f>'MFA АСУТП'!G21</f>
        <v>3</v>
      </c>
      <c r="AQ21" s="230">
        <f>'MFA АСУТП'!K21</f>
        <v>3</v>
      </c>
      <c r="AR21" s="230">
        <f>'MFA АСУТП'!O21</f>
        <v>3</v>
      </c>
      <c r="AS21" s="230">
        <f>'MFA АСУТП'!S21</f>
        <v>3</v>
      </c>
      <c r="AT21" s="230">
        <f>'ДИОД АСУТП'!G21</f>
        <v>3</v>
      </c>
      <c r="AU21" s="230">
        <f>'ДИОД АСУТП'!K21</f>
        <v>3</v>
      </c>
      <c r="AV21" s="230">
        <f>'ДИОД АСУТП'!O21</f>
        <v>3</v>
      </c>
      <c r="AW21" s="230">
        <f>'ДИОД АСУТП'!S21</f>
        <v>3</v>
      </c>
      <c r="AX21" s="230">
        <f>'СЗВ АСУТП'!G21</f>
        <v>3</v>
      </c>
      <c r="AY21" s="230">
        <f>'СЗВ АСУТП'!K21</f>
        <v>3</v>
      </c>
      <c r="AZ21" s="230">
        <f>'СЗВ АСУТП'!O21</f>
        <v>3</v>
      </c>
      <c r="BA21" s="230">
        <f>'SOAR АСУТП'!G21</f>
        <v>1</v>
      </c>
      <c r="BB21" s="230">
        <f>'SOAR АСУТП'!K21</f>
        <v>1</v>
      </c>
      <c r="BC21" s="230">
        <f>'SOAR АСУТП'!O21</f>
        <v>1</v>
      </c>
      <c r="BD21" s="230" t="e">
        <f>'SOAR АСУТП'!#REF!</f>
        <v>#REF!</v>
      </c>
      <c r="BE21" s="230">
        <f>'VDI АСУТП'!G21</f>
        <v>3</v>
      </c>
      <c r="BF21" s="230">
        <f>'VDI АСУТП'!K21</f>
        <v>3</v>
      </c>
      <c r="BG21" s="230">
        <f>'VDI АСУТП'!O21</f>
        <v>3</v>
      </c>
      <c r="BH21" s="230">
        <f>'VDI АСУТП'!S21</f>
        <v>3</v>
      </c>
      <c r="BI21" s="230">
        <f>'VDI АСУТП'!W21</f>
        <v>3</v>
      </c>
      <c r="BJ21" s="316">
        <f>'СУБД АСУТП'!G21</f>
        <v>0.5</v>
      </c>
      <c r="BK21" s="316">
        <f>'СУБД АСУТП'!K21</f>
        <v>0.5</v>
      </c>
      <c r="BL21" s="316">
        <f>'ГОССОПКА АСУТП'!G21</f>
        <v>6</v>
      </c>
      <c r="BM21" s="316">
        <f>'ГОССОПКА АСУТП'!K21</f>
        <v>6</v>
      </c>
      <c r="BN21" s="316">
        <f>'TLS АСУТП'!G21</f>
        <v>3</v>
      </c>
      <c r="BO21" s="316">
        <f>'TLS АСУТП'!K21</f>
        <v>3</v>
      </c>
      <c r="BP21" s="316">
        <f>'DCAP АСУТП'!G21</f>
        <v>3</v>
      </c>
      <c r="BQ21" s="316">
        <f>'DCAP АСУТП'!K21</f>
        <v>3</v>
      </c>
      <c r="BR21" s="316">
        <f>'DCAP АСУТП'!O21</f>
        <v>3</v>
      </c>
      <c r="BS21" s="316">
        <f>'DO АСУТП'!G21</f>
        <v>1.25</v>
      </c>
      <c r="BT21" s="316">
        <f>'NTA АСУТП'!G21</f>
        <v>3</v>
      </c>
      <c r="BU21" s="316">
        <f>'NTA АСУТП'!K21</f>
        <v>3</v>
      </c>
      <c r="BV21" s="316">
        <f>'NTA АСУТП'!O21</f>
        <v>3</v>
      </c>
      <c r="BW21" s="316">
        <f>'NTA АСУТП'!S21</f>
        <v>3</v>
      </c>
      <c r="BX21" s="316">
        <f>'SEG АСУТП'!G21</f>
        <v>3</v>
      </c>
      <c r="BY21" s="316">
        <f>'APT АСУТП'!G21</f>
        <v>3</v>
      </c>
      <c r="BZ21" s="316">
        <f>'APT АСУТП'!K21</f>
        <v>3</v>
      </c>
      <c r="CA21" s="316">
        <f>'APT АСУТП'!O21</f>
        <v>3</v>
      </c>
      <c r="CB21" s="316">
        <f>'NAC АСУТП'!G21</f>
        <v>0</v>
      </c>
      <c r="CC21" s="316">
        <f>'SANDBOX АСУТП'!G21</f>
        <v>3</v>
      </c>
      <c r="CD21" s="316">
        <f>'SANDBOX АСУТП'!K21</f>
        <v>3</v>
      </c>
      <c r="CE21" s="316">
        <f>'EDR АСУТП'!G21</f>
        <v>1</v>
      </c>
      <c r="CF21" s="316">
        <f>'EDR АСУТП'!K21</f>
        <v>1</v>
      </c>
      <c r="CG21" s="316">
        <f>'WAF АСУТП'!G21</f>
        <v>0</v>
      </c>
      <c r="CH21" s="316">
        <f>'WAF АСУТП'!K21</f>
        <v>0</v>
      </c>
      <c r="CI21" s="316">
        <f>'WAF АСУТП'!O21</f>
        <v>0</v>
      </c>
      <c r="CJ21" s="316">
        <f>'ВМ ЗСВ'!G21</f>
        <v>3</v>
      </c>
      <c r="CK21" s="316">
        <f>'ВМ ЗСВ'!K21</f>
        <v>3</v>
      </c>
      <c r="CL21" s="316">
        <f>'ВМ ЗСВ'!O21</f>
        <v>3</v>
      </c>
      <c r="CM21" s="316">
        <f>'ВМ ЗСВ'!S21</f>
        <v>3</v>
      </c>
      <c r="CN21" s="316">
        <f>'ВМ ЗСВ'!W21</f>
        <v>3</v>
      </c>
      <c r="CO21" s="316">
        <f>'ВМ ЗСВ'!AA21</f>
        <v>3</v>
      </c>
      <c r="CP21" s="316">
        <f>'ВМ СПО'!G21</f>
        <v>0</v>
      </c>
      <c r="CQ21" s="316">
        <f>'ВМ СПО'!K21</f>
        <v>0</v>
      </c>
      <c r="CR21" s="316">
        <f>'ВМ СПО'!O21</f>
        <v>0</v>
      </c>
      <c r="CS21" s="316">
        <f>'ВМ СПО'!S21</f>
        <v>0</v>
      </c>
      <c r="CT21" s="316">
        <f>'ВМ АСО'!G21</f>
        <v>0</v>
      </c>
      <c r="CU21" s="316">
        <f>'ВМ АСО'!K21</f>
        <v>0</v>
      </c>
      <c r="CV21" s="16" t="e">
        <f t="shared" si="31"/>
        <v>#REF!</v>
      </c>
      <c r="CW21" s="25">
        <f t="shared" si="32"/>
        <v>0.5</v>
      </c>
      <c r="CX21" s="25">
        <f t="shared" si="33"/>
        <v>1</v>
      </c>
      <c r="CY21" s="25">
        <f t="shared" si="34"/>
        <v>0</v>
      </c>
      <c r="CZ21" s="25">
        <f t="shared" si="35"/>
        <v>0</v>
      </c>
      <c r="DA21" s="25">
        <f t="shared" si="36"/>
        <v>0</v>
      </c>
      <c r="DB21" s="25">
        <f t="shared" si="37"/>
        <v>0</v>
      </c>
      <c r="DC21" s="25">
        <f t="shared" si="38"/>
        <v>0</v>
      </c>
      <c r="DD21" s="25">
        <f t="shared" si="39"/>
        <v>0</v>
      </c>
      <c r="DE21" s="25">
        <f t="shared" si="40"/>
        <v>0</v>
      </c>
      <c r="DF21" s="25">
        <f t="shared" si="41"/>
        <v>0</v>
      </c>
      <c r="DG21" s="25">
        <f t="shared" si="42"/>
        <v>0</v>
      </c>
      <c r="DH21" s="25">
        <f t="shared" si="43"/>
        <v>0</v>
      </c>
      <c r="DI21" s="25">
        <f t="shared" si="44"/>
        <v>0</v>
      </c>
      <c r="DJ21" s="25" t="e">
        <f t="shared" si="45"/>
        <v>#REF!</v>
      </c>
      <c r="DK21" s="25">
        <f t="shared" si="46"/>
        <v>0</v>
      </c>
      <c r="DL21" s="25">
        <f t="shared" si="47"/>
        <v>0</v>
      </c>
      <c r="DM21" s="25">
        <f t="shared" si="48"/>
        <v>0</v>
      </c>
      <c r="DN21" s="25">
        <f t="shared" si="49"/>
        <v>0</v>
      </c>
      <c r="DO21" s="25">
        <f t="shared" si="50"/>
        <v>0</v>
      </c>
      <c r="DP21" s="25">
        <f t="shared" si="51"/>
        <v>0</v>
      </c>
      <c r="DQ21" s="25">
        <f t="shared" si="52"/>
        <v>0</v>
      </c>
      <c r="DR21" s="25">
        <f t="shared" si="53"/>
        <v>0</v>
      </c>
      <c r="DS21" s="25">
        <f t="shared" si="54"/>
        <v>0</v>
      </c>
      <c r="DT21" s="25">
        <f t="shared" si="55"/>
        <v>0</v>
      </c>
      <c r="DU21" s="25">
        <f t="shared" si="56"/>
        <v>0</v>
      </c>
      <c r="DV21" s="21">
        <f t="shared" si="57"/>
        <v>0</v>
      </c>
      <c r="DW21" s="317">
        <f t="shared" si="58"/>
        <v>0</v>
      </c>
      <c r="DX21" s="317">
        <f t="shared" si="59"/>
        <v>0</v>
      </c>
      <c r="DY21" s="317">
        <f t="shared" si="60"/>
        <v>0</v>
      </c>
      <c r="DZ21" s="230">
        <f t="shared" si="61"/>
        <v>0</v>
      </c>
    </row>
    <row r="22" spans="1:220" ht="15" customHeight="1" x14ac:dyDescent="0.25">
      <c r="A22" s="1915" t="s">
        <v>6</v>
      </c>
      <c r="B22" s="1909">
        <f>IF('Тип разраб-ой док-ции'!F11=1,1,0)</f>
        <v>1</v>
      </c>
      <c r="C22" s="18" t="s">
        <v>32</v>
      </c>
      <c r="D22" s="21"/>
      <c r="E22" s="316">
        <f>'АВЗ АСУТП'!G22</f>
        <v>3</v>
      </c>
      <c r="F22" s="316">
        <f>'АВЗ АСУТП'!K22</f>
        <v>3</v>
      </c>
      <c r="G22" s="316">
        <f>'АВЗ АСУТП'!O22</f>
        <v>3</v>
      </c>
      <c r="H22" s="230">
        <f>'АВЗ АСУТП'!S22</f>
        <v>3</v>
      </c>
      <c r="I22" s="316">
        <f>'АВЗ АСУТП'!W22</f>
        <v>3</v>
      </c>
      <c r="J22" s="230">
        <f>'АВЗ АСУТП'!AA22</f>
        <v>3</v>
      </c>
      <c r="K22" s="230">
        <f>'АВЗ АСУТП'!AE22</f>
        <v>3</v>
      </c>
      <c r="L22" s="230">
        <f>'АВЗ АСУТП'!AI22</f>
        <v>3</v>
      </c>
      <c r="M22" s="230">
        <f>'SIEM АСУТП'!G22</f>
        <v>8.5</v>
      </c>
      <c r="N22" s="230">
        <f>'SIEM АСУТП'!K22</f>
        <v>8.5</v>
      </c>
      <c r="O22" s="230">
        <f>'МСЭ АСУТП'!G22</f>
        <v>7</v>
      </c>
      <c r="P22" s="317">
        <f>'МСЭ АСУТП'!K22</f>
        <v>7</v>
      </c>
      <c r="Q22" s="230">
        <f>'МСЭ АСУТП'!O22</f>
        <v>7</v>
      </c>
      <c r="R22" s="230">
        <f>'МСЭ АСУТП'!S22</f>
        <v>7</v>
      </c>
      <c r="S22" s="230">
        <f>'PAM АСУТП'!G22</f>
        <v>12</v>
      </c>
      <c r="T22" s="230">
        <f>'PAM АСУТП'!K22</f>
        <v>12</v>
      </c>
      <c r="U22" s="230">
        <f>'PAM АСУТП'!O22</f>
        <v>12</v>
      </c>
      <c r="V22" s="230">
        <f>'СКЗИ АСУТП'!G22</f>
        <v>8</v>
      </c>
      <c r="W22" s="230">
        <f>'СКЗИ АСУТП'!K22</f>
        <v>8</v>
      </c>
      <c r="X22" s="230">
        <f>'СКЗИ АСУТП'!O22</f>
        <v>8</v>
      </c>
      <c r="Y22" s="230">
        <f>'СКЗИ АСУТП'!S22</f>
        <v>8</v>
      </c>
      <c r="Z22" s="230">
        <f>'СКЗИ АСУТП'!W22</f>
        <v>8</v>
      </c>
      <c r="AA22" s="230">
        <f>'АЗ АСУТП'!G22</f>
        <v>4</v>
      </c>
      <c r="AB22" s="230">
        <f>'АЗ АСУТП'!K22</f>
        <v>4</v>
      </c>
      <c r="AC22" s="230">
        <f>'АЗ АСУТП'!O22</f>
        <v>4</v>
      </c>
      <c r="AD22" s="230">
        <f>'АЗ АСУТП'!S22</f>
        <v>4</v>
      </c>
      <c r="AE22" s="230">
        <f>'АЗ АСУТП'!W22</f>
        <v>4</v>
      </c>
      <c r="AF22" s="230">
        <f>'РК АСУТП'!G22</f>
        <v>5.5</v>
      </c>
      <c r="AG22" s="230">
        <f>'РК АСУТП'!K22</f>
        <v>5.5</v>
      </c>
      <c r="AH22" s="230">
        <f>'IDS АСУТП'!G22</f>
        <v>8</v>
      </c>
      <c r="AI22" s="230">
        <f>'IDS АСУТП'!K22</f>
        <v>8</v>
      </c>
      <c r="AJ22" s="230">
        <f>'IDS АСУТП'!O22</f>
        <v>8</v>
      </c>
      <c r="AK22" s="230">
        <f>'АПМДЗ АСУТП'!G22</f>
        <v>1.2800000000000002</v>
      </c>
      <c r="AL22" s="230">
        <f>'АПМДЗ АСУТП'!K22</f>
        <v>1.2800000000000002</v>
      </c>
      <c r="AM22" s="230">
        <f>'НСД АСУТП'!G22</f>
        <v>1.2800000000000002</v>
      </c>
      <c r="AN22" s="230">
        <f>'НСД АСУТП'!K22</f>
        <v>1.2800000000000002</v>
      </c>
      <c r="AO22" s="230">
        <f>'НСД АСУТП'!O22</f>
        <v>1.2800000000000002</v>
      </c>
      <c r="AP22" s="230">
        <f>'MFA АСУТП'!G22</f>
        <v>32</v>
      </c>
      <c r="AQ22" s="230">
        <f>'MFA АСУТП'!K22</f>
        <v>32</v>
      </c>
      <c r="AR22" s="230">
        <f>'MFA АСУТП'!O22</f>
        <v>32</v>
      </c>
      <c r="AS22" s="230">
        <f>'MFA АСУТП'!S22</f>
        <v>32</v>
      </c>
      <c r="AT22" s="230">
        <f>'ДИОД АСУТП'!G22</f>
        <v>1</v>
      </c>
      <c r="AU22" s="230">
        <f>'ДИОД АСУТП'!K22</f>
        <v>1</v>
      </c>
      <c r="AV22" s="230">
        <f>'ДИОД АСУТП'!O22</f>
        <v>1</v>
      </c>
      <c r="AW22" s="230">
        <f>'ДИОД АСУТП'!S22</f>
        <v>1</v>
      </c>
      <c r="AX22" s="230">
        <f>'СЗВ АСУТП'!G22</f>
        <v>12</v>
      </c>
      <c r="AY22" s="230">
        <f>'СЗВ АСУТП'!K22</f>
        <v>14</v>
      </c>
      <c r="AZ22" s="230">
        <f>'СЗВ АСУТП'!O22</f>
        <v>10</v>
      </c>
      <c r="BA22" s="230">
        <f>'SOAR АСУТП'!G22</f>
        <v>8</v>
      </c>
      <c r="BB22" s="230">
        <f>'SOAR АСУТП'!K22</f>
        <v>8</v>
      </c>
      <c r="BC22" s="230">
        <f>'SOAR АСУТП'!O22</f>
        <v>8</v>
      </c>
      <c r="BD22" s="230" t="e">
        <f>'SOAR АСУТП'!#REF!</f>
        <v>#REF!</v>
      </c>
      <c r="BE22" s="230">
        <f>'VDI АСУТП'!G22</f>
        <v>6</v>
      </c>
      <c r="BF22" s="230">
        <f>'VDI АСУТП'!K22</f>
        <v>8</v>
      </c>
      <c r="BG22" s="230">
        <f>'VDI АСУТП'!O22</f>
        <v>8</v>
      </c>
      <c r="BH22" s="230">
        <f>'VDI АСУТП'!S22</f>
        <v>8</v>
      </c>
      <c r="BI22" s="230">
        <f>'VDI АСУТП'!W22</f>
        <v>8</v>
      </c>
      <c r="BJ22" s="316">
        <f>'СУБД АСУТП'!G22</f>
        <v>4</v>
      </c>
      <c r="BK22" s="316">
        <f>'СУБД АСУТП'!K22</f>
        <v>4</v>
      </c>
      <c r="BL22" s="316">
        <f>'ГОССОПКА АСУТП'!G22</f>
        <v>24</v>
      </c>
      <c r="BM22" s="316">
        <f>'ГОССОПКА АСУТП'!K22</f>
        <v>24</v>
      </c>
      <c r="BN22" s="316">
        <f>'TLS АСУТП'!G22</f>
        <v>24</v>
      </c>
      <c r="BO22" s="316">
        <f>'TLS АСУТП'!K22</f>
        <v>24</v>
      </c>
      <c r="BP22" s="316">
        <f>'DCAP АСУТП'!G22</f>
        <v>8</v>
      </c>
      <c r="BQ22" s="316">
        <f>'DCAP АСУТП'!K22</f>
        <v>8</v>
      </c>
      <c r="BR22" s="316">
        <f>'DCAP АСУТП'!O22</f>
        <v>8</v>
      </c>
      <c r="BS22" s="316">
        <f>'DO АСУТП'!G22</f>
        <v>8</v>
      </c>
      <c r="BT22" s="316">
        <f>'NTA АСУТП'!G22</f>
        <v>8</v>
      </c>
      <c r="BU22" s="316">
        <f>'NTA АСУТП'!K22</f>
        <v>8</v>
      </c>
      <c r="BV22" s="316">
        <f>'NTA АСУТП'!O22</f>
        <v>16</v>
      </c>
      <c r="BW22" s="316">
        <f>'NTA АСУТП'!S22</f>
        <v>8</v>
      </c>
      <c r="BX22" s="316">
        <f>'SEG АСУТП'!G22</f>
        <v>8</v>
      </c>
      <c r="BY22" s="316">
        <f>'APT АСУТП'!G22</f>
        <v>22</v>
      </c>
      <c r="BZ22" s="316">
        <f>'APT АСУТП'!K22</f>
        <v>22</v>
      </c>
      <c r="CA22" s="316">
        <f>'APT АСУТП'!O22</f>
        <v>22</v>
      </c>
      <c r="CB22" s="316">
        <f>'NAC АСУТП'!G22</f>
        <v>24</v>
      </c>
      <c r="CC22" s="316">
        <f>'SANDBOX АСУТП'!G22</f>
        <v>8</v>
      </c>
      <c r="CD22" s="316">
        <f>'SANDBOX АСУТП'!K22</f>
        <v>8</v>
      </c>
      <c r="CE22" s="316">
        <f>'EDR АСУТП'!G22</f>
        <v>8</v>
      </c>
      <c r="CF22" s="316">
        <f>'EDR АСУТП'!K22</f>
        <v>8</v>
      </c>
      <c r="CG22" s="316">
        <f>'WAF АСУТП'!G22</f>
        <v>24</v>
      </c>
      <c r="CH22" s="316">
        <f>'WAF АСУТП'!K22</f>
        <v>24</v>
      </c>
      <c r="CI22" s="316">
        <f>'WAF АСУТП'!O22</f>
        <v>24</v>
      </c>
      <c r="CJ22" s="316">
        <f>'ВМ ЗСВ'!G22</f>
        <v>8</v>
      </c>
      <c r="CK22" s="316">
        <f>'ВМ ЗСВ'!K22</f>
        <v>10</v>
      </c>
      <c r="CL22" s="316">
        <f>'ВМ ЗСВ'!O22</f>
        <v>10</v>
      </c>
      <c r="CM22" s="316">
        <f>'ВМ ЗСВ'!S22</f>
        <v>10</v>
      </c>
      <c r="CN22" s="316">
        <f>'ВМ ЗСВ'!W22</f>
        <v>8</v>
      </c>
      <c r="CO22" s="316">
        <f>'ВМ ЗСВ'!AA22</f>
        <v>12</v>
      </c>
      <c r="CP22" s="316">
        <f>'ВМ СПО'!G22</f>
        <v>4</v>
      </c>
      <c r="CQ22" s="316">
        <f>'ВМ СПО'!K22</f>
        <v>4</v>
      </c>
      <c r="CR22" s="316">
        <f>'ВМ СПО'!O22</f>
        <v>4</v>
      </c>
      <c r="CS22" s="316">
        <f>'ВМ СПО'!S22</f>
        <v>4</v>
      </c>
      <c r="CT22" s="316">
        <f>'ВМ АСО'!G22</f>
        <v>0</v>
      </c>
      <c r="CU22" s="316">
        <f>'ВМ АСО'!K22</f>
        <v>0</v>
      </c>
      <c r="CV22" s="16" t="e">
        <f t="shared" si="31"/>
        <v>#REF!</v>
      </c>
      <c r="CW22" s="25">
        <f t="shared" si="32"/>
        <v>3</v>
      </c>
      <c r="CX22" s="25">
        <f t="shared" si="33"/>
        <v>8.5</v>
      </c>
      <c r="CY22" s="25">
        <f t="shared" si="34"/>
        <v>0</v>
      </c>
      <c r="CZ22" s="25">
        <f t="shared" si="35"/>
        <v>0</v>
      </c>
      <c r="DA22" s="25">
        <f t="shared" si="36"/>
        <v>0</v>
      </c>
      <c r="DB22" s="25">
        <f t="shared" si="37"/>
        <v>0</v>
      </c>
      <c r="DC22" s="25">
        <f t="shared" si="38"/>
        <v>0</v>
      </c>
      <c r="DD22" s="25">
        <f t="shared" si="39"/>
        <v>0</v>
      </c>
      <c r="DE22" s="25">
        <f t="shared" si="40"/>
        <v>0</v>
      </c>
      <c r="DF22" s="25">
        <f t="shared" si="41"/>
        <v>0</v>
      </c>
      <c r="DG22" s="25">
        <f t="shared" si="42"/>
        <v>0</v>
      </c>
      <c r="DH22" s="25">
        <f t="shared" si="43"/>
        <v>0</v>
      </c>
      <c r="DI22" s="25">
        <f t="shared" si="44"/>
        <v>0</v>
      </c>
      <c r="DJ22" s="25" t="e">
        <f t="shared" si="45"/>
        <v>#REF!</v>
      </c>
      <c r="DK22" s="25">
        <f t="shared" si="46"/>
        <v>0</v>
      </c>
      <c r="DL22" s="25">
        <f t="shared" si="47"/>
        <v>0</v>
      </c>
      <c r="DM22" s="25">
        <f t="shared" si="48"/>
        <v>0</v>
      </c>
      <c r="DN22" s="25">
        <f t="shared" si="49"/>
        <v>0</v>
      </c>
      <c r="DO22" s="25">
        <f t="shared" si="50"/>
        <v>0</v>
      </c>
      <c r="DP22" s="25">
        <f t="shared" si="51"/>
        <v>0</v>
      </c>
      <c r="DQ22" s="25">
        <f t="shared" si="52"/>
        <v>0</v>
      </c>
      <c r="DR22" s="25">
        <f t="shared" si="53"/>
        <v>0</v>
      </c>
      <c r="DS22" s="25">
        <f t="shared" si="54"/>
        <v>0</v>
      </c>
      <c r="DT22" s="25">
        <f t="shared" si="55"/>
        <v>0</v>
      </c>
      <c r="DU22" s="25">
        <f t="shared" si="56"/>
        <v>0</v>
      </c>
      <c r="DV22" s="21">
        <f t="shared" si="57"/>
        <v>0</v>
      </c>
      <c r="DW22" s="317">
        <f t="shared" si="58"/>
        <v>0</v>
      </c>
      <c r="DX22" s="317">
        <f t="shared" si="59"/>
        <v>0</v>
      </c>
      <c r="DY22" s="317">
        <f t="shared" si="60"/>
        <v>0</v>
      </c>
      <c r="DZ22" s="230">
        <f t="shared" si="61"/>
        <v>0</v>
      </c>
    </row>
    <row r="23" spans="1:220" ht="15" customHeight="1" x14ac:dyDescent="0.25">
      <c r="A23" s="1915"/>
      <c r="B23" s="1909"/>
      <c r="C23" s="18" t="s">
        <v>33</v>
      </c>
      <c r="D23" s="21"/>
      <c r="E23" s="316">
        <f>'АВЗ АСУТП'!G23</f>
        <v>3</v>
      </c>
      <c r="F23" s="316">
        <f>'АВЗ АСУТП'!K23</f>
        <v>3</v>
      </c>
      <c r="G23" s="316">
        <f>'АВЗ АСУТП'!O23</f>
        <v>3</v>
      </c>
      <c r="H23" s="230">
        <f>'АВЗ АСУТП'!S23</f>
        <v>3</v>
      </c>
      <c r="I23" s="316">
        <f>'АВЗ АСУТП'!W23</f>
        <v>3</v>
      </c>
      <c r="J23" s="230">
        <f>'АВЗ АСУТП'!AA23</f>
        <v>3</v>
      </c>
      <c r="K23" s="230">
        <f>'АВЗ АСУТП'!AE23</f>
        <v>3</v>
      </c>
      <c r="L23" s="230">
        <f>'АВЗ АСУТП'!AI23</f>
        <v>3</v>
      </c>
      <c r="M23" s="230">
        <f>'SIEM АСУТП'!G23</f>
        <v>2.5</v>
      </c>
      <c r="N23" s="230">
        <f>'SIEM АСУТП'!K23</f>
        <v>2.5</v>
      </c>
      <c r="O23" s="230">
        <f>'МСЭ АСУТП'!G23</f>
        <v>11.5</v>
      </c>
      <c r="P23" s="317">
        <f>'МСЭ АСУТП'!K23</f>
        <v>11.5</v>
      </c>
      <c r="Q23" s="230">
        <f>'МСЭ АСУТП'!O23</f>
        <v>11.5</v>
      </c>
      <c r="R23" s="230">
        <f>'МСЭ АСУТП'!S23</f>
        <v>11.5</v>
      </c>
      <c r="S23" s="230">
        <f>'PAM АСУТП'!G23</f>
        <v>14</v>
      </c>
      <c r="T23" s="230">
        <f>'PAM АСУТП'!K23</f>
        <v>14</v>
      </c>
      <c r="U23" s="230">
        <f>'PAM АСУТП'!O23</f>
        <v>14</v>
      </c>
      <c r="V23" s="230">
        <f>'СКЗИ АСУТП'!G23</f>
        <v>11</v>
      </c>
      <c r="W23" s="230">
        <f>'СКЗИ АСУТП'!K23</f>
        <v>11</v>
      </c>
      <c r="X23" s="230">
        <f>'СКЗИ АСУТП'!O23</f>
        <v>11</v>
      </c>
      <c r="Y23" s="230">
        <f>'СКЗИ АСУТП'!S23</f>
        <v>11</v>
      </c>
      <c r="Z23" s="230">
        <f>'СКЗИ АСУТП'!W23</f>
        <v>11</v>
      </c>
      <c r="AA23" s="230">
        <f>'АЗ АСУТП'!G23</f>
        <v>6</v>
      </c>
      <c r="AB23" s="230">
        <f>'АЗ АСУТП'!K23</f>
        <v>6</v>
      </c>
      <c r="AC23" s="230">
        <f>'АЗ АСУТП'!O23</f>
        <v>6</v>
      </c>
      <c r="AD23" s="230">
        <f>'АЗ АСУТП'!S23</f>
        <v>6</v>
      </c>
      <c r="AE23" s="230">
        <f>'АЗ АСУТП'!W23</f>
        <v>6</v>
      </c>
      <c r="AF23" s="230">
        <f>'РК АСУТП'!G23</f>
        <v>6.7</v>
      </c>
      <c r="AG23" s="230">
        <f>'РК АСУТП'!K23</f>
        <v>6.7</v>
      </c>
      <c r="AH23" s="230">
        <f>'IDS АСУТП'!G23</f>
        <v>16</v>
      </c>
      <c r="AI23" s="230">
        <f>'IDS АСУТП'!K23</f>
        <v>16</v>
      </c>
      <c r="AJ23" s="230">
        <f>'IDS АСУТП'!O23</f>
        <v>16</v>
      </c>
      <c r="AK23" s="230">
        <f>'АПМДЗ АСУТП'!G23</f>
        <v>1.6</v>
      </c>
      <c r="AL23" s="230">
        <f>'АПМДЗ АСУТП'!K23</f>
        <v>1.6</v>
      </c>
      <c r="AM23" s="230">
        <f>'НСД АСУТП'!G23</f>
        <v>1.6</v>
      </c>
      <c r="AN23" s="230">
        <f>'НСД АСУТП'!K23</f>
        <v>1.6</v>
      </c>
      <c r="AO23" s="230">
        <f>'НСД АСУТП'!O23</f>
        <v>1.6</v>
      </c>
      <c r="AP23" s="230">
        <f>'MFA АСУТП'!G23</f>
        <v>40</v>
      </c>
      <c r="AQ23" s="230">
        <f>'MFA АСУТП'!K23</f>
        <v>40</v>
      </c>
      <c r="AR23" s="230">
        <f>'MFA АСУТП'!O23</f>
        <v>40</v>
      </c>
      <c r="AS23" s="230">
        <f>'MFA АСУТП'!S23</f>
        <v>40</v>
      </c>
      <c r="AT23" s="230">
        <f>'ДИОД АСУТП'!G23</f>
        <v>2</v>
      </c>
      <c r="AU23" s="230">
        <f>'ДИОД АСУТП'!K23</f>
        <v>2</v>
      </c>
      <c r="AV23" s="230">
        <f>'ДИОД АСУТП'!O23</f>
        <v>2</v>
      </c>
      <c r="AW23" s="230">
        <f>'ДИОД АСУТП'!S23</f>
        <v>2</v>
      </c>
      <c r="AX23" s="230">
        <f>'СЗВ АСУТП'!G23</f>
        <v>16</v>
      </c>
      <c r="AY23" s="230">
        <f>'СЗВ АСУТП'!K23</f>
        <v>18</v>
      </c>
      <c r="AZ23" s="230">
        <f>'СЗВ АСУТП'!O23</f>
        <v>14</v>
      </c>
      <c r="BA23" s="230">
        <f>'SOAR АСУТП'!G23</f>
        <v>2</v>
      </c>
      <c r="BB23" s="230">
        <f>'SOAR АСУТП'!K23</f>
        <v>2</v>
      </c>
      <c r="BC23" s="230">
        <f>'SOAR АСУТП'!O23</f>
        <v>2</v>
      </c>
      <c r="BD23" s="230" t="e">
        <f>'SOAR АСУТП'!#REF!</f>
        <v>#REF!</v>
      </c>
      <c r="BE23" s="230">
        <f>'VDI АСУТП'!G23</f>
        <v>8</v>
      </c>
      <c r="BF23" s="230">
        <f>'VDI АСУТП'!K23</f>
        <v>12</v>
      </c>
      <c r="BG23" s="230">
        <f>'VDI АСУТП'!O23</f>
        <v>12</v>
      </c>
      <c r="BH23" s="230">
        <f>'VDI АСУТП'!S23</f>
        <v>12</v>
      </c>
      <c r="BI23" s="230">
        <f>'VDI АСУТП'!W23</f>
        <v>12</v>
      </c>
      <c r="BJ23" s="316">
        <f>'СУБД АСУТП'!G23</f>
        <v>1</v>
      </c>
      <c r="BK23" s="316">
        <f>'СУБД АСУТП'!K23</f>
        <v>1</v>
      </c>
      <c r="BL23" s="316">
        <f>'ГОССОПКА АСУТП'!G23</f>
        <v>32</v>
      </c>
      <c r="BM23" s="316">
        <f>'ГОССОПКА АСУТП'!K23</f>
        <v>32</v>
      </c>
      <c r="BN23" s="316">
        <f>'TLS АСУТП'!G23</f>
        <v>32</v>
      </c>
      <c r="BO23" s="316">
        <f>'TLS АСУТП'!K23</f>
        <v>32</v>
      </c>
      <c r="BP23" s="316">
        <f>'DCAP АСУТП'!G23</f>
        <v>12</v>
      </c>
      <c r="BQ23" s="316">
        <f>'DCAP АСУТП'!K23</f>
        <v>12</v>
      </c>
      <c r="BR23" s="316">
        <f>'DCAP АСУТП'!O23</f>
        <v>12</v>
      </c>
      <c r="BS23" s="316">
        <f>'DO АСУТП'!G23</f>
        <v>2.5</v>
      </c>
      <c r="BT23" s="316">
        <f>'NTA АСУТП'!G23</f>
        <v>12</v>
      </c>
      <c r="BU23" s="316">
        <f>'NTA АСУТП'!K23</f>
        <v>12</v>
      </c>
      <c r="BV23" s="316">
        <f>'NTA АСУТП'!O23</f>
        <v>32</v>
      </c>
      <c r="BW23" s="316">
        <f>'NTA АСУТП'!S23</f>
        <v>12</v>
      </c>
      <c r="BX23" s="316">
        <f>'SEG АСУТП'!G23</f>
        <v>12</v>
      </c>
      <c r="BY23" s="316">
        <f>'APT АСУТП'!G23</f>
        <v>28</v>
      </c>
      <c r="BZ23" s="316">
        <f>'APT АСУТП'!K23</f>
        <v>28</v>
      </c>
      <c r="CA23" s="316">
        <f>'APT АСУТП'!O23</f>
        <v>28</v>
      </c>
      <c r="CB23" s="316">
        <f>'NAC АСУТП'!G23</f>
        <v>32</v>
      </c>
      <c r="CC23" s="316">
        <f>'SANDBOX АСУТП'!G23</f>
        <v>12</v>
      </c>
      <c r="CD23" s="316">
        <f>'SANDBOX АСУТП'!K23</f>
        <v>12</v>
      </c>
      <c r="CE23" s="316">
        <f>'EDR АСУТП'!G23</f>
        <v>2</v>
      </c>
      <c r="CF23" s="316">
        <f>'EDR АСУТП'!K23</f>
        <v>2</v>
      </c>
      <c r="CG23" s="316">
        <f>'WAF АСУТП'!G23</f>
        <v>32</v>
      </c>
      <c r="CH23" s="316">
        <f>'WAF АСУТП'!K23</f>
        <v>32</v>
      </c>
      <c r="CI23" s="316">
        <f>'WAF АСУТП'!O23</f>
        <v>32</v>
      </c>
      <c r="CJ23" s="316">
        <f>'ВМ ЗСВ'!G23</f>
        <v>10</v>
      </c>
      <c r="CK23" s="316">
        <f>'ВМ ЗСВ'!K23</f>
        <v>14</v>
      </c>
      <c r="CL23" s="316">
        <f>'ВМ ЗСВ'!O23</f>
        <v>14</v>
      </c>
      <c r="CM23" s="316">
        <f>'ВМ ЗСВ'!S23</f>
        <v>14</v>
      </c>
      <c r="CN23" s="316">
        <f>'ВМ ЗСВ'!W23</f>
        <v>12</v>
      </c>
      <c r="CO23" s="316">
        <f>'ВМ ЗСВ'!AA23</f>
        <v>16</v>
      </c>
      <c r="CP23" s="316">
        <f>'ВМ СПО'!G23</f>
        <v>1</v>
      </c>
      <c r="CQ23" s="316">
        <f>'ВМ СПО'!K23</f>
        <v>1</v>
      </c>
      <c r="CR23" s="316">
        <f>'ВМ СПО'!O23</f>
        <v>2</v>
      </c>
      <c r="CS23" s="316">
        <f>'ВМ СПО'!S23</f>
        <v>2</v>
      </c>
      <c r="CT23" s="316">
        <f>'ВМ АСО'!G23</f>
        <v>0</v>
      </c>
      <c r="CU23" s="316">
        <f>'ВМ АСО'!K23</f>
        <v>0</v>
      </c>
      <c r="CV23" s="16" t="e">
        <f t="shared" si="31"/>
        <v>#REF!</v>
      </c>
      <c r="CW23" s="25">
        <f t="shared" si="32"/>
        <v>3</v>
      </c>
      <c r="CX23" s="25">
        <f t="shared" si="33"/>
        <v>2.5</v>
      </c>
      <c r="CY23" s="25">
        <f t="shared" si="34"/>
        <v>0</v>
      </c>
      <c r="CZ23" s="25">
        <f t="shared" si="35"/>
        <v>0</v>
      </c>
      <c r="DA23" s="25">
        <f t="shared" si="36"/>
        <v>0</v>
      </c>
      <c r="DB23" s="25">
        <f t="shared" si="37"/>
        <v>0</v>
      </c>
      <c r="DC23" s="25">
        <f t="shared" si="38"/>
        <v>0</v>
      </c>
      <c r="DD23" s="25">
        <f t="shared" si="39"/>
        <v>0</v>
      </c>
      <c r="DE23" s="25">
        <f t="shared" si="40"/>
        <v>0</v>
      </c>
      <c r="DF23" s="25">
        <f t="shared" si="41"/>
        <v>0</v>
      </c>
      <c r="DG23" s="25">
        <f t="shared" si="42"/>
        <v>0</v>
      </c>
      <c r="DH23" s="25">
        <f t="shared" si="43"/>
        <v>0</v>
      </c>
      <c r="DI23" s="25">
        <f t="shared" si="44"/>
        <v>0</v>
      </c>
      <c r="DJ23" s="25" t="e">
        <f t="shared" si="45"/>
        <v>#REF!</v>
      </c>
      <c r="DK23" s="25">
        <f t="shared" si="46"/>
        <v>0</v>
      </c>
      <c r="DL23" s="25">
        <f t="shared" si="47"/>
        <v>0</v>
      </c>
      <c r="DM23" s="25">
        <f t="shared" si="48"/>
        <v>0</v>
      </c>
      <c r="DN23" s="25">
        <f t="shared" si="49"/>
        <v>0</v>
      </c>
      <c r="DO23" s="25">
        <f t="shared" si="50"/>
        <v>0</v>
      </c>
      <c r="DP23" s="25">
        <f t="shared" si="51"/>
        <v>0</v>
      </c>
      <c r="DQ23" s="25">
        <f t="shared" si="52"/>
        <v>0</v>
      </c>
      <c r="DR23" s="25">
        <f t="shared" si="53"/>
        <v>0</v>
      </c>
      <c r="DS23" s="25">
        <f t="shared" si="54"/>
        <v>0</v>
      </c>
      <c r="DT23" s="25">
        <f t="shared" si="55"/>
        <v>0</v>
      </c>
      <c r="DU23" s="25">
        <f t="shared" si="56"/>
        <v>0</v>
      </c>
      <c r="DV23" s="21">
        <f t="shared" si="57"/>
        <v>0</v>
      </c>
      <c r="DW23" s="317">
        <f t="shared" si="58"/>
        <v>0</v>
      </c>
      <c r="DX23" s="317">
        <f t="shared" si="59"/>
        <v>0</v>
      </c>
      <c r="DY23" s="317">
        <f t="shared" si="60"/>
        <v>0</v>
      </c>
      <c r="DZ23" s="230">
        <f t="shared" si="61"/>
        <v>0</v>
      </c>
    </row>
    <row r="24" spans="1:220" ht="15" customHeight="1" x14ac:dyDescent="0.25">
      <c r="A24" s="1915"/>
      <c r="B24" s="1910"/>
      <c r="C24" s="18" t="s">
        <v>34</v>
      </c>
      <c r="D24" s="21"/>
      <c r="E24" s="316">
        <f>'АВЗ АСУТП'!G24</f>
        <v>5</v>
      </c>
      <c r="F24" s="316">
        <f>'АВЗ АСУТП'!K24</f>
        <v>5</v>
      </c>
      <c r="G24" s="316">
        <f>'АВЗ АСУТП'!O24</f>
        <v>5</v>
      </c>
      <c r="H24" s="230">
        <f>'АВЗ АСУТП'!S24</f>
        <v>5</v>
      </c>
      <c r="I24" s="316">
        <f>'АВЗ АСУТП'!W24</f>
        <v>5</v>
      </c>
      <c r="J24" s="230">
        <f>'АВЗ АСУТП'!AA24</f>
        <v>5</v>
      </c>
      <c r="K24" s="230">
        <f>'АВЗ АСУТП'!AE24</f>
        <v>5</v>
      </c>
      <c r="L24" s="230">
        <f>'АВЗ АСУТП'!AI24</f>
        <v>5</v>
      </c>
      <c r="M24" s="230">
        <f>'SIEM АСУТП'!G24</f>
        <v>4.5</v>
      </c>
      <c r="N24" s="230">
        <f>'SIEM АСУТП'!K24</f>
        <v>4.5</v>
      </c>
      <c r="O24" s="230">
        <f>'МСЭ АСУТП'!G24</f>
        <v>18</v>
      </c>
      <c r="P24" s="317">
        <f>'МСЭ АСУТП'!K24</f>
        <v>18</v>
      </c>
      <c r="Q24" s="230">
        <f>'МСЭ АСУТП'!O24</f>
        <v>18</v>
      </c>
      <c r="R24" s="230">
        <f>'МСЭ АСУТП'!S24</f>
        <v>18</v>
      </c>
      <c r="S24" s="230">
        <f>'PAM АСУТП'!G24</f>
        <v>18</v>
      </c>
      <c r="T24" s="230">
        <f>'PAM АСУТП'!K24</f>
        <v>18</v>
      </c>
      <c r="U24" s="230">
        <f>'PAM АСУТП'!O24</f>
        <v>18</v>
      </c>
      <c r="V24" s="230">
        <f>'СКЗИ АСУТП'!G24</f>
        <v>16</v>
      </c>
      <c r="W24" s="230">
        <f>'СКЗИ АСУТП'!K24</f>
        <v>16</v>
      </c>
      <c r="X24" s="230">
        <f>'СКЗИ АСУТП'!O24</f>
        <v>16</v>
      </c>
      <c r="Y24" s="230">
        <f>'СКЗИ АСУТП'!S24</f>
        <v>16</v>
      </c>
      <c r="Z24" s="230">
        <f>'СКЗИ АСУТП'!W24</f>
        <v>16</v>
      </c>
      <c r="AA24" s="230">
        <f>'АЗ АСУТП'!G24</f>
        <v>8</v>
      </c>
      <c r="AB24" s="230">
        <f>'АЗ АСУТП'!K24</f>
        <v>8</v>
      </c>
      <c r="AC24" s="230">
        <f>'АЗ АСУТП'!O24</f>
        <v>8</v>
      </c>
      <c r="AD24" s="230">
        <f>'АЗ АСУТП'!S24</f>
        <v>8</v>
      </c>
      <c r="AE24" s="230">
        <f>'АЗ АСУТП'!W24</f>
        <v>8</v>
      </c>
      <c r="AF24" s="230">
        <f>'РК АСУТП'!G24</f>
        <v>7.7</v>
      </c>
      <c r="AG24" s="230">
        <f>'РК АСУТП'!K24</f>
        <v>7.7</v>
      </c>
      <c r="AH24" s="230">
        <f>'IDS АСУТП'!G24</f>
        <v>24</v>
      </c>
      <c r="AI24" s="230">
        <f>'IDS АСУТП'!K24</f>
        <v>24</v>
      </c>
      <c r="AJ24" s="230">
        <f>'IDS АСУТП'!O24</f>
        <v>24</v>
      </c>
      <c r="AK24" s="230">
        <f>'АПМДЗ АСУТП'!G24</f>
        <v>2.4000000000000004</v>
      </c>
      <c r="AL24" s="230">
        <f>'АПМДЗ АСУТП'!K24</f>
        <v>2.4000000000000004</v>
      </c>
      <c r="AM24" s="230">
        <f>'НСД АСУТП'!G24</f>
        <v>2.4000000000000004</v>
      </c>
      <c r="AN24" s="230">
        <f>'НСД АСУТП'!K24</f>
        <v>2.4000000000000004</v>
      </c>
      <c r="AO24" s="230">
        <f>'НСД АСУТП'!O24</f>
        <v>2.4000000000000004</v>
      </c>
      <c r="AP24" s="230">
        <f>'MFA АСУТП'!G24</f>
        <v>60</v>
      </c>
      <c r="AQ24" s="230">
        <f>'MFA АСУТП'!K24</f>
        <v>60</v>
      </c>
      <c r="AR24" s="230">
        <f>'MFA АСУТП'!O24</f>
        <v>60</v>
      </c>
      <c r="AS24" s="230">
        <f>'MFA АСУТП'!S24</f>
        <v>60</v>
      </c>
      <c r="AT24" s="230">
        <f>'ДИОД АСУТП'!G24</f>
        <v>4</v>
      </c>
      <c r="AU24" s="230">
        <f>'ДИОД АСУТП'!K24</f>
        <v>4</v>
      </c>
      <c r="AV24" s="230">
        <f>'ДИОД АСУТП'!O24</f>
        <v>4</v>
      </c>
      <c r="AW24" s="230">
        <f>'ДИОД АСУТП'!S24</f>
        <v>4</v>
      </c>
      <c r="AX24" s="230">
        <f>'СЗВ АСУТП'!G24</f>
        <v>20</v>
      </c>
      <c r="AY24" s="230">
        <f>'СЗВ АСУТП'!K24</f>
        <v>22</v>
      </c>
      <c r="AZ24" s="230">
        <f>'СЗВ АСУТП'!O24</f>
        <v>16</v>
      </c>
      <c r="BA24" s="230">
        <f>'SOAR АСУТП'!G24</f>
        <v>4</v>
      </c>
      <c r="BB24" s="230">
        <f>'SOAR АСУТП'!K24</f>
        <v>4</v>
      </c>
      <c r="BC24" s="230">
        <f>'SOAR АСУТП'!O24</f>
        <v>4</v>
      </c>
      <c r="BD24" s="230" t="e">
        <f>'SOAR АСУТП'!#REF!</f>
        <v>#REF!</v>
      </c>
      <c r="BE24" s="230">
        <f>'VDI АСУТП'!G24</f>
        <v>12</v>
      </c>
      <c r="BF24" s="230">
        <f>'VDI АСУТП'!K24</f>
        <v>14</v>
      </c>
      <c r="BG24" s="230">
        <f>'VDI АСУТП'!O24</f>
        <v>14</v>
      </c>
      <c r="BH24" s="230">
        <f>'VDI АСУТП'!S24</f>
        <v>14</v>
      </c>
      <c r="BI24" s="230">
        <f>'VDI АСУТП'!W24</f>
        <v>14</v>
      </c>
      <c r="BJ24" s="316">
        <f>'СУБД АСУТП'!G24</f>
        <v>2</v>
      </c>
      <c r="BK24" s="316">
        <f>'СУБД АСУТП'!K24</f>
        <v>2</v>
      </c>
      <c r="BL24" s="316">
        <f>'ГОССОПКА АСУТП'!G24</f>
        <v>40</v>
      </c>
      <c r="BM24" s="316">
        <f>'ГОССОПКА АСУТП'!K24</f>
        <v>40</v>
      </c>
      <c r="BN24" s="316">
        <f>'TLS АСУТП'!G24</f>
        <v>40</v>
      </c>
      <c r="BO24" s="316">
        <f>'TLS АСУТП'!K24</f>
        <v>40</v>
      </c>
      <c r="BP24" s="316">
        <f>'DCAP АСУТП'!G24</f>
        <v>14</v>
      </c>
      <c r="BQ24" s="316">
        <f>'DCAP АСУТП'!K24</f>
        <v>14</v>
      </c>
      <c r="BR24" s="316">
        <f>'DCAP АСУТП'!O24</f>
        <v>14</v>
      </c>
      <c r="BS24" s="316">
        <f>'DO АСУТП'!G24</f>
        <v>4.5</v>
      </c>
      <c r="BT24" s="316">
        <f>'NTA АСУТП'!G24</f>
        <v>14</v>
      </c>
      <c r="BU24" s="316">
        <f>'NTA АСУТП'!K24</f>
        <v>14</v>
      </c>
      <c r="BV24" s="316">
        <f>'NTA АСУТП'!O24</f>
        <v>48</v>
      </c>
      <c r="BW24" s="316">
        <f>'NTA АСУТП'!S24</f>
        <v>14</v>
      </c>
      <c r="BX24" s="316">
        <f>'SEG АСУТП'!G24</f>
        <v>14</v>
      </c>
      <c r="BY24" s="316">
        <f>'APT АСУТП'!G24</f>
        <v>34</v>
      </c>
      <c r="BZ24" s="316">
        <f>'APT АСУТП'!K24</f>
        <v>34</v>
      </c>
      <c r="CA24" s="316">
        <f>'APT АСУТП'!O24</f>
        <v>34</v>
      </c>
      <c r="CB24" s="316">
        <f>'NAC АСУТП'!G24</f>
        <v>40</v>
      </c>
      <c r="CC24" s="316">
        <f>'SANDBOX АСУТП'!G24</f>
        <v>14</v>
      </c>
      <c r="CD24" s="316">
        <f>'SANDBOX АСУТП'!K24</f>
        <v>14</v>
      </c>
      <c r="CE24" s="316">
        <f>'EDR АСУТП'!G24</f>
        <v>3</v>
      </c>
      <c r="CF24" s="316">
        <f>'EDR АСУТП'!K24</f>
        <v>3</v>
      </c>
      <c r="CG24" s="316">
        <f>'WAF АСУТП'!G24</f>
        <v>40</v>
      </c>
      <c r="CH24" s="316">
        <f>'WAF АСУТП'!K24</f>
        <v>40</v>
      </c>
      <c r="CI24" s="316">
        <f>'WAF АСУТП'!O24</f>
        <v>40</v>
      </c>
      <c r="CJ24" s="316">
        <f>'ВМ ЗСВ'!G24</f>
        <v>12</v>
      </c>
      <c r="CK24" s="316">
        <f>'ВМ ЗСВ'!K24</f>
        <v>16</v>
      </c>
      <c r="CL24" s="316">
        <f>'ВМ ЗСВ'!O24</f>
        <v>18</v>
      </c>
      <c r="CM24" s="316">
        <f>'ВМ ЗСВ'!S24</f>
        <v>18</v>
      </c>
      <c r="CN24" s="316">
        <f>'ВМ ЗСВ'!W24</f>
        <v>16</v>
      </c>
      <c r="CO24" s="316">
        <f>'ВМ ЗСВ'!AA24</f>
        <v>20</v>
      </c>
      <c r="CP24" s="316">
        <f>'ВМ СПО'!G24</f>
        <v>2</v>
      </c>
      <c r="CQ24" s="316">
        <f>'ВМ СПО'!K24</f>
        <v>2</v>
      </c>
      <c r="CR24" s="316">
        <f>'ВМ СПО'!O24</f>
        <v>4</v>
      </c>
      <c r="CS24" s="316">
        <f>'ВМ СПО'!S24</f>
        <v>4</v>
      </c>
      <c r="CT24" s="316">
        <f>'ВМ АСО'!G24</f>
        <v>0</v>
      </c>
      <c r="CU24" s="316">
        <f>'ВМ АСО'!K24</f>
        <v>0</v>
      </c>
      <c r="CV24" s="16" t="e">
        <f t="shared" si="31"/>
        <v>#REF!</v>
      </c>
      <c r="CW24" s="25">
        <f t="shared" si="32"/>
        <v>5</v>
      </c>
      <c r="CX24" s="25">
        <f t="shared" si="33"/>
        <v>4.5</v>
      </c>
      <c r="CY24" s="25">
        <f t="shared" si="34"/>
        <v>0</v>
      </c>
      <c r="CZ24" s="25">
        <f t="shared" si="35"/>
        <v>0</v>
      </c>
      <c r="DA24" s="25">
        <f t="shared" si="36"/>
        <v>0</v>
      </c>
      <c r="DB24" s="25">
        <f t="shared" si="37"/>
        <v>0</v>
      </c>
      <c r="DC24" s="25">
        <f t="shared" si="38"/>
        <v>0</v>
      </c>
      <c r="DD24" s="25">
        <f t="shared" si="39"/>
        <v>0</v>
      </c>
      <c r="DE24" s="25">
        <f t="shared" si="40"/>
        <v>0</v>
      </c>
      <c r="DF24" s="25">
        <f t="shared" si="41"/>
        <v>0</v>
      </c>
      <c r="DG24" s="25">
        <f t="shared" si="42"/>
        <v>0</v>
      </c>
      <c r="DH24" s="25">
        <f t="shared" si="43"/>
        <v>0</v>
      </c>
      <c r="DI24" s="25">
        <f t="shared" si="44"/>
        <v>0</v>
      </c>
      <c r="DJ24" s="25" t="e">
        <f t="shared" si="45"/>
        <v>#REF!</v>
      </c>
      <c r="DK24" s="25">
        <f t="shared" si="46"/>
        <v>0</v>
      </c>
      <c r="DL24" s="25">
        <f t="shared" si="47"/>
        <v>0</v>
      </c>
      <c r="DM24" s="25">
        <f t="shared" si="48"/>
        <v>0</v>
      </c>
      <c r="DN24" s="25">
        <f t="shared" si="49"/>
        <v>0</v>
      </c>
      <c r="DO24" s="25">
        <f t="shared" si="50"/>
        <v>0</v>
      </c>
      <c r="DP24" s="25">
        <f t="shared" si="51"/>
        <v>0</v>
      </c>
      <c r="DQ24" s="25">
        <f t="shared" si="52"/>
        <v>0</v>
      </c>
      <c r="DR24" s="25">
        <f t="shared" si="53"/>
        <v>0</v>
      </c>
      <c r="DS24" s="25">
        <f t="shared" si="54"/>
        <v>0</v>
      </c>
      <c r="DT24" s="25">
        <f t="shared" si="55"/>
        <v>0</v>
      </c>
      <c r="DU24" s="25">
        <f t="shared" si="56"/>
        <v>0</v>
      </c>
      <c r="DV24" s="21">
        <f t="shared" si="57"/>
        <v>0</v>
      </c>
      <c r="DW24" s="317">
        <f t="shared" si="58"/>
        <v>0</v>
      </c>
      <c r="DX24" s="317">
        <f t="shared" si="59"/>
        <v>0</v>
      </c>
      <c r="DY24" s="317">
        <f t="shared" si="60"/>
        <v>0</v>
      </c>
      <c r="DZ24" s="230">
        <f t="shared" si="61"/>
        <v>0</v>
      </c>
      <c r="EE24" s="323"/>
      <c r="EF24" s="323"/>
      <c r="EG24" s="323"/>
      <c r="EH24" s="323"/>
      <c r="EI24" s="323"/>
      <c r="EJ24" s="323"/>
      <c r="EK24" s="323"/>
      <c r="EL24" s="323"/>
      <c r="EM24" s="323"/>
      <c r="EN24" s="323"/>
      <c r="EO24" s="323"/>
      <c r="EP24" s="323"/>
      <c r="EQ24" s="323"/>
      <c r="ER24" s="323"/>
      <c r="ES24" s="323"/>
      <c r="ET24" s="323"/>
      <c r="EU24" s="323"/>
      <c r="EV24" s="323"/>
      <c r="EW24" s="323"/>
      <c r="EX24" s="323"/>
      <c r="EY24" s="323"/>
      <c r="EZ24" s="323"/>
      <c r="FA24" s="323"/>
      <c r="FB24" s="323"/>
      <c r="FC24" s="323"/>
      <c r="FD24" s="323"/>
      <c r="FE24" s="323"/>
      <c r="FF24" s="323"/>
      <c r="FG24" s="323"/>
      <c r="FH24" s="323"/>
      <c r="FI24" s="323"/>
      <c r="FJ24" s="323"/>
      <c r="FK24" s="323"/>
      <c r="FL24" s="323"/>
      <c r="FM24" s="323"/>
      <c r="FN24" s="323"/>
      <c r="FO24" s="323"/>
      <c r="FP24" s="323"/>
      <c r="FQ24" s="323"/>
      <c r="FR24" s="323"/>
      <c r="FS24" s="323"/>
      <c r="FT24" s="323"/>
      <c r="FU24" s="323"/>
      <c r="FV24" s="323"/>
      <c r="FW24" s="323"/>
      <c r="FX24" s="323"/>
      <c r="FY24" s="323"/>
      <c r="FZ24" s="323"/>
      <c r="GA24" s="323"/>
      <c r="GB24" s="323"/>
      <c r="GC24" s="323"/>
      <c r="GD24" s="323"/>
      <c r="GE24" s="323"/>
      <c r="GF24" s="323"/>
      <c r="GG24" s="323"/>
      <c r="GH24" s="323"/>
      <c r="GI24" s="323"/>
      <c r="GJ24" s="323"/>
      <c r="GK24" s="323"/>
      <c r="GL24" s="323"/>
      <c r="GM24" s="323"/>
      <c r="GN24" s="323"/>
      <c r="GO24" s="323"/>
      <c r="GP24" s="323"/>
      <c r="GQ24" s="323"/>
      <c r="GR24" s="323"/>
      <c r="GS24" s="323"/>
      <c r="GT24" s="323"/>
      <c r="GU24" s="323"/>
      <c r="GV24" s="323"/>
      <c r="GW24" s="323"/>
      <c r="GX24" s="323"/>
      <c r="GY24" s="323"/>
      <c r="GZ24" s="323"/>
      <c r="HA24" s="323"/>
      <c r="HB24" s="323"/>
      <c r="HC24" s="323"/>
      <c r="HD24" s="323"/>
      <c r="HE24" s="323"/>
      <c r="HF24" s="323"/>
      <c r="HG24" s="323"/>
      <c r="HH24" s="323"/>
      <c r="HI24" s="323"/>
      <c r="HJ24" s="323"/>
      <c r="HK24" s="323"/>
      <c r="HL24" s="323"/>
    </row>
    <row r="25" spans="1:220" ht="15" customHeight="1" x14ac:dyDescent="0.25">
      <c r="A25" s="1915" t="s">
        <v>7</v>
      </c>
      <c r="B25" s="1909">
        <f>IF('Тип разраб-ой док-ции'!F12=1,1,0)</f>
        <v>1</v>
      </c>
      <c r="C25" s="18" t="s">
        <v>32</v>
      </c>
      <c r="D25" s="21"/>
      <c r="E25" s="316">
        <f>'АВЗ АСУТП'!G25</f>
        <v>1</v>
      </c>
      <c r="F25" s="316">
        <f>'АВЗ АСУТП'!K25</f>
        <v>1</v>
      </c>
      <c r="G25" s="316">
        <f>'АВЗ АСУТП'!O25</f>
        <v>1</v>
      </c>
      <c r="H25" s="230">
        <f>'АВЗ АСУТП'!S25</f>
        <v>1</v>
      </c>
      <c r="I25" s="316">
        <f>'АВЗ АСУТП'!W25</f>
        <v>1</v>
      </c>
      <c r="J25" s="230">
        <f>'АВЗ АСУТП'!AA25</f>
        <v>1</v>
      </c>
      <c r="K25" s="230">
        <f>'АВЗ АСУТП'!AE25</f>
        <v>1</v>
      </c>
      <c r="L25" s="230">
        <f>'АВЗ АСУТП'!AI25</f>
        <v>1</v>
      </c>
      <c r="M25" s="230">
        <f>'SIEM АСУТП'!G25</f>
        <v>2</v>
      </c>
      <c r="N25" s="230">
        <f>'SIEM АСУТП'!K25</f>
        <v>2</v>
      </c>
      <c r="O25" s="230">
        <f>'МСЭ АСУТП'!G25</f>
        <v>0.3</v>
      </c>
      <c r="P25" s="317">
        <f>'МСЭ АСУТП'!K25</f>
        <v>0.3</v>
      </c>
      <c r="Q25" s="230">
        <f>'МСЭ АСУТП'!O25</f>
        <v>0.3</v>
      </c>
      <c r="R25" s="230">
        <f>'МСЭ АСУТП'!S25</f>
        <v>0.3</v>
      </c>
      <c r="S25" s="230">
        <f>'PAM АСУТП'!G25</f>
        <v>5</v>
      </c>
      <c r="T25" s="230">
        <f>'PAM АСУТП'!K25</f>
        <v>5</v>
      </c>
      <c r="U25" s="230">
        <f>'PAM АСУТП'!O25</f>
        <v>5</v>
      </c>
      <c r="V25" s="230">
        <f>'СКЗИ АСУТП'!G25</f>
        <v>5</v>
      </c>
      <c r="W25" s="230">
        <f>'СКЗИ АСУТП'!K25</f>
        <v>5</v>
      </c>
      <c r="X25" s="230">
        <f>'СКЗИ АСУТП'!O25</f>
        <v>5</v>
      </c>
      <c r="Y25" s="230">
        <f>'СКЗИ АСУТП'!S25</f>
        <v>5</v>
      </c>
      <c r="Z25" s="230">
        <f>'СКЗИ АСУТП'!W25</f>
        <v>5</v>
      </c>
      <c r="AA25" s="230">
        <f>'АЗ АСУТП'!G25</f>
        <v>2</v>
      </c>
      <c r="AB25" s="230">
        <f>'АЗ АСУТП'!K25</f>
        <v>2</v>
      </c>
      <c r="AC25" s="230">
        <f>'АЗ АСУТП'!O25</f>
        <v>2</v>
      </c>
      <c r="AD25" s="230">
        <f>'АЗ АСУТП'!S25</f>
        <v>2</v>
      </c>
      <c r="AE25" s="230">
        <f>'АЗ АСУТП'!W25</f>
        <v>2</v>
      </c>
      <c r="AF25" s="230">
        <f>'РК АСУТП'!G25</f>
        <v>4</v>
      </c>
      <c r="AG25" s="230">
        <f>'РК АСУТП'!K25</f>
        <v>4</v>
      </c>
      <c r="AH25" s="230">
        <f>'IDS АСУТП'!G25</f>
        <v>4</v>
      </c>
      <c r="AI25" s="230">
        <f>'IDS АСУТП'!K25</f>
        <v>4</v>
      </c>
      <c r="AJ25" s="230">
        <f>'IDS АСУТП'!O25</f>
        <v>4</v>
      </c>
      <c r="AK25" s="230">
        <f>'АПМДЗ АСУТП'!G25</f>
        <v>0.64000000000000012</v>
      </c>
      <c r="AL25" s="230">
        <f>'АПМДЗ АСУТП'!K25</f>
        <v>0.64000000000000012</v>
      </c>
      <c r="AM25" s="230">
        <f>'НСД АСУТП'!G25</f>
        <v>0.64000000000000012</v>
      </c>
      <c r="AN25" s="230">
        <f>'НСД АСУТП'!K25</f>
        <v>0.64000000000000012</v>
      </c>
      <c r="AO25" s="230">
        <f>'НСД АСУТП'!O25</f>
        <v>0.64000000000000012</v>
      </c>
      <c r="AP25" s="230">
        <f>'MFA АСУТП'!G25</f>
        <v>8</v>
      </c>
      <c r="AQ25" s="230">
        <f>'MFA АСУТП'!K25</f>
        <v>8</v>
      </c>
      <c r="AR25" s="230">
        <f>'MFA АСУТП'!O25</f>
        <v>8</v>
      </c>
      <c r="AS25" s="230">
        <f>'MFA АСУТП'!S25</f>
        <v>8</v>
      </c>
      <c r="AT25" s="230">
        <f>'ДИОД АСУТП'!G25</f>
        <v>1</v>
      </c>
      <c r="AU25" s="230">
        <f>'ДИОД АСУТП'!K25</f>
        <v>1</v>
      </c>
      <c r="AV25" s="230">
        <f>'ДИОД АСУТП'!O25</f>
        <v>1</v>
      </c>
      <c r="AW25" s="230">
        <f>'ДИОД АСУТП'!S25</f>
        <v>1</v>
      </c>
      <c r="AX25" s="230">
        <f>'СЗВ АСУТП'!G25</f>
        <v>6</v>
      </c>
      <c r="AY25" s="230">
        <f>'СЗВ АСУТП'!K25</f>
        <v>6</v>
      </c>
      <c r="AZ25" s="230">
        <f>'СЗВ АСУТП'!O25</f>
        <v>4</v>
      </c>
      <c r="BA25" s="230">
        <f>'SOAR АСУТП'!G25</f>
        <v>2</v>
      </c>
      <c r="BB25" s="230">
        <f>'SOAR АСУТП'!K25</f>
        <v>2</v>
      </c>
      <c r="BC25" s="230">
        <f>'SOAR АСУТП'!O25</f>
        <v>2</v>
      </c>
      <c r="BD25" s="230" t="e">
        <f>'SOAR АСУТП'!#REF!</f>
        <v>#REF!</v>
      </c>
      <c r="BE25" s="230">
        <f>'VDI АСУТП'!G25</f>
        <v>3</v>
      </c>
      <c r="BF25" s="230">
        <f>'VDI АСУТП'!K25</f>
        <v>4</v>
      </c>
      <c r="BG25" s="230">
        <f>'VDI АСУТП'!O25</f>
        <v>4</v>
      </c>
      <c r="BH25" s="230">
        <f>'VDI АСУТП'!S25</f>
        <v>4</v>
      </c>
      <c r="BI25" s="230">
        <f>'VDI АСУТП'!W25</f>
        <v>4</v>
      </c>
      <c r="BJ25" s="316">
        <f>'СУБД АСУТП'!G25</f>
        <v>0</v>
      </c>
      <c r="BK25" s="316">
        <f>'СУБД АСУТП'!K25</f>
        <v>0</v>
      </c>
      <c r="BL25" s="316">
        <f>'ГОССОПКА АСУТП'!G25</f>
        <v>4</v>
      </c>
      <c r="BM25" s="316">
        <f>'ГОССОПКА АСУТП'!K25</f>
        <v>4</v>
      </c>
      <c r="BN25" s="316">
        <f>'TLS АСУТП'!G25</f>
        <v>4</v>
      </c>
      <c r="BO25" s="316">
        <f>'TLS АСУТП'!K25</f>
        <v>4</v>
      </c>
      <c r="BP25" s="316">
        <f>'DCAP АСУТП'!G25</f>
        <v>4</v>
      </c>
      <c r="BQ25" s="316">
        <f>'DCAP АСУТП'!K25</f>
        <v>4</v>
      </c>
      <c r="BR25" s="316">
        <f>'DCAP АСУТП'!O25</f>
        <v>4</v>
      </c>
      <c r="BS25" s="316">
        <f>'DO АСУТП'!G25</f>
        <v>4</v>
      </c>
      <c r="BT25" s="316">
        <f>'NTA АСУТП'!G25</f>
        <v>4</v>
      </c>
      <c r="BU25" s="316">
        <f>'NTA АСУТП'!K25</f>
        <v>4</v>
      </c>
      <c r="BV25" s="316">
        <f>'NTA АСУТП'!O25</f>
        <v>8</v>
      </c>
      <c r="BW25" s="316">
        <f>'NTA АСУТП'!S25</f>
        <v>4</v>
      </c>
      <c r="BX25" s="316">
        <f>'SEG АСУТП'!G25</f>
        <v>4</v>
      </c>
      <c r="BY25" s="316">
        <f>'APT АСУТП'!G25</f>
        <v>8</v>
      </c>
      <c r="BZ25" s="316">
        <f>'APT АСУТП'!K25</f>
        <v>8</v>
      </c>
      <c r="CA25" s="316">
        <f>'APT АСУТП'!O25</f>
        <v>8</v>
      </c>
      <c r="CB25" s="316">
        <f>'NAC АСУТП'!G25</f>
        <v>4</v>
      </c>
      <c r="CC25" s="316">
        <f>'SANDBOX АСУТП'!G25</f>
        <v>4</v>
      </c>
      <c r="CD25" s="316">
        <f>'SANDBOX АСУТП'!K25</f>
        <v>4</v>
      </c>
      <c r="CE25" s="316">
        <f>'EDR АСУТП'!G25</f>
        <v>2</v>
      </c>
      <c r="CF25" s="316">
        <f>'EDR АСУТП'!K25</f>
        <v>2</v>
      </c>
      <c r="CG25" s="316">
        <f>'WAF АСУТП'!G25</f>
        <v>4</v>
      </c>
      <c r="CH25" s="316">
        <f>'WAF АСУТП'!K25</f>
        <v>4</v>
      </c>
      <c r="CI25" s="316">
        <f>'WAF АСУТП'!O25</f>
        <v>4</v>
      </c>
      <c r="CJ25" s="316">
        <f>'ВМ ЗСВ'!G25</f>
        <v>4</v>
      </c>
      <c r="CK25" s="316">
        <f>'ВМ ЗСВ'!K25</f>
        <v>4</v>
      </c>
      <c r="CL25" s="316">
        <f>'ВМ ЗСВ'!O25</f>
        <v>4</v>
      </c>
      <c r="CM25" s="316">
        <f>'ВМ ЗСВ'!S25</f>
        <v>4</v>
      </c>
      <c r="CN25" s="316">
        <f>'ВМ ЗСВ'!W25</f>
        <v>4</v>
      </c>
      <c r="CO25" s="316">
        <f>'ВМ ЗСВ'!AA25</f>
        <v>4</v>
      </c>
      <c r="CP25" s="316">
        <f>'ВМ СПО'!G25</f>
        <v>0</v>
      </c>
      <c r="CQ25" s="316">
        <f>'ВМ СПО'!K25</f>
        <v>0</v>
      </c>
      <c r="CR25" s="316">
        <f>'ВМ СПО'!O25</f>
        <v>0</v>
      </c>
      <c r="CS25" s="316">
        <f>'ВМ СПО'!S25</f>
        <v>0</v>
      </c>
      <c r="CT25" s="316">
        <f>'ВМ АСО'!G25</f>
        <v>0</v>
      </c>
      <c r="CU25" s="316">
        <f>'ВМ АСО'!K25</f>
        <v>0</v>
      </c>
      <c r="CV25" s="16" t="e">
        <f t="shared" si="31"/>
        <v>#REF!</v>
      </c>
      <c r="CW25" s="25">
        <f t="shared" si="32"/>
        <v>1</v>
      </c>
      <c r="CX25" s="25">
        <f t="shared" si="33"/>
        <v>2</v>
      </c>
      <c r="CY25" s="25">
        <f t="shared" si="34"/>
        <v>0</v>
      </c>
      <c r="CZ25" s="25">
        <f t="shared" si="35"/>
        <v>0</v>
      </c>
      <c r="DA25" s="25">
        <f t="shared" si="36"/>
        <v>0</v>
      </c>
      <c r="DB25" s="25">
        <f t="shared" si="37"/>
        <v>0</v>
      </c>
      <c r="DC25" s="25">
        <f t="shared" si="38"/>
        <v>0</v>
      </c>
      <c r="DD25" s="25">
        <f t="shared" si="39"/>
        <v>0</v>
      </c>
      <c r="DE25" s="25">
        <f t="shared" si="40"/>
        <v>0</v>
      </c>
      <c r="DF25" s="25">
        <f t="shared" si="41"/>
        <v>0</v>
      </c>
      <c r="DG25" s="25">
        <f t="shared" si="42"/>
        <v>0</v>
      </c>
      <c r="DH25" s="25">
        <f t="shared" si="43"/>
        <v>0</v>
      </c>
      <c r="DI25" s="25">
        <f t="shared" si="44"/>
        <v>0</v>
      </c>
      <c r="DJ25" s="25" t="e">
        <f t="shared" si="45"/>
        <v>#REF!</v>
      </c>
      <c r="DK25" s="25">
        <f t="shared" si="46"/>
        <v>0</v>
      </c>
      <c r="DL25" s="25">
        <f t="shared" si="47"/>
        <v>0</v>
      </c>
      <c r="DM25" s="25">
        <f t="shared" si="48"/>
        <v>0</v>
      </c>
      <c r="DN25" s="25">
        <f t="shared" si="49"/>
        <v>0</v>
      </c>
      <c r="DO25" s="25">
        <f t="shared" si="50"/>
        <v>0</v>
      </c>
      <c r="DP25" s="25">
        <f t="shared" si="51"/>
        <v>0</v>
      </c>
      <c r="DQ25" s="25">
        <f t="shared" si="52"/>
        <v>0</v>
      </c>
      <c r="DR25" s="25">
        <f t="shared" si="53"/>
        <v>0</v>
      </c>
      <c r="DS25" s="25">
        <f t="shared" si="54"/>
        <v>0</v>
      </c>
      <c r="DT25" s="25">
        <f t="shared" si="55"/>
        <v>0</v>
      </c>
      <c r="DU25" s="25">
        <f t="shared" si="56"/>
        <v>0</v>
      </c>
      <c r="DV25" s="21">
        <f t="shared" si="57"/>
        <v>0</v>
      </c>
      <c r="DW25" s="317">
        <f t="shared" si="58"/>
        <v>0</v>
      </c>
      <c r="DX25" s="317">
        <f t="shared" si="59"/>
        <v>0</v>
      </c>
      <c r="DY25" s="317">
        <f t="shared" si="60"/>
        <v>0</v>
      </c>
      <c r="DZ25" s="230">
        <f t="shared" si="61"/>
        <v>0</v>
      </c>
      <c r="EE25" s="323"/>
      <c r="EF25" s="323"/>
      <c r="EG25" s="323"/>
      <c r="EH25" s="323"/>
      <c r="EI25" s="323"/>
      <c r="EJ25" s="323"/>
      <c r="EK25" s="323"/>
      <c r="EL25" s="323"/>
      <c r="EM25" s="323"/>
      <c r="EN25" s="323"/>
      <c r="EO25" s="323"/>
      <c r="EP25" s="323"/>
      <c r="EQ25" s="323"/>
      <c r="ER25" s="323"/>
      <c r="ES25" s="323"/>
      <c r="ET25" s="323"/>
      <c r="EU25" s="323"/>
      <c r="EV25" s="323"/>
      <c r="EW25" s="323"/>
      <c r="EX25" s="323"/>
      <c r="EY25" s="323"/>
      <c r="EZ25" s="323"/>
      <c r="FA25" s="323"/>
      <c r="FB25" s="323"/>
      <c r="FC25" s="323"/>
      <c r="FD25" s="323"/>
      <c r="FE25" s="323"/>
      <c r="FF25" s="323"/>
      <c r="FG25" s="323"/>
      <c r="FH25" s="323"/>
      <c r="FI25" s="323"/>
      <c r="FJ25" s="323"/>
      <c r="FK25" s="323"/>
      <c r="FL25" s="323"/>
      <c r="FM25" s="323"/>
      <c r="FN25" s="323"/>
      <c r="FO25" s="323"/>
      <c r="FP25" s="323"/>
      <c r="FQ25" s="323"/>
      <c r="FR25" s="323"/>
      <c r="FS25" s="323"/>
      <c r="FT25" s="323"/>
      <c r="FU25" s="323"/>
      <c r="FV25" s="323"/>
      <c r="FW25" s="323"/>
      <c r="FX25" s="323"/>
      <c r="FY25" s="323"/>
      <c r="FZ25" s="323"/>
      <c r="GA25" s="323"/>
      <c r="GB25" s="323"/>
      <c r="GC25" s="323"/>
      <c r="GD25" s="323"/>
      <c r="GE25" s="323"/>
      <c r="GF25" s="323"/>
      <c r="GG25" s="323"/>
      <c r="GH25" s="323"/>
      <c r="GI25" s="323"/>
      <c r="GJ25" s="323"/>
      <c r="GK25" s="323"/>
      <c r="GL25" s="323"/>
      <c r="GM25" s="323"/>
      <c r="GN25" s="323"/>
      <c r="GO25" s="323"/>
      <c r="GP25" s="323"/>
      <c r="GQ25" s="323"/>
      <c r="GR25" s="323"/>
      <c r="GS25" s="323"/>
      <c r="GT25" s="323"/>
      <c r="GU25" s="323"/>
      <c r="GV25" s="323"/>
      <c r="GW25" s="323"/>
      <c r="GX25" s="323"/>
      <c r="GY25" s="323"/>
      <c r="GZ25" s="323"/>
      <c r="HA25" s="323"/>
      <c r="HB25" s="323"/>
      <c r="HC25" s="323"/>
      <c r="HD25" s="323"/>
      <c r="HE25" s="323"/>
      <c r="HF25" s="323"/>
      <c r="HG25" s="323"/>
      <c r="HH25" s="323"/>
      <c r="HI25" s="323"/>
      <c r="HJ25" s="323"/>
      <c r="HK25" s="323"/>
      <c r="HL25" s="323"/>
    </row>
    <row r="26" spans="1:220" ht="15" customHeight="1" x14ac:dyDescent="0.25">
      <c r="A26" s="1915"/>
      <c r="B26" s="1909"/>
      <c r="C26" s="18" t="s">
        <v>33</v>
      </c>
      <c r="D26" s="21"/>
      <c r="E26" s="316">
        <f>'АВЗ АСУТП'!G26</f>
        <v>1</v>
      </c>
      <c r="F26" s="316">
        <f>'АВЗ АСУТП'!K26</f>
        <v>1</v>
      </c>
      <c r="G26" s="316">
        <f>'АВЗ АСУТП'!O26</f>
        <v>1</v>
      </c>
      <c r="H26" s="230">
        <f>'АВЗ АСУТП'!S26</f>
        <v>1</v>
      </c>
      <c r="I26" s="316">
        <f>'АВЗ АСУТП'!W26</f>
        <v>1</v>
      </c>
      <c r="J26" s="230">
        <f>'АВЗ АСУТП'!AA26</f>
        <v>1</v>
      </c>
      <c r="K26" s="230">
        <f>'АВЗ АСУТП'!AE26</f>
        <v>1</v>
      </c>
      <c r="L26" s="230">
        <f>'АВЗ АСУТП'!AI26</f>
        <v>1</v>
      </c>
      <c r="M26" s="230">
        <f>'SIEM АСУТП'!G26</f>
        <v>2</v>
      </c>
      <c r="N26" s="230">
        <f>'SIEM АСУТП'!K26</f>
        <v>2</v>
      </c>
      <c r="O26" s="230">
        <f>'МСЭ АСУТП'!G26</f>
        <v>0.6</v>
      </c>
      <c r="P26" s="317">
        <f>'МСЭ АСУТП'!K26</f>
        <v>0.6</v>
      </c>
      <c r="Q26" s="230">
        <f>'МСЭ АСУТП'!O26</f>
        <v>0.6</v>
      </c>
      <c r="R26" s="230">
        <f>'МСЭ АСУТП'!S26</f>
        <v>0.6</v>
      </c>
      <c r="S26" s="230">
        <f>'PAM АСУТП'!G26</f>
        <v>8</v>
      </c>
      <c r="T26" s="230">
        <f>'PAM АСУТП'!K26</f>
        <v>8</v>
      </c>
      <c r="U26" s="230">
        <f>'PAM АСУТП'!O26</f>
        <v>8</v>
      </c>
      <c r="V26" s="230">
        <f>'СКЗИ АСУТП'!G26</f>
        <v>8</v>
      </c>
      <c r="W26" s="230">
        <f>'СКЗИ АСУТП'!K26</f>
        <v>8</v>
      </c>
      <c r="X26" s="230">
        <f>'СКЗИ АСУТП'!O26</f>
        <v>8</v>
      </c>
      <c r="Y26" s="230">
        <f>'СКЗИ АСУТП'!S26</f>
        <v>8</v>
      </c>
      <c r="Z26" s="230">
        <f>'СКЗИ АСУТП'!W26</f>
        <v>8</v>
      </c>
      <c r="AA26" s="230">
        <f>'АЗ АСУТП'!G26</f>
        <v>3</v>
      </c>
      <c r="AB26" s="230">
        <f>'АЗ АСУТП'!K26</f>
        <v>3</v>
      </c>
      <c r="AC26" s="230">
        <f>'АЗ АСУТП'!O26</f>
        <v>3</v>
      </c>
      <c r="AD26" s="230">
        <f>'АЗ АСУТП'!S26</f>
        <v>3</v>
      </c>
      <c r="AE26" s="230">
        <f>'АЗ АСУТП'!W26</f>
        <v>3</v>
      </c>
      <c r="AF26" s="230">
        <f>'РК АСУТП'!G26</f>
        <v>5</v>
      </c>
      <c r="AG26" s="230">
        <f>'РК АСУТП'!K26</f>
        <v>5</v>
      </c>
      <c r="AH26" s="230">
        <f>'IDS АСУТП'!G26</f>
        <v>4</v>
      </c>
      <c r="AI26" s="230">
        <f>'IDS АСУТП'!K26</f>
        <v>4</v>
      </c>
      <c r="AJ26" s="230">
        <f>'IDS АСУТП'!O26</f>
        <v>4</v>
      </c>
      <c r="AK26" s="230">
        <f>'АПМДЗ АСУТП'!G26</f>
        <v>0.8</v>
      </c>
      <c r="AL26" s="230">
        <f>'АПМДЗ АСУТП'!K26</f>
        <v>0.8</v>
      </c>
      <c r="AM26" s="230">
        <f>'НСД АСУТП'!G26</f>
        <v>0.8</v>
      </c>
      <c r="AN26" s="230">
        <f>'НСД АСУТП'!K26</f>
        <v>0.8</v>
      </c>
      <c r="AO26" s="230">
        <f>'НСД АСУТП'!O26</f>
        <v>0.8</v>
      </c>
      <c r="AP26" s="230">
        <f>'MFA АСУТП'!G26</f>
        <v>8</v>
      </c>
      <c r="AQ26" s="230">
        <f>'MFA АСУТП'!K26</f>
        <v>8</v>
      </c>
      <c r="AR26" s="230">
        <f>'MFA АСУТП'!O26</f>
        <v>8</v>
      </c>
      <c r="AS26" s="230">
        <f>'MFA АСУТП'!S26</f>
        <v>8</v>
      </c>
      <c r="AT26" s="230">
        <f>'ДИОД АСУТП'!G26</f>
        <v>2</v>
      </c>
      <c r="AU26" s="230">
        <f>'ДИОД АСУТП'!K26</f>
        <v>2</v>
      </c>
      <c r="AV26" s="230">
        <f>'ДИОД АСУТП'!O26</f>
        <v>2</v>
      </c>
      <c r="AW26" s="230">
        <f>'ДИОД АСУТП'!S26</f>
        <v>2</v>
      </c>
      <c r="AX26" s="230">
        <f>'СЗВ АСУТП'!G26</f>
        <v>8</v>
      </c>
      <c r="AY26" s="230">
        <f>'СЗВ АСУТП'!K26</f>
        <v>8</v>
      </c>
      <c r="AZ26" s="230">
        <f>'СЗВ АСУТП'!O26</f>
        <v>6</v>
      </c>
      <c r="BA26" s="230">
        <f>'SOAR АСУТП'!G26</f>
        <v>2</v>
      </c>
      <c r="BB26" s="230">
        <f>'SOAR АСУТП'!K26</f>
        <v>2</v>
      </c>
      <c r="BC26" s="230">
        <f>'SOAR АСУТП'!O26</f>
        <v>2</v>
      </c>
      <c r="BD26" s="230" t="e">
        <f>'SOAR АСУТП'!#REF!</f>
        <v>#REF!</v>
      </c>
      <c r="BE26" s="230">
        <f>'VDI АСУТП'!G26</f>
        <v>4</v>
      </c>
      <c r="BF26" s="230">
        <f>'VDI АСУТП'!K26</f>
        <v>6</v>
      </c>
      <c r="BG26" s="230">
        <f>'VDI АСУТП'!O26</f>
        <v>6</v>
      </c>
      <c r="BH26" s="230">
        <f>'VDI АСУТП'!S26</f>
        <v>6</v>
      </c>
      <c r="BI26" s="230">
        <f>'VDI АСУТП'!W26</f>
        <v>6</v>
      </c>
      <c r="BJ26" s="316">
        <f>'СУБД АСУТП'!G26</f>
        <v>0</v>
      </c>
      <c r="BK26" s="316">
        <f>'СУБД АСУТП'!K26</f>
        <v>0</v>
      </c>
      <c r="BL26" s="316">
        <f>'ГОССОПКА АСУТП'!G26</f>
        <v>6</v>
      </c>
      <c r="BM26" s="316">
        <f>'ГОССОПКА АСУТП'!K26</f>
        <v>6</v>
      </c>
      <c r="BN26" s="316">
        <f>'TLS АСУТП'!G26</f>
        <v>6</v>
      </c>
      <c r="BO26" s="316">
        <f>'TLS АСУТП'!K26</f>
        <v>6</v>
      </c>
      <c r="BP26" s="316">
        <f>'DCAP АСУТП'!G26</f>
        <v>6</v>
      </c>
      <c r="BQ26" s="316">
        <f>'DCAP АСУТП'!K26</f>
        <v>6</v>
      </c>
      <c r="BR26" s="316">
        <f>'DCAP АСУТП'!O26</f>
        <v>6</v>
      </c>
      <c r="BS26" s="316">
        <f>'DO АСУТП'!G26</f>
        <v>2</v>
      </c>
      <c r="BT26" s="316">
        <f>'NTA АСУТП'!G26</f>
        <v>6</v>
      </c>
      <c r="BU26" s="316">
        <f>'NTA АСУТП'!K26</f>
        <v>6</v>
      </c>
      <c r="BV26" s="316">
        <f>'NTA АСУТП'!O26</f>
        <v>8</v>
      </c>
      <c r="BW26" s="316">
        <f>'NTA АСУТП'!S26</f>
        <v>6</v>
      </c>
      <c r="BX26" s="316">
        <f>'SEG АСУТП'!G26</f>
        <v>6</v>
      </c>
      <c r="BY26" s="316">
        <f>'APT АСУТП'!G26</f>
        <v>8</v>
      </c>
      <c r="BZ26" s="316">
        <f>'APT АСУТП'!K26</f>
        <v>8</v>
      </c>
      <c r="CA26" s="316">
        <f>'APT АСУТП'!O26</f>
        <v>8</v>
      </c>
      <c r="CB26" s="316">
        <f>'NAC АСУТП'!G26</f>
        <v>8</v>
      </c>
      <c r="CC26" s="316">
        <f>'SANDBOX АСУТП'!G26</f>
        <v>6</v>
      </c>
      <c r="CD26" s="316">
        <f>'SANDBOX АСУТП'!K26</f>
        <v>6</v>
      </c>
      <c r="CE26" s="316">
        <f>'EDR АСУТП'!G26</f>
        <v>1</v>
      </c>
      <c r="CF26" s="316">
        <f>'EDR АСУТП'!K26</f>
        <v>1</v>
      </c>
      <c r="CG26" s="316">
        <f>'WAF АСУТП'!G26</f>
        <v>8</v>
      </c>
      <c r="CH26" s="316">
        <f>'WAF АСУТП'!K26</f>
        <v>8</v>
      </c>
      <c r="CI26" s="316">
        <f>'WAF АСУТП'!O26</f>
        <v>8</v>
      </c>
      <c r="CJ26" s="316">
        <f>'ВМ ЗСВ'!G26</f>
        <v>6</v>
      </c>
      <c r="CK26" s="316">
        <f>'ВМ ЗСВ'!K26</f>
        <v>6</v>
      </c>
      <c r="CL26" s="316">
        <f>'ВМ ЗСВ'!O26</f>
        <v>6</v>
      </c>
      <c r="CM26" s="316">
        <f>'ВМ ЗСВ'!S26</f>
        <v>6</v>
      </c>
      <c r="CN26" s="316">
        <f>'ВМ ЗСВ'!W26</f>
        <v>6</v>
      </c>
      <c r="CO26" s="316">
        <f>'ВМ ЗСВ'!AA26</f>
        <v>6</v>
      </c>
      <c r="CP26" s="316">
        <f>'ВМ СПО'!G26</f>
        <v>0</v>
      </c>
      <c r="CQ26" s="316">
        <f>'ВМ СПО'!K26</f>
        <v>0</v>
      </c>
      <c r="CR26" s="316">
        <f>'ВМ СПО'!O26</f>
        <v>0</v>
      </c>
      <c r="CS26" s="316">
        <f>'ВМ СПО'!S26</f>
        <v>0</v>
      </c>
      <c r="CT26" s="316">
        <f>'ВМ АСО'!G26</f>
        <v>0</v>
      </c>
      <c r="CU26" s="316">
        <f>'ВМ АСО'!K26</f>
        <v>0</v>
      </c>
      <c r="CV26" s="16" t="e">
        <f t="shared" si="31"/>
        <v>#REF!</v>
      </c>
      <c r="CW26" s="25">
        <f t="shared" si="32"/>
        <v>1</v>
      </c>
      <c r="CX26" s="25">
        <f t="shared" si="33"/>
        <v>2</v>
      </c>
      <c r="CY26" s="25">
        <f t="shared" si="34"/>
        <v>0</v>
      </c>
      <c r="CZ26" s="25">
        <f t="shared" si="35"/>
        <v>0</v>
      </c>
      <c r="DA26" s="25">
        <f t="shared" si="36"/>
        <v>0</v>
      </c>
      <c r="DB26" s="25">
        <f t="shared" si="37"/>
        <v>0</v>
      </c>
      <c r="DC26" s="25">
        <f t="shared" si="38"/>
        <v>0</v>
      </c>
      <c r="DD26" s="25">
        <f t="shared" si="39"/>
        <v>0</v>
      </c>
      <c r="DE26" s="25">
        <f t="shared" si="40"/>
        <v>0</v>
      </c>
      <c r="DF26" s="25">
        <f t="shared" si="41"/>
        <v>0</v>
      </c>
      <c r="DG26" s="25">
        <f t="shared" si="42"/>
        <v>0</v>
      </c>
      <c r="DH26" s="25">
        <f t="shared" si="43"/>
        <v>0</v>
      </c>
      <c r="DI26" s="25">
        <f t="shared" si="44"/>
        <v>0</v>
      </c>
      <c r="DJ26" s="25" t="e">
        <f t="shared" si="45"/>
        <v>#REF!</v>
      </c>
      <c r="DK26" s="25">
        <f t="shared" si="46"/>
        <v>0</v>
      </c>
      <c r="DL26" s="25">
        <f t="shared" si="47"/>
        <v>0</v>
      </c>
      <c r="DM26" s="25">
        <f t="shared" si="48"/>
        <v>0</v>
      </c>
      <c r="DN26" s="25">
        <f t="shared" si="49"/>
        <v>0</v>
      </c>
      <c r="DO26" s="25">
        <f t="shared" si="50"/>
        <v>0</v>
      </c>
      <c r="DP26" s="25">
        <f t="shared" si="51"/>
        <v>0</v>
      </c>
      <c r="DQ26" s="25">
        <f t="shared" si="52"/>
        <v>0</v>
      </c>
      <c r="DR26" s="25">
        <f t="shared" si="53"/>
        <v>0</v>
      </c>
      <c r="DS26" s="25">
        <f t="shared" si="54"/>
        <v>0</v>
      </c>
      <c r="DT26" s="25">
        <f t="shared" si="55"/>
        <v>0</v>
      </c>
      <c r="DU26" s="25">
        <f t="shared" si="56"/>
        <v>0</v>
      </c>
      <c r="DV26" s="21">
        <f t="shared" si="57"/>
        <v>0</v>
      </c>
      <c r="DW26" s="317">
        <f t="shared" si="58"/>
        <v>0</v>
      </c>
      <c r="DX26" s="317">
        <f t="shared" si="59"/>
        <v>0</v>
      </c>
      <c r="DY26" s="317">
        <f t="shared" si="60"/>
        <v>0</v>
      </c>
      <c r="DZ26" s="230">
        <f t="shared" si="61"/>
        <v>0</v>
      </c>
      <c r="EE26" s="323"/>
      <c r="EF26" s="323"/>
      <c r="EG26" s="323"/>
      <c r="EH26" s="323"/>
      <c r="EI26" s="323"/>
      <c r="EJ26" s="323"/>
      <c r="EK26" s="323"/>
      <c r="EL26" s="323"/>
      <c r="EM26" s="323"/>
      <c r="EN26" s="323"/>
      <c r="EO26" s="323"/>
      <c r="EP26" s="323"/>
      <c r="EQ26" s="323"/>
      <c r="ER26" s="323"/>
      <c r="ES26" s="323"/>
      <c r="ET26" s="323"/>
      <c r="EU26" s="323"/>
      <c r="EV26" s="323"/>
      <c r="EW26" s="323"/>
      <c r="EX26" s="323"/>
      <c r="EY26" s="323"/>
      <c r="EZ26" s="323"/>
      <c r="FA26" s="323"/>
      <c r="FB26" s="323"/>
      <c r="FC26" s="323"/>
      <c r="FD26" s="323"/>
      <c r="FE26" s="323"/>
      <c r="FF26" s="323"/>
      <c r="FG26" s="323"/>
      <c r="FH26" s="323"/>
      <c r="FI26" s="323"/>
      <c r="FJ26" s="323"/>
      <c r="FK26" s="323"/>
      <c r="FL26" s="323"/>
      <c r="FM26" s="323"/>
      <c r="FN26" s="323"/>
      <c r="FO26" s="323"/>
      <c r="FP26" s="323"/>
      <c r="FQ26" s="323"/>
      <c r="FR26" s="323"/>
      <c r="FS26" s="323"/>
      <c r="FT26" s="323"/>
      <c r="FU26" s="323"/>
      <c r="FV26" s="323"/>
      <c r="FW26" s="323"/>
      <c r="FX26" s="323"/>
      <c r="FY26" s="323"/>
      <c r="FZ26" s="323"/>
      <c r="GA26" s="323"/>
      <c r="GB26" s="323"/>
      <c r="GC26" s="323"/>
      <c r="GD26" s="323"/>
      <c r="GE26" s="323"/>
      <c r="GF26" s="323"/>
      <c r="GG26" s="323"/>
      <c r="GH26" s="323"/>
      <c r="GI26" s="323"/>
      <c r="GJ26" s="323"/>
      <c r="GK26" s="323"/>
      <c r="GL26" s="323"/>
      <c r="GM26" s="323"/>
      <c r="GN26" s="323"/>
      <c r="GO26" s="323"/>
      <c r="GP26" s="323"/>
      <c r="GQ26" s="323"/>
      <c r="GR26" s="323"/>
      <c r="GS26" s="323"/>
      <c r="GT26" s="323"/>
      <c r="GU26" s="323"/>
      <c r="GV26" s="323"/>
      <c r="GW26" s="323"/>
      <c r="GX26" s="323"/>
      <c r="GY26" s="323"/>
      <c r="GZ26" s="323"/>
      <c r="HA26" s="323"/>
      <c r="HB26" s="323"/>
      <c r="HC26" s="323"/>
      <c r="HD26" s="323"/>
      <c r="HE26" s="323"/>
      <c r="HF26" s="323"/>
      <c r="HG26" s="323"/>
      <c r="HH26" s="323"/>
      <c r="HI26" s="323"/>
      <c r="HJ26" s="323"/>
      <c r="HK26" s="323"/>
      <c r="HL26" s="323"/>
    </row>
    <row r="27" spans="1:220" ht="15" customHeight="1" x14ac:dyDescent="0.25">
      <c r="A27" s="1915"/>
      <c r="B27" s="1910"/>
      <c r="C27" s="18" t="s">
        <v>34</v>
      </c>
      <c r="D27" s="21"/>
      <c r="E27" s="316">
        <f>'АВЗ АСУТП'!G27</f>
        <v>2</v>
      </c>
      <c r="F27" s="316">
        <f>'АВЗ АСУТП'!K27</f>
        <v>2</v>
      </c>
      <c r="G27" s="316">
        <f>'АВЗ АСУТП'!O27</f>
        <v>2</v>
      </c>
      <c r="H27" s="230">
        <f>'АВЗ АСУТП'!S27</f>
        <v>2</v>
      </c>
      <c r="I27" s="316">
        <f>'АВЗ АСУТП'!W27</f>
        <v>2</v>
      </c>
      <c r="J27" s="230">
        <f>'АВЗ АСУТП'!AA27</f>
        <v>2</v>
      </c>
      <c r="K27" s="230">
        <f>'АВЗ АСУТП'!AE27</f>
        <v>2</v>
      </c>
      <c r="L27" s="230">
        <f>'АВЗ АСУТП'!AI27</f>
        <v>2</v>
      </c>
      <c r="M27" s="230">
        <f>'SIEM АСУТП'!G27</f>
        <v>4</v>
      </c>
      <c r="N27" s="230">
        <f>'SIEM АСУТП'!K27</f>
        <v>4</v>
      </c>
      <c r="O27" s="230">
        <f>'МСЭ АСУТП'!G27</f>
        <v>1.2</v>
      </c>
      <c r="P27" s="317">
        <f>'МСЭ АСУТП'!K27</f>
        <v>1.2</v>
      </c>
      <c r="Q27" s="230">
        <f>'МСЭ АСУТП'!O27</f>
        <v>1.2</v>
      </c>
      <c r="R27" s="230">
        <f>'МСЭ АСУТП'!S27</f>
        <v>1.2</v>
      </c>
      <c r="S27" s="230">
        <f>'PAM АСУТП'!G27</f>
        <v>11</v>
      </c>
      <c r="T27" s="230">
        <f>'PAM АСУТП'!K27</f>
        <v>11</v>
      </c>
      <c r="U27" s="230">
        <f>'PAM АСУТП'!O27</f>
        <v>11</v>
      </c>
      <c r="V27" s="230">
        <f>'СКЗИ АСУТП'!G27</f>
        <v>11</v>
      </c>
      <c r="W27" s="230">
        <f>'СКЗИ АСУТП'!K27</f>
        <v>11</v>
      </c>
      <c r="X27" s="230">
        <f>'СКЗИ АСУТП'!O27</f>
        <v>11</v>
      </c>
      <c r="Y27" s="230">
        <f>'СКЗИ АСУТП'!S27</f>
        <v>11</v>
      </c>
      <c r="Z27" s="230">
        <f>'СКЗИ АСУТП'!W27</f>
        <v>11</v>
      </c>
      <c r="AA27" s="230">
        <f>'АЗ АСУТП'!G27</f>
        <v>4</v>
      </c>
      <c r="AB27" s="230">
        <f>'АЗ АСУТП'!K27</f>
        <v>4</v>
      </c>
      <c r="AC27" s="230">
        <f>'АЗ АСУТП'!O27</f>
        <v>4</v>
      </c>
      <c r="AD27" s="230">
        <f>'АЗ АСУТП'!S27</f>
        <v>4</v>
      </c>
      <c r="AE27" s="230">
        <f>'АЗ АСУТП'!W27</f>
        <v>4</v>
      </c>
      <c r="AF27" s="230">
        <f>'РК АСУТП'!G27</f>
        <v>7</v>
      </c>
      <c r="AG27" s="230">
        <f>'РК АСУТП'!K27</f>
        <v>7</v>
      </c>
      <c r="AH27" s="230">
        <f>'IDS АСУТП'!G27</f>
        <v>4</v>
      </c>
      <c r="AI27" s="230">
        <f>'IDS АСУТП'!K27</f>
        <v>4</v>
      </c>
      <c r="AJ27" s="230">
        <f>'IDS АСУТП'!O27</f>
        <v>4</v>
      </c>
      <c r="AK27" s="230">
        <f>'АПМДЗ АСУТП'!G27</f>
        <v>1.2000000000000002</v>
      </c>
      <c r="AL27" s="230">
        <f>'АПМДЗ АСУТП'!K27</f>
        <v>1.2000000000000002</v>
      </c>
      <c r="AM27" s="230">
        <f>'НСД АСУТП'!G27</f>
        <v>1.2000000000000002</v>
      </c>
      <c r="AN27" s="230">
        <f>'НСД АСУТП'!K27</f>
        <v>1.2000000000000002</v>
      </c>
      <c r="AO27" s="230">
        <f>'НСД АСУТП'!O27</f>
        <v>1.2000000000000002</v>
      </c>
      <c r="AP27" s="230">
        <f>'MFA АСУТП'!G27</f>
        <v>12</v>
      </c>
      <c r="AQ27" s="230">
        <f>'MFA АСУТП'!K27</f>
        <v>12</v>
      </c>
      <c r="AR27" s="230">
        <f>'MFA АСУТП'!O27</f>
        <v>12</v>
      </c>
      <c r="AS27" s="230">
        <f>'MFA АСУТП'!S27</f>
        <v>12</v>
      </c>
      <c r="AT27" s="230">
        <f>'ДИОД АСУТП'!G27</f>
        <v>4</v>
      </c>
      <c r="AU27" s="230">
        <f>'ДИОД АСУТП'!K27</f>
        <v>4</v>
      </c>
      <c r="AV27" s="230">
        <f>'ДИОД АСУТП'!O27</f>
        <v>4</v>
      </c>
      <c r="AW27" s="230">
        <f>'ДИОД АСУТП'!S27</f>
        <v>4</v>
      </c>
      <c r="AX27" s="230">
        <f>'СЗВ АСУТП'!G27</f>
        <v>10</v>
      </c>
      <c r="AY27" s="230">
        <f>'СЗВ АСУТП'!K27</f>
        <v>10</v>
      </c>
      <c r="AZ27" s="230">
        <f>'СЗВ АСУТП'!O27</f>
        <v>8</v>
      </c>
      <c r="BA27" s="230">
        <f>'SOAR АСУТП'!G27</f>
        <v>4</v>
      </c>
      <c r="BB27" s="230">
        <f>'SOAR АСУТП'!K27</f>
        <v>4</v>
      </c>
      <c r="BC27" s="230">
        <f>'SOAR АСУТП'!O27</f>
        <v>4</v>
      </c>
      <c r="BD27" s="230" t="e">
        <f>'SOAR АСУТП'!#REF!</f>
        <v>#REF!</v>
      </c>
      <c r="BE27" s="230">
        <f>'VDI АСУТП'!G27</f>
        <v>6</v>
      </c>
      <c r="BF27" s="230">
        <f>'VDI АСУТП'!K27</f>
        <v>8</v>
      </c>
      <c r="BG27" s="230">
        <f>'VDI АСУТП'!O27</f>
        <v>8</v>
      </c>
      <c r="BH27" s="230">
        <f>'VDI АСУТП'!S27</f>
        <v>8</v>
      </c>
      <c r="BI27" s="230">
        <f>'VDI АСУТП'!W27</f>
        <v>8</v>
      </c>
      <c r="BJ27" s="316">
        <f>'СУБД АСУТП'!G27</f>
        <v>0</v>
      </c>
      <c r="BK27" s="316">
        <f>'СУБД АСУТП'!K27</f>
        <v>0</v>
      </c>
      <c r="BL27" s="316">
        <f>'ГОССОПКА АСУТП'!G27</f>
        <v>8</v>
      </c>
      <c r="BM27" s="316">
        <f>'ГОССОПКА АСУТП'!K27</f>
        <v>8</v>
      </c>
      <c r="BN27" s="316">
        <f>'TLS АСУТП'!G27</f>
        <v>8</v>
      </c>
      <c r="BO27" s="316">
        <f>'TLS АСУТП'!K27</f>
        <v>8</v>
      </c>
      <c r="BP27" s="316">
        <f>'DCAP АСУТП'!G27</f>
        <v>8</v>
      </c>
      <c r="BQ27" s="316">
        <f>'DCAP АСУТП'!K27</f>
        <v>8</v>
      </c>
      <c r="BR27" s="316">
        <f>'DCAP АСУТП'!O27</f>
        <v>8</v>
      </c>
      <c r="BS27" s="316">
        <f>'DO АСУТП'!G27</f>
        <v>4</v>
      </c>
      <c r="BT27" s="316">
        <f>'NTA АСУТП'!G27</f>
        <v>8</v>
      </c>
      <c r="BU27" s="316">
        <f>'NTA АСУТП'!K27</f>
        <v>8</v>
      </c>
      <c r="BV27" s="316">
        <f>'NTA АСУТП'!O27</f>
        <v>8</v>
      </c>
      <c r="BW27" s="316">
        <f>'NTA АСУТП'!S27</f>
        <v>8</v>
      </c>
      <c r="BX27" s="316">
        <f>'SEG АСУТП'!G27</f>
        <v>8</v>
      </c>
      <c r="BY27" s="316">
        <f>'APT АСУТП'!G27</f>
        <v>8</v>
      </c>
      <c r="BZ27" s="316">
        <f>'APT АСУТП'!K27</f>
        <v>8</v>
      </c>
      <c r="CA27" s="316">
        <f>'APT АСУТП'!O27</f>
        <v>8</v>
      </c>
      <c r="CB27" s="316">
        <f>'NAC АСУТП'!G27</f>
        <v>12</v>
      </c>
      <c r="CC27" s="316">
        <f>'SANDBOX АСУТП'!G27</f>
        <v>8</v>
      </c>
      <c r="CD27" s="316">
        <f>'SANDBOX АСУТП'!K27</f>
        <v>8</v>
      </c>
      <c r="CE27" s="316">
        <f>'EDR АСУТП'!G27</f>
        <v>2</v>
      </c>
      <c r="CF27" s="316">
        <f>'EDR АСУТП'!K27</f>
        <v>2</v>
      </c>
      <c r="CG27" s="316">
        <f>'WAF АСУТП'!G27</f>
        <v>12</v>
      </c>
      <c r="CH27" s="316">
        <f>'WAF АСУТП'!K27</f>
        <v>12</v>
      </c>
      <c r="CI27" s="316">
        <f>'WAF АСУТП'!O27</f>
        <v>12</v>
      </c>
      <c r="CJ27" s="316">
        <f>'ВМ ЗСВ'!G27</f>
        <v>8</v>
      </c>
      <c r="CK27" s="316">
        <f>'ВМ ЗСВ'!K27</f>
        <v>8</v>
      </c>
      <c r="CL27" s="316">
        <f>'ВМ ЗСВ'!O27</f>
        <v>8</v>
      </c>
      <c r="CM27" s="316">
        <f>'ВМ ЗСВ'!S27</f>
        <v>8</v>
      </c>
      <c r="CN27" s="316">
        <f>'ВМ ЗСВ'!W27</f>
        <v>8</v>
      </c>
      <c r="CO27" s="316">
        <f>'ВМ ЗСВ'!AA27</f>
        <v>8</v>
      </c>
      <c r="CP27" s="316">
        <f>'ВМ СПО'!G27</f>
        <v>0</v>
      </c>
      <c r="CQ27" s="316">
        <f>'ВМ СПО'!K27</f>
        <v>0</v>
      </c>
      <c r="CR27" s="316">
        <f>'ВМ СПО'!O27</f>
        <v>0</v>
      </c>
      <c r="CS27" s="316">
        <f>'ВМ СПО'!S27</f>
        <v>0</v>
      </c>
      <c r="CT27" s="316">
        <f>'ВМ АСО'!G27</f>
        <v>0</v>
      </c>
      <c r="CU27" s="316">
        <f>'ВМ АСО'!K27</f>
        <v>0</v>
      </c>
      <c r="CV27" s="16" t="e">
        <f t="shared" si="31"/>
        <v>#REF!</v>
      </c>
      <c r="CW27" s="25">
        <f t="shared" si="32"/>
        <v>2</v>
      </c>
      <c r="CX27" s="25">
        <f t="shared" si="33"/>
        <v>4</v>
      </c>
      <c r="CY27" s="25">
        <f t="shared" si="34"/>
        <v>0</v>
      </c>
      <c r="CZ27" s="25">
        <f t="shared" si="35"/>
        <v>0</v>
      </c>
      <c r="DA27" s="25">
        <f t="shared" si="36"/>
        <v>0</v>
      </c>
      <c r="DB27" s="25">
        <f t="shared" si="37"/>
        <v>0</v>
      </c>
      <c r="DC27" s="25">
        <f t="shared" si="38"/>
        <v>0</v>
      </c>
      <c r="DD27" s="25">
        <f t="shared" si="39"/>
        <v>0</v>
      </c>
      <c r="DE27" s="25">
        <f t="shared" si="40"/>
        <v>0</v>
      </c>
      <c r="DF27" s="25">
        <f t="shared" si="41"/>
        <v>0</v>
      </c>
      <c r="DG27" s="25">
        <f t="shared" si="42"/>
        <v>0</v>
      </c>
      <c r="DH27" s="25">
        <f t="shared" si="43"/>
        <v>0</v>
      </c>
      <c r="DI27" s="25">
        <f t="shared" si="44"/>
        <v>0</v>
      </c>
      <c r="DJ27" s="25" t="e">
        <f t="shared" si="45"/>
        <v>#REF!</v>
      </c>
      <c r="DK27" s="25">
        <f t="shared" si="46"/>
        <v>0</v>
      </c>
      <c r="DL27" s="25">
        <f t="shared" si="47"/>
        <v>0</v>
      </c>
      <c r="DM27" s="25">
        <f t="shared" si="48"/>
        <v>0</v>
      </c>
      <c r="DN27" s="25">
        <f t="shared" si="49"/>
        <v>0</v>
      </c>
      <c r="DO27" s="25">
        <f t="shared" si="50"/>
        <v>0</v>
      </c>
      <c r="DP27" s="25">
        <f t="shared" si="51"/>
        <v>0</v>
      </c>
      <c r="DQ27" s="25">
        <f t="shared" si="52"/>
        <v>0</v>
      </c>
      <c r="DR27" s="25">
        <f t="shared" si="53"/>
        <v>0</v>
      </c>
      <c r="DS27" s="25">
        <f t="shared" si="54"/>
        <v>0</v>
      </c>
      <c r="DT27" s="25">
        <f t="shared" si="55"/>
        <v>0</v>
      </c>
      <c r="DU27" s="25">
        <f t="shared" si="56"/>
        <v>0</v>
      </c>
      <c r="DV27" s="21">
        <f t="shared" si="57"/>
        <v>0</v>
      </c>
      <c r="DW27" s="317">
        <f t="shared" si="58"/>
        <v>0</v>
      </c>
      <c r="DX27" s="317">
        <f t="shared" si="59"/>
        <v>0</v>
      </c>
      <c r="DY27" s="317">
        <f t="shared" si="60"/>
        <v>0</v>
      </c>
      <c r="DZ27" s="230">
        <f t="shared" si="61"/>
        <v>0</v>
      </c>
    </row>
    <row r="28" spans="1:220" ht="15" customHeight="1" x14ac:dyDescent="0.25">
      <c r="A28" s="1915" t="s">
        <v>8</v>
      </c>
      <c r="B28" s="1909">
        <f>IF('Тип разраб-ой док-ции'!F13=1,1,0)</f>
        <v>1</v>
      </c>
      <c r="C28" s="18" t="s">
        <v>32</v>
      </c>
      <c r="D28" s="21"/>
      <c r="E28" s="316">
        <f>'АВЗ АСУТП'!G28</f>
        <v>1.5</v>
      </c>
      <c r="F28" s="316">
        <f>'АВЗ АСУТП'!K28</f>
        <v>1.5</v>
      </c>
      <c r="G28" s="316">
        <f>'АВЗ АСУТП'!O28</f>
        <v>1.5</v>
      </c>
      <c r="H28" s="230">
        <f>'АВЗ АСУТП'!S28</f>
        <v>1.5</v>
      </c>
      <c r="I28" s="316">
        <f>'АВЗ АСУТП'!W28</f>
        <v>1.5</v>
      </c>
      <c r="J28" s="230">
        <f>'АВЗ АСУТП'!AA28</f>
        <v>1.5</v>
      </c>
      <c r="K28" s="230">
        <f>'АВЗ АСУТП'!AE28</f>
        <v>1.5</v>
      </c>
      <c r="L28" s="230">
        <f>'АВЗ АСУТП'!AI28</f>
        <v>1.5</v>
      </c>
      <c r="M28" s="230">
        <f>'SIEM АСУТП'!G28</f>
        <v>2</v>
      </c>
      <c r="N28" s="230">
        <f>'SIEM АСУТП'!K28</f>
        <v>2</v>
      </c>
      <c r="O28" s="230">
        <f>'МСЭ АСУТП'!G28</f>
        <v>1</v>
      </c>
      <c r="P28" s="317">
        <f>'МСЭ АСУТП'!K28</f>
        <v>1</v>
      </c>
      <c r="Q28" s="230">
        <f>'МСЭ АСУТП'!O28</f>
        <v>1</v>
      </c>
      <c r="R28" s="230">
        <f>'МСЭ АСУТП'!S28</f>
        <v>1</v>
      </c>
      <c r="S28" s="230">
        <f>'PAM АСУТП'!G28</f>
        <v>6</v>
      </c>
      <c r="T28" s="230">
        <f>'PAM АСУТП'!K28</f>
        <v>6</v>
      </c>
      <c r="U28" s="230">
        <f>'PAM АСУТП'!O28</f>
        <v>6</v>
      </c>
      <c r="V28" s="230">
        <f>'СКЗИ АСУТП'!G28</f>
        <v>4</v>
      </c>
      <c r="W28" s="230">
        <f>'СКЗИ АСУТП'!K28</f>
        <v>4</v>
      </c>
      <c r="X28" s="230">
        <f>'СКЗИ АСУТП'!O28</f>
        <v>4</v>
      </c>
      <c r="Y28" s="230">
        <f>'СКЗИ АСУТП'!S28</f>
        <v>4</v>
      </c>
      <c r="Z28" s="230">
        <f>'СКЗИ АСУТП'!W28</f>
        <v>4</v>
      </c>
      <c r="AA28" s="230">
        <f>'АЗ АСУТП'!G28</f>
        <v>1</v>
      </c>
      <c r="AB28" s="230">
        <f>'АЗ АСУТП'!K28</f>
        <v>1</v>
      </c>
      <c r="AC28" s="230">
        <f>'АЗ АСУТП'!O28</f>
        <v>1</v>
      </c>
      <c r="AD28" s="230">
        <f>'АЗ АСУТП'!S28</f>
        <v>1</v>
      </c>
      <c r="AE28" s="230">
        <f>'АЗ АСУТП'!W28</f>
        <v>1</v>
      </c>
      <c r="AF28" s="230">
        <f>'РК АСУТП'!G28</f>
        <v>4</v>
      </c>
      <c r="AG28" s="230">
        <f>'РК АСУТП'!K28</f>
        <v>4</v>
      </c>
      <c r="AH28" s="230">
        <f>'IDS АСУТП'!G28</f>
        <v>2</v>
      </c>
      <c r="AI28" s="230">
        <f>'IDS АСУТП'!K28</f>
        <v>2</v>
      </c>
      <c r="AJ28" s="230">
        <f>'IDS АСУТП'!O28</f>
        <v>2</v>
      </c>
      <c r="AK28" s="230">
        <f>'АПМДЗ АСУТП'!G28</f>
        <v>0.8</v>
      </c>
      <c r="AL28" s="230">
        <f>'АПМДЗ АСУТП'!K28</f>
        <v>0.8</v>
      </c>
      <c r="AM28" s="230">
        <f>'НСД АСУТП'!G28</f>
        <v>0.8</v>
      </c>
      <c r="AN28" s="230">
        <f>'НСД АСУТП'!K28</f>
        <v>0.8</v>
      </c>
      <c r="AO28" s="230">
        <f>'НСД АСУТП'!O28</f>
        <v>0.8</v>
      </c>
      <c r="AP28" s="230">
        <f>'MFA АСУТП'!G28</f>
        <v>8</v>
      </c>
      <c r="AQ28" s="230">
        <f>'MFA АСУТП'!K28</f>
        <v>8</v>
      </c>
      <c r="AR28" s="230">
        <f>'MFA АСУТП'!O28</f>
        <v>8</v>
      </c>
      <c r="AS28" s="230">
        <f>'MFA АСУТП'!S28</f>
        <v>8</v>
      </c>
      <c r="AT28" s="230">
        <f>'ДИОД АСУТП'!G28</f>
        <v>0</v>
      </c>
      <c r="AU28" s="230">
        <f>'ДИОД АСУТП'!K28</f>
        <v>0</v>
      </c>
      <c r="AV28" s="230">
        <f>'ДИОД АСУТП'!O28</f>
        <v>0</v>
      </c>
      <c r="AW28" s="230">
        <f>'ДИОД АСУТП'!S28</f>
        <v>0</v>
      </c>
      <c r="AX28" s="230">
        <f>'СЗВ АСУТП'!G28</f>
        <v>4</v>
      </c>
      <c r="AY28" s="230">
        <f>'СЗВ АСУТП'!K28</f>
        <v>4</v>
      </c>
      <c r="AZ28" s="230">
        <f>'СЗВ АСУТП'!O28</f>
        <v>3</v>
      </c>
      <c r="BA28" s="230">
        <f>'SOAR АСУТП'!G28</f>
        <v>2</v>
      </c>
      <c r="BB28" s="230">
        <f>'SOAR АСУТП'!K28</f>
        <v>2</v>
      </c>
      <c r="BC28" s="230">
        <f>'SOAR АСУТП'!O28</f>
        <v>2</v>
      </c>
      <c r="BD28" s="230" t="e">
        <f>'SOAR АСУТП'!#REF!</f>
        <v>#REF!</v>
      </c>
      <c r="BE28" s="230">
        <f>'VDI АСУТП'!G28</f>
        <v>3</v>
      </c>
      <c r="BF28" s="230">
        <f>'VDI АСУТП'!K28</f>
        <v>3</v>
      </c>
      <c r="BG28" s="230">
        <f>'VDI АСУТП'!O28</f>
        <v>3</v>
      </c>
      <c r="BH28" s="230">
        <f>'VDI АСУТП'!S28</f>
        <v>3</v>
      </c>
      <c r="BI28" s="230">
        <f>'VDI АСУТП'!W28</f>
        <v>3</v>
      </c>
      <c r="BJ28" s="316">
        <f>'СУБД АСУТП'!G28</f>
        <v>2</v>
      </c>
      <c r="BK28" s="316">
        <f>'СУБД АСУТП'!K28</f>
        <v>2</v>
      </c>
      <c r="BL28" s="316">
        <f>'ГОССОПКА АСУТП'!G28</f>
        <v>3</v>
      </c>
      <c r="BM28" s="316">
        <f>'ГОССОПКА АСУТП'!K28</f>
        <v>3</v>
      </c>
      <c r="BN28" s="316">
        <f>'TLS АСУТП'!G28</f>
        <v>3</v>
      </c>
      <c r="BO28" s="316">
        <f>'TLS АСУТП'!K28</f>
        <v>3</v>
      </c>
      <c r="BP28" s="316">
        <f>'DCAP АСУТП'!G28</f>
        <v>3</v>
      </c>
      <c r="BQ28" s="316">
        <f>'DCAP АСУТП'!K28</f>
        <v>3</v>
      </c>
      <c r="BR28" s="316">
        <f>'DCAP АСУТП'!O28</f>
        <v>3</v>
      </c>
      <c r="BS28" s="316">
        <f>'DO АСУТП'!G28</f>
        <v>3</v>
      </c>
      <c r="BT28" s="316">
        <f>'NTA АСУТП'!G28</f>
        <v>3</v>
      </c>
      <c r="BU28" s="316">
        <f>'NTA АСУТП'!K28</f>
        <v>3</v>
      </c>
      <c r="BV28" s="316">
        <f>'NTA АСУТП'!O28</f>
        <v>2</v>
      </c>
      <c r="BW28" s="316">
        <f>'NTA АСУТП'!S28</f>
        <v>3</v>
      </c>
      <c r="BX28" s="316">
        <f>'SEG АСУТП'!G28</f>
        <v>3</v>
      </c>
      <c r="BY28" s="316">
        <f>'APT АСУТП'!G28</f>
        <v>2</v>
      </c>
      <c r="BZ28" s="316">
        <f>'APT АСУТП'!K28</f>
        <v>2</v>
      </c>
      <c r="CA28" s="316">
        <f>'APT АСУТП'!O28</f>
        <v>2</v>
      </c>
      <c r="CB28" s="316">
        <f>'NAC АСУТП'!G28</f>
        <v>4</v>
      </c>
      <c r="CC28" s="316">
        <f>'SANDBOX АСУТП'!G28</f>
        <v>3</v>
      </c>
      <c r="CD28" s="316">
        <f>'SANDBOX АСУТП'!K28</f>
        <v>3</v>
      </c>
      <c r="CE28" s="316">
        <f>'EDR АСУТП'!G28</f>
        <v>2</v>
      </c>
      <c r="CF28" s="316">
        <f>'EDR АСУТП'!K28</f>
        <v>2</v>
      </c>
      <c r="CG28" s="316">
        <f>'WAF АСУТП'!G28</f>
        <v>4</v>
      </c>
      <c r="CH28" s="316">
        <f>'WAF АСУТП'!K28</f>
        <v>4</v>
      </c>
      <c r="CI28" s="316">
        <f>'WAF АСУТП'!O28</f>
        <v>4</v>
      </c>
      <c r="CJ28" s="316">
        <f>'ВМ ЗСВ'!G28</f>
        <v>3</v>
      </c>
      <c r="CK28" s="316">
        <f>'ВМ ЗСВ'!K28</f>
        <v>3</v>
      </c>
      <c r="CL28" s="316">
        <f>'ВМ ЗСВ'!O28</f>
        <v>4</v>
      </c>
      <c r="CM28" s="316">
        <f>'ВМ ЗСВ'!S28</f>
        <v>4</v>
      </c>
      <c r="CN28" s="316">
        <f>'ВМ ЗСВ'!W28</f>
        <v>3</v>
      </c>
      <c r="CO28" s="316">
        <f>'ВМ ЗСВ'!AA28</f>
        <v>4</v>
      </c>
      <c r="CP28" s="316">
        <f>'ВМ СПО'!G28</f>
        <v>2</v>
      </c>
      <c r="CQ28" s="316">
        <f>'ВМ СПО'!K28</f>
        <v>2</v>
      </c>
      <c r="CR28" s="316">
        <f>'ВМ СПО'!O28</f>
        <v>4</v>
      </c>
      <c r="CS28" s="316">
        <f>'ВМ СПО'!S28</f>
        <v>4</v>
      </c>
      <c r="CT28" s="316">
        <f>'ВМ АСО'!G28</f>
        <v>0</v>
      </c>
      <c r="CU28" s="316">
        <f>'ВМ АСО'!K28</f>
        <v>0</v>
      </c>
      <c r="CV28" s="16" t="e">
        <f t="shared" si="31"/>
        <v>#REF!</v>
      </c>
      <c r="CW28" s="25">
        <f t="shared" si="32"/>
        <v>1.5</v>
      </c>
      <c r="CX28" s="25">
        <f t="shared" si="33"/>
        <v>2</v>
      </c>
      <c r="CY28" s="25">
        <f t="shared" si="34"/>
        <v>0</v>
      </c>
      <c r="CZ28" s="25">
        <f t="shared" si="35"/>
        <v>0</v>
      </c>
      <c r="DA28" s="25">
        <f t="shared" si="36"/>
        <v>0</v>
      </c>
      <c r="DB28" s="25">
        <f t="shared" si="37"/>
        <v>0</v>
      </c>
      <c r="DC28" s="25">
        <f t="shared" si="38"/>
        <v>0</v>
      </c>
      <c r="DD28" s="25">
        <f t="shared" si="39"/>
        <v>0</v>
      </c>
      <c r="DE28" s="25">
        <f t="shared" si="40"/>
        <v>0</v>
      </c>
      <c r="DF28" s="25">
        <f t="shared" si="41"/>
        <v>0</v>
      </c>
      <c r="DG28" s="25">
        <f t="shared" si="42"/>
        <v>0</v>
      </c>
      <c r="DH28" s="25">
        <f t="shared" si="43"/>
        <v>0</v>
      </c>
      <c r="DI28" s="25">
        <f t="shared" si="44"/>
        <v>0</v>
      </c>
      <c r="DJ28" s="25" t="e">
        <f t="shared" si="45"/>
        <v>#REF!</v>
      </c>
      <c r="DK28" s="25">
        <f t="shared" si="46"/>
        <v>0</v>
      </c>
      <c r="DL28" s="25">
        <f t="shared" si="47"/>
        <v>0</v>
      </c>
      <c r="DM28" s="25">
        <f t="shared" si="48"/>
        <v>0</v>
      </c>
      <c r="DN28" s="25">
        <f t="shared" si="49"/>
        <v>0</v>
      </c>
      <c r="DO28" s="25">
        <f t="shared" si="50"/>
        <v>0</v>
      </c>
      <c r="DP28" s="25">
        <f t="shared" si="51"/>
        <v>0</v>
      </c>
      <c r="DQ28" s="25">
        <f t="shared" si="52"/>
        <v>0</v>
      </c>
      <c r="DR28" s="25">
        <f t="shared" si="53"/>
        <v>0</v>
      </c>
      <c r="DS28" s="25">
        <f t="shared" si="54"/>
        <v>0</v>
      </c>
      <c r="DT28" s="25">
        <f t="shared" si="55"/>
        <v>0</v>
      </c>
      <c r="DU28" s="25">
        <f t="shared" si="56"/>
        <v>0</v>
      </c>
      <c r="DV28" s="21">
        <f t="shared" si="57"/>
        <v>0</v>
      </c>
      <c r="DW28" s="317">
        <f t="shared" si="58"/>
        <v>0</v>
      </c>
      <c r="DX28" s="317">
        <f t="shared" si="59"/>
        <v>0</v>
      </c>
      <c r="DY28" s="317">
        <f t="shared" si="60"/>
        <v>0</v>
      </c>
      <c r="DZ28" s="230">
        <f t="shared" si="61"/>
        <v>0</v>
      </c>
    </row>
    <row r="29" spans="1:220" ht="15" customHeight="1" x14ac:dyDescent="0.25">
      <c r="A29" s="1915"/>
      <c r="B29" s="1909"/>
      <c r="C29" s="18" t="s">
        <v>33</v>
      </c>
      <c r="D29" s="21"/>
      <c r="E29" s="316">
        <f>'АВЗ АСУТП'!G29</f>
        <v>3.5</v>
      </c>
      <c r="F29" s="316">
        <f>'АВЗ АСУТП'!K29</f>
        <v>3.5</v>
      </c>
      <c r="G29" s="316">
        <f>'АВЗ АСУТП'!O29</f>
        <v>3.5</v>
      </c>
      <c r="H29" s="230">
        <f>'АВЗ АСУТП'!S29</f>
        <v>3.5</v>
      </c>
      <c r="I29" s="316">
        <f>'АВЗ АСУТП'!W29</f>
        <v>3.5</v>
      </c>
      <c r="J29" s="230">
        <f>'АВЗ АСУТП'!AA29</f>
        <v>3.5</v>
      </c>
      <c r="K29" s="230">
        <f>'АВЗ АСУТП'!AE29</f>
        <v>3.5</v>
      </c>
      <c r="L29" s="230">
        <f>'АВЗ АСУТП'!AI29</f>
        <v>3.5</v>
      </c>
      <c r="M29" s="230">
        <f>'SIEM АСУТП'!G29</f>
        <v>4</v>
      </c>
      <c r="N29" s="230">
        <f>'SIEM АСУТП'!K29</f>
        <v>4</v>
      </c>
      <c r="O29" s="230">
        <f>'МСЭ АСУТП'!G29</f>
        <v>2</v>
      </c>
      <c r="P29" s="317">
        <f>'МСЭ АСУТП'!K29</f>
        <v>2</v>
      </c>
      <c r="Q29" s="230">
        <f>'МСЭ АСУТП'!O29</f>
        <v>2</v>
      </c>
      <c r="R29" s="230">
        <f>'МСЭ АСУТП'!S29</f>
        <v>2</v>
      </c>
      <c r="S29" s="230">
        <f>'PAM АСУТП'!G29</f>
        <v>6</v>
      </c>
      <c r="T29" s="230">
        <f>'PAM АСУТП'!K29</f>
        <v>6</v>
      </c>
      <c r="U29" s="230">
        <f>'PAM АСУТП'!O29</f>
        <v>6</v>
      </c>
      <c r="V29" s="230">
        <f>'СКЗИ АСУТП'!G29</f>
        <v>6</v>
      </c>
      <c r="W29" s="230">
        <f>'СКЗИ АСУТП'!K29</f>
        <v>6</v>
      </c>
      <c r="X29" s="230">
        <f>'СКЗИ АСУТП'!O29</f>
        <v>6</v>
      </c>
      <c r="Y29" s="230">
        <f>'СКЗИ АСУТП'!S29</f>
        <v>6</v>
      </c>
      <c r="Z29" s="230">
        <f>'СКЗИ АСУТП'!W29</f>
        <v>6</v>
      </c>
      <c r="AA29" s="230">
        <f>'АЗ АСУТП'!G29</f>
        <v>1</v>
      </c>
      <c r="AB29" s="230">
        <f>'АЗ АСУТП'!K29</f>
        <v>1</v>
      </c>
      <c r="AC29" s="230">
        <f>'АЗ АСУТП'!O29</f>
        <v>1</v>
      </c>
      <c r="AD29" s="230">
        <f>'АЗ АСУТП'!S29</f>
        <v>1</v>
      </c>
      <c r="AE29" s="230">
        <f>'АЗ АСУТП'!W29</f>
        <v>1</v>
      </c>
      <c r="AF29" s="230">
        <f>'РК АСУТП'!G29</f>
        <v>4</v>
      </c>
      <c r="AG29" s="230">
        <f>'РК АСУТП'!K29</f>
        <v>4</v>
      </c>
      <c r="AH29" s="230">
        <f>'IDS АСУТП'!G29</f>
        <v>2</v>
      </c>
      <c r="AI29" s="230">
        <f>'IDS АСУТП'!K29</f>
        <v>2</v>
      </c>
      <c r="AJ29" s="230">
        <f>'IDS АСУТП'!O29</f>
        <v>2</v>
      </c>
      <c r="AK29" s="230">
        <f>'АПМДЗ АСУТП'!G29</f>
        <v>1</v>
      </c>
      <c r="AL29" s="230">
        <f>'АПМДЗ АСУТП'!K29</f>
        <v>1</v>
      </c>
      <c r="AM29" s="230">
        <f>'НСД АСУТП'!G29</f>
        <v>1</v>
      </c>
      <c r="AN29" s="230">
        <f>'НСД АСУТП'!K29</f>
        <v>1</v>
      </c>
      <c r="AO29" s="230">
        <f>'НСД АСУТП'!O29</f>
        <v>1</v>
      </c>
      <c r="AP29" s="230">
        <f>'MFA АСУТП'!G29</f>
        <v>8</v>
      </c>
      <c r="AQ29" s="230">
        <f>'MFA АСУТП'!K29</f>
        <v>8</v>
      </c>
      <c r="AR29" s="230">
        <f>'MFA АСУТП'!O29</f>
        <v>8</v>
      </c>
      <c r="AS29" s="230">
        <f>'MFA АСУТП'!S29</f>
        <v>8</v>
      </c>
      <c r="AT29" s="230">
        <f>'ДИОД АСУТП'!G29</f>
        <v>0</v>
      </c>
      <c r="AU29" s="230">
        <f>'ДИОД АСУТП'!K29</f>
        <v>0</v>
      </c>
      <c r="AV29" s="230">
        <f>'ДИОД АСУТП'!O29</f>
        <v>0</v>
      </c>
      <c r="AW29" s="230">
        <f>'ДИОД АСУТП'!S29</f>
        <v>0</v>
      </c>
      <c r="AX29" s="230">
        <f>'СЗВ АСУТП'!G29</f>
        <v>6</v>
      </c>
      <c r="AY29" s="230">
        <f>'СЗВ АСУТП'!K29</f>
        <v>6</v>
      </c>
      <c r="AZ29" s="230">
        <f>'СЗВ АСУТП'!O29</f>
        <v>4</v>
      </c>
      <c r="BA29" s="230">
        <f>'SOAR АСУТП'!G29</f>
        <v>4</v>
      </c>
      <c r="BB29" s="230">
        <f>'SOAR АСУТП'!K29</f>
        <v>4</v>
      </c>
      <c r="BC29" s="230">
        <f>'SOAR АСУТП'!O29</f>
        <v>4</v>
      </c>
      <c r="BD29" s="230" t="e">
        <f>'SOAR АСУТП'!#REF!</f>
        <v>#REF!</v>
      </c>
      <c r="BE29" s="230">
        <f>'VDI АСУТП'!G29</f>
        <v>4</v>
      </c>
      <c r="BF29" s="230">
        <f>'VDI АСУТП'!K29</f>
        <v>4</v>
      </c>
      <c r="BG29" s="230">
        <f>'VDI АСУТП'!O29</f>
        <v>4</v>
      </c>
      <c r="BH29" s="230">
        <f>'VDI АСУТП'!S29</f>
        <v>4</v>
      </c>
      <c r="BI29" s="230">
        <f>'VDI АСУТП'!W29</f>
        <v>4</v>
      </c>
      <c r="BJ29" s="316">
        <f>'СУБД АСУТП'!G29</f>
        <v>0.5</v>
      </c>
      <c r="BK29" s="316">
        <f>'СУБД АСУТП'!K29</f>
        <v>0.5</v>
      </c>
      <c r="BL29" s="316">
        <f>'ГОССОПКА АСУТП'!G29</f>
        <v>4</v>
      </c>
      <c r="BM29" s="316">
        <f>'ГОССОПКА АСУТП'!K29</f>
        <v>4</v>
      </c>
      <c r="BN29" s="316">
        <f>'TLS АСУТП'!G29</f>
        <v>4</v>
      </c>
      <c r="BO29" s="316">
        <f>'TLS АСУТП'!K29</f>
        <v>4</v>
      </c>
      <c r="BP29" s="316">
        <f>'DCAP АСУТП'!G29</f>
        <v>4</v>
      </c>
      <c r="BQ29" s="316">
        <f>'DCAP АСУТП'!K29</f>
        <v>4</v>
      </c>
      <c r="BR29" s="316">
        <f>'DCAP АСУТП'!O29</f>
        <v>4</v>
      </c>
      <c r="BS29" s="316">
        <f>'DO АСУТП'!G29</f>
        <v>4.5</v>
      </c>
      <c r="BT29" s="316">
        <f>'NTA АСУТП'!G29</f>
        <v>4</v>
      </c>
      <c r="BU29" s="316">
        <f>'NTA АСУТП'!K29</f>
        <v>4</v>
      </c>
      <c r="BV29" s="316">
        <f>'NTA АСУТП'!O29</f>
        <v>2</v>
      </c>
      <c r="BW29" s="316">
        <f>'NTA АСУТП'!S29</f>
        <v>4</v>
      </c>
      <c r="BX29" s="316">
        <f>'SEG АСУТП'!G29</f>
        <v>4</v>
      </c>
      <c r="BY29" s="316">
        <f>'APT АСУТП'!G29</f>
        <v>2</v>
      </c>
      <c r="BZ29" s="316">
        <f>'APT АСУТП'!K29</f>
        <v>2</v>
      </c>
      <c r="CA29" s="316">
        <f>'APT АСУТП'!O29</f>
        <v>2</v>
      </c>
      <c r="CB29" s="316">
        <f>'NAC АСУТП'!G29</f>
        <v>8</v>
      </c>
      <c r="CC29" s="316">
        <f>'SANDBOX АСУТП'!G29</f>
        <v>4</v>
      </c>
      <c r="CD29" s="316">
        <f>'SANDBOX АСУТП'!K29</f>
        <v>4</v>
      </c>
      <c r="CE29" s="316">
        <f>'EDR АСУТП'!G29</f>
        <v>2</v>
      </c>
      <c r="CF29" s="316">
        <f>'EDR АСУТП'!K29</f>
        <v>2</v>
      </c>
      <c r="CG29" s="316">
        <f>'WAF АСУТП'!G29</f>
        <v>8</v>
      </c>
      <c r="CH29" s="316">
        <f>'WAF АСУТП'!K29</f>
        <v>8</v>
      </c>
      <c r="CI29" s="316">
        <f>'WAF АСУТП'!O29</f>
        <v>8</v>
      </c>
      <c r="CJ29" s="316">
        <f>'ВМ ЗСВ'!G29</f>
        <v>4</v>
      </c>
      <c r="CK29" s="316">
        <f>'ВМ ЗСВ'!K29</f>
        <v>4</v>
      </c>
      <c r="CL29" s="316">
        <f>'ВМ ЗСВ'!O29</f>
        <v>6</v>
      </c>
      <c r="CM29" s="316">
        <f>'ВМ ЗСВ'!S29</f>
        <v>6</v>
      </c>
      <c r="CN29" s="316">
        <f>'ВМ ЗСВ'!W29</f>
        <v>4</v>
      </c>
      <c r="CO29" s="316">
        <f>'ВМ ЗСВ'!AA29</f>
        <v>6</v>
      </c>
      <c r="CP29" s="316">
        <f>'ВМ СПО'!G29</f>
        <v>1</v>
      </c>
      <c r="CQ29" s="316">
        <f>'ВМ СПО'!K29</f>
        <v>1</v>
      </c>
      <c r="CR29" s="316">
        <f>'ВМ СПО'!O29</f>
        <v>2</v>
      </c>
      <c r="CS29" s="316">
        <f>'ВМ СПО'!S29</f>
        <v>2</v>
      </c>
      <c r="CT29" s="316">
        <f>'ВМ АСО'!G29</f>
        <v>0</v>
      </c>
      <c r="CU29" s="316">
        <f>'ВМ АСО'!K29</f>
        <v>0</v>
      </c>
      <c r="CV29" s="16" t="e">
        <f t="shared" si="31"/>
        <v>#REF!</v>
      </c>
      <c r="CW29" s="25">
        <f t="shared" si="32"/>
        <v>3.5</v>
      </c>
      <c r="CX29" s="25">
        <f t="shared" si="33"/>
        <v>4</v>
      </c>
      <c r="CY29" s="25">
        <f t="shared" si="34"/>
        <v>0</v>
      </c>
      <c r="CZ29" s="25">
        <f t="shared" si="35"/>
        <v>0</v>
      </c>
      <c r="DA29" s="25">
        <f t="shared" si="36"/>
        <v>0</v>
      </c>
      <c r="DB29" s="25">
        <f t="shared" si="37"/>
        <v>0</v>
      </c>
      <c r="DC29" s="25">
        <f t="shared" si="38"/>
        <v>0</v>
      </c>
      <c r="DD29" s="25">
        <f t="shared" si="39"/>
        <v>0</v>
      </c>
      <c r="DE29" s="25">
        <f t="shared" si="40"/>
        <v>0</v>
      </c>
      <c r="DF29" s="25">
        <f t="shared" si="41"/>
        <v>0</v>
      </c>
      <c r="DG29" s="25">
        <f t="shared" si="42"/>
        <v>0</v>
      </c>
      <c r="DH29" s="25">
        <f t="shared" si="43"/>
        <v>0</v>
      </c>
      <c r="DI29" s="25">
        <f t="shared" si="44"/>
        <v>0</v>
      </c>
      <c r="DJ29" s="25" t="e">
        <f t="shared" si="45"/>
        <v>#REF!</v>
      </c>
      <c r="DK29" s="25">
        <f t="shared" si="46"/>
        <v>0</v>
      </c>
      <c r="DL29" s="25">
        <f t="shared" si="47"/>
        <v>0</v>
      </c>
      <c r="DM29" s="25">
        <f t="shared" si="48"/>
        <v>0</v>
      </c>
      <c r="DN29" s="25">
        <f t="shared" si="49"/>
        <v>0</v>
      </c>
      <c r="DO29" s="25">
        <f t="shared" si="50"/>
        <v>0</v>
      </c>
      <c r="DP29" s="25">
        <f t="shared" si="51"/>
        <v>0</v>
      </c>
      <c r="DQ29" s="25">
        <f t="shared" si="52"/>
        <v>0</v>
      </c>
      <c r="DR29" s="25">
        <f t="shared" si="53"/>
        <v>0</v>
      </c>
      <c r="DS29" s="25">
        <f t="shared" si="54"/>
        <v>0</v>
      </c>
      <c r="DT29" s="25">
        <f t="shared" si="55"/>
        <v>0</v>
      </c>
      <c r="DU29" s="25">
        <f t="shared" si="56"/>
        <v>0</v>
      </c>
      <c r="DV29" s="21">
        <f t="shared" si="57"/>
        <v>0</v>
      </c>
      <c r="DW29" s="317">
        <f t="shared" si="58"/>
        <v>0</v>
      </c>
      <c r="DX29" s="317">
        <f t="shared" si="59"/>
        <v>0</v>
      </c>
      <c r="DY29" s="317">
        <f t="shared" si="60"/>
        <v>0</v>
      </c>
      <c r="DZ29" s="230">
        <f t="shared" si="61"/>
        <v>0</v>
      </c>
    </row>
    <row r="30" spans="1:220" ht="15" customHeight="1" x14ac:dyDescent="0.25">
      <c r="A30" s="1915"/>
      <c r="B30" s="1910"/>
      <c r="C30" s="18" t="s">
        <v>34</v>
      </c>
      <c r="D30" s="21"/>
      <c r="E30" s="316">
        <f>'АВЗ АСУТП'!G30</f>
        <v>5.5</v>
      </c>
      <c r="F30" s="316">
        <f>'АВЗ АСУТП'!K30</f>
        <v>5.5</v>
      </c>
      <c r="G30" s="316">
        <f>'АВЗ АСУТП'!O30</f>
        <v>5.5</v>
      </c>
      <c r="H30" s="230">
        <f>'АВЗ АСУТП'!S30</f>
        <v>5.5</v>
      </c>
      <c r="I30" s="316">
        <f>'АВЗ АСУТП'!W30</f>
        <v>5.5</v>
      </c>
      <c r="J30" s="230">
        <f>'АВЗ АСУТП'!AA30</f>
        <v>5.5</v>
      </c>
      <c r="K30" s="230">
        <f>'АВЗ АСУТП'!AE30</f>
        <v>5.5</v>
      </c>
      <c r="L30" s="230">
        <f>'АВЗ АСУТП'!AI30</f>
        <v>5.5</v>
      </c>
      <c r="M30" s="230">
        <f>'SIEM АСУТП'!G30</f>
        <v>6</v>
      </c>
      <c r="N30" s="230">
        <f>'SIEM АСУТП'!K30</f>
        <v>6</v>
      </c>
      <c r="O30" s="230">
        <f>'МСЭ АСУТП'!G30</f>
        <v>3</v>
      </c>
      <c r="P30" s="317">
        <f>'МСЭ АСУТП'!K30</f>
        <v>3</v>
      </c>
      <c r="Q30" s="230">
        <f>'МСЭ АСУТП'!O30</f>
        <v>3</v>
      </c>
      <c r="R30" s="230">
        <f>'МСЭ АСУТП'!S30</f>
        <v>3</v>
      </c>
      <c r="S30" s="230">
        <f>'PAM АСУТП'!G30</f>
        <v>6</v>
      </c>
      <c r="T30" s="230">
        <f>'PAM АСУТП'!K30</f>
        <v>6</v>
      </c>
      <c r="U30" s="230">
        <f>'PAM АСУТП'!O30</f>
        <v>6</v>
      </c>
      <c r="V30" s="230">
        <f>'СКЗИ АСУТП'!G30</f>
        <v>9</v>
      </c>
      <c r="W30" s="230">
        <f>'СКЗИ АСУТП'!K30</f>
        <v>9</v>
      </c>
      <c r="X30" s="230">
        <f>'СКЗИ АСУТП'!O30</f>
        <v>9</v>
      </c>
      <c r="Y30" s="230">
        <f>'СКЗИ АСУТП'!S30</f>
        <v>9</v>
      </c>
      <c r="Z30" s="230">
        <f>'СКЗИ АСУТП'!W30</f>
        <v>9</v>
      </c>
      <c r="AA30" s="230">
        <f>'АЗ АСУТП'!G30</f>
        <v>2</v>
      </c>
      <c r="AB30" s="230">
        <f>'АЗ АСУТП'!K30</f>
        <v>2</v>
      </c>
      <c r="AC30" s="230">
        <f>'АЗ АСУТП'!O30</f>
        <v>2</v>
      </c>
      <c r="AD30" s="230">
        <f>'АЗ АСУТП'!S30</f>
        <v>2</v>
      </c>
      <c r="AE30" s="230">
        <f>'АЗ АСУТП'!W30</f>
        <v>2</v>
      </c>
      <c r="AF30" s="230">
        <f>'РК АСУТП'!G30</f>
        <v>4</v>
      </c>
      <c r="AG30" s="230">
        <f>'РК АСУТП'!K30</f>
        <v>4</v>
      </c>
      <c r="AH30" s="230">
        <f>'IDS АСУТП'!G30</f>
        <v>2</v>
      </c>
      <c r="AI30" s="230">
        <f>'IDS АСУТП'!K30</f>
        <v>2</v>
      </c>
      <c r="AJ30" s="230">
        <f>'IDS АСУТП'!O30</f>
        <v>2</v>
      </c>
      <c r="AK30" s="230">
        <f>'АПМДЗ АСУТП'!G30</f>
        <v>1.5</v>
      </c>
      <c r="AL30" s="230">
        <f>'АПМДЗ АСУТП'!K30</f>
        <v>1.5</v>
      </c>
      <c r="AM30" s="230">
        <f>'НСД АСУТП'!G30</f>
        <v>1.5</v>
      </c>
      <c r="AN30" s="230">
        <f>'НСД АСУТП'!K30</f>
        <v>1.5</v>
      </c>
      <c r="AO30" s="230">
        <f>'НСД АСУТП'!O30</f>
        <v>1.5</v>
      </c>
      <c r="AP30" s="230">
        <f>'MFA АСУТП'!G30</f>
        <v>12</v>
      </c>
      <c r="AQ30" s="230">
        <f>'MFA АСУТП'!K30</f>
        <v>12</v>
      </c>
      <c r="AR30" s="230">
        <f>'MFA АСУТП'!O30</f>
        <v>12</v>
      </c>
      <c r="AS30" s="230">
        <f>'MFA АСУТП'!S30</f>
        <v>12</v>
      </c>
      <c r="AT30" s="230">
        <f>'ДИОД АСУТП'!G30</f>
        <v>0</v>
      </c>
      <c r="AU30" s="230">
        <f>'ДИОД АСУТП'!K30</f>
        <v>0</v>
      </c>
      <c r="AV30" s="230">
        <f>'ДИОД АСУТП'!O30</f>
        <v>0</v>
      </c>
      <c r="AW30" s="230">
        <f>'ДИОД АСУТП'!S30</f>
        <v>0</v>
      </c>
      <c r="AX30" s="230">
        <f>'СЗВ АСУТП'!G30</f>
        <v>8</v>
      </c>
      <c r="AY30" s="230">
        <f>'СЗВ АСУТП'!K30</f>
        <v>8</v>
      </c>
      <c r="AZ30" s="230">
        <f>'СЗВ АСУТП'!O30</f>
        <v>6</v>
      </c>
      <c r="BA30" s="230">
        <f>'SOAR АСУТП'!G30</f>
        <v>6</v>
      </c>
      <c r="BB30" s="230">
        <f>'SOAR АСУТП'!K30</f>
        <v>6</v>
      </c>
      <c r="BC30" s="230">
        <f>'SOAR АСУТП'!O30</f>
        <v>6</v>
      </c>
      <c r="BD30" s="230" t="e">
        <f>'SOAR АСУТП'!#REF!</f>
        <v>#REF!</v>
      </c>
      <c r="BE30" s="230">
        <f>'VDI АСУТП'!G30</f>
        <v>6</v>
      </c>
      <c r="BF30" s="230">
        <f>'VDI АСУТП'!K30</f>
        <v>6</v>
      </c>
      <c r="BG30" s="230">
        <f>'VDI АСУТП'!O30</f>
        <v>6</v>
      </c>
      <c r="BH30" s="230">
        <f>'VDI АСУТП'!S30</f>
        <v>6</v>
      </c>
      <c r="BI30" s="230">
        <f>'VDI АСУТП'!W30</f>
        <v>6</v>
      </c>
      <c r="BJ30" s="316">
        <f>'СУБД АСУТП'!G30</f>
        <v>1.5</v>
      </c>
      <c r="BK30" s="316">
        <f>'СУБД АСУТП'!K30</f>
        <v>1.5</v>
      </c>
      <c r="BL30" s="316">
        <f>'ГОССОПКА АСУТП'!G30</f>
        <v>6</v>
      </c>
      <c r="BM30" s="316">
        <f>'ГОССОПКА АСУТП'!K30</f>
        <v>6</v>
      </c>
      <c r="BN30" s="316">
        <f>'TLS АСУТП'!G30</f>
        <v>6</v>
      </c>
      <c r="BO30" s="316">
        <f>'TLS АСУТП'!K30</f>
        <v>6</v>
      </c>
      <c r="BP30" s="316">
        <f>'DCAP АСУТП'!G30</f>
        <v>6</v>
      </c>
      <c r="BQ30" s="316">
        <f>'DCAP АСУТП'!K30</f>
        <v>6</v>
      </c>
      <c r="BR30" s="316">
        <f>'DCAP АСУТП'!O30</f>
        <v>6</v>
      </c>
      <c r="BS30" s="316">
        <f>'DO АСУТП'!G30</f>
        <v>6.5</v>
      </c>
      <c r="BT30" s="316">
        <f>'NTA АСУТП'!G30</f>
        <v>6</v>
      </c>
      <c r="BU30" s="316">
        <f>'NTA АСУТП'!K30</f>
        <v>6</v>
      </c>
      <c r="BV30" s="316">
        <f>'NTA АСУТП'!O30</f>
        <v>2</v>
      </c>
      <c r="BW30" s="316">
        <f>'NTA АСУТП'!S30</f>
        <v>6</v>
      </c>
      <c r="BX30" s="316">
        <f>'SEG АСУТП'!G30</f>
        <v>6</v>
      </c>
      <c r="BY30" s="316">
        <f>'APT АСУТП'!G30</f>
        <v>2</v>
      </c>
      <c r="BZ30" s="316">
        <f>'APT АСУТП'!K30</f>
        <v>2</v>
      </c>
      <c r="CA30" s="316">
        <f>'APT АСУТП'!O30</f>
        <v>2</v>
      </c>
      <c r="CB30" s="316">
        <f>'NAC АСУТП'!G30</f>
        <v>12</v>
      </c>
      <c r="CC30" s="316">
        <f>'SANDBOX АСУТП'!G30</f>
        <v>6</v>
      </c>
      <c r="CD30" s="316">
        <f>'SANDBOX АСУТП'!K30</f>
        <v>6</v>
      </c>
      <c r="CE30" s="316">
        <f>'EDR АСУТП'!G30</f>
        <v>4</v>
      </c>
      <c r="CF30" s="316">
        <f>'EDR АСУТП'!K30</f>
        <v>4</v>
      </c>
      <c r="CG30" s="316">
        <f>'WAF АСУТП'!G30</f>
        <v>12</v>
      </c>
      <c r="CH30" s="316">
        <f>'WAF АСУТП'!K30</f>
        <v>12</v>
      </c>
      <c r="CI30" s="316">
        <f>'WAF АСУТП'!O30</f>
        <v>12</v>
      </c>
      <c r="CJ30" s="316">
        <f>'ВМ ЗСВ'!G30</f>
        <v>6</v>
      </c>
      <c r="CK30" s="316">
        <f>'ВМ ЗСВ'!K30</f>
        <v>6</v>
      </c>
      <c r="CL30" s="316">
        <f>'ВМ ЗСВ'!O30</f>
        <v>8</v>
      </c>
      <c r="CM30" s="316">
        <f>'ВМ ЗСВ'!S30</f>
        <v>8</v>
      </c>
      <c r="CN30" s="316">
        <f>'ВМ ЗСВ'!W30</f>
        <v>6</v>
      </c>
      <c r="CO30" s="316">
        <f>'ВМ ЗСВ'!AA30</f>
        <v>8</v>
      </c>
      <c r="CP30" s="316">
        <f>'ВМ СПО'!G30</f>
        <v>2</v>
      </c>
      <c r="CQ30" s="316">
        <f>'ВМ СПО'!K30</f>
        <v>2</v>
      </c>
      <c r="CR30" s="316">
        <f>'ВМ СПО'!O30</f>
        <v>4</v>
      </c>
      <c r="CS30" s="316">
        <f>'ВМ СПО'!S30</f>
        <v>4</v>
      </c>
      <c r="CT30" s="316">
        <f>'ВМ АСО'!G30</f>
        <v>0</v>
      </c>
      <c r="CU30" s="316">
        <f>'ВМ АСО'!K30</f>
        <v>0</v>
      </c>
      <c r="CV30" s="16" t="e">
        <f t="shared" si="31"/>
        <v>#REF!</v>
      </c>
      <c r="CW30" s="25">
        <f t="shared" si="32"/>
        <v>5.5</v>
      </c>
      <c r="CX30" s="25">
        <f t="shared" si="33"/>
        <v>6</v>
      </c>
      <c r="CY30" s="25">
        <f t="shared" si="34"/>
        <v>0</v>
      </c>
      <c r="CZ30" s="25">
        <f t="shared" si="35"/>
        <v>0</v>
      </c>
      <c r="DA30" s="25">
        <f t="shared" si="36"/>
        <v>0</v>
      </c>
      <c r="DB30" s="25">
        <f t="shared" si="37"/>
        <v>0</v>
      </c>
      <c r="DC30" s="25">
        <f t="shared" si="38"/>
        <v>0</v>
      </c>
      <c r="DD30" s="25">
        <f t="shared" si="39"/>
        <v>0</v>
      </c>
      <c r="DE30" s="25">
        <f t="shared" si="40"/>
        <v>0</v>
      </c>
      <c r="DF30" s="25">
        <f t="shared" si="41"/>
        <v>0</v>
      </c>
      <c r="DG30" s="25">
        <f t="shared" si="42"/>
        <v>0</v>
      </c>
      <c r="DH30" s="25">
        <f t="shared" si="43"/>
        <v>0</v>
      </c>
      <c r="DI30" s="25">
        <f t="shared" si="44"/>
        <v>0</v>
      </c>
      <c r="DJ30" s="25" t="e">
        <f t="shared" si="45"/>
        <v>#REF!</v>
      </c>
      <c r="DK30" s="25">
        <f t="shared" si="46"/>
        <v>0</v>
      </c>
      <c r="DL30" s="25">
        <f t="shared" si="47"/>
        <v>0</v>
      </c>
      <c r="DM30" s="25">
        <f t="shared" si="48"/>
        <v>0</v>
      </c>
      <c r="DN30" s="25">
        <f t="shared" si="49"/>
        <v>0</v>
      </c>
      <c r="DO30" s="25">
        <f t="shared" si="50"/>
        <v>0</v>
      </c>
      <c r="DP30" s="25">
        <f t="shared" si="51"/>
        <v>0</v>
      </c>
      <c r="DQ30" s="25">
        <f t="shared" si="52"/>
        <v>0</v>
      </c>
      <c r="DR30" s="25">
        <f t="shared" si="53"/>
        <v>0</v>
      </c>
      <c r="DS30" s="25">
        <f t="shared" si="54"/>
        <v>0</v>
      </c>
      <c r="DT30" s="25">
        <f t="shared" si="55"/>
        <v>0</v>
      </c>
      <c r="DU30" s="25">
        <f t="shared" si="56"/>
        <v>0</v>
      </c>
      <c r="DV30" s="21">
        <f t="shared" si="57"/>
        <v>0</v>
      </c>
      <c r="DW30" s="317">
        <f t="shared" si="58"/>
        <v>0</v>
      </c>
      <c r="DX30" s="317">
        <f t="shared" si="59"/>
        <v>0</v>
      </c>
      <c r="DY30" s="317">
        <f t="shared" si="60"/>
        <v>0</v>
      </c>
      <c r="DZ30" s="230">
        <f t="shared" si="61"/>
        <v>0</v>
      </c>
    </row>
    <row r="31" spans="1:220" ht="15" customHeight="1" x14ac:dyDescent="0.25">
      <c r="A31" s="1915" t="s">
        <v>9</v>
      </c>
      <c r="B31" s="1909">
        <f>IF('Тип разраб-ой док-ции'!F14=1,1,0)</f>
        <v>1</v>
      </c>
      <c r="C31" s="18" t="s">
        <v>32</v>
      </c>
      <c r="D31" s="21"/>
      <c r="E31" s="316">
        <f>'АВЗ АСУТП'!G31</f>
        <v>3</v>
      </c>
      <c r="F31" s="316">
        <f>'АВЗ АСУТП'!K31</f>
        <v>3</v>
      </c>
      <c r="G31" s="316">
        <f>'АВЗ АСУТП'!O31</f>
        <v>3</v>
      </c>
      <c r="H31" s="230">
        <f>'АВЗ АСУТП'!S31</f>
        <v>3</v>
      </c>
      <c r="I31" s="316">
        <f>'АВЗ АСУТП'!W31</f>
        <v>3</v>
      </c>
      <c r="J31" s="230">
        <f>'АВЗ АСУТП'!AA31</f>
        <v>3</v>
      </c>
      <c r="K31" s="230">
        <f>'АВЗ АСУТП'!AE31</f>
        <v>3</v>
      </c>
      <c r="L31" s="230">
        <f>'АВЗ АСУТП'!AI31</f>
        <v>3</v>
      </c>
      <c r="M31" s="230">
        <f>'SIEM АСУТП'!G31</f>
        <v>2.5</v>
      </c>
      <c r="N31" s="230">
        <f>'SIEM АСУТП'!K31</f>
        <v>2.5</v>
      </c>
      <c r="O31" s="230">
        <f>'МСЭ АСУТП'!G31</f>
        <v>0.5</v>
      </c>
      <c r="P31" s="317">
        <f>'МСЭ АСУТП'!K31</f>
        <v>0.5</v>
      </c>
      <c r="Q31" s="230">
        <f>'МСЭ АСУТП'!O31</f>
        <v>0.5</v>
      </c>
      <c r="R31" s="230">
        <f>'МСЭ АСУТП'!S31</f>
        <v>0.5</v>
      </c>
      <c r="S31" s="230">
        <f>'PAM АСУТП'!G31</f>
        <v>2</v>
      </c>
      <c r="T31" s="230">
        <f>'PAM АСУТП'!K31</f>
        <v>2</v>
      </c>
      <c r="U31" s="230">
        <f>'PAM АСУТП'!O31</f>
        <v>2</v>
      </c>
      <c r="V31" s="230">
        <f>'СКЗИ АСУТП'!G31</f>
        <v>4</v>
      </c>
      <c r="W31" s="230">
        <f>'СКЗИ АСУТП'!K31</f>
        <v>4</v>
      </c>
      <c r="X31" s="230">
        <f>'СКЗИ АСУТП'!O31</f>
        <v>4</v>
      </c>
      <c r="Y31" s="230">
        <f>'СКЗИ АСУТП'!S31</f>
        <v>4</v>
      </c>
      <c r="Z31" s="230">
        <f>'СКЗИ АСУТП'!W31</f>
        <v>4</v>
      </c>
      <c r="AA31" s="230">
        <f>'АЗ АСУТП'!G31</f>
        <v>0.5</v>
      </c>
      <c r="AB31" s="230">
        <f>'АЗ АСУТП'!K31</f>
        <v>0.5</v>
      </c>
      <c r="AC31" s="230">
        <f>'АЗ АСУТП'!O31</f>
        <v>0.5</v>
      </c>
      <c r="AD31" s="230">
        <f>'АЗ АСУТП'!S31</f>
        <v>0.5</v>
      </c>
      <c r="AE31" s="230">
        <f>'АЗ АСУТП'!W31</f>
        <v>0.5</v>
      </c>
      <c r="AF31" s="230">
        <f>'РК АСУТП'!G31</f>
        <v>1</v>
      </c>
      <c r="AG31" s="230">
        <f>'РК АСУТП'!K31</f>
        <v>1</v>
      </c>
      <c r="AH31" s="230">
        <f>'IDS АСУТП'!G31</f>
        <v>2</v>
      </c>
      <c r="AI31" s="230">
        <f>'IDS АСУТП'!K31</f>
        <v>2</v>
      </c>
      <c r="AJ31" s="230">
        <f>'IDS АСУТП'!O31</f>
        <v>2</v>
      </c>
      <c r="AK31" s="230">
        <f>'АПМДЗ АСУТП'!G31</f>
        <v>3</v>
      </c>
      <c r="AL31" s="230">
        <f>'АПМДЗ АСУТП'!K31</f>
        <v>3</v>
      </c>
      <c r="AM31" s="230">
        <f>'НСД АСУТП'!G31</f>
        <v>3</v>
      </c>
      <c r="AN31" s="230">
        <f>'НСД АСУТП'!K31</f>
        <v>3</v>
      </c>
      <c r="AO31" s="230">
        <f>'НСД АСУТП'!O31</f>
        <v>3</v>
      </c>
      <c r="AP31" s="230">
        <f>'MFA АСУТП'!G31</f>
        <v>2</v>
      </c>
      <c r="AQ31" s="230">
        <f>'MFA АСУТП'!K31</f>
        <v>2</v>
      </c>
      <c r="AR31" s="230">
        <f>'MFA АСУТП'!O31</f>
        <v>2</v>
      </c>
      <c r="AS31" s="230">
        <f>'MFA АСУТП'!S31</f>
        <v>2</v>
      </c>
      <c r="AT31" s="230">
        <f>'ДИОД АСУТП'!G31</f>
        <v>1</v>
      </c>
      <c r="AU31" s="230">
        <f>'ДИОД АСУТП'!K31</f>
        <v>1</v>
      </c>
      <c r="AV31" s="230">
        <f>'ДИОД АСУТП'!O31</f>
        <v>1</v>
      </c>
      <c r="AW31" s="230">
        <f>'ДИОД АСУТП'!S31</f>
        <v>1</v>
      </c>
      <c r="AX31" s="230">
        <f>'СЗВ АСУТП'!G31</f>
        <v>3</v>
      </c>
      <c r="AY31" s="230">
        <f>'СЗВ АСУТП'!K31</f>
        <v>3</v>
      </c>
      <c r="AZ31" s="230">
        <f>'СЗВ АСУТП'!O31</f>
        <v>3</v>
      </c>
      <c r="BA31" s="230">
        <f>'SOAR АСУТП'!G31</f>
        <v>2</v>
      </c>
      <c r="BB31" s="230">
        <f>'SOAR АСУТП'!K31</f>
        <v>2</v>
      </c>
      <c r="BC31" s="230">
        <f>'SOAR АСУТП'!O31</f>
        <v>2</v>
      </c>
      <c r="BD31" s="230" t="e">
        <f>'SOAR АСУТП'!#REF!</f>
        <v>#REF!</v>
      </c>
      <c r="BE31" s="230">
        <f>'VDI АСУТП'!G31</f>
        <v>3</v>
      </c>
      <c r="BF31" s="230">
        <f>'VDI АСУТП'!K31</f>
        <v>3</v>
      </c>
      <c r="BG31" s="230">
        <f>'VDI АСУТП'!O31</f>
        <v>3</v>
      </c>
      <c r="BH31" s="230">
        <f>'VDI АСУТП'!S31</f>
        <v>3</v>
      </c>
      <c r="BI31" s="230">
        <f>'VDI АСУТП'!W31</f>
        <v>3</v>
      </c>
      <c r="BJ31" s="316">
        <f>'СУБД АСУТП'!G31</f>
        <v>0</v>
      </c>
      <c r="BK31" s="316">
        <f>'СУБД АСУТП'!K31</f>
        <v>0</v>
      </c>
      <c r="BL31" s="316">
        <f>'ГОССОПКА АСУТП'!G31</f>
        <v>2</v>
      </c>
      <c r="BM31" s="316">
        <f>'ГОССОПКА АСУТП'!K31</f>
        <v>2</v>
      </c>
      <c r="BN31" s="316">
        <f>'TLS АСУТП'!G31</f>
        <v>4</v>
      </c>
      <c r="BO31" s="316">
        <f>'TLS АСУТП'!K31</f>
        <v>4</v>
      </c>
      <c r="BP31" s="316">
        <f>'DCAP АСУТП'!G31</f>
        <v>1</v>
      </c>
      <c r="BQ31" s="316">
        <f>'DCAP АСУТП'!K31</f>
        <v>1</v>
      </c>
      <c r="BR31" s="316">
        <f>'DCAP АСУТП'!O31</f>
        <v>1</v>
      </c>
      <c r="BS31" s="316">
        <f>'DO АСУТП'!G31</f>
        <v>1</v>
      </c>
      <c r="BT31" s="316">
        <f>'NTA АСУТП'!G31</f>
        <v>3</v>
      </c>
      <c r="BU31" s="316">
        <f>'NTA АСУТП'!K31</f>
        <v>3</v>
      </c>
      <c r="BV31" s="316">
        <f>'NTA АСУТП'!O31</f>
        <v>0</v>
      </c>
      <c r="BW31" s="316">
        <f>'NTA АСУТП'!S31</f>
        <v>3</v>
      </c>
      <c r="BX31" s="316">
        <f>'SEG АСУТП'!G31</f>
        <v>1</v>
      </c>
      <c r="BY31" s="316">
        <f>'APT АСУТП'!G31</f>
        <v>0</v>
      </c>
      <c r="BZ31" s="316">
        <f>'APT АСУТП'!K31</f>
        <v>0</v>
      </c>
      <c r="CA31" s="316">
        <f>'APT АСУТП'!O31</f>
        <v>0</v>
      </c>
      <c r="CB31" s="316">
        <f>'NAC АСУТП'!G31</f>
        <v>4</v>
      </c>
      <c r="CC31" s="316">
        <f>'SANDBOX АСУТП'!G31</f>
        <v>2</v>
      </c>
      <c r="CD31" s="316">
        <f>'SANDBOX АСУТП'!K31</f>
        <v>2</v>
      </c>
      <c r="CE31" s="316">
        <f>'EDR АСУТП'!G31</f>
        <v>2</v>
      </c>
      <c r="CF31" s="316">
        <f>'EDR АСУТП'!K31</f>
        <v>2</v>
      </c>
      <c r="CG31" s="316">
        <f>'WAF АСУТП'!G31</f>
        <v>4</v>
      </c>
      <c r="CH31" s="316">
        <f>'WAF АСУТП'!K31</f>
        <v>4</v>
      </c>
      <c r="CI31" s="316">
        <f>'WAF АСУТП'!O31</f>
        <v>4</v>
      </c>
      <c r="CJ31" s="316">
        <f>'ВМ ЗСВ'!G31</f>
        <v>3</v>
      </c>
      <c r="CK31" s="316">
        <f>'ВМ ЗСВ'!K31</f>
        <v>3</v>
      </c>
      <c r="CL31" s="316">
        <f>'ВМ ЗСВ'!O31</f>
        <v>3</v>
      </c>
      <c r="CM31" s="316">
        <f>'ВМ ЗСВ'!S31</f>
        <v>3</v>
      </c>
      <c r="CN31" s="316">
        <f>'ВМ ЗСВ'!W31</f>
        <v>3</v>
      </c>
      <c r="CO31" s="316">
        <f>'ВМ ЗСВ'!AA31</f>
        <v>3</v>
      </c>
      <c r="CP31" s="316">
        <f>'ВМ СПО'!G31</f>
        <v>0</v>
      </c>
      <c r="CQ31" s="316">
        <f>'ВМ СПО'!K31</f>
        <v>0</v>
      </c>
      <c r="CR31" s="316">
        <f>'ВМ СПО'!O31</f>
        <v>0</v>
      </c>
      <c r="CS31" s="316">
        <f>'ВМ СПО'!S31</f>
        <v>0</v>
      </c>
      <c r="CT31" s="316">
        <f>'ВМ АСО'!G31</f>
        <v>0</v>
      </c>
      <c r="CU31" s="316">
        <f>'ВМ АСО'!K31</f>
        <v>0</v>
      </c>
      <c r="CV31" s="16" t="e">
        <f t="shared" si="31"/>
        <v>#REF!</v>
      </c>
      <c r="CW31" s="25">
        <f t="shared" si="32"/>
        <v>3</v>
      </c>
      <c r="CX31" s="25">
        <f t="shared" si="33"/>
        <v>2.5</v>
      </c>
      <c r="CY31" s="25">
        <f t="shared" si="34"/>
        <v>0</v>
      </c>
      <c r="CZ31" s="25">
        <f t="shared" si="35"/>
        <v>0</v>
      </c>
      <c r="DA31" s="25">
        <f t="shared" si="36"/>
        <v>0</v>
      </c>
      <c r="DB31" s="25">
        <f t="shared" si="37"/>
        <v>0</v>
      </c>
      <c r="DC31" s="25">
        <f t="shared" si="38"/>
        <v>0</v>
      </c>
      <c r="DD31" s="25">
        <f t="shared" si="39"/>
        <v>0</v>
      </c>
      <c r="DE31" s="25">
        <f t="shared" si="40"/>
        <v>0</v>
      </c>
      <c r="DF31" s="25">
        <f t="shared" si="41"/>
        <v>0</v>
      </c>
      <c r="DG31" s="25">
        <f t="shared" si="42"/>
        <v>0</v>
      </c>
      <c r="DH31" s="25">
        <f t="shared" si="43"/>
        <v>0</v>
      </c>
      <c r="DI31" s="25">
        <f t="shared" si="44"/>
        <v>0</v>
      </c>
      <c r="DJ31" s="25" t="e">
        <f t="shared" si="45"/>
        <v>#REF!</v>
      </c>
      <c r="DK31" s="25">
        <f t="shared" si="46"/>
        <v>0</v>
      </c>
      <c r="DL31" s="25">
        <f t="shared" si="47"/>
        <v>0</v>
      </c>
      <c r="DM31" s="25">
        <f t="shared" si="48"/>
        <v>0</v>
      </c>
      <c r="DN31" s="25">
        <f t="shared" si="49"/>
        <v>0</v>
      </c>
      <c r="DO31" s="25">
        <f t="shared" si="50"/>
        <v>0</v>
      </c>
      <c r="DP31" s="25">
        <f t="shared" si="51"/>
        <v>0</v>
      </c>
      <c r="DQ31" s="25">
        <f t="shared" si="52"/>
        <v>0</v>
      </c>
      <c r="DR31" s="25">
        <f t="shared" si="53"/>
        <v>0</v>
      </c>
      <c r="DS31" s="25">
        <f t="shared" si="54"/>
        <v>0</v>
      </c>
      <c r="DT31" s="25">
        <f t="shared" si="55"/>
        <v>0</v>
      </c>
      <c r="DU31" s="25">
        <f t="shared" si="56"/>
        <v>0</v>
      </c>
      <c r="DV31" s="21">
        <f t="shared" si="57"/>
        <v>0</v>
      </c>
      <c r="DW31" s="317">
        <f t="shared" si="58"/>
        <v>0</v>
      </c>
      <c r="DX31" s="317">
        <f t="shared" si="59"/>
        <v>0</v>
      </c>
      <c r="DY31" s="317">
        <f t="shared" si="60"/>
        <v>0</v>
      </c>
      <c r="DZ31" s="230">
        <f t="shared" si="61"/>
        <v>0</v>
      </c>
    </row>
    <row r="32" spans="1:220" ht="15" customHeight="1" x14ac:dyDescent="0.25">
      <c r="A32" s="1915"/>
      <c r="B32" s="1909"/>
      <c r="C32" s="18" t="s">
        <v>33</v>
      </c>
      <c r="D32" s="21"/>
      <c r="E32" s="316">
        <f>'АВЗ АСУТП'!G32</f>
        <v>0.5</v>
      </c>
      <c r="F32" s="316">
        <f>'АВЗ АСУТП'!K32</f>
        <v>0.5</v>
      </c>
      <c r="G32" s="316">
        <f>'АВЗ АСУТП'!O32</f>
        <v>0.5</v>
      </c>
      <c r="H32" s="230">
        <f>'АВЗ АСУТП'!S32</f>
        <v>0.5</v>
      </c>
      <c r="I32" s="316">
        <f>'АВЗ АСУТП'!W32</f>
        <v>0.5</v>
      </c>
      <c r="J32" s="230">
        <f>'АВЗ АСУТП'!AA32</f>
        <v>0.5</v>
      </c>
      <c r="K32" s="230">
        <f>'АВЗ АСУТП'!AE32</f>
        <v>0.5</v>
      </c>
      <c r="L32" s="230">
        <f>'АВЗ АСУТП'!AI32</f>
        <v>0.5</v>
      </c>
      <c r="M32" s="230">
        <f>'SIEM АСУТП'!G32</f>
        <v>1</v>
      </c>
      <c r="N32" s="230">
        <f>'SIEM АСУТП'!K32</f>
        <v>1</v>
      </c>
      <c r="O32" s="230">
        <f>'МСЭ АСУТП'!G32</f>
        <v>1</v>
      </c>
      <c r="P32" s="317">
        <f>'МСЭ АСУТП'!K32</f>
        <v>1</v>
      </c>
      <c r="Q32" s="230">
        <f>'МСЭ АСУТП'!O32</f>
        <v>1</v>
      </c>
      <c r="R32" s="230">
        <f>'МСЭ АСУТП'!S32</f>
        <v>1</v>
      </c>
      <c r="S32" s="230">
        <f>'PAM АСУТП'!G32</f>
        <v>4</v>
      </c>
      <c r="T32" s="230">
        <f>'PAM АСУТП'!K32</f>
        <v>4</v>
      </c>
      <c r="U32" s="230">
        <f>'PAM АСУТП'!O32</f>
        <v>4</v>
      </c>
      <c r="V32" s="230">
        <f>'СКЗИ АСУТП'!G32</f>
        <v>4</v>
      </c>
      <c r="W32" s="230">
        <f>'СКЗИ АСУТП'!K32</f>
        <v>4</v>
      </c>
      <c r="X32" s="230">
        <f>'СКЗИ АСУТП'!O32</f>
        <v>4</v>
      </c>
      <c r="Y32" s="230">
        <f>'СКЗИ АСУТП'!S32</f>
        <v>4</v>
      </c>
      <c r="Z32" s="230">
        <f>'СКЗИ АСУТП'!W32</f>
        <v>4</v>
      </c>
      <c r="AA32" s="230">
        <f>'АЗ АСУТП'!G32</f>
        <v>0.5</v>
      </c>
      <c r="AB32" s="230">
        <f>'АЗ АСУТП'!K32</f>
        <v>0.5</v>
      </c>
      <c r="AC32" s="230">
        <f>'АЗ АСУТП'!O32</f>
        <v>0.5</v>
      </c>
      <c r="AD32" s="230">
        <f>'АЗ АСУТП'!S32</f>
        <v>0.5</v>
      </c>
      <c r="AE32" s="230">
        <f>'АЗ АСУТП'!W32</f>
        <v>0.5</v>
      </c>
      <c r="AF32" s="230">
        <f>'РК АСУТП'!G32</f>
        <v>1.5</v>
      </c>
      <c r="AG32" s="230">
        <f>'РК АСУТП'!K32</f>
        <v>1.5</v>
      </c>
      <c r="AH32" s="230">
        <f>'IDS АСУТП'!G32</f>
        <v>4</v>
      </c>
      <c r="AI32" s="230">
        <f>'IDS АСУТП'!K32</f>
        <v>4</v>
      </c>
      <c r="AJ32" s="230">
        <f>'IDS АСУТП'!O32</f>
        <v>4</v>
      </c>
      <c r="AK32" s="230">
        <f>'АПМДЗ АСУТП'!G32</f>
        <v>3</v>
      </c>
      <c r="AL32" s="230">
        <f>'АПМДЗ АСУТП'!K32</f>
        <v>3</v>
      </c>
      <c r="AM32" s="230">
        <f>'НСД АСУТП'!G32</f>
        <v>3</v>
      </c>
      <c r="AN32" s="230">
        <f>'НСД АСУТП'!K32</f>
        <v>3</v>
      </c>
      <c r="AO32" s="230">
        <f>'НСД АСУТП'!O32</f>
        <v>3</v>
      </c>
      <c r="AP32" s="230">
        <f>'MFA АСУТП'!G32</f>
        <v>4</v>
      </c>
      <c r="AQ32" s="230">
        <f>'MFA АСУТП'!K32</f>
        <v>4</v>
      </c>
      <c r="AR32" s="230">
        <f>'MFA АСУТП'!O32</f>
        <v>4</v>
      </c>
      <c r="AS32" s="230">
        <f>'MFA АСУТП'!S32</f>
        <v>4</v>
      </c>
      <c r="AT32" s="230">
        <f>'ДИОД АСУТП'!G32</f>
        <v>2</v>
      </c>
      <c r="AU32" s="230">
        <f>'ДИОД АСУТП'!K32</f>
        <v>2</v>
      </c>
      <c r="AV32" s="230">
        <f>'ДИОД АСУТП'!O32</f>
        <v>2</v>
      </c>
      <c r="AW32" s="230">
        <f>'ДИОД АСУТП'!S32</f>
        <v>2</v>
      </c>
      <c r="AX32" s="230">
        <f>'СЗВ АСУТП'!G32</f>
        <v>3</v>
      </c>
      <c r="AY32" s="230">
        <f>'СЗВ АСУТП'!K32</f>
        <v>3</v>
      </c>
      <c r="AZ32" s="230">
        <f>'СЗВ АСУТП'!O32</f>
        <v>3</v>
      </c>
      <c r="BA32" s="230">
        <f>'SOAR АСУТП'!G32</f>
        <v>0.75</v>
      </c>
      <c r="BB32" s="230">
        <f>'SOAR АСУТП'!K32</f>
        <v>0.75</v>
      </c>
      <c r="BC32" s="230">
        <f>'SOAR АСУТП'!O32</f>
        <v>0.75</v>
      </c>
      <c r="BD32" s="230" t="e">
        <f>'SOAR АСУТП'!#REF!</f>
        <v>#REF!</v>
      </c>
      <c r="BE32" s="230">
        <f>'VDI АСУТП'!G32</f>
        <v>4</v>
      </c>
      <c r="BF32" s="230">
        <f>'VDI АСУТП'!K32</f>
        <v>3</v>
      </c>
      <c r="BG32" s="230">
        <f>'VDI АСУТП'!O32</f>
        <v>3</v>
      </c>
      <c r="BH32" s="230">
        <f>'VDI АСУТП'!S32</f>
        <v>3</v>
      </c>
      <c r="BI32" s="230">
        <f>'VDI АСУТП'!W32</f>
        <v>3</v>
      </c>
      <c r="BJ32" s="316">
        <f>'СУБД АСУТП'!G32</f>
        <v>0</v>
      </c>
      <c r="BK32" s="316">
        <f>'СУБД АСУТП'!K32</f>
        <v>0</v>
      </c>
      <c r="BL32" s="316">
        <f>'ГОССОПКА АСУТП'!G32</f>
        <v>4</v>
      </c>
      <c r="BM32" s="316">
        <f>'ГОССОПКА АСУТП'!K32</f>
        <v>4</v>
      </c>
      <c r="BN32" s="316">
        <f>'TLS АСУТП'!G32</f>
        <v>6</v>
      </c>
      <c r="BO32" s="316">
        <f>'TLS АСУТП'!K32</f>
        <v>6</v>
      </c>
      <c r="BP32" s="316">
        <f>'DCAP АСУТП'!G32</f>
        <v>3</v>
      </c>
      <c r="BQ32" s="316">
        <f>'DCAP АСУТП'!K32</f>
        <v>3</v>
      </c>
      <c r="BR32" s="316">
        <f>'DCAP АСУТП'!O32</f>
        <v>3</v>
      </c>
      <c r="BS32" s="316">
        <f>'DO АСУТП'!G32</f>
        <v>1</v>
      </c>
      <c r="BT32" s="316">
        <f>'NTA АСУТП'!G32</f>
        <v>3</v>
      </c>
      <c r="BU32" s="316">
        <f>'NTA АСУТП'!K32</f>
        <v>3</v>
      </c>
      <c r="BV32" s="316">
        <f>'NTA АСУТП'!O32</f>
        <v>0</v>
      </c>
      <c r="BW32" s="316">
        <f>'NTA АСУТП'!S32</f>
        <v>3</v>
      </c>
      <c r="BX32" s="316">
        <f>'SEG АСУТП'!G32</f>
        <v>3</v>
      </c>
      <c r="BY32" s="316">
        <f>'APT АСУТП'!G32</f>
        <v>0</v>
      </c>
      <c r="BZ32" s="316">
        <f>'APT АСУТП'!K32</f>
        <v>0</v>
      </c>
      <c r="CA32" s="316">
        <f>'APT АСУТП'!O32</f>
        <v>0</v>
      </c>
      <c r="CB32" s="316">
        <f>'NAC АСУТП'!G32</f>
        <v>6</v>
      </c>
      <c r="CC32" s="316">
        <f>'SANDBOX АСУТП'!G32</f>
        <v>4</v>
      </c>
      <c r="CD32" s="316">
        <f>'SANDBOX АСУТП'!K32</f>
        <v>4</v>
      </c>
      <c r="CE32" s="316">
        <f>'EDR АСУТП'!G32</f>
        <v>0.25</v>
      </c>
      <c r="CF32" s="316">
        <f>'EDR АСУТП'!K32</f>
        <v>0.25</v>
      </c>
      <c r="CG32" s="316">
        <f>'WAF АСУТП'!G32</f>
        <v>6</v>
      </c>
      <c r="CH32" s="316">
        <f>'WAF АСУТП'!K32</f>
        <v>6</v>
      </c>
      <c r="CI32" s="316">
        <f>'WAF АСУТП'!O32</f>
        <v>6</v>
      </c>
      <c r="CJ32" s="316">
        <f>'ВМ ЗСВ'!G32</f>
        <v>3</v>
      </c>
      <c r="CK32" s="316">
        <f>'ВМ ЗСВ'!K32</f>
        <v>3</v>
      </c>
      <c r="CL32" s="316">
        <f>'ВМ ЗСВ'!O32</f>
        <v>3</v>
      </c>
      <c r="CM32" s="316">
        <f>'ВМ ЗСВ'!S32</f>
        <v>3</v>
      </c>
      <c r="CN32" s="316">
        <f>'ВМ ЗСВ'!W32</f>
        <v>3</v>
      </c>
      <c r="CO32" s="316">
        <f>'ВМ ЗСВ'!AA32</f>
        <v>3</v>
      </c>
      <c r="CP32" s="316">
        <f>'ВМ СПО'!G32</f>
        <v>0</v>
      </c>
      <c r="CQ32" s="316">
        <f>'ВМ СПО'!K32</f>
        <v>0</v>
      </c>
      <c r="CR32" s="316">
        <f>'ВМ СПО'!O32</f>
        <v>0</v>
      </c>
      <c r="CS32" s="316">
        <f>'ВМ СПО'!S32</f>
        <v>0</v>
      </c>
      <c r="CT32" s="316">
        <f>'ВМ АСО'!G32</f>
        <v>0</v>
      </c>
      <c r="CU32" s="316">
        <f>'ВМ АСО'!K32</f>
        <v>0</v>
      </c>
      <c r="CV32" s="16" t="e">
        <f t="shared" si="31"/>
        <v>#REF!</v>
      </c>
      <c r="CW32" s="25">
        <f t="shared" si="32"/>
        <v>0.5</v>
      </c>
      <c r="CX32" s="25">
        <f t="shared" si="33"/>
        <v>1</v>
      </c>
      <c r="CY32" s="25">
        <f t="shared" si="34"/>
        <v>0</v>
      </c>
      <c r="CZ32" s="25">
        <f t="shared" si="35"/>
        <v>0</v>
      </c>
      <c r="DA32" s="25">
        <f t="shared" si="36"/>
        <v>0</v>
      </c>
      <c r="DB32" s="25">
        <f t="shared" si="37"/>
        <v>0</v>
      </c>
      <c r="DC32" s="25">
        <f t="shared" si="38"/>
        <v>0</v>
      </c>
      <c r="DD32" s="25">
        <f t="shared" si="39"/>
        <v>0</v>
      </c>
      <c r="DE32" s="25">
        <f t="shared" si="40"/>
        <v>0</v>
      </c>
      <c r="DF32" s="25">
        <f t="shared" si="41"/>
        <v>0</v>
      </c>
      <c r="DG32" s="25">
        <f t="shared" si="42"/>
        <v>0</v>
      </c>
      <c r="DH32" s="25">
        <f t="shared" si="43"/>
        <v>0</v>
      </c>
      <c r="DI32" s="25">
        <f t="shared" si="44"/>
        <v>0</v>
      </c>
      <c r="DJ32" s="25" t="e">
        <f t="shared" si="45"/>
        <v>#REF!</v>
      </c>
      <c r="DK32" s="25">
        <f t="shared" si="46"/>
        <v>0</v>
      </c>
      <c r="DL32" s="25">
        <f t="shared" si="47"/>
        <v>0</v>
      </c>
      <c r="DM32" s="25">
        <f t="shared" si="48"/>
        <v>0</v>
      </c>
      <c r="DN32" s="25">
        <f t="shared" si="49"/>
        <v>0</v>
      </c>
      <c r="DO32" s="25">
        <f t="shared" si="50"/>
        <v>0</v>
      </c>
      <c r="DP32" s="25">
        <f t="shared" si="51"/>
        <v>0</v>
      </c>
      <c r="DQ32" s="25">
        <f t="shared" si="52"/>
        <v>0</v>
      </c>
      <c r="DR32" s="25">
        <f t="shared" si="53"/>
        <v>0</v>
      </c>
      <c r="DS32" s="25">
        <f t="shared" si="54"/>
        <v>0</v>
      </c>
      <c r="DT32" s="25">
        <f t="shared" si="55"/>
        <v>0</v>
      </c>
      <c r="DU32" s="25">
        <f t="shared" si="56"/>
        <v>0</v>
      </c>
      <c r="DV32" s="21">
        <f t="shared" si="57"/>
        <v>0</v>
      </c>
      <c r="DW32" s="317">
        <f t="shared" si="58"/>
        <v>0</v>
      </c>
      <c r="DX32" s="317">
        <f t="shared" si="59"/>
        <v>0</v>
      </c>
      <c r="DY32" s="317">
        <f t="shared" si="60"/>
        <v>0</v>
      </c>
      <c r="DZ32" s="230">
        <f t="shared" si="61"/>
        <v>0</v>
      </c>
    </row>
    <row r="33" spans="1:130" ht="15" customHeight="1" x14ac:dyDescent="0.25">
      <c r="A33" s="1915"/>
      <c r="B33" s="1910"/>
      <c r="C33" s="18" t="s">
        <v>34</v>
      </c>
      <c r="D33" s="21"/>
      <c r="E33" s="316">
        <f>'АВЗ АСУТП'!G33</f>
        <v>0.5</v>
      </c>
      <c r="F33" s="316">
        <f>'АВЗ АСУТП'!K33</f>
        <v>0.5</v>
      </c>
      <c r="G33" s="316">
        <f>'АВЗ АСУТП'!O33</f>
        <v>0.5</v>
      </c>
      <c r="H33" s="230">
        <f>'АВЗ АСУТП'!S33</f>
        <v>0.5</v>
      </c>
      <c r="I33" s="316">
        <f>'АВЗ АСУТП'!W33</f>
        <v>0.5</v>
      </c>
      <c r="J33" s="230">
        <f>'АВЗ АСУТП'!AA33</f>
        <v>0.5</v>
      </c>
      <c r="K33" s="230">
        <f>'АВЗ АСУТП'!AE33</f>
        <v>0.5</v>
      </c>
      <c r="L33" s="230">
        <f>'АВЗ АСУТП'!AI33</f>
        <v>0.5</v>
      </c>
      <c r="M33" s="230">
        <f>'SIEM АСУТП'!G33</f>
        <v>1</v>
      </c>
      <c r="N33" s="230">
        <f>'SIEM АСУТП'!K33</f>
        <v>1</v>
      </c>
      <c r="O33" s="230">
        <f>'МСЭ АСУТП'!G33</f>
        <v>1.5</v>
      </c>
      <c r="P33" s="317">
        <f>'МСЭ АСУТП'!K33</f>
        <v>1.5</v>
      </c>
      <c r="Q33" s="230">
        <f>'МСЭ АСУТП'!O33</f>
        <v>1.5</v>
      </c>
      <c r="R33" s="230">
        <f>'МСЭ АСУТП'!S33</f>
        <v>1.5</v>
      </c>
      <c r="S33" s="230">
        <f>'PAM АСУТП'!G33</f>
        <v>6</v>
      </c>
      <c r="T33" s="230">
        <f>'PAM АСУТП'!K33</f>
        <v>6</v>
      </c>
      <c r="U33" s="230">
        <f>'PAM АСУТП'!O33</f>
        <v>6</v>
      </c>
      <c r="V33" s="230">
        <f>'СКЗИ АСУТП'!G33</f>
        <v>6</v>
      </c>
      <c r="W33" s="230">
        <f>'СКЗИ АСУТП'!K33</f>
        <v>6</v>
      </c>
      <c r="X33" s="230">
        <f>'СКЗИ АСУТП'!O33</f>
        <v>6</v>
      </c>
      <c r="Y33" s="230">
        <f>'СКЗИ АСУТП'!S33</f>
        <v>6</v>
      </c>
      <c r="Z33" s="230">
        <f>'СКЗИ АСУТП'!W33</f>
        <v>6</v>
      </c>
      <c r="AA33" s="230">
        <f>'АЗ АСУТП'!G33</f>
        <v>0.5</v>
      </c>
      <c r="AB33" s="230">
        <f>'АЗ АСУТП'!K33</f>
        <v>0.5</v>
      </c>
      <c r="AC33" s="230">
        <f>'АЗ АСУТП'!O33</f>
        <v>0.5</v>
      </c>
      <c r="AD33" s="230">
        <f>'АЗ АСУТП'!S33</f>
        <v>0.5</v>
      </c>
      <c r="AE33" s="230">
        <f>'АЗ АСУТП'!W33</f>
        <v>0.5</v>
      </c>
      <c r="AF33" s="230">
        <f>'РК АСУТП'!G33</f>
        <v>2.5</v>
      </c>
      <c r="AG33" s="230">
        <f>'РК АСУТП'!K33</f>
        <v>2.5</v>
      </c>
      <c r="AH33" s="230">
        <f>'IDS АСУТП'!G33</f>
        <v>6</v>
      </c>
      <c r="AI33" s="230">
        <f>'IDS АСУТП'!K33</f>
        <v>6</v>
      </c>
      <c r="AJ33" s="230">
        <f>'IDS АСУТП'!O33</f>
        <v>6</v>
      </c>
      <c r="AK33" s="230">
        <f>'АПМДЗ АСУТП'!G33</f>
        <v>3</v>
      </c>
      <c r="AL33" s="230">
        <f>'АПМДЗ АСУТП'!K33</f>
        <v>3</v>
      </c>
      <c r="AM33" s="230">
        <f>'НСД АСУТП'!G33</f>
        <v>3</v>
      </c>
      <c r="AN33" s="230">
        <f>'НСД АСУТП'!K33</f>
        <v>3</v>
      </c>
      <c r="AO33" s="230">
        <f>'НСД АСУТП'!O33</f>
        <v>3</v>
      </c>
      <c r="AP33" s="230">
        <f>'MFA АСУТП'!G33</f>
        <v>6</v>
      </c>
      <c r="AQ33" s="230">
        <f>'MFA АСУТП'!K33</f>
        <v>6</v>
      </c>
      <c r="AR33" s="230">
        <f>'MFA АСУТП'!O33</f>
        <v>6</v>
      </c>
      <c r="AS33" s="230">
        <f>'MFA АСУТП'!S33</f>
        <v>6</v>
      </c>
      <c r="AT33" s="230">
        <f>'ДИОД АСУТП'!G33</f>
        <v>4</v>
      </c>
      <c r="AU33" s="230">
        <f>'ДИОД АСУТП'!K33</f>
        <v>4</v>
      </c>
      <c r="AV33" s="230">
        <f>'ДИОД АСУТП'!O33</f>
        <v>4</v>
      </c>
      <c r="AW33" s="230">
        <f>'ДИОД АСУТП'!S33</f>
        <v>4</v>
      </c>
      <c r="AX33" s="230">
        <f>'СЗВ АСУТП'!G33</f>
        <v>5</v>
      </c>
      <c r="AY33" s="230">
        <f>'СЗВ АСУТП'!K33</f>
        <v>5</v>
      </c>
      <c r="AZ33" s="230">
        <f>'СЗВ АСУТП'!O33</f>
        <v>5</v>
      </c>
      <c r="BA33" s="230">
        <f>'SOAR АСУТП'!G33</f>
        <v>0.75</v>
      </c>
      <c r="BB33" s="230">
        <f>'SOAR АСУТП'!K33</f>
        <v>0.75</v>
      </c>
      <c r="BC33" s="230">
        <f>'SOAR АСУТП'!O33</f>
        <v>0.75</v>
      </c>
      <c r="BD33" s="230" t="e">
        <f>'SOAR АСУТП'!#REF!</f>
        <v>#REF!</v>
      </c>
      <c r="BE33" s="230">
        <f>'VDI АСУТП'!G33</f>
        <v>5</v>
      </c>
      <c r="BF33" s="230">
        <f>'VDI АСУТП'!K33</f>
        <v>5</v>
      </c>
      <c r="BG33" s="230">
        <f>'VDI АСУТП'!O33</f>
        <v>5</v>
      </c>
      <c r="BH33" s="230">
        <f>'VDI АСУТП'!S33</f>
        <v>5</v>
      </c>
      <c r="BI33" s="230">
        <f>'VDI АСУТП'!W33</f>
        <v>5</v>
      </c>
      <c r="BJ33" s="316">
        <f>'СУБД АСУТП'!G33</f>
        <v>0</v>
      </c>
      <c r="BK33" s="316">
        <f>'СУБД АСУТП'!K33</f>
        <v>0</v>
      </c>
      <c r="BL33" s="316">
        <f>'ГОССОПКА АСУТП'!G33</f>
        <v>6</v>
      </c>
      <c r="BM33" s="316">
        <f>'ГОССОПКА АСУТП'!K33</f>
        <v>6</v>
      </c>
      <c r="BN33" s="316">
        <f>'TLS АСУТП'!G33</f>
        <v>8</v>
      </c>
      <c r="BO33" s="316">
        <f>'TLS АСУТП'!K33</f>
        <v>8</v>
      </c>
      <c r="BP33" s="316">
        <f>'DCAP АСУТП'!G33</f>
        <v>5</v>
      </c>
      <c r="BQ33" s="316">
        <f>'DCAP АСУТП'!K33</f>
        <v>5</v>
      </c>
      <c r="BR33" s="316">
        <f>'DCAP АСУТП'!O33</f>
        <v>5</v>
      </c>
      <c r="BS33" s="316">
        <f>'DO АСУТП'!G33</f>
        <v>2</v>
      </c>
      <c r="BT33" s="316">
        <f>'NTA АСУТП'!G33</f>
        <v>5</v>
      </c>
      <c r="BU33" s="316">
        <f>'NTA АСУТП'!K33</f>
        <v>5</v>
      </c>
      <c r="BV33" s="316">
        <f>'NTA АСУТП'!O33</f>
        <v>0</v>
      </c>
      <c r="BW33" s="316">
        <f>'NTA АСУТП'!S33</f>
        <v>5</v>
      </c>
      <c r="BX33" s="316">
        <f>'SEG АСУТП'!G33</f>
        <v>5</v>
      </c>
      <c r="BY33" s="316">
        <f>'APT АСУТП'!G33</f>
        <v>0</v>
      </c>
      <c r="BZ33" s="316">
        <f>'APT АСУТП'!K33</f>
        <v>0</v>
      </c>
      <c r="CA33" s="316">
        <f>'APT АСУТП'!O33</f>
        <v>0</v>
      </c>
      <c r="CB33" s="316">
        <f>'NAC АСУТП'!G33</f>
        <v>8</v>
      </c>
      <c r="CC33" s="316">
        <f>'SANDBOX АСУТП'!G33</f>
        <v>6</v>
      </c>
      <c r="CD33" s="316">
        <f>'SANDBOX АСУТП'!K33</f>
        <v>6</v>
      </c>
      <c r="CE33" s="316">
        <f>'EDR АСУТП'!G33</f>
        <v>0.25</v>
      </c>
      <c r="CF33" s="316">
        <f>'EDR АСУТП'!K33</f>
        <v>0.25</v>
      </c>
      <c r="CG33" s="316">
        <f>'WAF АСУТП'!G33</f>
        <v>8</v>
      </c>
      <c r="CH33" s="316">
        <f>'WAF АСУТП'!K33</f>
        <v>8</v>
      </c>
      <c r="CI33" s="316">
        <f>'WAF АСУТП'!O33</f>
        <v>8</v>
      </c>
      <c r="CJ33" s="316">
        <f>'ВМ ЗСВ'!G33</f>
        <v>5</v>
      </c>
      <c r="CK33" s="316">
        <f>'ВМ ЗСВ'!K33</f>
        <v>5</v>
      </c>
      <c r="CL33" s="316">
        <f>'ВМ ЗСВ'!O33</f>
        <v>5</v>
      </c>
      <c r="CM33" s="316">
        <f>'ВМ ЗСВ'!S33</f>
        <v>5</v>
      </c>
      <c r="CN33" s="316">
        <f>'ВМ ЗСВ'!W33</f>
        <v>5</v>
      </c>
      <c r="CO33" s="316">
        <f>'ВМ ЗСВ'!AA33</f>
        <v>5</v>
      </c>
      <c r="CP33" s="316">
        <f>'ВМ СПО'!G33</f>
        <v>0</v>
      </c>
      <c r="CQ33" s="316">
        <f>'ВМ СПО'!K33</f>
        <v>0</v>
      </c>
      <c r="CR33" s="316">
        <f>'ВМ СПО'!O33</f>
        <v>0</v>
      </c>
      <c r="CS33" s="316">
        <f>'ВМ СПО'!S33</f>
        <v>0</v>
      </c>
      <c r="CT33" s="316">
        <f>'ВМ АСО'!G33</f>
        <v>0</v>
      </c>
      <c r="CU33" s="316">
        <f>'ВМ АСО'!K33</f>
        <v>0</v>
      </c>
      <c r="CV33" s="16" t="e">
        <f t="shared" si="31"/>
        <v>#REF!</v>
      </c>
      <c r="CW33" s="25">
        <f t="shared" si="32"/>
        <v>0.5</v>
      </c>
      <c r="CX33" s="25">
        <f t="shared" si="33"/>
        <v>1</v>
      </c>
      <c r="CY33" s="25">
        <f t="shared" si="34"/>
        <v>0</v>
      </c>
      <c r="CZ33" s="25">
        <f t="shared" si="35"/>
        <v>0</v>
      </c>
      <c r="DA33" s="25">
        <f t="shared" si="36"/>
        <v>0</v>
      </c>
      <c r="DB33" s="25">
        <f t="shared" si="37"/>
        <v>0</v>
      </c>
      <c r="DC33" s="25">
        <f t="shared" si="38"/>
        <v>0</v>
      </c>
      <c r="DD33" s="25">
        <f t="shared" si="39"/>
        <v>0</v>
      </c>
      <c r="DE33" s="25">
        <f t="shared" si="40"/>
        <v>0</v>
      </c>
      <c r="DF33" s="25">
        <f t="shared" si="41"/>
        <v>0</v>
      </c>
      <c r="DG33" s="25">
        <f t="shared" si="42"/>
        <v>0</v>
      </c>
      <c r="DH33" s="25">
        <f t="shared" si="43"/>
        <v>0</v>
      </c>
      <c r="DI33" s="25">
        <f t="shared" si="44"/>
        <v>0</v>
      </c>
      <c r="DJ33" s="25" t="e">
        <f t="shared" si="45"/>
        <v>#REF!</v>
      </c>
      <c r="DK33" s="25">
        <f t="shared" si="46"/>
        <v>0</v>
      </c>
      <c r="DL33" s="25">
        <f t="shared" si="47"/>
        <v>0</v>
      </c>
      <c r="DM33" s="25">
        <f t="shared" si="48"/>
        <v>0</v>
      </c>
      <c r="DN33" s="25">
        <f t="shared" si="49"/>
        <v>0</v>
      </c>
      <c r="DO33" s="25">
        <f t="shared" si="50"/>
        <v>0</v>
      </c>
      <c r="DP33" s="25">
        <f t="shared" si="51"/>
        <v>0</v>
      </c>
      <c r="DQ33" s="25">
        <f t="shared" si="52"/>
        <v>0</v>
      </c>
      <c r="DR33" s="25">
        <f t="shared" si="53"/>
        <v>0</v>
      </c>
      <c r="DS33" s="25">
        <f t="shared" si="54"/>
        <v>0</v>
      </c>
      <c r="DT33" s="25">
        <f t="shared" si="55"/>
        <v>0</v>
      </c>
      <c r="DU33" s="25">
        <f t="shared" si="56"/>
        <v>0</v>
      </c>
      <c r="DV33" s="21">
        <f t="shared" si="57"/>
        <v>0</v>
      </c>
      <c r="DW33" s="317">
        <f t="shared" si="58"/>
        <v>0</v>
      </c>
      <c r="DX33" s="317">
        <f t="shared" si="59"/>
        <v>0</v>
      </c>
      <c r="DY33" s="317">
        <f t="shared" si="60"/>
        <v>0</v>
      </c>
      <c r="DZ33" s="230">
        <f t="shared" si="61"/>
        <v>0</v>
      </c>
    </row>
    <row r="34" spans="1:130" ht="15" customHeight="1" x14ac:dyDescent="0.25">
      <c r="A34" s="1915" t="s">
        <v>10</v>
      </c>
      <c r="B34" s="1909">
        <f>IF('Тип разраб-ой док-ции'!F15=1,1,0)</f>
        <v>1</v>
      </c>
      <c r="C34" s="18" t="s">
        <v>32</v>
      </c>
      <c r="D34" s="21"/>
      <c r="E34" s="316">
        <f>'АВЗ АСУТП'!G34</f>
        <v>0.5</v>
      </c>
      <c r="F34" s="316">
        <f>'АВЗ АСУТП'!K34</f>
        <v>0.5</v>
      </c>
      <c r="G34" s="316">
        <f>'АВЗ АСУТП'!O34</f>
        <v>0.5</v>
      </c>
      <c r="H34" s="230">
        <f>'АВЗ АСУТП'!S34</f>
        <v>0.5</v>
      </c>
      <c r="I34" s="316">
        <f>'АВЗ АСУТП'!W34</f>
        <v>0.5</v>
      </c>
      <c r="J34" s="230">
        <f>'АВЗ АСУТП'!AA34</f>
        <v>0.5</v>
      </c>
      <c r="K34" s="230">
        <f>'АВЗ АСУТП'!AE34</f>
        <v>0.5</v>
      </c>
      <c r="L34" s="230">
        <f>'АВЗ АСУТП'!AI34</f>
        <v>0.5</v>
      </c>
      <c r="M34" s="230">
        <f>'SIEM АСУТП'!G34</f>
        <v>1</v>
      </c>
      <c r="N34" s="230">
        <f>'SIEM АСУТП'!K34</f>
        <v>1</v>
      </c>
      <c r="O34" s="230">
        <f>'МСЭ АСУТП'!G34</f>
        <v>4</v>
      </c>
      <c r="P34" s="317">
        <f>'МСЭ АСУТП'!K34</f>
        <v>4</v>
      </c>
      <c r="Q34" s="230">
        <f>'МСЭ АСУТП'!O34</f>
        <v>4</v>
      </c>
      <c r="R34" s="230">
        <f>'МСЭ АСУТП'!S34</f>
        <v>4</v>
      </c>
      <c r="S34" s="230">
        <f>'PAM АСУТП'!G34</f>
        <v>2</v>
      </c>
      <c r="T34" s="230">
        <f>'PAM АСУТП'!K34</f>
        <v>2</v>
      </c>
      <c r="U34" s="230">
        <f>'PAM АСУТП'!O34</f>
        <v>2</v>
      </c>
      <c r="V34" s="230">
        <f>'СКЗИ АСУТП'!G34</f>
        <v>3</v>
      </c>
      <c r="W34" s="230">
        <f>'СКЗИ АСУТП'!K34</f>
        <v>3</v>
      </c>
      <c r="X34" s="230">
        <f>'СКЗИ АСУТП'!O34</f>
        <v>3</v>
      </c>
      <c r="Y34" s="230">
        <f>'СКЗИ АСУТП'!S34</f>
        <v>3</v>
      </c>
      <c r="Z34" s="230">
        <f>'СКЗИ АСУТП'!W34</f>
        <v>3</v>
      </c>
      <c r="AA34" s="230">
        <f>'АЗ АСУТП'!G34</f>
        <v>2</v>
      </c>
      <c r="AB34" s="230">
        <f>'АЗ АСУТП'!K34</f>
        <v>2</v>
      </c>
      <c r="AC34" s="230">
        <f>'АЗ АСУТП'!O34</f>
        <v>2</v>
      </c>
      <c r="AD34" s="230">
        <f>'АЗ АСУТП'!S34</f>
        <v>2</v>
      </c>
      <c r="AE34" s="230">
        <f>'АЗ АСУТП'!W34</f>
        <v>2</v>
      </c>
      <c r="AF34" s="230">
        <f>'РК АСУТП'!G34</f>
        <v>1.3</v>
      </c>
      <c r="AG34" s="230">
        <f>'РК АСУТП'!K34</f>
        <v>1.3</v>
      </c>
      <c r="AH34" s="230">
        <f>'IDS АСУТП'!G34</f>
        <v>2</v>
      </c>
      <c r="AI34" s="230">
        <f>'IDS АСУТП'!K34</f>
        <v>2</v>
      </c>
      <c r="AJ34" s="230">
        <f>'IDS АСУТП'!O34</f>
        <v>2</v>
      </c>
      <c r="AK34" s="230">
        <f>'АПМДЗ АСУТП'!G34</f>
        <v>0.32000000000000006</v>
      </c>
      <c r="AL34" s="230">
        <f>'АПМДЗ АСУТП'!K34</f>
        <v>0.32000000000000006</v>
      </c>
      <c r="AM34" s="230">
        <f>'НСД АСУТП'!G34</f>
        <v>0.32000000000000006</v>
      </c>
      <c r="AN34" s="230">
        <f>'НСД АСУТП'!K34</f>
        <v>0.32000000000000006</v>
      </c>
      <c r="AO34" s="230">
        <f>'НСД АСУТП'!O34</f>
        <v>0.32000000000000006</v>
      </c>
      <c r="AP34" s="230">
        <f>'MFA АСУТП'!G34</f>
        <v>2</v>
      </c>
      <c r="AQ34" s="230">
        <f>'MFA АСУТП'!K34</f>
        <v>2</v>
      </c>
      <c r="AR34" s="230">
        <f>'MFA АСУТП'!O34</f>
        <v>2</v>
      </c>
      <c r="AS34" s="230">
        <f>'MFA АСУТП'!S34</f>
        <v>2</v>
      </c>
      <c r="AT34" s="230">
        <f>'ДИОД АСУТП'!G34</f>
        <v>1</v>
      </c>
      <c r="AU34" s="230">
        <f>'ДИОД АСУТП'!K34</f>
        <v>1</v>
      </c>
      <c r="AV34" s="230">
        <f>'ДИОД АСУТП'!O34</f>
        <v>1</v>
      </c>
      <c r="AW34" s="230">
        <f>'ДИОД АСУТП'!S34</f>
        <v>1</v>
      </c>
      <c r="AX34" s="230">
        <f>'СЗВ АСУТП'!G34</f>
        <v>2</v>
      </c>
      <c r="AY34" s="230">
        <f>'СЗВ АСУТП'!K34</f>
        <v>2</v>
      </c>
      <c r="AZ34" s="230">
        <f>'СЗВ АСУТП'!O34</f>
        <v>2</v>
      </c>
      <c r="BA34" s="230">
        <f>'SOAR АСУТП'!G34</f>
        <v>1</v>
      </c>
      <c r="BB34" s="230">
        <f>'SOAR АСУТП'!K34</f>
        <v>1</v>
      </c>
      <c r="BC34" s="230">
        <f>'SOAR АСУТП'!O34</f>
        <v>1</v>
      </c>
      <c r="BD34" s="230" t="e">
        <f>'SOAR АСУТП'!#REF!</f>
        <v>#REF!</v>
      </c>
      <c r="BE34" s="230">
        <f>'VDI АСУТП'!G34</f>
        <v>2</v>
      </c>
      <c r="BF34" s="230">
        <f>'VDI АСУТП'!K34</f>
        <v>2</v>
      </c>
      <c r="BG34" s="230">
        <f>'VDI АСУТП'!O34</f>
        <v>2</v>
      </c>
      <c r="BH34" s="230">
        <f>'VDI АСУТП'!S34</f>
        <v>2</v>
      </c>
      <c r="BI34" s="230">
        <f>'VDI АСУТП'!W34</f>
        <v>2</v>
      </c>
      <c r="BJ34" s="316">
        <f>'СУБД АСУТП'!G34</f>
        <v>0</v>
      </c>
      <c r="BK34" s="316">
        <f>'СУБД АСУТП'!K34</f>
        <v>0</v>
      </c>
      <c r="BL34" s="316">
        <f>'ГОССОПКА АСУТП'!G34</f>
        <v>2</v>
      </c>
      <c r="BM34" s="316">
        <f>'ГОССОПКА АСУТП'!K34</f>
        <v>2</v>
      </c>
      <c r="BN34" s="316">
        <f>'TLS АСУТП'!G34</f>
        <v>2</v>
      </c>
      <c r="BO34" s="316">
        <f>'TLS АСУТП'!K34</f>
        <v>2</v>
      </c>
      <c r="BP34" s="316">
        <f>'DCAP АСУТП'!G34</f>
        <v>2</v>
      </c>
      <c r="BQ34" s="316">
        <f>'DCAP АСУТП'!K34</f>
        <v>2</v>
      </c>
      <c r="BR34" s="316">
        <f>'DCAP АСУТП'!O34</f>
        <v>2</v>
      </c>
      <c r="BS34" s="316">
        <f>'DO АСУТП'!G34</f>
        <v>2</v>
      </c>
      <c r="BT34" s="316">
        <f>'NTA АСУТП'!G34</f>
        <v>2</v>
      </c>
      <c r="BU34" s="316">
        <f>'NTA АСУТП'!K34</f>
        <v>2</v>
      </c>
      <c r="BV34" s="316">
        <f>'NTA АСУТП'!O34</f>
        <v>2</v>
      </c>
      <c r="BW34" s="316">
        <f>'NTA АСУТП'!S34</f>
        <v>2</v>
      </c>
      <c r="BX34" s="316">
        <f>'SEG АСУТП'!G34</f>
        <v>2</v>
      </c>
      <c r="BY34" s="316">
        <f>'APT АСУТП'!G34</f>
        <v>2</v>
      </c>
      <c r="BZ34" s="316">
        <f>'APT АСУТП'!K34</f>
        <v>2</v>
      </c>
      <c r="CA34" s="316">
        <f>'APT АСУТП'!O34</f>
        <v>2</v>
      </c>
      <c r="CB34" s="316">
        <f>'NAC АСУТП'!G34</f>
        <v>4</v>
      </c>
      <c r="CC34" s="316">
        <f>'SANDBOX АСУТП'!G34</f>
        <v>2</v>
      </c>
      <c r="CD34" s="316">
        <f>'SANDBOX АСУТП'!K34</f>
        <v>2</v>
      </c>
      <c r="CE34" s="316">
        <f>'EDR АСУТП'!G34</f>
        <v>1</v>
      </c>
      <c r="CF34" s="316">
        <f>'EDR АСУТП'!K34</f>
        <v>1</v>
      </c>
      <c r="CG34" s="316">
        <f>'WAF АСУТП'!G34</f>
        <v>4</v>
      </c>
      <c r="CH34" s="316">
        <f>'WAF АСУТП'!K34</f>
        <v>4</v>
      </c>
      <c r="CI34" s="316">
        <f>'WAF АСУТП'!O34</f>
        <v>4</v>
      </c>
      <c r="CJ34" s="316">
        <f>'ВМ ЗСВ'!G34</f>
        <v>2</v>
      </c>
      <c r="CK34" s="316">
        <f>'ВМ ЗСВ'!K34</f>
        <v>2</v>
      </c>
      <c r="CL34" s="316">
        <f>'ВМ ЗСВ'!O34</f>
        <v>2</v>
      </c>
      <c r="CM34" s="316">
        <f>'ВМ ЗСВ'!S34</f>
        <v>2</v>
      </c>
      <c r="CN34" s="316">
        <f>'ВМ ЗСВ'!W34</f>
        <v>2</v>
      </c>
      <c r="CO34" s="316">
        <f>'ВМ ЗСВ'!AA34</f>
        <v>2</v>
      </c>
      <c r="CP34" s="316">
        <f>'ВМ СПО'!G34</f>
        <v>0</v>
      </c>
      <c r="CQ34" s="316">
        <f>'ВМ СПО'!K34</f>
        <v>0</v>
      </c>
      <c r="CR34" s="316">
        <f>'ВМ СПО'!O34</f>
        <v>0</v>
      </c>
      <c r="CS34" s="316">
        <f>'ВМ СПО'!S34</f>
        <v>0</v>
      </c>
      <c r="CT34" s="316">
        <f>'ВМ АСО'!G34</f>
        <v>0</v>
      </c>
      <c r="CU34" s="316">
        <f>'ВМ АСО'!K34</f>
        <v>0</v>
      </c>
      <c r="CV34" s="16" t="e">
        <f t="shared" si="31"/>
        <v>#REF!</v>
      </c>
      <c r="CW34" s="25">
        <f t="shared" si="32"/>
        <v>0.5</v>
      </c>
      <c r="CX34" s="25">
        <f t="shared" si="33"/>
        <v>1</v>
      </c>
      <c r="CY34" s="25">
        <f t="shared" si="34"/>
        <v>0</v>
      </c>
      <c r="CZ34" s="25">
        <f t="shared" si="35"/>
        <v>0</v>
      </c>
      <c r="DA34" s="25">
        <f t="shared" si="36"/>
        <v>0</v>
      </c>
      <c r="DB34" s="25">
        <f t="shared" si="37"/>
        <v>0</v>
      </c>
      <c r="DC34" s="25">
        <f t="shared" si="38"/>
        <v>0</v>
      </c>
      <c r="DD34" s="25">
        <f t="shared" si="39"/>
        <v>0</v>
      </c>
      <c r="DE34" s="25">
        <f t="shared" si="40"/>
        <v>0</v>
      </c>
      <c r="DF34" s="25">
        <f t="shared" si="41"/>
        <v>0</v>
      </c>
      <c r="DG34" s="25">
        <f t="shared" si="42"/>
        <v>0</v>
      </c>
      <c r="DH34" s="25">
        <f t="shared" si="43"/>
        <v>0</v>
      </c>
      <c r="DI34" s="25">
        <f t="shared" si="44"/>
        <v>0</v>
      </c>
      <c r="DJ34" s="25" t="e">
        <f t="shared" si="45"/>
        <v>#REF!</v>
      </c>
      <c r="DK34" s="25">
        <f t="shared" si="46"/>
        <v>0</v>
      </c>
      <c r="DL34" s="25">
        <f t="shared" si="47"/>
        <v>0</v>
      </c>
      <c r="DM34" s="25">
        <f t="shared" si="48"/>
        <v>0</v>
      </c>
      <c r="DN34" s="25">
        <f t="shared" si="49"/>
        <v>0</v>
      </c>
      <c r="DO34" s="25">
        <f t="shared" si="50"/>
        <v>0</v>
      </c>
      <c r="DP34" s="25">
        <f t="shared" si="51"/>
        <v>0</v>
      </c>
      <c r="DQ34" s="25">
        <f t="shared" si="52"/>
        <v>0</v>
      </c>
      <c r="DR34" s="25">
        <f t="shared" si="53"/>
        <v>0</v>
      </c>
      <c r="DS34" s="25">
        <f t="shared" si="54"/>
        <v>0</v>
      </c>
      <c r="DT34" s="25">
        <f t="shared" si="55"/>
        <v>0</v>
      </c>
      <c r="DU34" s="25">
        <f t="shared" si="56"/>
        <v>0</v>
      </c>
      <c r="DV34" s="21">
        <f t="shared" si="57"/>
        <v>0</v>
      </c>
      <c r="DW34" s="317">
        <f t="shared" si="58"/>
        <v>0</v>
      </c>
      <c r="DX34" s="317">
        <f t="shared" si="59"/>
        <v>0</v>
      </c>
      <c r="DY34" s="317">
        <f t="shared" si="60"/>
        <v>0</v>
      </c>
      <c r="DZ34" s="230">
        <f t="shared" si="61"/>
        <v>0</v>
      </c>
    </row>
    <row r="35" spans="1:130" ht="15" customHeight="1" x14ac:dyDescent="0.25">
      <c r="A35" s="1915"/>
      <c r="B35" s="1909"/>
      <c r="C35" s="18" t="s">
        <v>33</v>
      </c>
      <c r="D35" s="21"/>
      <c r="E35" s="316">
        <f>'АВЗ АСУТП'!G35</f>
        <v>1.5</v>
      </c>
      <c r="F35" s="316">
        <f>'АВЗ АСУТП'!K35</f>
        <v>1.5</v>
      </c>
      <c r="G35" s="316">
        <f>'АВЗ АСУТП'!O35</f>
        <v>1.5</v>
      </c>
      <c r="H35" s="230">
        <f>'АВЗ АСУТП'!S35</f>
        <v>1.5</v>
      </c>
      <c r="I35" s="316">
        <f>'АВЗ АСУТП'!W35</f>
        <v>1.5</v>
      </c>
      <c r="J35" s="230">
        <f>'АВЗ АСУТП'!AA35</f>
        <v>1.5</v>
      </c>
      <c r="K35" s="230">
        <f>'АВЗ АСУТП'!AE35</f>
        <v>1.5</v>
      </c>
      <c r="L35" s="230">
        <f>'АВЗ АСУТП'!AI35</f>
        <v>1.5</v>
      </c>
      <c r="M35" s="230">
        <f>'SIEM АСУТП'!G35</f>
        <v>2</v>
      </c>
      <c r="N35" s="230">
        <f>'SIEM АСУТП'!K35</f>
        <v>2</v>
      </c>
      <c r="O35" s="230">
        <f>'МСЭ АСУТП'!G35</f>
        <v>4.5</v>
      </c>
      <c r="P35" s="317">
        <f>'МСЭ АСУТП'!K35</f>
        <v>4.5</v>
      </c>
      <c r="Q35" s="230">
        <f>'МСЭ АСУТП'!O35</f>
        <v>4.5</v>
      </c>
      <c r="R35" s="230">
        <f>'МСЭ АСУТП'!S35</f>
        <v>4.5</v>
      </c>
      <c r="S35" s="230">
        <f>'PAM АСУТП'!G35</f>
        <v>2</v>
      </c>
      <c r="T35" s="230">
        <f>'PAM АСУТП'!K35</f>
        <v>2</v>
      </c>
      <c r="U35" s="230">
        <f>'PAM АСУТП'!O35</f>
        <v>2</v>
      </c>
      <c r="V35" s="230">
        <f>'СКЗИ АСУТП'!G35</f>
        <v>6</v>
      </c>
      <c r="W35" s="230">
        <f>'СКЗИ АСУТП'!K35</f>
        <v>6</v>
      </c>
      <c r="X35" s="230">
        <f>'СКЗИ АСУТП'!O35</f>
        <v>6</v>
      </c>
      <c r="Y35" s="230">
        <f>'СКЗИ АСУТП'!S35</f>
        <v>6</v>
      </c>
      <c r="Z35" s="230">
        <f>'СКЗИ АСУТП'!W35</f>
        <v>6</v>
      </c>
      <c r="AA35" s="230">
        <f>'АЗ АСУТП'!G35</f>
        <v>2</v>
      </c>
      <c r="AB35" s="230">
        <f>'АЗ АСУТП'!K35</f>
        <v>2</v>
      </c>
      <c r="AC35" s="230">
        <f>'АЗ АСУТП'!O35</f>
        <v>2</v>
      </c>
      <c r="AD35" s="230">
        <f>'АЗ АСУТП'!S35</f>
        <v>2</v>
      </c>
      <c r="AE35" s="230">
        <f>'АЗ АСУТП'!W35</f>
        <v>2</v>
      </c>
      <c r="AF35" s="230">
        <f>'РК АСУТП'!G35</f>
        <v>1.5</v>
      </c>
      <c r="AG35" s="230">
        <f>'РК АСУТП'!K35</f>
        <v>1.5</v>
      </c>
      <c r="AH35" s="230">
        <f>'IDS АСУТП'!G35</f>
        <v>2</v>
      </c>
      <c r="AI35" s="230">
        <f>'IDS АСУТП'!K35</f>
        <v>2</v>
      </c>
      <c r="AJ35" s="230">
        <f>'IDS АСУТП'!O35</f>
        <v>2</v>
      </c>
      <c r="AK35" s="230">
        <f>'АПМДЗ АСУТП'!G35</f>
        <v>0.4</v>
      </c>
      <c r="AL35" s="230">
        <f>'АПМДЗ АСУТП'!K35</f>
        <v>0.4</v>
      </c>
      <c r="AM35" s="230">
        <f>'НСД АСУТП'!G35</f>
        <v>0.4</v>
      </c>
      <c r="AN35" s="230">
        <f>'НСД АСУТП'!K35</f>
        <v>0.4</v>
      </c>
      <c r="AO35" s="230">
        <f>'НСД АСУТП'!O35</f>
        <v>0.4</v>
      </c>
      <c r="AP35" s="230">
        <f>'MFA АСУТП'!G35</f>
        <v>4</v>
      </c>
      <c r="AQ35" s="230">
        <f>'MFA АСУТП'!K35</f>
        <v>4</v>
      </c>
      <c r="AR35" s="230">
        <f>'MFA АСУТП'!O35</f>
        <v>4</v>
      </c>
      <c r="AS35" s="230">
        <f>'MFA АСУТП'!S35</f>
        <v>4</v>
      </c>
      <c r="AT35" s="230">
        <f>'ДИОД АСУТП'!G35</f>
        <v>2</v>
      </c>
      <c r="AU35" s="230">
        <f>'ДИОД АСУТП'!K35</f>
        <v>2</v>
      </c>
      <c r="AV35" s="230">
        <f>'ДИОД АСУТП'!O35</f>
        <v>2</v>
      </c>
      <c r="AW35" s="230">
        <f>'ДИОД АСУТП'!S35</f>
        <v>2</v>
      </c>
      <c r="AX35" s="230">
        <f>'СЗВ АСУТП'!G35</f>
        <v>2</v>
      </c>
      <c r="AY35" s="230">
        <f>'СЗВ АСУТП'!K35</f>
        <v>2</v>
      </c>
      <c r="AZ35" s="230">
        <f>'СЗВ АСУТП'!O35</f>
        <v>2</v>
      </c>
      <c r="BA35" s="230">
        <f>'SOAR АСУТП'!G35</f>
        <v>0.75</v>
      </c>
      <c r="BB35" s="230">
        <f>'SOAR АСУТП'!K35</f>
        <v>0.75</v>
      </c>
      <c r="BC35" s="230">
        <f>'SOAR АСУТП'!O35</f>
        <v>0.75</v>
      </c>
      <c r="BD35" s="230" t="e">
        <f>'SOAR АСУТП'!#REF!</f>
        <v>#REF!</v>
      </c>
      <c r="BE35" s="230">
        <f>'VDI АСУТП'!G35</f>
        <v>2</v>
      </c>
      <c r="BF35" s="230">
        <f>'VDI АСУТП'!K35</f>
        <v>2</v>
      </c>
      <c r="BG35" s="230">
        <f>'VDI АСУТП'!O35</f>
        <v>2</v>
      </c>
      <c r="BH35" s="230">
        <f>'VDI АСУТП'!S35</f>
        <v>2</v>
      </c>
      <c r="BI35" s="230">
        <f>'VDI АСУТП'!W35</f>
        <v>2</v>
      </c>
      <c r="BJ35" s="316">
        <f>'СУБД АСУТП'!G35</f>
        <v>0.5</v>
      </c>
      <c r="BK35" s="316">
        <f>'СУБД АСУТП'!K35</f>
        <v>0.5</v>
      </c>
      <c r="BL35" s="316">
        <f>'ГОССОПКА АСУТП'!G35</f>
        <v>4</v>
      </c>
      <c r="BM35" s="316">
        <f>'ГОССОПКА АСУТП'!K35</f>
        <v>4</v>
      </c>
      <c r="BN35" s="316">
        <f>'TLS АСУТП'!G35</f>
        <v>4</v>
      </c>
      <c r="BO35" s="316">
        <f>'TLS АСУТП'!K35</f>
        <v>4</v>
      </c>
      <c r="BP35" s="316">
        <f>'DCAP АСУТП'!G35</f>
        <v>2</v>
      </c>
      <c r="BQ35" s="316">
        <f>'DCAP АСУТП'!K35</f>
        <v>2</v>
      </c>
      <c r="BR35" s="316">
        <f>'DCAP АСУТП'!O35</f>
        <v>2</v>
      </c>
      <c r="BS35" s="316">
        <f>'DO АСУТП'!G35</f>
        <v>2.5</v>
      </c>
      <c r="BT35" s="316">
        <f>'NTA АСУТП'!G35</f>
        <v>2</v>
      </c>
      <c r="BU35" s="316">
        <f>'NTA АСУТП'!K35</f>
        <v>2</v>
      </c>
      <c r="BV35" s="316">
        <f>'NTA АСУТП'!O35</f>
        <v>2</v>
      </c>
      <c r="BW35" s="316">
        <f>'NTA АСУТП'!S35</f>
        <v>2</v>
      </c>
      <c r="BX35" s="316">
        <f>'SEG АСУТП'!G35</f>
        <v>2</v>
      </c>
      <c r="BY35" s="316">
        <f>'APT АСУТП'!G35</f>
        <v>2</v>
      </c>
      <c r="BZ35" s="316">
        <f>'APT АСУТП'!K35</f>
        <v>2</v>
      </c>
      <c r="CA35" s="316">
        <f>'APT АСУТП'!O35</f>
        <v>2</v>
      </c>
      <c r="CB35" s="316">
        <f>'NAC АСУТП'!G35</f>
        <v>6</v>
      </c>
      <c r="CC35" s="316">
        <f>'SANDBOX АСУТП'!G35</f>
        <v>4</v>
      </c>
      <c r="CD35" s="316">
        <f>'SANDBOX АСУТП'!K35</f>
        <v>4</v>
      </c>
      <c r="CE35" s="316">
        <f>'EDR АСУТП'!G35</f>
        <v>2</v>
      </c>
      <c r="CF35" s="316">
        <f>'EDR АСУТП'!K35</f>
        <v>2</v>
      </c>
      <c r="CG35" s="316">
        <f>'WAF АСУТП'!G35</f>
        <v>6</v>
      </c>
      <c r="CH35" s="316">
        <f>'WAF АСУТП'!K35</f>
        <v>6</v>
      </c>
      <c r="CI35" s="316">
        <f>'WAF АСУТП'!O35</f>
        <v>6</v>
      </c>
      <c r="CJ35" s="316">
        <f>'ВМ ЗСВ'!G35</f>
        <v>2</v>
      </c>
      <c r="CK35" s="316">
        <f>'ВМ ЗСВ'!K35</f>
        <v>2</v>
      </c>
      <c r="CL35" s="316">
        <f>'ВМ ЗСВ'!O35</f>
        <v>2</v>
      </c>
      <c r="CM35" s="316">
        <f>'ВМ ЗСВ'!S35</f>
        <v>2</v>
      </c>
      <c r="CN35" s="316">
        <f>'ВМ ЗСВ'!W35</f>
        <v>2</v>
      </c>
      <c r="CO35" s="316">
        <f>'ВМ ЗСВ'!AA35</f>
        <v>2</v>
      </c>
      <c r="CP35" s="316">
        <f>'ВМ СПО'!G35</f>
        <v>0</v>
      </c>
      <c r="CQ35" s="316">
        <f>'ВМ СПО'!K35</f>
        <v>0</v>
      </c>
      <c r="CR35" s="316">
        <f>'ВМ СПО'!O35</f>
        <v>0</v>
      </c>
      <c r="CS35" s="316">
        <f>'ВМ СПО'!S35</f>
        <v>0</v>
      </c>
      <c r="CT35" s="316">
        <f>'ВМ АСО'!G35</f>
        <v>0</v>
      </c>
      <c r="CU35" s="316">
        <f>'ВМ АСО'!K35</f>
        <v>0</v>
      </c>
      <c r="CV35" s="16" t="e">
        <f t="shared" si="31"/>
        <v>#REF!</v>
      </c>
      <c r="CW35" s="25">
        <f t="shared" si="32"/>
        <v>1.5</v>
      </c>
      <c r="CX35" s="25">
        <f t="shared" si="33"/>
        <v>2</v>
      </c>
      <c r="CY35" s="25">
        <f t="shared" si="34"/>
        <v>0</v>
      </c>
      <c r="CZ35" s="25">
        <f t="shared" si="35"/>
        <v>0</v>
      </c>
      <c r="DA35" s="25">
        <f t="shared" si="36"/>
        <v>0</v>
      </c>
      <c r="DB35" s="25">
        <f t="shared" si="37"/>
        <v>0</v>
      </c>
      <c r="DC35" s="25">
        <f t="shared" si="38"/>
        <v>0</v>
      </c>
      <c r="DD35" s="25">
        <f t="shared" si="39"/>
        <v>0</v>
      </c>
      <c r="DE35" s="25">
        <f t="shared" si="40"/>
        <v>0</v>
      </c>
      <c r="DF35" s="25">
        <f t="shared" si="41"/>
        <v>0</v>
      </c>
      <c r="DG35" s="25">
        <f t="shared" si="42"/>
        <v>0</v>
      </c>
      <c r="DH35" s="25">
        <f t="shared" si="43"/>
        <v>0</v>
      </c>
      <c r="DI35" s="25">
        <f t="shared" si="44"/>
        <v>0</v>
      </c>
      <c r="DJ35" s="25" t="e">
        <f t="shared" si="45"/>
        <v>#REF!</v>
      </c>
      <c r="DK35" s="25">
        <f t="shared" si="46"/>
        <v>0</v>
      </c>
      <c r="DL35" s="25">
        <f t="shared" si="47"/>
        <v>0</v>
      </c>
      <c r="DM35" s="25">
        <f t="shared" si="48"/>
        <v>0</v>
      </c>
      <c r="DN35" s="25">
        <f t="shared" si="49"/>
        <v>0</v>
      </c>
      <c r="DO35" s="25">
        <f t="shared" si="50"/>
        <v>0</v>
      </c>
      <c r="DP35" s="25">
        <f t="shared" si="51"/>
        <v>0</v>
      </c>
      <c r="DQ35" s="25">
        <f t="shared" si="52"/>
        <v>0</v>
      </c>
      <c r="DR35" s="25">
        <f t="shared" si="53"/>
        <v>0</v>
      </c>
      <c r="DS35" s="25">
        <f t="shared" si="54"/>
        <v>0</v>
      </c>
      <c r="DT35" s="25">
        <f t="shared" si="55"/>
        <v>0</v>
      </c>
      <c r="DU35" s="25">
        <f t="shared" si="56"/>
        <v>0</v>
      </c>
      <c r="DV35" s="21">
        <f t="shared" si="57"/>
        <v>0</v>
      </c>
      <c r="DW35" s="317">
        <f t="shared" si="58"/>
        <v>0</v>
      </c>
      <c r="DX35" s="317">
        <f t="shared" si="59"/>
        <v>0</v>
      </c>
      <c r="DY35" s="317">
        <f t="shared" si="60"/>
        <v>0</v>
      </c>
      <c r="DZ35" s="230">
        <f t="shared" si="61"/>
        <v>0</v>
      </c>
    </row>
    <row r="36" spans="1:130" ht="15.75" customHeight="1" thickBot="1" x14ac:dyDescent="0.3">
      <c r="A36" s="1924"/>
      <c r="B36" s="1910"/>
      <c r="C36" s="81" t="s">
        <v>34</v>
      </c>
      <c r="D36" s="77"/>
      <c r="E36" s="466">
        <f>'АВЗ АСУТП'!G36</f>
        <v>2</v>
      </c>
      <c r="F36" s="466">
        <f>'АВЗ АСУТП'!K36</f>
        <v>2</v>
      </c>
      <c r="G36" s="466">
        <f>'АВЗ АСУТП'!O36</f>
        <v>2</v>
      </c>
      <c r="H36" s="467">
        <f>'АВЗ АСУТП'!S36</f>
        <v>2</v>
      </c>
      <c r="I36" s="466">
        <f>'АВЗ АСУТП'!W36</f>
        <v>2</v>
      </c>
      <c r="J36" s="467">
        <f>'АВЗ АСУТП'!AA36</f>
        <v>2</v>
      </c>
      <c r="K36" s="467">
        <f>'АВЗ АСУТП'!AE36</f>
        <v>2</v>
      </c>
      <c r="L36" s="467">
        <f>'АВЗ АСУТП'!AI36</f>
        <v>2</v>
      </c>
      <c r="M36" s="467">
        <f>'SIEM АСУТП'!G36</f>
        <v>4</v>
      </c>
      <c r="N36" s="467">
        <f>'SIEM АСУТП'!K36</f>
        <v>4</v>
      </c>
      <c r="O36" s="467">
        <f>'МСЭ АСУТП'!G36</f>
        <v>6</v>
      </c>
      <c r="P36" s="468">
        <f>'МСЭ АСУТП'!K36</f>
        <v>6</v>
      </c>
      <c r="Q36" s="467">
        <f>'МСЭ АСУТП'!O36</f>
        <v>6</v>
      </c>
      <c r="R36" s="467">
        <f>'МСЭ АСУТП'!S36</f>
        <v>6</v>
      </c>
      <c r="S36" s="467">
        <f>'PAM АСУТП'!G36</f>
        <v>2</v>
      </c>
      <c r="T36" s="467">
        <f>'PAM АСУТП'!K36</f>
        <v>2</v>
      </c>
      <c r="U36" s="467">
        <f>'PAM АСУТП'!O36</f>
        <v>2</v>
      </c>
      <c r="V36" s="467">
        <f>'СКЗИ АСУТП'!G36</f>
        <v>10</v>
      </c>
      <c r="W36" s="467">
        <f>'СКЗИ АСУТП'!K36</f>
        <v>10</v>
      </c>
      <c r="X36" s="467">
        <f>'СКЗИ АСУТП'!O36</f>
        <v>10</v>
      </c>
      <c r="Y36" s="467">
        <f>'СКЗИ АСУТП'!S36</f>
        <v>10</v>
      </c>
      <c r="Z36" s="467">
        <f>'СКЗИ АСУТП'!W36</f>
        <v>10</v>
      </c>
      <c r="AA36" s="467">
        <f>'АЗ АСУТП'!G36</f>
        <v>2</v>
      </c>
      <c r="AB36" s="467">
        <f>'АЗ АСУТП'!K36</f>
        <v>2</v>
      </c>
      <c r="AC36" s="467">
        <f>'АЗ АСУТП'!O36</f>
        <v>2</v>
      </c>
      <c r="AD36" s="467">
        <f>'АЗ АСУТП'!S36</f>
        <v>2</v>
      </c>
      <c r="AE36" s="467">
        <f>'АЗ АСУТП'!W36</f>
        <v>2</v>
      </c>
      <c r="AF36" s="467">
        <f>'РК АСУТП'!G36</f>
        <v>1.5</v>
      </c>
      <c r="AG36" s="467">
        <f>'РК АСУТП'!K36</f>
        <v>1.5</v>
      </c>
      <c r="AH36" s="467">
        <f>'IDS АСУТП'!G36</f>
        <v>2</v>
      </c>
      <c r="AI36" s="467">
        <f>'IDS АСУТП'!K36</f>
        <v>2</v>
      </c>
      <c r="AJ36" s="467">
        <f>'IDS АСУТП'!O36</f>
        <v>2</v>
      </c>
      <c r="AK36" s="467">
        <f>'АПМДЗ АСУТП'!G36</f>
        <v>0.60000000000000009</v>
      </c>
      <c r="AL36" s="467">
        <f>'АПМДЗ АСУТП'!K36</f>
        <v>0.60000000000000009</v>
      </c>
      <c r="AM36" s="467">
        <f>'НСД АСУТП'!G36</f>
        <v>0.60000000000000009</v>
      </c>
      <c r="AN36" s="467">
        <f>'НСД АСУТП'!K36</f>
        <v>0.60000000000000009</v>
      </c>
      <c r="AO36" s="467">
        <f>'НСД АСУТП'!O36</f>
        <v>0.60000000000000009</v>
      </c>
      <c r="AP36" s="467">
        <f>'MFA АСУТП'!G36</f>
        <v>6</v>
      </c>
      <c r="AQ36" s="467">
        <f>'MFA АСУТП'!K36</f>
        <v>6</v>
      </c>
      <c r="AR36" s="467">
        <f>'MFA АСУТП'!O36</f>
        <v>6</v>
      </c>
      <c r="AS36" s="467">
        <f>'MFA АСУТП'!S36</f>
        <v>6</v>
      </c>
      <c r="AT36" s="467">
        <f>'ДИОД АСУТП'!G36</f>
        <v>4</v>
      </c>
      <c r="AU36" s="467">
        <f>'ДИОД АСУТП'!K36</f>
        <v>4</v>
      </c>
      <c r="AV36" s="467">
        <f>'ДИОД АСУТП'!O36</f>
        <v>4</v>
      </c>
      <c r="AW36" s="467">
        <f>'ДИОД АСУТП'!S36</f>
        <v>4</v>
      </c>
      <c r="AX36" s="467">
        <f>'СЗВ АСУТП'!G36</f>
        <v>2</v>
      </c>
      <c r="AY36" s="467">
        <f>'СЗВ АСУТП'!K36</f>
        <v>2</v>
      </c>
      <c r="AZ36" s="467">
        <f>'СЗВ АСУТП'!O36</f>
        <v>2</v>
      </c>
      <c r="BA36" s="467">
        <f>'SOAR АСУТП'!G36</f>
        <v>0.75</v>
      </c>
      <c r="BB36" s="467">
        <f>'SOAR АСУТП'!K36</f>
        <v>0.75</v>
      </c>
      <c r="BC36" s="467">
        <f>'SOAR АСУТП'!O36</f>
        <v>0.75</v>
      </c>
      <c r="BD36" s="467" t="e">
        <f>'SOAR АСУТП'!#REF!</f>
        <v>#REF!</v>
      </c>
      <c r="BE36" s="467">
        <f>'VDI АСУТП'!G36</f>
        <v>2</v>
      </c>
      <c r="BF36" s="467">
        <f>'VDI АСУТП'!K36</f>
        <v>2</v>
      </c>
      <c r="BG36" s="467">
        <f>'VDI АСУТП'!O36</f>
        <v>2</v>
      </c>
      <c r="BH36" s="467">
        <f>'VDI АСУТП'!S36</f>
        <v>2</v>
      </c>
      <c r="BI36" s="467">
        <f>'VDI АСУТП'!W36</f>
        <v>2</v>
      </c>
      <c r="BJ36" s="466">
        <f>'СУБД АСУТП'!G36</f>
        <v>0.5</v>
      </c>
      <c r="BK36" s="466">
        <f>'СУБД АСУТП'!K36</f>
        <v>0.5</v>
      </c>
      <c r="BL36" s="466">
        <f>'ГОССОПКА АСУТП'!G36</f>
        <v>6</v>
      </c>
      <c r="BM36" s="466">
        <f>'ГОССОПКА АСУТП'!K36</f>
        <v>6</v>
      </c>
      <c r="BN36" s="466">
        <f>'TLS АСУТП'!G36</f>
        <v>6</v>
      </c>
      <c r="BO36" s="466">
        <f>'TLS АСУТП'!K36</f>
        <v>6</v>
      </c>
      <c r="BP36" s="466">
        <f>'DCAP АСУТП'!G36</f>
        <v>2</v>
      </c>
      <c r="BQ36" s="466">
        <f>'DCAP АСУТП'!K36</f>
        <v>2</v>
      </c>
      <c r="BR36" s="466">
        <f>'DCAP АСУТП'!O36</f>
        <v>2</v>
      </c>
      <c r="BS36" s="466">
        <f>'DO АСУТП'!G36</f>
        <v>4.5</v>
      </c>
      <c r="BT36" s="466">
        <f>'NTA АСУТП'!G36</f>
        <v>2</v>
      </c>
      <c r="BU36" s="466">
        <f>'NTA АСУТП'!K36</f>
        <v>2</v>
      </c>
      <c r="BV36" s="466">
        <f>'NTA АСУТП'!O36</f>
        <v>2</v>
      </c>
      <c r="BW36" s="466">
        <f>'NTA АСУТП'!S36</f>
        <v>2</v>
      </c>
      <c r="BX36" s="466">
        <f>'SEG АСУТП'!G36</f>
        <v>2</v>
      </c>
      <c r="BY36" s="466">
        <f>'APT АСУТП'!G36</f>
        <v>2</v>
      </c>
      <c r="BZ36" s="466">
        <f>'APT АСУТП'!K36</f>
        <v>2</v>
      </c>
      <c r="CA36" s="466">
        <f>'APT АСУТП'!O36</f>
        <v>2</v>
      </c>
      <c r="CB36" s="466">
        <f>'NAC АСУТП'!G36</f>
        <v>8</v>
      </c>
      <c r="CC36" s="466">
        <f>'SANDBOX АСУТП'!G36</f>
        <v>6</v>
      </c>
      <c r="CD36" s="466">
        <f>'SANDBOX АСУТП'!K36</f>
        <v>6</v>
      </c>
      <c r="CE36" s="466">
        <f>'EDR АСУТП'!G36</f>
        <v>4</v>
      </c>
      <c r="CF36" s="466">
        <f>'EDR АСУТП'!K36</f>
        <v>4</v>
      </c>
      <c r="CG36" s="466">
        <f>'WAF АСУТП'!G36</f>
        <v>8</v>
      </c>
      <c r="CH36" s="466">
        <f>'WAF АСУТП'!K36</f>
        <v>8</v>
      </c>
      <c r="CI36" s="466">
        <f>'WAF АСУТП'!O36</f>
        <v>8</v>
      </c>
      <c r="CJ36" s="622">
        <f>'ВМ ЗСВ'!G36</f>
        <v>2</v>
      </c>
      <c r="CK36" s="742">
        <f>'ВМ ЗСВ'!K36</f>
        <v>2</v>
      </c>
      <c r="CL36" s="742">
        <f>'ВМ ЗСВ'!O36</f>
        <v>2</v>
      </c>
      <c r="CM36" s="742">
        <f>'ВМ ЗСВ'!S36</f>
        <v>2</v>
      </c>
      <c r="CN36" s="742">
        <f>'ВМ ЗСВ'!W36</f>
        <v>2</v>
      </c>
      <c r="CO36" s="742">
        <f>'ВМ ЗСВ'!AA36</f>
        <v>2</v>
      </c>
      <c r="CP36" s="622">
        <f>'ВМ СПО'!G36</f>
        <v>0</v>
      </c>
      <c r="CQ36" s="742">
        <f>'ВМ СПО'!K36</f>
        <v>0</v>
      </c>
      <c r="CR36" s="742">
        <f>'ВМ СПО'!O36</f>
        <v>0</v>
      </c>
      <c r="CS36" s="742">
        <f>'ВМ СПО'!S36</f>
        <v>0</v>
      </c>
      <c r="CT36" s="742">
        <f>'ВМ АСО'!G36</f>
        <v>0</v>
      </c>
      <c r="CU36" s="742">
        <f>'ВМ АСО'!K36</f>
        <v>0</v>
      </c>
      <c r="CV36" s="192" t="e">
        <f t="shared" si="31"/>
        <v>#REF!</v>
      </c>
      <c r="CW36" s="392">
        <f t="shared" si="32"/>
        <v>2</v>
      </c>
      <c r="CX36" s="392">
        <f t="shared" si="33"/>
        <v>4</v>
      </c>
      <c r="CY36" s="392">
        <f t="shared" si="34"/>
        <v>0</v>
      </c>
      <c r="CZ36" s="392">
        <f t="shared" si="35"/>
        <v>0</v>
      </c>
      <c r="DA36" s="392">
        <f t="shared" si="36"/>
        <v>0</v>
      </c>
      <c r="DB36" s="392">
        <f t="shared" si="37"/>
        <v>0</v>
      </c>
      <c r="DC36" s="392">
        <f t="shared" si="38"/>
        <v>0</v>
      </c>
      <c r="DD36" s="392">
        <f t="shared" si="39"/>
        <v>0</v>
      </c>
      <c r="DE36" s="392">
        <f t="shared" si="40"/>
        <v>0</v>
      </c>
      <c r="DF36" s="392">
        <f t="shared" si="41"/>
        <v>0</v>
      </c>
      <c r="DG36" s="392">
        <f t="shared" si="42"/>
        <v>0</v>
      </c>
      <c r="DH36" s="392">
        <f t="shared" si="43"/>
        <v>0</v>
      </c>
      <c r="DI36" s="392">
        <f t="shared" si="44"/>
        <v>0</v>
      </c>
      <c r="DJ36" s="392" t="e">
        <f t="shared" si="45"/>
        <v>#REF!</v>
      </c>
      <c r="DK36" s="392">
        <f t="shared" si="46"/>
        <v>0</v>
      </c>
      <c r="DL36" s="392">
        <f t="shared" si="47"/>
        <v>0</v>
      </c>
      <c r="DM36" s="392">
        <f t="shared" si="48"/>
        <v>0</v>
      </c>
      <c r="DN36" s="392">
        <f t="shared" si="49"/>
        <v>0</v>
      </c>
      <c r="DO36" s="392">
        <f t="shared" si="50"/>
        <v>0</v>
      </c>
      <c r="DP36" s="392">
        <f t="shared" si="51"/>
        <v>0</v>
      </c>
      <c r="DQ36" s="392">
        <f t="shared" si="52"/>
        <v>0</v>
      </c>
      <c r="DR36" s="392">
        <f t="shared" si="53"/>
        <v>0</v>
      </c>
      <c r="DS36" s="392">
        <f t="shared" si="54"/>
        <v>0</v>
      </c>
      <c r="DT36" s="392">
        <f t="shared" si="55"/>
        <v>0</v>
      </c>
      <c r="DU36" s="392">
        <f t="shared" si="56"/>
        <v>0</v>
      </c>
      <c r="DV36" s="77">
        <f t="shared" si="57"/>
        <v>0</v>
      </c>
      <c r="DW36" s="468">
        <f t="shared" si="58"/>
        <v>0</v>
      </c>
      <c r="DX36" s="788">
        <f t="shared" si="59"/>
        <v>0</v>
      </c>
      <c r="DY36" s="788">
        <f t="shared" si="60"/>
        <v>0</v>
      </c>
      <c r="DZ36" s="622">
        <f t="shared" si="61"/>
        <v>0</v>
      </c>
    </row>
    <row r="37" spans="1:130" ht="16.5" thickBot="1" x14ac:dyDescent="0.3">
      <c r="A37" s="330" t="s">
        <v>11</v>
      </c>
      <c r="B37" s="329"/>
      <c r="C37" s="329"/>
      <c r="D37" s="329"/>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c r="BL37" s="393"/>
      <c r="BM37" s="393"/>
      <c r="BN37" s="393"/>
      <c r="BO37" s="393"/>
      <c r="BP37" s="393"/>
      <c r="BQ37" s="393"/>
      <c r="BR37" s="393"/>
      <c r="BS37" s="393"/>
      <c r="BT37" s="393"/>
      <c r="BU37" s="393"/>
      <c r="BV37" s="393"/>
      <c r="BW37" s="393"/>
      <c r="BX37" s="393"/>
      <c r="BY37" s="393"/>
      <c r="BZ37" s="393"/>
      <c r="CA37" s="393"/>
      <c r="CB37" s="393"/>
      <c r="CC37" s="393"/>
      <c r="CD37" s="393"/>
      <c r="CE37" s="393"/>
      <c r="CF37" s="393"/>
      <c r="CG37" s="393"/>
      <c r="CH37" s="393"/>
      <c r="CI37" s="393"/>
      <c r="CJ37" s="393"/>
      <c r="CK37" s="393"/>
      <c r="CL37" s="393"/>
      <c r="CM37" s="393"/>
      <c r="CN37" s="393"/>
      <c r="CO37" s="393"/>
      <c r="CP37" s="783"/>
      <c r="CQ37" s="783"/>
      <c r="CR37" s="783"/>
      <c r="CS37" s="783"/>
      <c r="CT37" s="783"/>
      <c r="CU37" s="783"/>
      <c r="CV37" s="329"/>
      <c r="CW37" s="329"/>
      <c r="CX37" s="329"/>
      <c r="CY37" s="329"/>
      <c r="CZ37" s="329"/>
      <c r="DA37" s="329"/>
      <c r="DB37" s="329"/>
      <c r="DC37" s="329"/>
      <c r="DD37" s="329"/>
      <c r="DE37" s="329"/>
      <c r="DF37" s="329"/>
      <c r="DG37" s="329"/>
      <c r="DH37" s="329"/>
      <c r="DI37" s="329"/>
      <c r="DJ37" s="329"/>
      <c r="DK37" s="329"/>
      <c r="DL37" s="329"/>
      <c r="DM37" s="329"/>
      <c r="DN37" s="329"/>
      <c r="DO37" s="329"/>
      <c r="DP37" s="329"/>
      <c r="DQ37" s="329"/>
      <c r="DR37" s="329"/>
      <c r="DS37" s="329"/>
      <c r="DT37" s="329"/>
      <c r="DU37" s="329"/>
      <c r="DV37" s="329"/>
      <c r="DW37" s="329"/>
      <c r="DX37" s="783"/>
      <c r="DY37" s="783"/>
      <c r="DZ37" s="782"/>
    </row>
    <row r="38" spans="1:130" ht="15" customHeight="1" x14ac:dyDescent="0.25">
      <c r="A38" s="1907" t="s">
        <v>12</v>
      </c>
      <c r="B38" s="1909">
        <f>IF('Тип разраб-ой док-ции'!F17=1,1,0)</f>
        <v>0</v>
      </c>
      <c r="C38" s="325" t="s">
        <v>32</v>
      </c>
      <c r="D38" s="230"/>
      <c r="E38" s="316">
        <f>'АВЗ АСУТП'!G38</f>
        <v>4</v>
      </c>
      <c r="F38" s="316">
        <f>'АВЗ АСУТП'!K38</f>
        <v>4</v>
      </c>
      <c r="G38" s="316">
        <f>'АВЗ АСУТП'!O38</f>
        <v>4</v>
      </c>
      <c r="H38" s="230">
        <f>'АВЗ АСУТП'!S38</f>
        <v>4</v>
      </c>
      <c r="I38" s="316">
        <f>'АВЗ АСУТП'!W38</f>
        <v>4</v>
      </c>
      <c r="J38" s="230">
        <f>'АВЗ АСУТП'!AA38</f>
        <v>4</v>
      </c>
      <c r="K38" s="230">
        <f>'АВЗ АСУТП'!AE38</f>
        <v>4</v>
      </c>
      <c r="L38" s="230">
        <f>'АВЗ АСУТП'!AI38</f>
        <v>4</v>
      </c>
      <c r="M38" s="230">
        <f>'SIEM АСУТП'!G38</f>
        <v>13</v>
      </c>
      <c r="N38" s="230">
        <f>'SIEM АСУТП'!K38</f>
        <v>13</v>
      </c>
      <c r="O38" s="230">
        <f>'МСЭ АСУТП'!G38</f>
        <v>7</v>
      </c>
      <c r="P38" s="317">
        <f>'МСЭ АСУТП'!K38</f>
        <v>7</v>
      </c>
      <c r="Q38" s="230">
        <f>'МСЭ АСУТП'!O38</f>
        <v>7</v>
      </c>
      <c r="R38" s="230">
        <f>'МСЭ АСУТП'!S38</f>
        <v>7</v>
      </c>
      <c r="S38" s="230">
        <f>'PAM АСУТП'!G38</f>
        <v>12.5</v>
      </c>
      <c r="T38" s="230">
        <f>'PAM АСУТП'!K38</f>
        <v>12.5</v>
      </c>
      <c r="U38" s="230">
        <f>'PAM АСУТП'!O38</f>
        <v>12.5</v>
      </c>
      <c r="V38" s="230">
        <f>'СКЗИ АСУТП'!G38</f>
        <v>8</v>
      </c>
      <c r="W38" s="230">
        <f>'СКЗИ АСУТП'!K38</f>
        <v>8</v>
      </c>
      <c r="X38" s="230">
        <f>'СКЗИ АСУТП'!O38</f>
        <v>8</v>
      </c>
      <c r="Y38" s="230">
        <f>'СКЗИ АСУТП'!S38</f>
        <v>8</v>
      </c>
      <c r="Z38" s="230">
        <f>'СКЗИ АСУТП'!W38</f>
        <v>8</v>
      </c>
      <c r="AA38" s="230">
        <f>'АЗ АСУТП'!G38</f>
        <v>4</v>
      </c>
      <c r="AB38" s="230">
        <f>'АЗ АСУТП'!K38</f>
        <v>4</v>
      </c>
      <c r="AC38" s="230">
        <f>'АЗ АСУТП'!O38</f>
        <v>4</v>
      </c>
      <c r="AD38" s="230">
        <f>'АЗ АСУТП'!S38</f>
        <v>4</v>
      </c>
      <c r="AE38" s="230">
        <f>'АЗ АСУТП'!W38</f>
        <v>4</v>
      </c>
      <c r="AF38" s="230">
        <f>'РК АСУТП'!G38</f>
        <v>7.5</v>
      </c>
      <c r="AG38" s="230">
        <f>'РК АСУТП'!K38</f>
        <v>7.5</v>
      </c>
      <c r="AH38" s="230">
        <f>'IDS АСУТП'!G38</f>
        <v>8</v>
      </c>
      <c r="AI38" s="230">
        <f>'IDS АСУТП'!K38</f>
        <v>8</v>
      </c>
      <c r="AJ38" s="230">
        <f>'IDS АСУТП'!O38</f>
        <v>8</v>
      </c>
      <c r="AK38" s="230">
        <f>'АПМДЗ АСУТП'!G38</f>
        <v>1.2800000000000002</v>
      </c>
      <c r="AL38" s="230">
        <f>'АПМДЗ АСУТП'!K38</f>
        <v>1.2800000000000002</v>
      </c>
      <c r="AM38" s="230">
        <f>'НСД АСУТП'!G38</f>
        <v>1.2800000000000002</v>
      </c>
      <c r="AN38" s="230">
        <f>'НСД АСУТП'!K38</f>
        <v>1.2800000000000002</v>
      </c>
      <c r="AO38" s="230">
        <f>'НСД АСУТП'!O38</f>
        <v>1.2800000000000002</v>
      </c>
      <c r="AP38" s="230">
        <f>'MFA АСУТП'!G38</f>
        <v>32</v>
      </c>
      <c r="AQ38" s="230">
        <f>'MFA АСУТП'!K38</f>
        <v>32</v>
      </c>
      <c r="AR38" s="230">
        <f>'MFA АСУТП'!O38</f>
        <v>32</v>
      </c>
      <c r="AS38" s="230">
        <f>'MFA АСУТП'!S38</f>
        <v>32</v>
      </c>
      <c r="AT38" s="230">
        <f>'ДИОД АСУТП'!G38</f>
        <v>2</v>
      </c>
      <c r="AU38" s="230">
        <f>'ДИОД АСУТП'!K38</f>
        <v>2</v>
      </c>
      <c r="AV38" s="230">
        <f>'ДИОД АСУТП'!O38</f>
        <v>2</v>
      </c>
      <c r="AW38" s="230">
        <f>'ДИОД АСУТП'!S38</f>
        <v>2</v>
      </c>
      <c r="AX38" s="230">
        <f>'СЗВ АСУТП'!G38</f>
        <v>8</v>
      </c>
      <c r="AY38" s="230">
        <f>'СЗВ АСУТП'!K38</f>
        <v>8</v>
      </c>
      <c r="AZ38" s="230">
        <f>'СЗВ АСУТП'!O38</f>
        <v>8</v>
      </c>
      <c r="BA38" s="230">
        <f>'SOAR АСУТП'!G38</f>
        <v>12</v>
      </c>
      <c r="BB38" s="230">
        <f>'SOAR АСУТП'!K38</f>
        <v>12</v>
      </c>
      <c r="BC38" s="230">
        <f>'SOAR АСУТП'!O38</f>
        <v>12</v>
      </c>
      <c r="BD38" s="230" t="e">
        <f>'SOAR АСУТП'!#REF!</f>
        <v>#REF!</v>
      </c>
      <c r="BE38" s="230">
        <f>'VDI АСУТП'!G38</f>
        <v>6</v>
      </c>
      <c r="BF38" s="230">
        <f>'VDI АСУТП'!K38</f>
        <v>6</v>
      </c>
      <c r="BG38" s="230">
        <f>'VDI АСУТП'!O38</f>
        <v>6</v>
      </c>
      <c r="BH38" s="230">
        <f>'VDI АСУТП'!S38</f>
        <v>6</v>
      </c>
      <c r="BI38" s="230">
        <f>'VDI АСУТП'!W38</f>
        <v>6</v>
      </c>
      <c r="BJ38" s="316">
        <f>'СУБД АСУТП'!G38</f>
        <v>6</v>
      </c>
      <c r="BK38" s="316">
        <f>'СУБД АСУТП'!K38</f>
        <v>6</v>
      </c>
      <c r="BL38" s="316">
        <f>'ГОССОПКА АСУТП'!G38</f>
        <v>24</v>
      </c>
      <c r="BM38" s="316">
        <f>'ГОССОПКА АСУТП'!K38</f>
        <v>24</v>
      </c>
      <c r="BN38" s="316">
        <f>'TLS АСУТП'!G38</f>
        <v>32</v>
      </c>
      <c r="BO38" s="316">
        <f>'TLS АСУТП'!K38</f>
        <v>32</v>
      </c>
      <c r="BP38" s="316">
        <f>'DCAP АСУТП'!G38</f>
        <v>8</v>
      </c>
      <c r="BQ38" s="316">
        <f>'DCAP АСУТП'!K38</f>
        <v>8</v>
      </c>
      <c r="BR38" s="316">
        <f>'DCAP АСУТП'!O38</f>
        <v>8</v>
      </c>
      <c r="BS38" s="316">
        <f>'DO АСУТП'!G38</f>
        <v>32</v>
      </c>
      <c r="BT38" s="316">
        <f>'NTA АСУТП'!G38</f>
        <v>8</v>
      </c>
      <c r="BU38" s="316">
        <f>'NTA АСУТП'!K38</f>
        <v>8</v>
      </c>
      <c r="BV38" s="316">
        <f>'NTA АСУТП'!O38</f>
        <v>16</v>
      </c>
      <c r="BW38" s="316">
        <f>'NTA АСУТП'!S38</f>
        <v>8</v>
      </c>
      <c r="BX38" s="316">
        <f>'SEG АСУТП'!G38</f>
        <v>8</v>
      </c>
      <c r="BY38" s="316">
        <f>'APT АСУТП'!G38</f>
        <v>24</v>
      </c>
      <c r="BZ38" s="316">
        <f>'APT АСУТП'!K38</f>
        <v>24</v>
      </c>
      <c r="CA38" s="316">
        <f>'APT АСУТП'!O38</f>
        <v>8</v>
      </c>
      <c r="CB38" s="316">
        <f>'NAC АСУТП'!G38</f>
        <v>32</v>
      </c>
      <c r="CC38" s="316">
        <f>'SANDBOX АСУТП'!G38</f>
        <v>8</v>
      </c>
      <c r="CD38" s="316">
        <f>'SANDBOX АСУТП'!K38</f>
        <v>8</v>
      </c>
      <c r="CE38" s="316">
        <f>'EDR АСУТП'!G38</f>
        <v>12</v>
      </c>
      <c r="CF38" s="316">
        <f>'EDR АСУТП'!K38</f>
        <v>12</v>
      </c>
      <c r="CG38" s="316">
        <f>'WAF АСУТП'!G38</f>
        <v>32</v>
      </c>
      <c r="CH38" s="316">
        <f>'WAF АСУТП'!K38</f>
        <v>32</v>
      </c>
      <c r="CI38" s="316">
        <f>'WAF АСУТП'!O38</f>
        <v>32</v>
      </c>
      <c r="CJ38" s="316">
        <f>'ВМ ЗСВ'!G38</f>
        <v>8</v>
      </c>
      <c r="CK38" s="316">
        <f>'ВМ ЗСВ'!K38</f>
        <v>8</v>
      </c>
      <c r="CL38" s="316">
        <f>'ВМ ЗСВ'!O38</f>
        <v>10</v>
      </c>
      <c r="CM38" s="316">
        <f>'ВМ ЗСВ'!S38</f>
        <v>12</v>
      </c>
      <c r="CN38" s="316">
        <f>'ВМ ЗСВ'!W38</f>
        <v>8</v>
      </c>
      <c r="CO38" s="316">
        <f>'ВМ ЗСВ'!AA38</f>
        <v>12</v>
      </c>
      <c r="CP38" s="316">
        <f>'ВМ СПО'!G38</f>
        <v>4</v>
      </c>
      <c r="CQ38" s="316">
        <f>'ВМ СПО'!K38</f>
        <v>4</v>
      </c>
      <c r="CR38" s="316">
        <f>'ВМ СПО'!O38</f>
        <v>8</v>
      </c>
      <c r="CS38" s="316">
        <f>'ВМ СПО'!S38</f>
        <v>8</v>
      </c>
      <c r="CT38" s="316">
        <f>'ВМ АСО'!G38</f>
        <v>0</v>
      </c>
      <c r="CU38" s="316">
        <f>'ВМ АСО'!K38</f>
        <v>0</v>
      </c>
      <c r="CV38" s="316" t="e">
        <f>SUMPRODUCT(E38:CU38,$E$2:$CU$2) + D38</f>
        <v>#REF!</v>
      </c>
      <c r="CW38" s="317">
        <f>SUMPRODUCT(E38:L38,$E$2:$L$2) + D38</f>
        <v>4</v>
      </c>
      <c r="CX38" s="317">
        <f>SUMPRODUCT(M38:N38,$M$2:$N$2) + D38</f>
        <v>13</v>
      </c>
      <c r="CY38" s="317">
        <f>SUMPRODUCT(O38:Q38,$O$2:$Q$2) + D38</f>
        <v>0</v>
      </c>
      <c r="CZ38" s="317">
        <f>SUMPRODUCT(S38:U38,$S$2:$U$2) + $D38</f>
        <v>0</v>
      </c>
      <c r="DA38" s="317">
        <f>SUMPRODUCT(V38:Z38,$V$2:$Z$2) + $D38</f>
        <v>0</v>
      </c>
      <c r="DB38" s="317">
        <f>SUMPRODUCT(AA38:AE38,$AA$2:$AE$2) + $D38</f>
        <v>0</v>
      </c>
      <c r="DC38" s="317">
        <f>SUMPRODUCT(AF38:AG38,$AF$2:$AG$2) + $D38</f>
        <v>0</v>
      </c>
      <c r="DD38" s="317">
        <f>SUMPRODUCT(AH38:AJ38,$AH$2:$AJ$2) + $D38</f>
        <v>0</v>
      </c>
      <c r="DE38" s="317">
        <f>SUMPRODUCT(AK38:AL38,$AK$2:$AL$2) + $D38</f>
        <v>0</v>
      </c>
      <c r="DF38" s="317">
        <f>SUMPRODUCT(AM38:AO38,$AM$2:$AO$2) + $D38</f>
        <v>0</v>
      </c>
      <c r="DG38" s="317">
        <f>SUMPRODUCT(AP38:AS38,$AP$2:$AS$2) + $D38</f>
        <v>0</v>
      </c>
      <c r="DH38" s="317">
        <f>SUMPRODUCT(AT38:AW38,$AT$2:$AW$2) + $D38</f>
        <v>0</v>
      </c>
      <c r="DI38" s="317">
        <f>SUMPRODUCT(AX38:AZ38,$AX$2:$AZ$2) + $D38</f>
        <v>0</v>
      </c>
      <c r="DJ38" s="317" t="e">
        <f>SUMPRODUCT(BA38:BD38,$BA$2:$BD$2) + $D38</f>
        <v>#REF!</v>
      </c>
      <c r="DK38" s="317">
        <f>SUMPRODUCT(BE38:BI38,$BE$2:$BI$2) + $D38</f>
        <v>0</v>
      </c>
      <c r="DL38" s="317">
        <f>SUMPRODUCT(BJ38:BK38,$BJ$2:$BK$2) + $D38</f>
        <v>0</v>
      </c>
      <c r="DM38" s="317">
        <f>SUMPRODUCT(BL38:BM38,$BL$2:$BM$2) + $D38</f>
        <v>0</v>
      </c>
      <c r="DN38" s="317">
        <f>SUMPRODUCT(BN38:BO38,$BN$2:$BO$2) + $D38</f>
        <v>0</v>
      </c>
      <c r="DO38" s="317">
        <f>SUMPRODUCT(BP38:BR38,$BP$2:$BR$2) + $D38</f>
        <v>0</v>
      </c>
      <c r="DP38" s="317">
        <f>SUMPRODUCT(BS38:BS38,$BS$2:$BS$2) + $D38</f>
        <v>0</v>
      </c>
      <c r="DQ38" s="317">
        <f>SUMPRODUCT(BT38:BW38,$BT$2:$BW$2) + $D38</f>
        <v>0</v>
      </c>
      <c r="DR38" s="317">
        <f>SUMPRODUCT(BX38:BX38,$BX$2:$BX$2) + $D38</f>
        <v>0</v>
      </c>
      <c r="DS38" s="317">
        <f>SUMPRODUCT(BY38:CA38,$BY$2:$CA$2) + $D38</f>
        <v>0</v>
      </c>
      <c r="DT38" s="317">
        <f>SUMPRODUCT(CB38:CB38,$CB$2:$CB$2) + $D38</f>
        <v>0</v>
      </c>
      <c r="DU38" s="317">
        <f>SUMPRODUCT(CC38:CD38,$CC$2:$CD$2) + $D38</f>
        <v>0</v>
      </c>
      <c r="DV38" s="230">
        <f>SUMPRODUCT(CE38:CF38,$CE$2:$CF$2) + $D38</f>
        <v>0</v>
      </c>
      <c r="DW38" s="317">
        <f>SUMPRODUCT(CG38:CI38,$CG$2:$CI$2) + $D38</f>
        <v>0</v>
      </c>
      <c r="DX38" s="317">
        <f>SUMPRODUCT(CJ38:CO38,$CJ$2:$CO$2) + $D38</f>
        <v>0</v>
      </c>
      <c r="DY38" s="317">
        <f>SUMPRODUCT(CP38:CS38,$CP$2:$CS$2) + $D38</f>
        <v>0</v>
      </c>
      <c r="DZ38" s="230">
        <f>SUMPRODUCT(CT38:CU38,$CT$2:$CU$2) + $D38</f>
        <v>0</v>
      </c>
    </row>
    <row r="39" spans="1:130" ht="15" customHeight="1" x14ac:dyDescent="0.25">
      <c r="A39" s="1907"/>
      <c r="B39" s="1909"/>
      <c r="C39" s="18" t="s">
        <v>33</v>
      </c>
      <c r="D39" s="21"/>
      <c r="E39" s="316">
        <f>'АВЗ АСУТП'!G39</f>
        <v>5</v>
      </c>
      <c r="F39" s="316">
        <f>'АВЗ АСУТП'!K39</f>
        <v>5</v>
      </c>
      <c r="G39" s="316">
        <f>'АВЗ АСУТП'!O39</f>
        <v>5</v>
      </c>
      <c r="H39" s="230">
        <f>'АВЗ АСУТП'!S39</f>
        <v>5</v>
      </c>
      <c r="I39" s="316">
        <f>'АВЗ АСУТП'!W39</f>
        <v>5</v>
      </c>
      <c r="J39" s="230">
        <f>'АВЗ АСУТП'!AA39</f>
        <v>5</v>
      </c>
      <c r="K39" s="230">
        <f>'АВЗ АСУТП'!AE39</f>
        <v>5</v>
      </c>
      <c r="L39" s="230">
        <f>'АВЗ АСУТП'!AI39</f>
        <v>5</v>
      </c>
      <c r="M39" s="230">
        <f>'SIEM АСУТП'!G39</f>
        <v>9</v>
      </c>
      <c r="N39" s="230">
        <f>'SIEM АСУТП'!K39</f>
        <v>9</v>
      </c>
      <c r="O39" s="230">
        <f>'МСЭ АСУТП'!G39</f>
        <v>11.5</v>
      </c>
      <c r="P39" s="317">
        <f>'МСЭ АСУТП'!K39</f>
        <v>11.5</v>
      </c>
      <c r="Q39" s="230">
        <f>'МСЭ АСУТП'!O39</f>
        <v>11.5</v>
      </c>
      <c r="R39" s="230">
        <f>'МСЭ АСУТП'!S39</f>
        <v>11.5</v>
      </c>
      <c r="S39" s="230">
        <f>'PAM АСУТП'!G39</f>
        <v>17</v>
      </c>
      <c r="T39" s="230">
        <f>'PAM АСУТП'!K39</f>
        <v>17</v>
      </c>
      <c r="U39" s="230">
        <f>'PAM АСУТП'!O39</f>
        <v>17</v>
      </c>
      <c r="V39" s="230">
        <f>'СКЗИ АСУТП'!G39</f>
        <v>11</v>
      </c>
      <c r="W39" s="230">
        <f>'СКЗИ АСУТП'!K39</f>
        <v>11</v>
      </c>
      <c r="X39" s="230">
        <f>'СКЗИ АСУТП'!O39</f>
        <v>11</v>
      </c>
      <c r="Y39" s="230">
        <f>'СКЗИ АСУТП'!S39</f>
        <v>11</v>
      </c>
      <c r="Z39" s="230">
        <f>'СКЗИ АСУТП'!W39</f>
        <v>11</v>
      </c>
      <c r="AA39" s="230">
        <f>'АЗ АСУТП'!G39</f>
        <v>6</v>
      </c>
      <c r="AB39" s="230">
        <f>'АЗ АСУТП'!K39</f>
        <v>6</v>
      </c>
      <c r="AC39" s="230">
        <f>'АЗ АСУТП'!O39</f>
        <v>6</v>
      </c>
      <c r="AD39" s="230">
        <f>'АЗ АСУТП'!S39</f>
        <v>6</v>
      </c>
      <c r="AE39" s="230">
        <f>'АЗ АСУТП'!W39</f>
        <v>6</v>
      </c>
      <c r="AF39" s="230">
        <f>'РК АСУТП'!G39</f>
        <v>9.6999999999999993</v>
      </c>
      <c r="AG39" s="230">
        <f>'РК АСУТП'!K39</f>
        <v>9.6999999999999993</v>
      </c>
      <c r="AH39" s="230">
        <f>'IDS АСУТП'!G39</f>
        <v>16</v>
      </c>
      <c r="AI39" s="230">
        <f>'IDS АСУТП'!K39</f>
        <v>16</v>
      </c>
      <c r="AJ39" s="230">
        <f>'IDS АСУТП'!O39</f>
        <v>16</v>
      </c>
      <c r="AK39" s="230">
        <f>'АПМДЗ АСУТП'!G39</f>
        <v>1.6</v>
      </c>
      <c r="AL39" s="230">
        <f>'АПМДЗ АСУТП'!K39</f>
        <v>1.6</v>
      </c>
      <c r="AM39" s="230">
        <f>'НСД АСУТП'!G39</f>
        <v>1.6</v>
      </c>
      <c r="AN39" s="230">
        <f>'НСД АСУТП'!K39</f>
        <v>1.6</v>
      </c>
      <c r="AO39" s="230">
        <f>'НСД АСУТП'!O39</f>
        <v>1.6</v>
      </c>
      <c r="AP39" s="230">
        <f>'MFA АСУТП'!G39</f>
        <v>40</v>
      </c>
      <c r="AQ39" s="230">
        <f>'MFA АСУТП'!K39</f>
        <v>40</v>
      </c>
      <c r="AR39" s="230">
        <f>'MFA АСУТП'!O39</f>
        <v>40</v>
      </c>
      <c r="AS39" s="230">
        <f>'MFA АСУТП'!S39</f>
        <v>40</v>
      </c>
      <c r="AT39" s="230">
        <f>'ДИОД АСУТП'!G39</f>
        <v>4</v>
      </c>
      <c r="AU39" s="230">
        <f>'ДИОД АСУТП'!K39</f>
        <v>4</v>
      </c>
      <c r="AV39" s="230">
        <f>'ДИОД АСУТП'!O39</f>
        <v>4</v>
      </c>
      <c r="AW39" s="230">
        <f>'ДИОД АСУТП'!S39</f>
        <v>4</v>
      </c>
      <c r="AX39" s="230">
        <f>'СЗВ АСУТП'!G39</f>
        <v>12</v>
      </c>
      <c r="AY39" s="230">
        <f>'СЗВ АСУТП'!K39</f>
        <v>12</v>
      </c>
      <c r="AZ39" s="230">
        <f>'СЗВ АСУТП'!O39</f>
        <v>12</v>
      </c>
      <c r="BA39" s="230">
        <f>'SOAR АСУТП'!G39</f>
        <v>8</v>
      </c>
      <c r="BB39" s="230">
        <f>'SOAR АСУТП'!K39</f>
        <v>8</v>
      </c>
      <c r="BC39" s="230">
        <f>'SOAR АСУТП'!O39</f>
        <v>8</v>
      </c>
      <c r="BD39" s="230" t="e">
        <f>'SOAR АСУТП'!#REF!</f>
        <v>#REF!</v>
      </c>
      <c r="BE39" s="230">
        <f>'VDI АСУТП'!G39</f>
        <v>8</v>
      </c>
      <c r="BF39" s="230">
        <f>'VDI АСУТП'!K39</f>
        <v>8</v>
      </c>
      <c r="BG39" s="230">
        <f>'VDI АСУТП'!O39</f>
        <v>8</v>
      </c>
      <c r="BH39" s="230">
        <f>'VDI АСУТП'!S39</f>
        <v>8</v>
      </c>
      <c r="BI39" s="230">
        <f>'VDI АСУТП'!W39</f>
        <v>8</v>
      </c>
      <c r="BJ39" s="316">
        <f>'СУБД АСУТП'!G39</f>
        <v>2</v>
      </c>
      <c r="BK39" s="316">
        <f>'СУБД АСУТП'!K39</f>
        <v>2</v>
      </c>
      <c r="BL39" s="316">
        <f>'ГОССОПКА АСУТП'!G39</f>
        <v>32</v>
      </c>
      <c r="BM39" s="316">
        <f>'ГОССОПКА АСУТП'!K39</f>
        <v>32</v>
      </c>
      <c r="BN39" s="316">
        <f>'TLS АСУТП'!G39</f>
        <v>40</v>
      </c>
      <c r="BO39" s="316">
        <f>'TLS АСУТП'!K39</f>
        <v>40</v>
      </c>
      <c r="BP39" s="316">
        <f>'DCAP АСУТП'!G39</f>
        <v>12</v>
      </c>
      <c r="BQ39" s="316">
        <f>'DCAP АСУТП'!K39</f>
        <v>12</v>
      </c>
      <c r="BR39" s="316">
        <f>'DCAP АСУТП'!O39</f>
        <v>12</v>
      </c>
      <c r="BS39" s="316">
        <f>'DO АСУТП'!G39</f>
        <v>8.5</v>
      </c>
      <c r="BT39" s="316">
        <f>'NTA АСУТП'!G39</f>
        <v>12</v>
      </c>
      <c r="BU39" s="316">
        <f>'NTA АСУТП'!K39</f>
        <v>12</v>
      </c>
      <c r="BV39" s="316">
        <f>'NTA АСУТП'!O39</f>
        <v>32</v>
      </c>
      <c r="BW39" s="316">
        <f>'NTA АСУТП'!S39</f>
        <v>12</v>
      </c>
      <c r="BX39" s="316">
        <f>'SEG АСУТП'!G39</f>
        <v>12</v>
      </c>
      <c r="BY39" s="316">
        <f>'APT АСУТП'!G39</f>
        <v>32</v>
      </c>
      <c r="BZ39" s="316">
        <f>'APT АСУТП'!K39</f>
        <v>32</v>
      </c>
      <c r="CA39" s="316">
        <f>'APT АСУТП'!O39</f>
        <v>12</v>
      </c>
      <c r="CB39" s="316">
        <f>'NAC АСУТП'!G39</f>
        <v>40</v>
      </c>
      <c r="CC39" s="316">
        <f>'SANDBOX АСУТП'!G39</f>
        <v>16</v>
      </c>
      <c r="CD39" s="316">
        <f>'SANDBOX АСУТП'!K39</f>
        <v>16</v>
      </c>
      <c r="CE39" s="316">
        <f>'EDR АСУТП'!G39</f>
        <v>4</v>
      </c>
      <c r="CF39" s="316">
        <f>'EDR АСУТП'!K39</f>
        <v>4</v>
      </c>
      <c r="CG39" s="316">
        <f>'WAF АСУТП'!G39</f>
        <v>40</v>
      </c>
      <c r="CH39" s="316">
        <f>'WAF АСУТП'!K39</f>
        <v>40</v>
      </c>
      <c r="CI39" s="316">
        <f>'WAF АСУТП'!O39</f>
        <v>40</v>
      </c>
      <c r="CJ39" s="316">
        <f>'ВМ ЗСВ'!G39</f>
        <v>12</v>
      </c>
      <c r="CK39" s="316">
        <f>'ВМ ЗСВ'!K39</f>
        <v>12</v>
      </c>
      <c r="CL39" s="316">
        <f>'ВМ ЗСВ'!O39</f>
        <v>14</v>
      </c>
      <c r="CM39" s="316">
        <f>'ВМ ЗСВ'!S39</f>
        <v>14</v>
      </c>
      <c r="CN39" s="316">
        <f>'ВМ ЗСВ'!W39</f>
        <v>12</v>
      </c>
      <c r="CO39" s="316">
        <f>'ВМ ЗСВ'!AA39</f>
        <v>14</v>
      </c>
      <c r="CP39" s="316">
        <f>'ВМ СПО'!G39</f>
        <v>2</v>
      </c>
      <c r="CQ39" s="316">
        <f>'ВМ СПО'!K39</f>
        <v>2</v>
      </c>
      <c r="CR39" s="316">
        <f>'ВМ СПО'!O39</f>
        <v>4</v>
      </c>
      <c r="CS39" s="316">
        <f>'ВМ СПО'!S39</f>
        <v>4</v>
      </c>
      <c r="CT39" s="316">
        <f>'ВМ АСО'!G39</f>
        <v>0</v>
      </c>
      <c r="CU39" s="316">
        <f>'ВМ АСО'!K39</f>
        <v>0</v>
      </c>
      <c r="CV39" s="16" t="e">
        <f>SUMPRODUCT(E39:CU39,$E$2:$CU$2) + D39</f>
        <v>#REF!</v>
      </c>
      <c r="CW39" s="25">
        <f>SUMPRODUCT(E39:L39,$E$2:$L$2) + D39</f>
        <v>5</v>
      </c>
      <c r="CX39" s="25">
        <f>SUMPRODUCT(M39:N39,$M$2:$N$2) + D39</f>
        <v>9</v>
      </c>
      <c r="CY39" s="25">
        <f>SUMPRODUCT(O39:Q39,$O$2:$Q$2) + D39</f>
        <v>0</v>
      </c>
      <c r="CZ39" s="25">
        <f>SUMPRODUCT(S39:U39,$S$2:$U$2) + $D39</f>
        <v>0</v>
      </c>
      <c r="DA39" s="25">
        <f>SUMPRODUCT(V39:Z39,$V$2:$Z$2) + $D39</f>
        <v>0</v>
      </c>
      <c r="DB39" s="25">
        <f>SUMPRODUCT(AA39:AE39,$AA$2:$AE$2) + $D39</f>
        <v>0</v>
      </c>
      <c r="DC39" s="25">
        <f>SUMPRODUCT(AF39:AG39,$AF$2:$AG$2) + $D39</f>
        <v>0</v>
      </c>
      <c r="DD39" s="25">
        <f>SUMPRODUCT(AH39:AJ39,$AH$2:$AJ$2) + $D39</f>
        <v>0</v>
      </c>
      <c r="DE39" s="25">
        <f>SUMPRODUCT(AK39:AL39,$AK$2:$AL$2) + $D39</f>
        <v>0</v>
      </c>
      <c r="DF39" s="25">
        <f>SUMPRODUCT(AM39:AO39,$AM$2:$AO$2) + $D39</f>
        <v>0</v>
      </c>
      <c r="DG39" s="25">
        <f>SUMPRODUCT(AP39:AS39,$AP$2:$AS$2) + $D39</f>
        <v>0</v>
      </c>
      <c r="DH39" s="25">
        <f>SUMPRODUCT(AT39:AW39,$AT$2:$AW$2) + $D39</f>
        <v>0</v>
      </c>
      <c r="DI39" s="25">
        <f>SUMPRODUCT(AX39:AZ39,$AX$2:$AZ$2) + $D39</f>
        <v>0</v>
      </c>
      <c r="DJ39" s="25" t="e">
        <f>SUMPRODUCT(BA39:BD39,$BA$2:$BD$2) + $D39</f>
        <v>#REF!</v>
      </c>
      <c r="DK39" s="25">
        <f>SUMPRODUCT(BE39:BI39,$BE$2:$BI$2) + $D39</f>
        <v>0</v>
      </c>
      <c r="DL39" s="25">
        <f>SUMPRODUCT(BJ39:BK39,$BJ$2:$BK$2) + $D39</f>
        <v>0</v>
      </c>
      <c r="DM39" s="25">
        <f>SUMPRODUCT(BL39:BM39,$BL$2:$BM$2) + $D39</f>
        <v>0</v>
      </c>
      <c r="DN39" s="25">
        <f>SUMPRODUCT(BN39:BO39,$BN$2:$BO$2) + $D39</f>
        <v>0</v>
      </c>
      <c r="DO39" s="25">
        <f>SUMPRODUCT(BP39:BR39,$BP$2:$BR$2) + $D39</f>
        <v>0</v>
      </c>
      <c r="DP39" s="25">
        <f>SUMPRODUCT(BS39:BS39,$BS$2:$BS$2) + $D39</f>
        <v>0</v>
      </c>
      <c r="DQ39" s="25">
        <f>SUMPRODUCT(BT39:BW39,$BT$2:$BW$2) + $D39</f>
        <v>0</v>
      </c>
      <c r="DR39" s="25">
        <f>SUMPRODUCT(BX39:BX39,$BX$2:$BX$2) + $D39</f>
        <v>0</v>
      </c>
      <c r="DS39" s="25">
        <f>SUMPRODUCT(BY39:CA39,$BY$2:$CA$2) + $D39</f>
        <v>0</v>
      </c>
      <c r="DT39" s="25">
        <f>SUMPRODUCT(CB39:CB39,$CB$2:$CB$2) + $D39</f>
        <v>0</v>
      </c>
      <c r="DU39" s="25">
        <f>SUMPRODUCT(CC39:CD39,$CC$2:$CD$2) + $D39</f>
        <v>0</v>
      </c>
      <c r="DV39" s="21">
        <f>SUMPRODUCT(CE39:CF39,$CE$2:$CF$2) + $D39</f>
        <v>0</v>
      </c>
      <c r="DW39" s="317">
        <f>SUMPRODUCT(CG39:CI39,$CG$2:$CI$2) + $D39</f>
        <v>0</v>
      </c>
      <c r="DX39" s="317">
        <f>SUMPRODUCT(CJ39:CO39,$CJ$2:$CO$2) + $D39</f>
        <v>0</v>
      </c>
      <c r="DY39" s="317">
        <f>SUMPRODUCT(CP39:CS39,$CP$2:$CS$2) + $D39</f>
        <v>0</v>
      </c>
      <c r="DZ39" s="230">
        <f>SUMPRODUCT(CT39:CU39,$CT$2:$CU$2) + $D39</f>
        <v>0</v>
      </c>
    </row>
    <row r="40" spans="1:130" ht="15.75" customHeight="1" thickBot="1" x14ac:dyDescent="0.3">
      <c r="A40" s="1907"/>
      <c r="B40" s="1909"/>
      <c r="C40" s="81" t="s">
        <v>34</v>
      </c>
      <c r="D40" s="77"/>
      <c r="E40" s="466">
        <f>'АВЗ АСУТП'!G40</f>
        <v>7</v>
      </c>
      <c r="F40" s="466">
        <f>'АВЗ АСУТП'!K40</f>
        <v>7</v>
      </c>
      <c r="G40" s="466">
        <f>'АВЗ АСУТП'!O40</f>
        <v>7</v>
      </c>
      <c r="H40" s="467">
        <f>'АВЗ АСУТП'!S40</f>
        <v>7</v>
      </c>
      <c r="I40" s="466">
        <f>'АВЗ АСУТП'!W40</f>
        <v>7</v>
      </c>
      <c r="J40" s="467">
        <f>'АВЗ АСУТП'!AA40</f>
        <v>7</v>
      </c>
      <c r="K40" s="467">
        <f>'АВЗ АСУТП'!AE40</f>
        <v>7</v>
      </c>
      <c r="L40" s="467">
        <f>'АВЗ АСУТП'!AI40</f>
        <v>7</v>
      </c>
      <c r="M40" s="467">
        <f>'SIEM АСУТП'!G40</f>
        <v>13</v>
      </c>
      <c r="N40" s="467">
        <f>'SIEM АСУТП'!K40</f>
        <v>13</v>
      </c>
      <c r="O40" s="467">
        <f>'МСЭ АСУТП'!G40</f>
        <v>18</v>
      </c>
      <c r="P40" s="468">
        <f>'МСЭ АСУТП'!K40</f>
        <v>18</v>
      </c>
      <c r="Q40" s="467">
        <f>'МСЭ АСУТП'!O40</f>
        <v>18</v>
      </c>
      <c r="R40" s="467">
        <f>'МСЭ АСУТП'!S40</f>
        <v>18</v>
      </c>
      <c r="S40" s="467">
        <f>'PAM АСУТП'!G40</f>
        <v>21.5</v>
      </c>
      <c r="T40" s="467">
        <f>'PAM АСУТП'!K40</f>
        <v>21.5</v>
      </c>
      <c r="U40" s="467">
        <f>'PAM АСУТП'!O40</f>
        <v>21.5</v>
      </c>
      <c r="V40" s="467">
        <f>'СКЗИ АСУТП'!G40</f>
        <v>16</v>
      </c>
      <c r="W40" s="467">
        <f>'СКЗИ АСУТП'!K40</f>
        <v>16</v>
      </c>
      <c r="X40" s="467">
        <f>'СКЗИ АСУТП'!O40</f>
        <v>16</v>
      </c>
      <c r="Y40" s="467">
        <f>'СКЗИ АСУТП'!S40</f>
        <v>16</v>
      </c>
      <c r="Z40" s="467">
        <f>'СКЗИ АСУТП'!W40</f>
        <v>16</v>
      </c>
      <c r="AA40" s="467">
        <f>'АЗ АСУТП'!G40</f>
        <v>8</v>
      </c>
      <c r="AB40" s="467">
        <f>'АЗ АСУТП'!K40</f>
        <v>8</v>
      </c>
      <c r="AC40" s="467">
        <f>'АЗ АСУТП'!O40</f>
        <v>8</v>
      </c>
      <c r="AD40" s="467">
        <f>'АЗ АСУТП'!S40</f>
        <v>8</v>
      </c>
      <c r="AE40" s="467">
        <f>'АЗ АСУТП'!W40</f>
        <v>8</v>
      </c>
      <c r="AF40" s="467">
        <f>'РК АСУТП'!G40</f>
        <v>12.7</v>
      </c>
      <c r="AG40" s="467">
        <f>'РК АСУТП'!K40</f>
        <v>12.7</v>
      </c>
      <c r="AH40" s="467">
        <f>'IDS АСУТП'!G40</f>
        <v>24</v>
      </c>
      <c r="AI40" s="467">
        <f>'IDS АСУТП'!K40</f>
        <v>24</v>
      </c>
      <c r="AJ40" s="467">
        <f>'IDS АСУТП'!O40</f>
        <v>24</v>
      </c>
      <c r="AK40" s="467">
        <f>'АПМДЗ АСУТП'!G40</f>
        <v>2.4000000000000004</v>
      </c>
      <c r="AL40" s="467">
        <f>'АПМДЗ АСУТП'!K40</f>
        <v>2.4000000000000004</v>
      </c>
      <c r="AM40" s="467">
        <f>'НСД АСУТП'!G40</f>
        <v>2.4000000000000004</v>
      </c>
      <c r="AN40" s="467">
        <f>'НСД АСУТП'!K40</f>
        <v>2.4000000000000004</v>
      </c>
      <c r="AO40" s="467">
        <f>'НСД АСУТП'!O40</f>
        <v>2.4000000000000004</v>
      </c>
      <c r="AP40" s="467">
        <f>'MFA АСУТП'!G40</f>
        <v>60</v>
      </c>
      <c r="AQ40" s="467">
        <f>'MFA АСУТП'!K40</f>
        <v>60</v>
      </c>
      <c r="AR40" s="467">
        <f>'MFA АСУТП'!O40</f>
        <v>60</v>
      </c>
      <c r="AS40" s="467">
        <f>'MFA АСУТП'!S40</f>
        <v>60</v>
      </c>
      <c r="AT40" s="467">
        <f>'ДИОД АСУТП'!G40</f>
        <v>6</v>
      </c>
      <c r="AU40" s="467">
        <f>'ДИОД АСУТП'!K40</f>
        <v>6</v>
      </c>
      <c r="AV40" s="467">
        <f>'ДИОД АСУТП'!O40</f>
        <v>6</v>
      </c>
      <c r="AW40" s="467">
        <f>'ДИОД АСУТП'!S40</f>
        <v>6</v>
      </c>
      <c r="AX40" s="467">
        <f>'СЗВ АСУТП'!G40</f>
        <v>14</v>
      </c>
      <c r="AY40" s="467">
        <f>'СЗВ АСУТП'!K40</f>
        <v>14</v>
      </c>
      <c r="AZ40" s="467">
        <f>'СЗВ АСУТП'!O40</f>
        <v>14</v>
      </c>
      <c r="BA40" s="467">
        <f>'SOAR АСУТП'!G40</f>
        <v>12</v>
      </c>
      <c r="BB40" s="467">
        <f>'SOAR АСУТП'!K40</f>
        <v>12</v>
      </c>
      <c r="BC40" s="467">
        <f>'SOAR АСУТП'!O40</f>
        <v>12</v>
      </c>
      <c r="BD40" s="467" t="e">
        <f>'SOAR АСУТП'!#REF!</f>
        <v>#REF!</v>
      </c>
      <c r="BE40" s="467">
        <f>'VDI АСУТП'!G40</f>
        <v>12</v>
      </c>
      <c r="BF40" s="467">
        <f>'VDI АСУТП'!K40</f>
        <v>12</v>
      </c>
      <c r="BG40" s="467">
        <f>'VDI АСУТП'!O40</f>
        <v>12</v>
      </c>
      <c r="BH40" s="467">
        <f>'VDI АСУТП'!S40</f>
        <v>12</v>
      </c>
      <c r="BI40" s="467">
        <f>'VDI АСУТП'!W40</f>
        <v>12</v>
      </c>
      <c r="BJ40" s="466">
        <f>'СУБД АСУТП'!G40</f>
        <v>4</v>
      </c>
      <c r="BK40" s="466">
        <f>'СУБД АСУТП'!K40</f>
        <v>4</v>
      </c>
      <c r="BL40" s="466">
        <f>'ГОССОПКА АСУТП'!G40</f>
        <v>40</v>
      </c>
      <c r="BM40" s="466">
        <f>'ГОССОПКА АСУТП'!K40</f>
        <v>40</v>
      </c>
      <c r="BN40" s="466">
        <f>'TLS АСУТП'!G40</f>
        <v>60</v>
      </c>
      <c r="BO40" s="466">
        <f>'TLS АСУТП'!K40</f>
        <v>60</v>
      </c>
      <c r="BP40" s="466">
        <f>'DCAP АСУТП'!G40</f>
        <v>14</v>
      </c>
      <c r="BQ40" s="466">
        <f>'DCAP АСУТП'!K40</f>
        <v>14</v>
      </c>
      <c r="BR40" s="466">
        <f>'DCAP АСУТП'!O40</f>
        <v>14</v>
      </c>
      <c r="BS40" s="466">
        <f>'DO АСУТП'!G40</f>
        <v>12.5</v>
      </c>
      <c r="BT40" s="466">
        <f>'NTA АСУТП'!G40</f>
        <v>14</v>
      </c>
      <c r="BU40" s="466">
        <f>'NTA АСУТП'!K40</f>
        <v>14</v>
      </c>
      <c r="BV40" s="466">
        <f>'NTA АСУТП'!O40</f>
        <v>48</v>
      </c>
      <c r="BW40" s="466">
        <f>'NTA АСУТП'!S40</f>
        <v>14</v>
      </c>
      <c r="BX40" s="466">
        <f>'SEG АСУТП'!G40</f>
        <v>14</v>
      </c>
      <c r="BY40" s="466">
        <f>'APT АСУТП'!G40</f>
        <v>40</v>
      </c>
      <c r="BZ40" s="466">
        <f>'APT АСУТП'!K40</f>
        <v>40</v>
      </c>
      <c r="CA40" s="466">
        <f>'APT АСУТП'!O40</f>
        <v>14</v>
      </c>
      <c r="CB40" s="466">
        <f>'NAC АСУТП'!G40</f>
        <v>60</v>
      </c>
      <c r="CC40" s="466">
        <f>'SANDBOX АСУТП'!G40</f>
        <v>32</v>
      </c>
      <c r="CD40" s="466">
        <f>'SANDBOX АСУТП'!K40</f>
        <v>32</v>
      </c>
      <c r="CE40" s="466">
        <f>'EDR АСУТП'!G40</f>
        <v>6</v>
      </c>
      <c r="CF40" s="466">
        <f>'EDR АСУТП'!K40</f>
        <v>6</v>
      </c>
      <c r="CG40" s="466">
        <f>'WAF АСУТП'!G40</f>
        <v>60</v>
      </c>
      <c r="CH40" s="466">
        <f>'WAF АСУТП'!K40</f>
        <v>60</v>
      </c>
      <c r="CI40" s="466">
        <f>'WAF АСУТП'!O40</f>
        <v>60</v>
      </c>
      <c r="CJ40" s="622">
        <f>'ВМ ЗСВ'!G40</f>
        <v>14</v>
      </c>
      <c r="CK40" s="742">
        <f>'ВМ ЗСВ'!K40</f>
        <v>14</v>
      </c>
      <c r="CL40" s="742">
        <f>'ВМ ЗСВ'!O40</f>
        <v>18</v>
      </c>
      <c r="CM40" s="742">
        <f>'ВМ ЗСВ'!S40</f>
        <v>16</v>
      </c>
      <c r="CN40" s="742">
        <f>'ВМ ЗСВ'!W40</f>
        <v>14</v>
      </c>
      <c r="CO40" s="742">
        <f>'ВМ ЗСВ'!AA40</f>
        <v>16</v>
      </c>
      <c r="CP40" s="622">
        <f>'ВМ СПО'!G40</f>
        <v>4</v>
      </c>
      <c r="CQ40" s="742">
        <f>'ВМ СПО'!K40</f>
        <v>4</v>
      </c>
      <c r="CR40" s="742">
        <f>'ВМ СПО'!O40</f>
        <v>6</v>
      </c>
      <c r="CS40" s="742">
        <f>'ВМ СПО'!S40</f>
        <v>6</v>
      </c>
      <c r="CT40" s="742">
        <f>'ВМ АСО'!G40</f>
        <v>0</v>
      </c>
      <c r="CU40" s="742">
        <f>'ВМ АСО'!K40</f>
        <v>0</v>
      </c>
      <c r="CV40" s="192" t="e">
        <f>SUMPRODUCT(E40:CU40,$E$2:$CU$2) + D40</f>
        <v>#REF!</v>
      </c>
      <c r="CW40" s="392">
        <f>SUMPRODUCT(E40:L40,$E$2:$L$2) + D40</f>
        <v>7</v>
      </c>
      <c r="CX40" s="392">
        <f>SUMPRODUCT(M40:N40,$M$2:$N$2) + D40</f>
        <v>13</v>
      </c>
      <c r="CY40" s="392">
        <f>SUMPRODUCT(O40:Q40,$O$2:$Q$2) + D40</f>
        <v>0</v>
      </c>
      <c r="CZ40" s="392">
        <f>SUMPRODUCT(S40:U40,$S$2:$U$2) + $D40</f>
        <v>0</v>
      </c>
      <c r="DA40" s="392">
        <f>SUMPRODUCT(V40:Z40,$V$2:$Z$2) + $D40</f>
        <v>0</v>
      </c>
      <c r="DB40" s="392">
        <f>SUMPRODUCT(AA40:AE40,$AA$2:$AE$2) + $D40</f>
        <v>0</v>
      </c>
      <c r="DC40" s="392">
        <f>SUMPRODUCT(AF40:AG40,$AF$2:$AG$2) + $D40</f>
        <v>0</v>
      </c>
      <c r="DD40" s="392">
        <f>SUMPRODUCT(AH40:AJ40,$AH$2:$AJ$2) + $D40</f>
        <v>0</v>
      </c>
      <c r="DE40" s="392">
        <f>SUMPRODUCT(AK40:AL40,$AK$2:$AL$2) + $D40</f>
        <v>0</v>
      </c>
      <c r="DF40" s="392">
        <f>SUMPRODUCT(AM40:AO40,$AM$2:$AO$2) + $D40</f>
        <v>0</v>
      </c>
      <c r="DG40" s="392">
        <f>SUMPRODUCT(AP40:AS40,$AP$2:$AS$2) + $D40</f>
        <v>0</v>
      </c>
      <c r="DH40" s="392">
        <f>SUMPRODUCT(AT40:AW40,$AT$2:$AW$2) + $D40</f>
        <v>0</v>
      </c>
      <c r="DI40" s="392">
        <f>SUMPRODUCT(AX40:AZ40,$AX$2:$AZ$2) + $D40</f>
        <v>0</v>
      </c>
      <c r="DJ40" s="392" t="e">
        <f>SUMPRODUCT(BA40:BD40,$BA$2:$BD$2) + $D40</f>
        <v>#REF!</v>
      </c>
      <c r="DK40" s="392">
        <f>SUMPRODUCT(BE40:BI40,$BE$2:$BI$2) + $D40</f>
        <v>0</v>
      </c>
      <c r="DL40" s="392">
        <f>SUMPRODUCT(BJ40:BK40,$BJ$2:$BK$2) + $D40</f>
        <v>0</v>
      </c>
      <c r="DM40" s="392">
        <f>SUMPRODUCT(BL40:BM40,$BL$2:$BM$2) + $D40</f>
        <v>0</v>
      </c>
      <c r="DN40" s="392">
        <f>SUMPRODUCT(BN40:BO40,$BN$2:$BO$2) + $D40</f>
        <v>0</v>
      </c>
      <c r="DO40" s="392">
        <f>SUMPRODUCT(BP40:BR40,$BP$2:$BR$2) + $D40</f>
        <v>0</v>
      </c>
      <c r="DP40" s="392">
        <f>SUMPRODUCT(BS40:BS40,$BS$2:$BS$2) + $D40</f>
        <v>0</v>
      </c>
      <c r="DQ40" s="392">
        <f>SUMPRODUCT(BT40:BW40,$BT$2:$BW$2) + $D40</f>
        <v>0</v>
      </c>
      <c r="DR40" s="392">
        <f>SUMPRODUCT(BX40:BX40,$BX$2:$BX$2) + $D40</f>
        <v>0</v>
      </c>
      <c r="DS40" s="392">
        <f>SUMPRODUCT(BY40:CA40,$BY$2:$CA$2) + $D40</f>
        <v>0</v>
      </c>
      <c r="DT40" s="392">
        <f>SUMPRODUCT(CB40:CB40,$CB$2:$CB$2) + $D40</f>
        <v>0</v>
      </c>
      <c r="DU40" s="392">
        <f>SUMPRODUCT(CC40:CD40,$CC$2:$CD$2) + $D40</f>
        <v>0</v>
      </c>
      <c r="DV40" s="77">
        <f>SUMPRODUCT(CE40:CF40,$CE$2:$CF$2) + $D40</f>
        <v>0</v>
      </c>
      <c r="DW40" s="468">
        <f>SUMPRODUCT(CG40:CI40,$CG$2:$CI$2) + $D40</f>
        <v>0</v>
      </c>
      <c r="DX40" s="788">
        <f>SUMPRODUCT(CJ40:CO40,$CJ$2:$CO$2) + $D40</f>
        <v>0</v>
      </c>
      <c r="DY40" s="788">
        <f>SUMPRODUCT(CP40:CS40,$CP$2:$CS$2) + $D40</f>
        <v>0</v>
      </c>
      <c r="DZ40" s="622">
        <f>SUMPRODUCT(CT40:CU40,$CT$2:$CU$2) + $D40</f>
        <v>0</v>
      </c>
    </row>
    <row r="41" spans="1:130" ht="16.5" thickBot="1" x14ac:dyDescent="0.3">
      <c r="A41" s="330" t="s">
        <v>13</v>
      </c>
      <c r="B41" s="329"/>
      <c r="C41" s="329"/>
      <c r="D41" s="329"/>
      <c r="E41" s="393"/>
      <c r="F41" s="393"/>
      <c r="G41" s="393"/>
      <c r="H41" s="393"/>
      <c r="I41" s="393"/>
      <c r="J41" s="393"/>
      <c r="K41" s="39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3"/>
      <c r="BK41" s="393"/>
      <c r="BL41" s="393"/>
      <c r="BM41" s="393"/>
      <c r="BN41" s="393"/>
      <c r="BO41" s="393"/>
      <c r="BP41" s="393"/>
      <c r="BQ41" s="393"/>
      <c r="BR41" s="393"/>
      <c r="BS41" s="393"/>
      <c r="BT41" s="393"/>
      <c r="BU41" s="393"/>
      <c r="BV41" s="393"/>
      <c r="BW41" s="393"/>
      <c r="BX41" s="393"/>
      <c r="BY41" s="393"/>
      <c r="BZ41" s="393"/>
      <c r="CA41" s="393"/>
      <c r="CB41" s="393"/>
      <c r="CC41" s="393"/>
      <c r="CD41" s="393"/>
      <c r="CE41" s="393"/>
      <c r="CF41" s="393"/>
      <c r="CG41" s="393"/>
      <c r="CH41" s="393"/>
      <c r="CI41" s="393"/>
      <c r="CJ41" s="393"/>
      <c r="CK41" s="393"/>
      <c r="CL41" s="393"/>
      <c r="CM41" s="393"/>
      <c r="CN41" s="393"/>
      <c r="CO41" s="393"/>
      <c r="CP41" s="783"/>
      <c r="CQ41" s="783"/>
      <c r="CR41" s="783"/>
      <c r="CS41" s="783"/>
      <c r="CT41" s="783"/>
      <c r="CU41" s="783"/>
      <c r="CV41" s="329"/>
      <c r="CW41" s="329"/>
      <c r="CX41" s="329"/>
      <c r="CY41" s="329"/>
      <c r="CZ41" s="329"/>
      <c r="DA41" s="329"/>
      <c r="DB41" s="329"/>
      <c r="DC41" s="329"/>
      <c r="DD41" s="329"/>
      <c r="DE41" s="329"/>
      <c r="DF41" s="329"/>
      <c r="DG41" s="329"/>
      <c r="DH41" s="329"/>
      <c r="DI41" s="329"/>
      <c r="DJ41" s="329"/>
      <c r="DK41" s="329"/>
      <c r="DL41" s="329"/>
      <c r="DM41" s="329"/>
      <c r="DN41" s="329"/>
      <c r="DO41" s="329"/>
      <c r="DP41" s="329"/>
      <c r="DQ41" s="329"/>
      <c r="DR41" s="329"/>
      <c r="DS41" s="329"/>
      <c r="DT41" s="329"/>
      <c r="DU41" s="329"/>
      <c r="DV41" s="329"/>
      <c r="DW41" s="329"/>
      <c r="DX41" s="783"/>
      <c r="DY41" s="783"/>
      <c r="DZ41" s="782"/>
    </row>
    <row r="42" spans="1:130" ht="15" customHeight="1" x14ac:dyDescent="0.25">
      <c r="A42" s="1907" t="s">
        <v>14</v>
      </c>
      <c r="B42" s="1918">
        <f>IF('Тип разраб-ой док-ции'!F19=1,1,0)</f>
        <v>1</v>
      </c>
      <c r="C42" s="325" t="s">
        <v>32</v>
      </c>
      <c r="D42" s="230"/>
      <c r="E42" s="316">
        <f>'АВЗ АСУТП'!G42</f>
        <v>2</v>
      </c>
      <c r="F42" s="316">
        <f>'АВЗ АСУТП'!K42</f>
        <v>2</v>
      </c>
      <c r="G42" s="316">
        <f>'АВЗ АСУТП'!O42</f>
        <v>2</v>
      </c>
      <c r="H42" s="230">
        <f>'АВЗ АСУТП'!S42</f>
        <v>2</v>
      </c>
      <c r="I42" s="316">
        <f>'АВЗ АСУТП'!W42</f>
        <v>2</v>
      </c>
      <c r="J42" s="230">
        <f>'АВЗ АСУТП'!AA42</f>
        <v>2</v>
      </c>
      <c r="K42" s="230">
        <f>'АВЗ АСУТП'!AE42</f>
        <v>2</v>
      </c>
      <c r="L42" s="230">
        <f>'АВЗ АСУТП'!AI42</f>
        <v>2</v>
      </c>
      <c r="M42" s="230">
        <f>'SIEM АСУТП'!G42</f>
        <v>0.5</v>
      </c>
      <c r="N42" s="230">
        <f>'SIEM АСУТП'!K42</f>
        <v>0.5</v>
      </c>
      <c r="O42" s="230">
        <f>'МСЭ АСУТП'!G42</f>
        <v>1</v>
      </c>
      <c r="P42" s="317">
        <f>'МСЭ АСУТП'!K42</f>
        <v>1</v>
      </c>
      <c r="Q42" s="230">
        <f>'МСЭ АСУТП'!O42</f>
        <v>1</v>
      </c>
      <c r="R42" s="230">
        <f>'МСЭ АСУТП'!S42</f>
        <v>1</v>
      </c>
      <c r="S42" s="230">
        <f>'PAM АСУТП'!G42</f>
        <v>1</v>
      </c>
      <c r="T42" s="230">
        <f>'PAM АСУТП'!K42</f>
        <v>1</v>
      </c>
      <c r="U42" s="230">
        <f>'PAM АСУТП'!O42</f>
        <v>1</v>
      </c>
      <c r="V42" s="230">
        <f>'СКЗИ АСУТП'!G42</f>
        <v>2</v>
      </c>
      <c r="W42" s="230">
        <f>'СКЗИ АСУТП'!K42</f>
        <v>2</v>
      </c>
      <c r="X42" s="230">
        <f>'СКЗИ АСУТП'!O42</f>
        <v>2</v>
      </c>
      <c r="Y42" s="230">
        <f>'СКЗИ АСУТП'!S42</f>
        <v>2</v>
      </c>
      <c r="Z42" s="230">
        <f>'СКЗИ АСУТП'!W42</f>
        <v>2</v>
      </c>
      <c r="AA42" s="230">
        <f>'АЗ АСУТП'!G42</f>
        <v>1</v>
      </c>
      <c r="AB42" s="230">
        <f>'АЗ АСУТП'!K42</f>
        <v>1</v>
      </c>
      <c r="AC42" s="230">
        <f>'АЗ АСУТП'!O42</f>
        <v>1</v>
      </c>
      <c r="AD42" s="230">
        <f>'АЗ АСУТП'!S42</f>
        <v>1</v>
      </c>
      <c r="AE42" s="230">
        <f>'АЗ АСУТП'!W42</f>
        <v>1</v>
      </c>
      <c r="AF42" s="230">
        <f>'РК АСУТП'!G42</f>
        <v>0</v>
      </c>
      <c r="AG42" s="230">
        <f>'РК АСУТП'!K42</f>
        <v>0</v>
      </c>
      <c r="AH42" s="230">
        <f>'IDS АСУТП'!G42</f>
        <v>1</v>
      </c>
      <c r="AI42" s="230">
        <f>'IDS АСУТП'!K42</f>
        <v>1</v>
      </c>
      <c r="AJ42" s="230">
        <f>'IDS АСУТП'!O42</f>
        <v>1</v>
      </c>
      <c r="AK42" s="230">
        <f>'АПМДЗ АСУТП'!G42</f>
        <v>0.32000000000000006</v>
      </c>
      <c r="AL42" s="230">
        <f>'АПМДЗ АСУТП'!K42</f>
        <v>0.32000000000000006</v>
      </c>
      <c r="AM42" s="230">
        <f>'НСД АСУТП'!G42</f>
        <v>0.32000000000000006</v>
      </c>
      <c r="AN42" s="230">
        <f>'НСД АСУТП'!K42</f>
        <v>0.32000000000000006</v>
      </c>
      <c r="AO42" s="230">
        <f>'НСД АСУТП'!O42</f>
        <v>0.32000000000000006</v>
      </c>
      <c r="AP42" s="230">
        <f>'MFA АСУТП'!G42</f>
        <v>1</v>
      </c>
      <c r="AQ42" s="230">
        <f>'MFA АСУТП'!K42</f>
        <v>1</v>
      </c>
      <c r="AR42" s="230">
        <f>'MFA АСУТП'!O42</f>
        <v>1</v>
      </c>
      <c r="AS42" s="230">
        <f>'MFA АСУТП'!S42</f>
        <v>1</v>
      </c>
      <c r="AT42" s="230">
        <f>'ДИОД АСУТП'!G42</f>
        <v>0</v>
      </c>
      <c r="AU42" s="230">
        <f>'ДИОД АСУТП'!K42</f>
        <v>0</v>
      </c>
      <c r="AV42" s="230">
        <f>'ДИОД АСУТП'!O42</f>
        <v>0</v>
      </c>
      <c r="AW42" s="230">
        <f>'ДИОД АСУТП'!S42</f>
        <v>0</v>
      </c>
      <c r="AX42" s="230">
        <f>'СЗВ АСУТП'!G42</f>
        <v>2</v>
      </c>
      <c r="AY42" s="230">
        <f>'СЗВ АСУТП'!K42</f>
        <v>2</v>
      </c>
      <c r="AZ42" s="230">
        <f>'СЗВ АСУТП'!O42</f>
        <v>2</v>
      </c>
      <c r="BA42" s="230">
        <f>'SOAR АСУТП'!G42</f>
        <v>0</v>
      </c>
      <c r="BB42" s="230">
        <f>'SOAR АСУТП'!K42</f>
        <v>0</v>
      </c>
      <c r="BC42" s="230">
        <f>'SOAR АСУТП'!O42</f>
        <v>0</v>
      </c>
      <c r="BD42" s="230" t="e">
        <f>'SOAR АСУТП'!#REF!</f>
        <v>#REF!</v>
      </c>
      <c r="BE42" s="230">
        <f>'VDI АСУТП'!G42</f>
        <v>1</v>
      </c>
      <c r="BF42" s="230">
        <f>'VDI АСУТП'!K42</f>
        <v>1</v>
      </c>
      <c r="BG42" s="230">
        <f>'VDI АСУТП'!O42</f>
        <v>1</v>
      </c>
      <c r="BH42" s="230">
        <f>'VDI АСУТП'!S42</f>
        <v>1</v>
      </c>
      <c r="BI42" s="230">
        <f>'VDI АСУТП'!W42</f>
        <v>1</v>
      </c>
      <c r="BJ42" s="316">
        <f>'СУБД АСУТП'!G42</f>
        <v>1</v>
      </c>
      <c r="BK42" s="316">
        <f>'СУБД АСУТП'!K42</f>
        <v>1</v>
      </c>
      <c r="BL42" s="316">
        <f>'ГОССОПКА АСУТП'!G42</f>
        <v>2</v>
      </c>
      <c r="BM42" s="316">
        <f>'ГОССОПКА АСУТП'!K42</f>
        <v>1</v>
      </c>
      <c r="BN42" s="316">
        <f>'TLS АСУТП'!G42</f>
        <v>1</v>
      </c>
      <c r="BO42" s="316">
        <f>'TLS АСУТП'!K42</f>
        <v>1</v>
      </c>
      <c r="BP42" s="316">
        <f>'DCAP АСУТП'!G42</f>
        <v>1</v>
      </c>
      <c r="BQ42" s="316">
        <f>'DCAP АСУТП'!K42</f>
        <v>1</v>
      </c>
      <c r="BR42" s="316">
        <f>'DCAP АСУТП'!O42</f>
        <v>1</v>
      </c>
      <c r="BS42" s="316">
        <f>'DO АСУТП'!G42</f>
        <v>1</v>
      </c>
      <c r="BT42" s="316">
        <f>'NTA АСУТП'!G42</f>
        <v>1</v>
      </c>
      <c r="BU42" s="316">
        <f>'NTA АСУТП'!K42</f>
        <v>1</v>
      </c>
      <c r="BV42" s="316">
        <f>'NTA АСУТП'!O42</f>
        <v>1</v>
      </c>
      <c r="BW42" s="316">
        <f>'NTA АСУТП'!S42</f>
        <v>1</v>
      </c>
      <c r="BX42" s="316">
        <f>'SEG АСУТП'!G42</f>
        <v>1</v>
      </c>
      <c r="BY42" s="316">
        <f>'APT АСУТП'!G42</f>
        <v>1</v>
      </c>
      <c r="BZ42" s="316">
        <f>'APT АСУТП'!K42</f>
        <v>1</v>
      </c>
      <c r="CA42" s="316">
        <f>'APT АСУТП'!O42</f>
        <v>2</v>
      </c>
      <c r="CB42" s="316">
        <f>'NAC АСУТП'!G42</f>
        <v>0</v>
      </c>
      <c r="CC42" s="316">
        <f>'SANDBOX АСУТП'!G42</f>
        <v>1</v>
      </c>
      <c r="CD42" s="316">
        <f>'SANDBOX АСУТП'!K42</f>
        <v>1</v>
      </c>
      <c r="CE42" s="316">
        <f>'EDR АСУТП'!G42</f>
        <v>0</v>
      </c>
      <c r="CF42" s="316">
        <f>'EDR АСУТП'!K42</f>
        <v>0</v>
      </c>
      <c r="CG42" s="316">
        <f>'WAF АСУТП'!G42</f>
        <v>0</v>
      </c>
      <c r="CH42" s="316">
        <f>'WAF АСУТП'!K42</f>
        <v>0</v>
      </c>
      <c r="CI42" s="316">
        <f>'WAF АСУТП'!O42</f>
        <v>0</v>
      </c>
      <c r="CJ42" s="316">
        <f>'ВМ ЗСВ'!G42</f>
        <v>1</v>
      </c>
      <c r="CK42" s="316">
        <f>'ВМ ЗСВ'!K42</f>
        <v>2</v>
      </c>
      <c r="CL42" s="316">
        <f>'ВМ ЗСВ'!O42</f>
        <v>1</v>
      </c>
      <c r="CM42" s="316">
        <f>'ВМ ЗСВ'!S42</f>
        <v>1</v>
      </c>
      <c r="CN42" s="316">
        <f>'ВМ ЗСВ'!W42</f>
        <v>1</v>
      </c>
      <c r="CO42" s="316">
        <f>'ВМ ЗСВ'!AA42</f>
        <v>1</v>
      </c>
      <c r="CP42" s="316">
        <f>'ВМ СПО'!G42</f>
        <v>0.5</v>
      </c>
      <c r="CQ42" s="316">
        <f>'ВМ СПО'!K42</f>
        <v>0.5</v>
      </c>
      <c r="CR42" s="316">
        <f>'ВМ СПО'!O42</f>
        <v>2</v>
      </c>
      <c r="CS42" s="316">
        <f>'ВМ СПО'!S42</f>
        <v>4</v>
      </c>
      <c r="CT42" s="316">
        <f>'ВМ АСО'!G42</f>
        <v>0</v>
      </c>
      <c r="CU42" s="316">
        <f>'ВМ АСО'!K42</f>
        <v>0</v>
      </c>
      <c r="CV42" s="316" t="e">
        <f t="shared" ref="CV42:CV86" si="62">SUMPRODUCT(E42:CU42,$E$2:$CU$2) + D42</f>
        <v>#REF!</v>
      </c>
      <c r="CW42" s="317">
        <f t="shared" ref="CW42:CW86" si="63">SUMPRODUCT(E42:L42,$E$2:$L$2) + D42</f>
        <v>2</v>
      </c>
      <c r="CX42" s="317">
        <f t="shared" ref="CX42:CX86" si="64">SUMPRODUCT(M42:N42,$M$2:$N$2) + D42</f>
        <v>0.5</v>
      </c>
      <c r="CY42" s="317">
        <f t="shared" ref="CY42:CY86" si="65">SUMPRODUCT(O42:Q42,$O$2:$Q$2) + D42</f>
        <v>0</v>
      </c>
      <c r="CZ42" s="317">
        <f t="shared" ref="CZ42:CZ86" si="66">SUMPRODUCT(S42:U42,$S$2:$U$2) + $D42</f>
        <v>0</v>
      </c>
      <c r="DA42" s="317">
        <f t="shared" ref="DA42:DA86" si="67">SUMPRODUCT(V42:Z42,$V$2:$Z$2) + $D42</f>
        <v>0</v>
      </c>
      <c r="DB42" s="317">
        <f t="shared" ref="DB42:DB86" si="68">SUMPRODUCT(AA42:AE42,$AA$2:$AE$2) + $D42</f>
        <v>0</v>
      </c>
      <c r="DC42" s="317">
        <f t="shared" ref="DC42:DC86" si="69">SUMPRODUCT(AF42:AG42,$AF$2:$AG$2) + $D42</f>
        <v>0</v>
      </c>
      <c r="DD42" s="317">
        <f t="shared" ref="DD42:DD86" si="70">SUMPRODUCT(AH42:AJ42,$AH$2:$AJ$2) + $D42</f>
        <v>0</v>
      </c>
      <c r="DE42" s="317">
        <f t="shared" ref="DE42:DE86" si="71">SUMPRODUCT(AK42:AL42,$AK$2:$AL$2) + $D42</f>
        <v>0</v>
      </c>
      <c r="DF42" s="317">
        <f t="shared" ref="DF42:DF86" si="72">SUMPRODUCT(AM42:AO42,$AM$2:$AO$2) + $D42</f>
        <v>0</v>
      </c>
      <c r="DG42" s="317">
        <f t="shared" ref="DG42:DG86" si="73">SUMPRODUCT(AP42:AS42,$AP$2:$AS$2) + $D42</f>
        <v>0</v>
      </c>
      <c r="DH42" s="317">
        <f t="shared" ref="DH42:DH86" si="74">SUMPRODUCT(AT42:AW42,$AT$2:$AW$2) + $D42</f>
        <v>0</v>
      </c>
      <c r="DI42" s="317">
        <f t="shared" ref="DI42:DI86" si="75">SUMPRODUCT(AX42:AZ42,$AX$2:$AZ$2) + $D42</f>
        <v>0</v>
      </c>
      <c r="DJ42" s="317" t="e">
        <f t="shared" ref="DJ42:DJ86" si="76">SUMPRODUCT(BA42:BD42,$BA$2:$BD$2) + $D42</f>
        <v>#REF!</v>
      </c>
      <c r="DK42" s="317">
        <f t="shared" ref="DK42:DK86" si="77">SUMPRODUCT(BE42:BI42,$BE$2:$BI$2) + $D42</f>
        <v>0</v>
      </c>
      <c r="DL42" s="317">
        <f t="shared" ref="DL42:DL86" si="78">SUMPRODUCT(BJ42:BK42,$BJ$2:$BK$2) + $D42</f>
        <v>0</v>
      </c>
      <c r="DM42" s="317">
        <f t="shared" ref="DM42:DM86" si="79">SUMPRODUCT(BL42:BM42,$BL$2:$BM$2) + $D42</f>
        <v>0</v>
      </c>
      <c r="DN42" s="317">
        <f t="shared" ref="DN42:DN86" si="80">SUMPRODUCT(BN42:BO42,$BN$2:$BO$2) + $D42</f>
        <v>0</v>
      </c>
      <c r="DO42" s="317">
        <f t="shared" ref="DO42:DO86" si="81">SUMPRODUCT(BP42:BR42,$BP$2:$BR$2) + $D42</f>
        <v>0</v>
      </c>
      <c r="DP42" s="317">
        <f t="shared" ref="DP42:DP86" si="82">SUMPRODUCT(BS42:BS42,$BS$2:$BS$2) + $D42</f>
        <v>0</v>
      </c>
      <c r="DQ42" s="317">
        <f t="shared" ref="DQ42:DQ86" si="83">SUMPRODUCT(BT42:BW42,$BT$2:$BW$2) + $D42</f>
        <v>0</v>
      </c>
      <c r="DR42" s="317">
        <f t="shared" ref="DR42:DR86" si="84">SUMPRODUCT(BX42:BX42,$BX$2:$BX$2) + $D42</f>
        <v>0</v>
      </c>
      <c r="DS42" s="317">
        <f t="shared" ref="DS42:DS86" si="85">SUMPRODUCT(BY42:CA42,$BY$2:$CA$2) + $D42</f>
        <v>0</v>
      </c>
      <c r="DT42" s="317">
        <f t="shared" ref="DT42:DT86" si="86">SUMPRODUCT(CB42:CB42,$CB$2:$CB$2) + $D42</f>
        <v>0</v>
      </c>
      <c r="DU42" s="317">
        <f t="shared" ref="DU42:DU86" si="87">SUMPRODUCT(CC42:CD42,$CC$2:$CD$2) + $D42</f>
        <v>0</v>
      </c>
      <c r="DV42" s="230">
        <f t="shared" ref="DV42:DV86" si="88">SUMPRODUCT(CE42:CF42,$CE$2:$CF$2) + $D42</f>
        <v>0</v>
      </c>
      <c r="DW42" s="317">
        <f t="shared" ref="DW42:DW86" si="89">SUMPRODUCT(CG42:CI42,$CG$2:$CI$2) + $D42</f>
        <v>0</v>
      </c>
      <c r="DX42" s="317">
        <f t="shared" ref="DX42:DX86" si="90">SUMPRODUCT(CJ42:CO42,$CJ$2:$CO$2) + $D42</f>
        <v>0</v>
      </c>
      <c r="DY42" s="317">
        <f t="shared" ref="DY42:DY86" si="91">SUMPRODUCT(CP42:CS42,$CP$2:$CS$2) + $D42</f>
        <v>0</v>
      </c>
      <c r="DZ42" s="230">
        <f t="shared" ref="DZ42:DZ86" si="92">SUMPRODUCT(CT42:CU42,$CT$2:$CU$2) + $D42</f>
        <v>0</v>
      </c>
    </row>
    <row r="43" spans="1:130" ht="15" customHeight="1" x14ac:dyDescent="0.25">
      <c r="A43" s="1907"/>
      <c r="B43" s="1909"/>
      <c r="C43" s="18" t="s">
        <v>33</v>
      </c>
      <c r="D43" s="21"/>
      <c r="E43" s="316">
        <f>'АВЗ АСУТП'!G43</f>
        <v>0.5</v>
      </c>
      <c r="F43" s="316">
        <f>'АВЗ АСУТП'!K43</f>
        <v>0.5</v>
      </c>
      <c r="G43" s="316">
        <f>'АВЗ АСУТП'!O43</f>
        <v>0.5</v>
      </c>
      <c r="H43" s="230">
        <f>'АВЗ АСУТП'!S43</f>
        <v>0.5</v>
      </c>
      <c r="I43" s="316">
        <f>'АВЗ АСУТП'!W43</f>
        <v>0.5</v>
      </c>
      <c r="J43" s="230">
        <f>'АВЗ АСУТП'!AA43</f>
        <v>0.5</v>
      </c>
      <c r="K43" s="230">
        <f>'АВЗ АСУТП'!AE43</f>
        <v>0.5</v>
      </c>
      <c r="L43" s="230">
        <f>'АВЗ АСУТП'!AI43</f>
        <v>0.5</v>
      </c>
      <c r="M43" s="230">
        <f>'SIEM АСУТП'!G43</f>
        <v>1</v>
      </c>
      <c r="N43" s="230">
        <f>'SIEM АСУТП'!K43</f>
        <v>1</v>
      </c>
      <c r="O43" s="230">
        <f>'МСЭ АСУТП'!G43</f>
        <v>2</v>
      </c>
      <c r="P43" s="317">
        <f>'МСЭ АСУТП'!K43</f>
        <v>2</v>
      </c>
      <c r="Q43" s="230">
        <f>'МСЭ АСУТП'!O43</f>
        <v>2</v>
      </c>
      <c r="R43" s="230">
        <f>'МСЭ АСУТП'!S43</f>
        <v>2</v>
      </c>
      <c r="S43" s="230">
        <f>'PAM АСУТП'!G43</f>
        <v>2</v>
      </c>
      <c r="T43" s="230">
        <f>'PAM АСУТП'!K43</f>
        <v>2</v>
      </c>
      <c r="U43" s="230">
        <f>'PAM АСУТП'!O43</f>
        <v>2</v>
      </c>
      <c r="V43" s="230">
        <f>'СКЗИ АСУТП'!G43</f>
        <v>3</v>
      </c>
      <c r="W43" s="230">
        <f>'СКЗИ АСУТП'!K43</f>
        <v>3</v>
      </c>
      <c r="X43" s="230">
        <f>'СКЗИ АСУТП'!O43</f>
        <v>3</v>
      </c>
      <c r="Y43" s="230">
        <f>'СКЗИ АСУТП'!S43</f>
        <v>3</v>
      </c>
      <c r="Z43" s="230">
        <f>'СКЗИ АСУТП'!W43</f>
        <v>3</v>
      </c>
      <c r="AA43" s="230">
        <f>'АЗ АСУТП'!G43</f>
        <v>2</v>
      </c>
      <c r="AB43" s="230">
        <f>'АЗ АСУТП'!K43</f>
        <v>2</v>
      </c>
      <c r="AC43" s="230">
        <f>'АЗ АСУТП'!O43</f>
        <v>2</v>
      </c>
      <c r="AD43" s="230">
        <f>'АЗ АСУТП'!S43</f>
        <v>2</v>
      </c>
      <c r="AE43" s="230">
        <f>'АЗ АСУТП'!W43</f>
        <v>2</v>
      </c>
      <c r="AF43" s="230">
        <f>'РК АСУТП'!G43</f>
        <v>0.5</v>
      </c>
      <c r="AG43" s="230">
        <f>'РК АСУТП'!K43</f>
        <v>0.5</v>
      </c>
      <c r="AH43" s="230">
        <f>'IDS АСУТП'!G43</f>
        <v>2</v>
      </c>
      <c r="AI43" s="230">
        <f>'IDS АСУТП'!K43</f>
        <v>2</v>
      </c>
      <c r="AJ43" s="230">
        <f>'IDS АСУТП'!O43</f>
        <v>2</v>
      </c>
      <c r="AK43" s="230">
        <f>'АПМДЗ АСУТП'!G43</f>
        <v>0.4</v>
      </c>
      <c r="AL43" s="230">
        <f>'АПМДЗ АСУТП'!K43</f>
        <v>0.4</v>
      </c>
      <c r="AM43" s="230">
        <f>'НСД АСУТП'!G43</f>
        <v>0.4</v>
      </c>
      <c r="AN43" s="230">
        <f>'НСД АСУТП'!K43</f>
        <v>0.4</v>
      </c>
      <c r="AO43" s="230">
        <f>'НСД АСУТП'!O43</f>
        <v>0.4</v>
      </c>
      <c r="AP43" s="230">
        <f>'MFA АСУТП'!G43</f>
        <v>2</v>
      </c>
      <c r="AQ43" s="230">
        <f>'MFA АСУТП'!K43</f>
        <v>2</v>
      </c>
      <c r="AR43" s="230">
        <f>'MFA АСУТП'!O43</f>
        <v>2</v>
      </c>
      <c r="AS43" s="230">
        <f>'MFA АСУТП'!S43</f>
        <v>2</v>
      </c>
      <c r="AT43" s="230">
        <f>'ДИОД АСУТП'!G43</f>
        <v>1</v>
      </c>
      <c r="AU43" s="230">
        <f>'ДИОД АСУТП'!K43</f>
        <v>1</v>
      </c>
      <c r="AV43" s="230">
        <f>'ДИОД АСУТП'!O43</f>
        <v>1</v>
      </c>
      <c r="AW43" s="230">
        <f>'ДИОД АСУТП'!S43</f>
        <v>1</v>
      </c>
      <c r="AX43" s="230">
        <f>'СЗВ АСУТП'!G43</f>
        <v>2</v>
      </c>
      <c r="AY43" s="230">
        <f>'СЗВ АСУТП'!K43</f>
        <v>2</v>
      </c>
      <c r="AZ43" s="230">
        <f>'СЗВ АСУТП'!O43</f>
        <v>2</v>
      </c>
      <c r="BA43" s="230">
        <f>'SOAR АСУТП'!G43</f>
        <v>1</v>
      </c>
      <c r="BB43" s="230">
        <f>'SOAR АСУТП'!K43</f>
        <v>1</v>
      </c>
      <c r="BC43" s="230">
        <f>'SOAR АСУТП'!O43</f>
        <v>1</v>
      </c>
      <c r="BD43" s="230" t="e">
        <f>'SOAR АСУТП'!#REF!</f>
        <v>#REF!</v>
      </c>
      <c r="BE43" s="230">
        <f>'VDI АСУТП'!G43</f>
        <v>2</v>
      </c>
      <c r="BF43" s="230">
        <f>'VDI АСУТП'!K43</f>
        <v>2</v>
      </c>
      <c r="BG43" s="230">
        <f>'VDI АСУТП'!O43</f>
        <v>2</v>
      </c>
      <c r="BH43" s="230">
        <f>'VDI АСУТП'!S43</f>
        <v>2</v>
      </c>
      <c r="BI43" s="230">
        <f>'VDI АСУТП'!W43</f>
        <v>2</v>
      </c>
      <c r="BJ43" s="316">
        <f>'СУБД АСУТП'!G43</f>
        <v>0.5</v>
      </c>
      <c r="BK43" s="316">
        <f>'СУБД АСУТП'!K43</f>
        <v>0.5</v>
      </c>
      <c r="BL43" s="316">
        <f>'ГОССОПКА АСУТП'!G43</f>
        <v>4</v>
      </c>
      <c r="BM43" s="316">
        <f>'ГОССОПКА АСУТП'!K43</f>
        <v>2</v>
      </c>
      <c r="BN43" s="316">
        <f>'TLS АСУТП'!G43</f>
        <v>2</v>
      </c>
      <c r="BO43" s="316">
        <f>'TLS АСУТП'!K43</f>
        <v>2</v>
      </c>
      <c r="BP43" s="316">
        <f>'DCAP АСУТП'!G43</f>
        <v>2</v>
      </c>
      <c r="BQ43" s="316">
        <f>'DCAP АСУТП'!K43</f>
        <v>2</v>
      </c>
      <c r="BR43" s="316">
        <f>'DCAP АСУТП'!O43</f>
        <v>2</v>
      </c>
      <c r="BS43" s="316">
        <f>'DO АСУТП'!G43</f>
        <v>1.25</v>
      </c>
      <c r="BT43" s="316">
        <f>'NTA АСУТП'!G43</f>
        <v>2</v>
      </c>
      <c r="BU43" s="316">
        <f>'NTA АСУТП'!K43</f>
        <v>2</v>
      </c>
      <c r="BV43" s="316">
        <f>'NTA АСУТП'!O43</f>
        <v>1</v>
      </c>
      <c r="BW43" s="316">
        <f>'NTA АСУТП'!S43</f>
        <v>2</v>
      </c>
      <c r="BX43" s="316">
        <f>'SEG АСУТП'!G43</f>
        <v>2</v>
      </c>
      <c r="BY43" s="316">
        <f>'APT АСУТП'!G43</f>
        <v>2</v>
      </c>
      <c r="BZ43" s="316">
        <f>'APT АСУТП'!K43</f>
        <v>2</v>
      </c>
      <c r="CA43" s="316">
        <f>'APT АСУТП'!O43</f>
        <v>2</v>
      </c>
      <c r="CB43" s="316">
        <f>'NAC АСУТП'!G43</f>
        <v>0</v>
      </c>
      <c r="CC43" s="316">
        <f>'SANDBOX АСУТП'!G43</f>
        <v>2</v>
      </c>
      <c r="CD43" s="316">
        <f>'SANDBOX АСУТП'!K43</f>
        <v>2</v>
      </c>
      <c r="CE43" s="316">
        <f>'EDR АСУТП'!G43</f>
        <v>1</v>
      </c>
      <c r="CF43" s="316">
        <f>'EDR АСУТП'!K43</f>
        <v>1</v>
      </c>
      <c r="CG43" s="316">
        <f>'WAF АСУТП'!G43</f>
        <v>0</v>
      </c>
      <c r="CH43" s="316">
        <f>'WAF АСУТП'!K43</f>
        <v>0</v>
      </c>
      <c r="CI43" s="316">
        <f>'WAF АСУТП'!O43</f>
        <v>0</v>
      </c>
      <c r="CJ43" s="316">
        <f>'ВМ ЗСВ'!G43</f>
        <v>2</v>
      </c>
      <c r="CK43" s="316">
        <f>'ВМ ЗСВ'!K43</f>
        <v>2</v>
      </c>
      <c r="CL43" s="316">
        <f>'ВМ ЗСВ'!O43</f>
        <v>2</v>
      </c>
      <c r="CM43" s="316">
        <f>'ВМ ЗСВ'!S43</f>
        <v>2</v>
      </c>
      <c r="CN43" s="316">
        <f>'ВМ ЗСВ'!W43</f>
        <v>2</v>
      </c>
      <c r="CO43" s="316">
        <f>'ВМ ЗСВ'!AA43</f>
        <v>2</v>
      </c>
      <c r="CP43" s="316">
        <f>'ВМ СПО'!G43</f>
        <v>0</v>
      </c>
      <c r="CQ43" s="316">
        <f>'ВМ СПО'!K43</f>
        <v>0</v>
      </c>
      <c r="CR43" s="316">
        <f>'ВМ СПО'!O43</f>
        <v>0</v>
      </c>
      <c r="CS43" s="316">
        <f>'ВМ СПО'!S43</f>
        <v>0</v>
      </c>
      <c r="CT43" s="316">
        <f>'ВМ АСО'!G43</f>
        <v>0</v>
      </c>
      <c r="CU43" s="316">
        <f>'ВМ АСО'!K43</f>
        <v>0</v>
      </c>
      <c r="CV43" s="316" t="e">
        <f t="shared" si="62"/>
        <v>#REF!</v>
      </c>
      <c r="CW43" s="25">
        <f t="shared" si="63"/>
        <v>0.5</v>
      </c>
      <c r="CX43" s="25">
        <f t="shared" si="64"/>
        <v>1</v>
      </c>
      <c r="CY43" s="25">
        <f t="shared" si="65"/>
        <v>0</v>
      </c>
      <c r="CZ43" s="25">
        <f t="shared" si="66"/>
        <v>0</v>
      </c>
      <c r="DA43" s="25">
        <f t="shared" si="67"/>
        <v>0</v>
      </c>
      <c r="DB43" s="25">
        <f t="shared" si="68"/>
        <v>0</v>
      </c>
      <c r="DC43" s="25">
        <f t="shared" si="69"/>
        <v>0</v>
      </c>
      <c r="DD43" s="25">
        <f t="shared" si="70"/>
        <v>0</v>
      </c>
      <c r="DE43" s="25">
        <f t="shared" si="71"/>
        <v>0</v>
      </c>
      <c r="DF43" s="25">
        <f t="shared" si="72"/>
        <v>0</v>
      </c>
      <c r="DG43" s="25">
        <f t="shared" si="73"/>
        <v>0</v>
      </c>
      <c r="DH43" s="25">
        <f t="shared" si="74"/>
        <v>0</v>
      </c>
      <c r="DI43" s="25">
        <f t="shared" si="75"/>
        <v>0</v>
      </c>
      <c r="DJ43" s="25" t="e">
        <f t="shared" si="76"/>
        <v>#REF!</v>
      </c>
      <c r="DK43" s="25">
        <f t="shared" si="77"/>
        <v>0</v>
      </c>
      <c r="DL43" s="25">
        <f t="shared" si="78"/>
        <v>0</v>
      </c>
      <c r="DM43" s="25">
        <f t="shared" si="79"/>
        <v>0</v>
      </c>
      <c r="DN43" s="25">
        <f t="shared" si="80"/>
        <v>0</v>
      </c>
      <c r="DO43" s="25">
        <f t="shared" si="81"/>
        <v>0</v>
      </c>
      <c r="DP43" s="25">
        <f t="shared" si="82"/>
        <v>0</v>
      </c>
      <c r="DQ43" s="25">
        <f t="shared" si="83"/>
        <v>0</v>
      </c>
      <c r="DR43" s="25">
        <f t="shared" si="84"/>
        <v>0</v>
      </c>
      <c r="DS43" s="25">
        <f t="shared" si="85"/>
        <v>0</v>
      </c>
      <c r="DT43" s="25">
        <f t="shared" si="86"/>
        <v>0</v>
      </c>
      <c r="DU43" s="25">
        <f t="shared" si="87"/>
        <v>0</v>
      </c>
      <c r="DV43" s="21">
        <f t="shared" si="88"/>
        <v>0</v>
      </c>
      <c r="DW43" s="317">
        <f t="shared" si="89"/>
        <v>0</v>
      </c>
      <c r="DX43" s="317">
        <f t="shared" si="90"/>
        <v>0</v>
      </c>
      <c r="DY43" s="317">
        <f t="shared" si="91"/>
        <v>0</v>
      </c>
      <c r="DZ43" s="230">
        <f t="shared" si="92"/>
        <v>0</v>
      </c>
    </row>
    <row r="44" spans="1:130" ht="15" customHeight="1" x14ac:dyDescent="0.25">
      <c r="A44" s="1907"/>
      <c r="B44" s="1909"/>
      <c r="C44" s="18" t="s">
        <v>34</v>
      </c>
      <c r="D44" s="21"/>
      <c r="E44" s="316">
        <f>'АВЗ АСУТП'!G44</f>
        <v>0.5</v>
      </c>
      <c r="F44" s="316">
        <f>'АВЗ АСУТП'!K44</f>
        <v>0.5</v>
      </c>
      <c r="G44" s="316">
        <f>'АВЗ АСУТП'!O44</f>
        <v>0.5</v>
      </c>
      <c r="H44" s="230">
        <f>'АВЗ АСУТП'!S44</f>
        <v>0.5</v>
      </c>
      <c r="I44" s="316">
        <f>'АВЗ АСУТП'!W44</f>
        <v>0.5</v>
      </c>
      <c r="J44" s="230">
        <f>'АВЗ АСУТП'!AA44</f>
        <v>0.5</v>
      </c>
      <c r="K44" s="230">
        <f>'АВЗ АСУТП'!AE44</f>
        <v>0.5</v>
      </c>
      <c r="L44" s="230">
        <f>'АВЗ АСУТП'!AI44</f>
        <v>0.5</v>
      </c>
      <c r="M44" s="230">
        <f>'SIEM АСУТП'!G44</f>
        <v>1</v>
      </c>
      <c r="N44" s="230">
        <f>'SIEM АСУТП'!K44</f>
        <v>1</v>
      </c>
      <c r="O44" s="230">
        <f>'МСЭ АСУТП'!G44</f>
        <v>4</v>
      </c>
      <c r="P44" s="317">
        <f>'МСЭ АСУТП'!K44</f>
        <v>4</v>
      </c>
      <c r="Q44" s="230">
        <f>'МСЭ АСУТП'!O44</f>
        <v>4</v>
      </c>
      <c r="R44" s="230">
        <f>'МСЭ АСУТП'!S44</f>
        <v>4</v>
      </c>
      <c r="S44" s="230">
        <f>'PAM АСУТП'!G44</f>
        <v>3</v>
      </c>
      <c r="T44" s="230">
        <f>'PAM АСУТП'!K44</f>
        <v>3</v>
      </c>
      <c r="U44" s="230">
        <f>'PAM АСУТП'!O44</f>
        <v>3</v>
      </c>
      <c r="V44" s="230">
        <f>'СКЗИ АСУТП'!G44</f>
        <v>4</v>
      </c>
      <c r="W44" s="230">
        <f>'СКЗИ АСУТП'!K44</f>
        <v>4</v>
      </c>
      <c r="X44" s="230">
        <f>'СКЗИ АСУТП'!O44</f>
        <v>4</v>
      </c>
      <c r="Y44" s="230">
        <f>'СКЗИ АСУТП'!S44</f>
        <v>4</v>
      </c>
      <c r="Z44" s="230">
        <f>'СКЗИ АСУТП'!W44</f>
        <v>4</v>
      </c>
      <c r="AA44" s="230">
        <f>'АЗ АСУТП'!G44</f>
        <v>3</v>
      </c>
      <c r="AB44" s="230">
        <f>'АЗ АСУТП'!K44</f>
        <v>3</v>
      </c>
      <c r="AC44" s="230">
        <f>'АЗ АСУТП'!O44</f>
        <v>3</v>
      </c>
      <c r="AD44" s="230">
        <f>'АЗ АСУТП'!S44</f>
        <v>3</v>
      </c>
      <c r="AE44" s="230">
        <f>'АЗ АСУТП'!W44</f>
        <v>3</v>
      </c>
      <c r="AF44" s="230">
        <f>'РК АСУТП'!G44</f>
        <v>1</v>
      </c>
      <c r="AG44" s="230">
        <f>'РК АСУТП'!K44</f>
        <v>1</v>
      </c>
      <c r="AH44" s="230">
        <f>'IDS АСУТП'!G44</f>
        <v>4</v>
      </c>
      <c r="AI44" s="230">
        <f>'IDS АСУТП'!K44</f>
        <v>4</v>
      </c>
      <c r="AJ44" s="230">
        <f>'IDS АСУТП'!O44</f>
        <v>4</v>
      </c>
      <c r="AK44" s="230">
        <f>'АПМДЗ АСУТП'!G44</f>
        <v>0.60000000000000009</v>
      </c>
      <c r="AL44" s="230">
        <f>'АПМДЗ АСУТП'!K44</f>
        <v>0.60000000000000009</v>
      </c>
      <c r="AM44" s="230">
        <f>'НСД АСУТП'!G44</f>
        <v>0.60000000000000009</v>
      </c>
      <c r="AN44" s="230">
        <f>'НСД АСУТП'!K44</f>
        <v>0.60000000000000009</v>
      </c>
      <c r="AO44" s="230">
        <f>'НСД АСУТП'!O44</f>
        <v>0.60000000000000009</v>
      </c>
      <c r="AP44" s="230">
        <f>'MFA АСУТП'!G44</f>
        <v>3</v>
      </c>
      <c r="AQ44" s="230">
        <f>'MFA АСУТП'!K44</f>
        <v>3</v>
      </c>
      <c r="AR44" s="230">
        <f>'MFA АСУТП'!O44</f>
        <v>3</v>
      </c>
      <c r="AS44" s="230">
        <f>'MFA АСУТП'!S44</f>
        <v>3</v>
      </c>
      <c r="AT44" s="230">
        <f>'ДИОД АСУТП'!G44</f>
        <v>3</v>
      </c>
      <c r="AU44" s="230">
        <f>'ДИОД АСУТП'!K44</f>
        <v>3</v>
      </c>
      <c r="AV44" s="230">
        <f>'ДИОД АСУТП'!O44</f>
        <v>3</v>
      </c>
      <c r="AW44" s="230">
        <f>'ДИОД АСУТП'!S44</f>
        <v>3</v>
      </c>
      <c r="AX44" s="230">
        <f>'СЗВ АСУТП'!G44</f>
        <v>4</v>
      </c>
      <c r="AY44" s="230">
        <f>'СЗВ АСУТП'!K44</f>
        <v>4</v>
      </c>
      <c r="AZ44" s="230">
        <f>'СЗВ АСУТП'!O44</f>
        <v>4</v>
      </c>
      <c r="BA44" s="230">
        <f>'SOAR АСУТП'!G44</f>
        <v>1</v>
      </c>
      <c r="BB44" s="230">
        <f>'SOAR АСУТП'!K44</f>
        <v>1</v>
      </c>
      <c r="BC44" s="230">
        <f>'SOAR АСУТП'!O44</f>
        <v>1</v>
      </c>
      <c r="BD44" s="230" t="e">
        <f>'SOAR АСУТП'!#REF!</f>
        <v>#REF!</v>
      </c>
      <c r="BE44" s="230">
        <f>'VDI АСУТП'!G44</f>
        <v>3</v>
      </c>
      <c r="BF44" s="230">
        <f>'VDI АСУТП'!K44</f>
        <v>3</v>
      </c>
      <c r="BG44" s="230">
        <f>'VDI АСУТП'!O44</f>
        <v>3</v>
      </c>
      <c r="BH44" s="230">
        <f>'VDI АСУТП'!S44</f>
        <v>3</v>
      </c>
      <c r="BI44" s="230">
        <f>'VDI АСУТП'!W44</f>
        <v>3</v>
      </c>
      <c r="BJ44" s="316">
        <f>'СУБД АСУТП'!G44</f>
        <v>0.5</v>
      </c>
      <c r="BK44" s="316">
        <f>'СУБД АСУТП'!K44</f>
        <v>0.5</v>
      </c>
      <c r="BL44" s="316">
        <f>'ГОССОПКА АСУТП'!G44</f>
        <v>6</v>
      </c>
      <c r="BM44" s="316">
        <f>'ГОССОПКА АСУТП'!K44</f>
        <v>3</v>
      </c>
      <c r="BN44" s="316">
        <f>'TLS АСУТП'!G44</f>
        <v>3</v>
      </c>
      <c r="BO44" s="316">
        <f>'TLS АСУТП'!K44</f>
        <v>3</v>
      </c>
      <c r="BP44" s="316">
        <f>'DCAP АСУТП'!G44</f>
        <v>3</v>
      </c>
      <c r="BQ44" s="316">
        <f>'DCAP АСУТП'!K44</f>
        <v>3</v>
      </c>
      <c r="BR44" s="316">
        <f>'DCAP АСУТП'!O44</f>
        <v>3</v>
      </c>
      <c r="BS44" s="316">
        <f>'DO АСУТП'!G44</f>
        <v>1.25</v>
      </c>
      <c r="BT44" s="316">
        <f>'NTA АСУТП'!G44</f>
        <v>4</v>
      </c>
      <c r="BU44" s="316">
        <f>'NTA АСУТП'!K44</f>
        <v>4</v>
      </c>
      <c r="BV44" s="316">
        <f>'NTA АСУТП'!O44</f>
        <v>1</v>
      </c>
      <c r="BW44" s="316">
        <f>'NTA АСУТП'!S44</f>
        <v>4</v>
      </c>
      <c r="BX44" s="316">
        <f>'SEG АСУТП'!G44</f>
        <v>3</v>
      </c>
      <c r="BY44" s="316">
        <f>'APT АСУТП'!G44</f>
        <v>3</v>
      </c>
      <c r="BZ44" s="316">
        <f>'APT АСУТП'!K44</f>
        <v>3</v>
      </c>
      <c r="CA44" s="316">
        <f>'APT АСУТП'!O44</f>
        <v>4</v>
      </c>
      <c r="CB44" s="316">
        <f>'NAC АСУТП'!G44</f>
        <v>0</v>
      </c>
      <c r="CC44" s="316">
        <f>'SANDBOX АСУТП'!G44</f>
        <v>3</v>
      </c>
      <c r="CD44" s="316">
        <f>'SANDBOX АСУТП'!K44</f>
        <v>3</v>
      </c>
      <c r="CE44" s="316">
        <f>'EDR АСУТП'!G44</f>
        <v>1</v>
      </c>
      <c r="CF44" s="316">
        <f>'EDR АСУТП'!K44</f>
        <v>1</v>
      </c>
      <c r="CG44" s="316">
        <f>'WAF АСУТП'!G44</f>
        <v>0</v>
      </c>
      <c r="CH44" s="316">
        <f>'WAF АСУТП'!K44</f>
        <v>0</v>
      </c>
      <c r="CI44" s="316">
        <f>'WAF АСУТП'!O44</f>
        <v>0</v>
      </c>
      <c r="CJ44" s="316">
        <f>'ВМ ЗСВ'!G44</f>
        <v>3</v>
      </c>
      <c r="CK44" s="316">
        <f>'ВМ ЗСВ'!K44</f>
        <v>4</v>
      </c>
      <c r="CL44" s="316">
        <f>'ВМ ЗСВ'!O44</f>
        <v>3</v>
      </c>
      <c r="CM44" s="316">
        <f>'ВМ ЗСВ'!S44</f>
        <v>3</v>
      </c>
      <c r="CN44" s="316">
        <f>'ВМ ЗСВ'!W44</f>
        <v>3</v>
      </c>
      <c r="CO44" s="316">
        <f>'ВМ ЗСВ'!AA44</f>
        <v>3</v>
      </c>
      <c r="CP44" s="316">
        <f>'ВМ СПО'!G44</f>
        <v>0</v>
      </c>
      <c r="CQ44" s="316">
        <f>'ВМ СПО'!K44</f>
        <v>0</v>
      </c>
      <c r="CR44" s="316">
        <f>'ВМ СПО'!O44</f>
        <v>0</v>
      </c>
      <c r="CS44" s="316">
        <f>'ВМ СПО'!S44</f>
        <v>0</v>
      </c>
      <c r="CT44" s="316">
        <f>'ВМ АСО'!G44</f>
        <v>0</v>
      </c>
      <c r="CU44" s="316">
        <f>'ВМ АСО'!K44</f>
        <v>0</v>
      </c>
      <c r="CV44" s="316" t="e">
        <f t="shared" si="62"/>
        <v>#REF!</v>
      </c>
      <c r="CW44" s="25">
        <f t="shared" si="63"/>
        <v>0.5</v>
      </c>
      <c r="CX44" s="25">
        <f t="shared" si="64"/>
        <v>1</v>
      </c>
      <c r="CY44" s="25">
        <f t="shared" si="65"/>
        <v>0</v>
      </c>
      <c r="CZ44" s="25">
        <f t="shared" si="66"/>
        <v>0</v>
      </c>
      <c r="DA44" s="25">
        <f t="shared" si="67"/>
        <v>0</v>
      </c>
      <c r="DB44" s="25">
        <f t="shared" si="68"/>
        <v>0</v>
      </c>
      <c r="DC44" s="25">
        <f t="shared" si="69"/>
        <v>0</v>
      </c>
      <c r="DD44" s="25">
        <f t="shared" si="70"/>
        <v>0</v>
      </c>
      <c r="DE44" s="25">
        <f t="shared" si="71"/>
        <v>0</v>
      </c>
      <c r="DF44" s="25">
        <f t="shared" si="72"/>
        <v>0</v>
      </c>
      <c r="DG44" s="25">
        <f t="shared" si="73"/>
        <v>0</v>
      </c>
      <c r="DH44" s="25">
        <f t="shared" si="74"/>
        <v>0</v>
      </c>
      <c r="DI44" s="25">
        <f t="shared" si="75"/>
        <v>0</v>
      </c>
      <c r="DJ44" s="25" t="e">
        <f t="shared" si="76"/>
        <v>#REF!</v>
      </c>
      <c r="DK44" s="25">
        <f t="shared" si="77"/>
        <v>0</v>
      </c>
      <c r="DL44" s="25">
        <f t="shared" si="78"/>
        <v>0</v>
      </c>
      <c r="DM44" s="25">
        <f t="shared" si="79"/>
        <v>0</v>
      </c>
      <c r="DN44" s="25">
        <f t="shared" si="80"/>
        <v>0</v>
      </c>
      <c r="DO44" s="25">
        <f t="shared" si="81"/>
        <v>0</v>
      </c>
      <c r="DP44" s="25">
        <f t="shared" si="82"/>
        <v>0</v>
      </c>
      <c r="DQ44" s="25">
        <f t="shared" si="83"/>
        <v>0</v>
      </c>
      <c r="DR44" s="25">
        <f t="shared" si="84"/>
        <v>0</v>
      </c>
      <c r="DS44" s="25">
        <f t="shared" si="85"/>
        <v>0</v>
      </c>
      <c r="DT44" s="25">
        <f t="shared" si="86"/>
        <v>0</v>
      </c>
      <c r="DU44" s="25">
        <f t="shared" si="87"/>
        <v>0</v>
      </c>
      <c r="DV44" s="21">
        <f t="shared" si="88"/>
        <v>0</v>
      </c>
      <c r="DW44" s="317">
        <f t="shared" si="89"/>
        <v>0</v>
      </c>
      <c r="DX44" s="317">
        <f t="shared" si="90"/>
        <v>0</v>
      </c>
      <c r="DY44" s="317">
        <f t="shared" si="91"/>
        <v>0</v>
      </c>
      <c r="DZ44" s="230">
        <f t="shared" si="92"/>
        <v>0</v>
      </c>
    </row>
    <row r="45" spans="1:130" ht="15" customHeight="1" x14ac:dyDescent="0.25">
      <c r="A45" s="1908" t="s">
        <v>15</v>
      </c>
      <c r="B45" s="1916">
        <f>IF('Тип разраб-ой док-ции'!F20=1,1,0)</f>
        <v>1</v>
      </c>
      <c r="C45" s="469" t="s">
        <v>32</v>
      </c>
      <c r="D45" s="230"/>
      <c r="E45" s="316">
        <f>'АВЗ АСУТП'!G45</f>
        <v>3.5</v>
      </c>
      <c r="F45" s="316">
        <f>'АВЗ АСУТП'!K45</f>
        <v>3.5</v>
      </c>
      <c r="G45" s="316">
        <f>'АВЗ АСУТП'!O45</f>
        <v>3.5</v>
      </c>
      <c r="H45" s="230">
        <f>'АВЗ АСУТП'!S45</f>
        <v>3.5</v>
      </c>
      <c r="I45" s="316">
        <f>'АВЗ АСУТП'!W45</f>
        <v>3.5</v>
      </c>
      <c r="J45" s="230">
        <f>'АВЗ АСУТП'!AA45</f>
        <v>3.5</v>
      </c>
      <c r="K45" s="230">
        <f>'АВЗ АСУТП'!AE45</f>
        <v>3.5</v>
      </c>
      <c r="L45" s="230">
        <f>'АВЗ АСУТП'!AI45</f>
        <v>3.5</v>
      </c>
      <c r="M45" s="230">
        <f>'SIEM АСУТП'!G45</f>
        <v>14</v>
      </c>
      <c r="N45" s="230">
        <f>'SIEM АСУТП'!K45</f>
        <v>14</v>
      </c>
      <c r="O45" s="230">
        <f>'МСЭ АСУТП'!G45</f>
        <v>9</v>
      </c>
      <c r="P45" s="317">
        <f>'МСЭ АСУТП'!K45</f>
        <v>9</v>
      </c>
      <c r="Q45" s="230">
        <f>'МСЭ АСУТП'!O45</f>
        <v>9</v>
      </c>
      <c r="R45" s="230">
        <f>'МСЭ АСУТП'!S45</f>
        <v>9</v>
      </c>
      <c r="S45" s="230">
        <f>'PAM АСУТП'!G45</f>
        <v>10</v>
      </c>
      <c r="T45" s="230">
        <f>'PAM АСУТП'!K45</f>
        <v>10</v>
      </c>
      <c r="U45" s="230">
        <f>'PAM АСУТП'!O45</f>
        <v>10</v>
      </c>
      <c r="V45" s="230">
        <f>'СКЗИ АСУТП'!G45</f>
        <v>2</v>
      </c>
      <c r="W45" s="230">
        <f>'СКЗИ АСУТП'!K45</f>
        <v>2</v>
      </c>
      <c r="X45" s="230">
        <f>'СКЗИ АСУТП'!O45</f>
        <v>2</v>
      </c>
      <c r="Y45" s="230">
        <f>'СКЗИ АСУТП'!S45</f>
        <v>2</v>
      </c>
      <c r="Z45" s="230">
        <f>'СКЗИ АСУТП'!W45</f>
        <v>2</v>
      </c>
      <c r="AA45" s="230">
        <f>'АЗ АСУТП'!G45</f>
        <v>4</v>
      </c>
      <c r="AB45" s="230">
        <f>'АЗ АСУТП'!K45</f>
        <v>4</v>
      </c>
      <c r="AC45" s="230">
        <f>'АЗ АСУТП'!O45</f>
        <v>4</v>
      </c>
      <c r="AD45" s="230">
        <f>'АЗ АСУТП'!S45</f>
        <v>4</v>
      </c>
      <c r="AE45" s="230">
        <f>'АЗ АСУТП'!W45</f>
        <v>4</v>
      </c>
      <c r="AF45" s="230">
        <f>'РК АСУТП'!G45</f>
        <v>2.2000000000000002</v>
      </c>
      <c r="AG45" s="230">
        <f>'РК АСУТП'!K45</f>
        <v>2.2000000000000002</v>
      </c>
      <c r="AH45" s="230">
        <f>'IDS АСУТП'!G45</f>
        <v>7</v>
      </c>
      <c r="AI45" s="230">
        <f>'IDS АСУТП'!K45</f>
        <v>7</v>
      </c>
      <c r="AJ45" s="230">
        <f>'IDS АСУТП'!O45</f>
        <v>7</v>
      </c>
      <c r="AK45" s="230">
        <f>'АПМДЗ АСУТП'!G45</f>
        <v>0</v>
      </c>
      <c r="AL45" s="230">
        <f>'АПМДЗ АСУТП'!K45</f>
        <v>0</v>
      </c>
      <c r="AM45" s="230">
        <f>'НСД АСУТП'!G45</f>
        <v>0</v>
      </c>
      <c r="AN45" s="230">
        <f>'НСД АСУТП'!K45</f>
        <v>0</v>
      </c>
      <c r="AO45" s="230">
        <f>'НСД АСУТП'!O45</f>
        <v>0</v>
      </c>
      <c r="AP45" s="230">
        <f>'MFA АСУТП'!G45</f>
        <v>8</v>
      </c>
      <c r="AQ45" s="230">
        <f>'MFA АСУТП'!K45</f>
        <v>8</v>
      </c>
      <c r="AR45" s="230">
        <f>'MFA АСУТП'!O45</f>
        <v>8</v>
      </c>
      <c r="AS45" s="230">
        <f>'MFA АСУТП'!S45</f>
        <v>8</v>
      </c>
      <c r="AT45" s="230">
        <f>'ДИОД АСУТП'!G45</f>
        <v>5</v>
      </c>
      <c r="AU45" s="230">
        <f>'ДИОД АСУТП'!K45</f>
        <v>5</v>
      </c>
      <c r="AV45" s="230">
        <f>'ДИОД АСУТП'!O45</f>
        <v>5</v>
      </c>
      <c r="AW45" s="230">
        <f>'ДИОД АСУТП'!S45</f>
        <v>5</v>
      </c>
      <c r="AX45" s="230">
        <f>'СЗВ АСУТП'!G45</f>
        <v>8</v>
      </c>
      <c r="AY45" s="230">
        <f>'СЗВ АСУТП'!K45</f>
        <v>8</v>
      </c>
      <c r="AZ45" s="230">
        <f>'СЗВ АСУТП'!O45</f>
        <v>8</v>
      </c>
      <c r="BA45" s="230">
        <f>'SOAR АСУТП'!G45</f>
        <v>12</v>
      </c>
      <c r="BB45" s="230">
        <f>'SOAR АСУТП'!K45</f>
        <v>12</v>
      </c>
      <c r="BC45" s="230">
        <f>'SOAR АСУТП'!O45</f>
        <v>12</v>
      </c>
      <c r="BD45" s="230" t="e">
        <f>'SOAR АСУТП'!#REF!</f>
        <v>#REF!</v>
      </c>
      <c r="BE45" s="230">
        <f>'VDI АСУТП'!G45</f>
        <v>3</v>
      </c>
      <c r="BF45" s="230">
        <f>'VDI АСУТП'!K45</f>
        <v>3</v>
      </c>
      <c r="BG45" s="230">
        <f>'VDI АСУТП'!O45</f>
        <v>3</v>
      </c>
      <c r="BH45" s="230">
        <f>'VDI АСУТП'!S45</f>
        <v>3</v>
      </c>
      <c r="BI45" s="230">
        <f>'VDI АСУТП'!W45</f>
        <v>3</v>
      </c>
      <c r="BJ45" s="316">
        <f>'СУБД АСУТП'!G45</f>
        <v>16</v>
      </c>
      <c r="BK45" s="316">
        <f>'СУБД АСУТП'!K45</f>
        <v>16</v>
      </c>
      <c r="BL45" s="316">
        <f>'ГОССОПКА АСУТП'!G45</f>
        <v>16</v>
      </c>
      <c r="BM45" s="316">
        <f>'ГОССОПКА АСУТП'!K45</f>
        <v>16</v>
      </c>
      <c r="BN45" s="316">
        <f>'TLS АСУТП'!G45</f>
        <v>16</v>
      </c>
      <c r="BO45" s="316">
        <f>'TLS АСУТП'!K45</f>
        <v>16</v>
      </c>
      <c r="BP45" s="316">
        <f>'DCAP АСУТП'!G45</f>
        <v>16</v>
      </c>
      <c r="BQ45" s="316">
        <f>'DCAP АСУТП'!K45</f>
        <v>16</v>
      </c>
      <c r="BR45" s="316">
        <f>'DCAP АСУТП'!O45</f>
        <v>16</v>
      </c>
      <c r="BS45" s="316">
        <f>'DO АСУТП'!G45</f>
        <v>16</v>
      </c>
      <c r="BT45" s="316">
        <f>'NTA АСУТП'!G45</f>
        <v>6</v>
      </c>
      <c r="BU45" s="316">
        <f>'NTA АСУТП'!K45</f>
        <v>6</v>
      </c>
      <c r="BV45" s="316">
        <f>'NTA АСУТП'!O45</f>
        <v>15</v>
      </c>
      <c r="BW45" s="316">
        <f>'NTA АСУТП'!S45</f>
        <v>6</v>
      </c>
      <c r="BX45" s="316">
        <f>'SEG АСУТП'!G45</f>
        <v>8</v>
      </c>
      <c r="BY45" s="316">
        <f>'APT АСУТП'!G45</f>
        <v>16</v>
      </c>
      <c r="BZ45" s="316">
        <f>'APT АСУТП'!K45</f>
        <v>16</v>
      </c>
      <c r="CA45" s="316">
        <f>'APT АСУТП'!O45</f>
        <v>16</v>
      </c>
      <c r="CB45" s="316">
        <f>'NAC АСУТП'!G45</f>
        <v>16</v>
      </c>
      <c r="CC45" s="316">
        <f>'SANDBOX АСУТП'!G45</f>
        <v>16</v>
      </c>
      <c r="CD45" s="316">
        <f>'SANDBOX АСУТП'!K45</f>
        <v>16</v>
      </c>
      <c r="CE45" s="316">
        <f>'EDR АСУТП'!G45</f>
        <v>12</v>
      </c>
      <c r="CF45" s="316">
        <f>'EDR АСУТП'!K45</f>
        <v>12</v>
      </c>
      <c r="CG45" s="316">
        <f>'WAF АСУТП'!G45</f>
        <v>16</v>
      </c>
      <c r="CH45" s="316">
        <f>'WAF АСУТП'!K45</f>
        <v>16</v>
      </c>
      <c r="CI45" s="316">
        <f>'WAF АСУТП'!O45</f>
        <v>16</v>
      </c>
      <c r="CJ45" s="316">
        <f>'ВМ ЗСВ'!G45</f>
        <v>8</v>
      </c>
      <c r="CK45" s="316">
        <f>'ВМ ЗСВ'!K45</f>
        <v>8</v>
      </c>
      <c r="CL45" s="316">
        <f>'ВМ ЗСВ'!O45</f>
        <v>8</v>
      </c>
      <c r="CM45" s="316">
        <f>'ВМ ЗСВ'!S45</f>
        <v>8</v>
      </c>
      <c r="CN45" s="316">
        <f>'ВМ ЗСВ'!W45</f>
        <v>8</v>
      </c>
      <c r="CO45" s="316">
        <f>'ВМ ЗСВ'!AA45</f>
        <v>8</v>
      </c>
      <c r="CP45" s="316">
        <f>'ВМ СПО'!G45</f>
        <v>4</v>
      </c>
      <c r="CQ45" s="316">
        <f>'ВМ СПО'!K45</f>
        <v>4</v>
      </c>
      <c r="CR45" s="316">
        <f>'ВМ СПО'!O45</f>
        <v>20</v>
      </c>
      <c r="CS45" s="316">
        <f>'ВМ СПО'!S45</f>
        <v>20</v>
      </c>
      <c r="CT45" s="316">
        <f>'ВМ АСО'!G45</f>
        <v>2</v>
      </c>
      <c r="CU45" s="316">
        <f>'ВМ АСО'!K45</f>
        <v>4</v>
      </c>
      <c r="CV45" s="316" t="e">
        <f t="shared" si="62"/>
        <v>#REF!</v>
      </c>
      <c r="CW45" s="25">
        <f t="shared" si="63"/>
        <v>3.5</v>
      </c>
      <c r="CX45" s="25">
        <f t="shared" si="64"/>
        <v>14</v>
      </c>
      <c r="CY45" s="25">
        <f t="shared" si="65"/>
        <v>0</v>
      </c>
      <c r="CZ45" s="25">
        <f t="shared" si="66"/>
        <v>0</v>
      </c>
      <c r="DA45" s="25">
        <f t="shared" si="67"/>
        <v>0</v>
      </c>
      <c r="DB45" s="25">
        <f t="shared" si="68"/>
        <v>0</v>
      </c>
      <c r="DC45" s="25">
        <f t="shared" si="69"/>
        <v>0</v>
      </c>
      <c r="DD45" s="25">
        <f t="shared" si="70"/>
        <v>0</v>
      </c>
      <c r="DE45" s="25">
        <f t="shared" si="71"/>
        <v>0</v>
      </c>
      <c r="DF45" s="25">
        <f t="shared" si="72"/>
        <v>0</v>
      </c>
      <c r="DG45" s="25">
        <f t="shared" si="73"/>
        <v>0</v>
      </c>
      <c r="DH45" s="25">
        <f t="shared" si="74"/>
        <v>0</v>
      </c>
      <c r="DI45" s="25">
        <f t="shared" si="75"/>
        <v>0</v>
      </c>
      <c r="DJ45" s="25" t="e">
        <f t="shared" si="76"/>
        <v>#REF!</v>
      </c>
      <c r="DK45" s="25">
        <f t="shared" si="77"/>
        <v>0</v>
      </c>
      <c r="DL45" s="25">
        <f t="shared" si="78"/>
        <v>0</v>
      </c>
      <c r="DM45" s="25">
        <f t="shared" si="79"/>
        <v>0</v>
      </c>
      <c r="DN45" s="25">
        <f t="shared" si="80"/>
        <v>0</v>
      </c>
      <c r="DO45" s="25">
        <f t="shared" si="81"/>
        <v>0</v>
      </c>
      <c r="DP45" s="25">
        <f t="shared" si="82"/>
        <v>0</v>
      </c>
      <c r="DQ45" s="25">
        <f t="shared" si="83"/>
        <v>0</v>
      </c>
      <c r="DR45" s="25">
        <f t="shared" si="84"/>
        <v>0</v>
      </c>
      <c r="DS45" s="25">
        <f t="shared" si="85"/>
        <v>0</v>
      </c>
      <c r="DT45" s="25">
        <f t="shared" si="86"/>
        <v>0</v>
      </c>
      <c r="DU45" s="25">
        <f t="shared" si="87"/>
        <v>0</v>
      </c>
      <c r="DV45" s="21">
        <f t="shared" si="88"/>
        <v>0</v>
      </c>
      <c r="DW45" s="317">
        <f t="shared" si="89"/>
        <v>0</v>
      </c>
      <c r="DX45" s="317">
        <f t="shared" si="90"/>
        <v>0</v>
      </c>
      <c r="DY45" s="317">
        <f t="shared" si="91"/>
        <v>0</v>
      </c>
      <c r="DZ45" s="230">
        <f t="shared" si="92"/>
        <v>0</v>
      </c>
    </row>
    <row r="46" spans="1:130" ht="15" customHeight="1" x14ac:dyDescent="0.25">
      <c r="A46" s="1908"/>
      <c r="B46" s="1916"/>
      <c r="C46" s="103" t="s">
        <v>33</v>
      </c>
      <c r="D46" s="21"/>
      <c r="E46" s="316">
        <f>'АВЗ АСУТП'!G46</f>
        <v>2.5</v>
      </c>
      <c r="F46" s="316">
        <f>'АВЗ АСУТП'!K46</f>
        <v>2.5</v>
      </c>
      <c r="G46" s="316">
        <f>'АВЗ АСУТП'!O46</f>
        <v>2.5</v>
      </c>
      <c r="H46" s="230">
        <f>'АВЗ АСУТП'!S46</f>
        <v>2.5</v>
      </c>
      <c r="I46" s="316">
        <f>'АВЗ АСУТП'!W46</f>
        <v>2.5</v>
      </c>
      <c r="J46" s="230">
        <f>'АВЗ АСУТП'!AA46</f>
        <v>2.5</v>
      </c>
      <c r="K46" s="230">
        <f>'АВЗ АСУТП'!AE46</f>
        <v>2.5</v>
      </c>
      <c r="L46" s="230">
        <f>'АВЗ АСУТП'!AI46</f>
        <v>2.5</v>
      </c>
      <c r="M46" s="230">
        <f>'SIEM АСУТП'!G46</f>
        <v>5</v>
      </c>
      <c r="N46" s="230">
        <f>'SIEM АСУТП'!K46</f>
        <v>5</v>
      </c>
      <c r="O46" s="230">
        <f>'МСЭ АСУТП'!G46</f>
        <v>13.5</v>
      </c>
      <c r="P46" s="317">
        <f>'МСЭ АСУТП'!K46</f>
        <v>13.5</v>
      </c>
      <c r="Q46" s="230">
        <f>'МСЭ АСУТП'!O46</f>
        <v>13.5</v>
      </c>
      <c r="R46" s="230">
        <f>'МСЭ АСУТП'!S46</f>
        <v>13.5</v>
      </c>
      <c r="S46" s="230">
        <f>'PAM АСУТП'!G46</f>
        <v>12</v>
      </c>
      <c r="T46" s="230">
        <f>'PAM АСУТП'!K46</f>
        <v>12</v>
      </c>
      <c r="U46" s="230">
        <f>'PAM АСУТП'!O46</f>
        <v>12</v>
      </c>
      <c r="V46" s="230">
        <f>'СКЗИ АСУТП'!G46</f>
        <v>3</v>
      </c>
      <c r="W46" s="230">
        <f>'СКЗИ АСУТП'!K46</f>
        <v>3</v>
      </c>
      <c r="X46" s="230">
        <f>'СКЗИ АСУТП'!O46</f>
        <v>3</v>
      </c>
      <c r="Y46" s="230">
        <f>'СКЗИ АСУТП'!S46</f>
        <v>3</v>
      </c>
      <c r="Z46" s="230">
        <f>'СКЗИ АСУТП'!W46</f>
        <v>3</v>
      </c>
      <c r="AA46" s="230">
        <f>'АЗ АСУТП'!G46</f>
        <v>4</v>
      </c>
      <c r="AB46" s="230">
        <f>'АЗ АСУТП'!K46</f>
        <v>4</v>
      </c>
      <c r="AC46" s="230">
        <f>'АЗ АСУТП'!O46</f>
        <v>4</v>
      </c>
      <c r="AD46" s="230">
        <f>'АЗ АСУТП'!S46</f>
        <v>4</v>
      </c>
      <c r="AE46" s="230">
        <f>'АЗ АСУТП'!W46</f>
        <v>4</v>
      </c>
      <c r="AF46" s="230">
        <f>'РК АСУТП'!G46</f>
        <v>2.5</v>
      </c>
      <c r="AG46" s="230">
        <f>'РК АСУТП'!K46</f>
        <v>2.5</v>
      </c>
      <c r="AH46" s="230">
        <f>'IDS АСУТП'!G46</f>
        <v>14.5</v>
      </c>
      <c r="AI46" s="230">
        <f>'IDS АСУТП'!K46</f>
        <v>14.5</v>
      </c>
      <c r="AJ46" s="230">
        <f>'IDS АСУТП'!O46</f>
        <v>14.5</v>
      </c>
      <c r="AK46" s="230">
        <f>'АПМДЗ АСУТП'!G46</f>
        <v>0</v>
      </c>
      <c r="AL46" s="230">
        <f>'АПМДЗ АСУТП'!K46</f>
        <v>0</v>
      </c>
      <c r="AM46" s="230">
        <f>'НСД АСУТП'!G46</f>
        <v>0</v>
      </c>
      <c r="AN46" s="230">
        <f>'НСД АСУТП'!K46</f>
        <v>0</v>
      </c>
      <c r="AO46" s="230">
        <f>'НСД АСУТП'!O46</f>
        <v>0</v>
      </c>
      <c r="AP46" s="230">
        <f>'MFA АСУТП'!G46</f>
        <v>16</v>
      </c>
      <c r="AQ46" s="230">
        <f>'MFA АСУТП'!K46</f>
        <v>16</v>
      </c>
      <c r="AR46" s="230">
        <f>'MFA АСУТП'!O46</f>
        <v>16</v>
      </c>
      <c r="AS46" s="230">
        <f>'MFA АСУТП'!S46</f>
        <v>16</v>
      </c>
      <c r="AT46" s="230">
        <f>'ДИОД АСУТП'!G46</f>
        <v>7</v>
      </c>
      <c r="AU46" s="230">
        <f>'ДИОД АСУТП'!K46</f>
        <v>7</v>
      </c>
      <c r="AV46" s="230">
        <f>'ДИОД АСУТП'!O46</f>
        <v>7</v>
      </c>
      <c r="AW46" s="230">
        <f>'ДИОД АСУТП'!S46</f>
        <v>7</v>
      </c>
      <c r="AX46" s="230">
        <f>'СЗВ АСУТП'!G46</f>
        <v>16</v>
      </c>
      <c r="AY46" s="230">
        <f>'СЗВ АСУТП'!K46</f>
        <v>16</v>
      </c>
      <c r="AZ46" s="230">
        <f>'СЗВ АСУТП'!O46</f>
        <v>16</v>
      </c>
      <c r="BA46" s="230">
        <f>'SOAR АСУТП'!G46</f>
        <v>4.5</v>
      </c>
      <c r="BB46" s="230">
        <f>'SOAR АСУТП'!K46</f>
        <v>4.5</v>
      </c>
      <c r="BC46" s="230">
        <f>'SOAR АСУТП'!O46</f>
        <v>4.5</v>
      </c>
      <c r="BD46" s="230" t="e">
        <f>'SOAR АСУТП'!#REF!</f>
        <v>#REF!</v>
      </c>
      <c r="BE46" s="230">
        <f>'VDI АСУТП'!G46</f>
        <v>5</v>
      </c>
      <c r="BF46" s="230">
        <f>'VDI АСУТП'!K46</f>
        <v>5</v>
      </c>
      <c r="BG46" s="230">
        <f>'VDI АСУТП'!O46</f>
        <v>5</v>
      </c>
      <c r="BH46" s="230">
        <f>'VDI АСУТП'!S46</f>
        <v>5</v>
      </c>
      <c r="BI46" s="230">
        <f>'VDI АСУТП'!W46</f>
        <v>5</v>
      </c>
      <c r="BJ46" s="316">
        <f>'СУБД АСУТП'!G46</f>
        <v>8</v>
      </c>
      <c r="BK46" s="316">
        <f>'СУБД АСУТП'!K46</f>
        <v>8</v>
      </c>
      <c r="BL46" s="316">
        <f>'ГОССОПКА АСУТП'!G46</f>
        <v>28</v>
      </c>
      <c r="BM46" s="316">
        <f>'ГОССОПКА АСУТП'!K46</f>
        <v>28</v>
      </c>
      <c r="BN46" s="316">
        <f>'TLS АСУТП'!G46</f>
        <v>28</v>
      </c>
      <c r="BO46" s="316">
        <f>'TLS АСУТП'!K46</f>
        <v>28</v>
      </c>
      <c r="BP46" s="316">
        <f>'DCAP АСУТП'!G46</f>
        <v>28</v>
      </c>
      <c r="BQ46" s="316">
        <f>'DCAP АСУТП'!K46</f>
        <v>28</v>
      </c>
      <c r="BR46" s="316">
        <f>'DCAP АСУТП'!O46</f>
        <v>28</v>
      </c>
      <c r="BS46" s="316">
        <f>'DO АСУТП'!G46</f>
        <v>6.5</v>
      </c>
      <c r="BT46" s="316">
        <f>'NTA АСУТП'!G46</f>
        <v>16</v>
      </c>
      <c r="BU46" s="316">
        <f>'NTA АСУТП'!K46</f>
        <v>16</v>
      </c>
      <c r="BV46" s="316">
        <f>'NTA АСУТП'!O46</f>
        <v>22</v>
      </c>
      <c r="BW46" s="316">
        <f>'NTA АСУТП'!S46</f>
        <v>16</v>
      </c>
      <c r="BX46" s="316">
        <f>'SEG АСУТП'!G46</f>
        <v>16</v>
      </c>
      <c r="BY46" s="316">
        <f>'APT АСУТП'!G46</f>
        <v>24</v>
      </c>
      <c r="BZ46" s="316">
        <f>'APT АСУТП'!K46</f>
        <v>24</v>
      </c>
      <c r="CA46" s="316">
        <f>'APT АСУТП'!O46</f>
        <v>24</v>
      </c>
      <c r="CB46" s="316">
        <f>'NAC АСУТП'!G46</f>
        <v>28</v>
      </c>
      <c r="CC46" s="316">
        <f>'SANDBOX АСУТП'!G46</f>
        <v>24</v>
      </c>
      <c r="CD46" s="316">
        <f>'SANDBOX АСУТП'!K46</f>
        <v>24</v>
      </c>
      <c r="CE46" s="316">
        <f>'EDR АСУТП'!G46</f>
        <v>2</v>
      </c>
      <c r="CF46" s="316">
        <f>'EDR АСУТП'!K46</f>
        <v>2</v>
      </c>
      <c r="CG46" s="316">
        <f>'WAF АСУТП'!G46</f>
        <v>28</v>
      </c>
      <c r="CH46" s="316">
        <f>'WAF АСУТП'!K46</f>
        <v>28</v>
      </c>
      <c r="CI46" s="316">
        <f>'WAF АСУТП'!O46</f>
        <v>28</v>
      </c>
      <c r="CJ46" s="316">
        <f>'ВМ ЗСВ'!G46</f>
        <v>16</v>
      </c>
      <c r="CK46" s="316">
        <f>'ВМ ЗСВ'!K46</f>
        <v>16</v>
      </c>
      <c r="CL46" s="316">
        <f>'ВМ ЗСВ'!O46</f>
        <v>16</v>
      </c>
      <c r="CM46" s="316">
        <f>'ВМ ЗСВ'!S46</f>
        <v>16</v>
      </c>
      <c r="CN46" s="316">
        <f>'ВМ ЗСВ'!W46</f>
        <v>16</v>
      </c>
      <c r="CO46" s="316">
        <f>'ВМ ЗСВ'!AA46</f>
        <v>16</v>
      </c>
      <c r="CP46" s="316">
        <f>'ВМ СПО'!G46</f>
        <v>2</v>
      </c>
      <c r="CQ46" s="316">
        <f>'ВМ СПО'!K46</f>
        <v>2</v>
      </c>
      <c r="CR46" s="316">
        <f>'ВМ СПО'!O46</f>
        <v>8</v>
      </c>
      <c r="CS46" s="316">
        <f>'ВМ СПО'!S46</f>
        <v>8</v>
      </c>
      <c r="CT46" s="316">
        <f>'ВМ АСО'!G46</f>
        <v>4</v>
      </c>
      <c r="CU46" s="316">
        <f>'ВМ АСО'!K46</f>
        <v>6</v>
      </c>
      <c r="CV46" s="316" t="e">
        <f t="shared" si="62"/>
        <v>#REF!</v>
      </c>
      <c r="CW46" s="25">
        <f t="shared" si="63"/>
        <v>2.5</v>
      </c>
      <c r="CX46" s="25">
        <f t="shared" si="64"/>
        <v>5</v>
      </c>
      <c r="CY46" s="25">
        <f t="shared" si="65"/>
        <v>0</v>
      </c>
      <c r="CZ46" s="25">
        <f t="shared" si="66"/>
        <v>0</v>
      </c>
      <c r="DA46" s="25">
        <f t="shared" si="67"/>
        <v>0</v>
      </c>
      <c r="DB46" s="25">
        <f t="shared" si="68"/>
        <v>0</v>
      </c>
      <c r="DC46" s="25">
        <f t="shared" si="69"/>
        <v>0</v>
      </c>
      <c r="DD46" s="25">
        <f t="shared" si="70"/>
        <v>0</v>
      </c>
      <c r="DE46" s="25">
        <f t="shared" si="71"/>
        <v>0</v>
      </c>
      <c r="DF46" s="25">
        <f t="shared" si="72"/>
        <v>0</v>
      </c>
      <c r="DG46" s="25">
        <f t="shared" si="73"/>
        <v>0</v>
      </c>
      <c r="DH46" s="25">
        <f t="shared" si="74"/>
        <v>0</v>
      </c>
      <c r="DI46" s="25">
        <f t="shared" si="75"/>
        <v>0</v>
      </c>
      <c r="DJ46" s="25" t="e">
        <f t="shared" si="76"/>
        <v>#REF!</v>
      </c>
      <c r="DK46" s="25">
        <f t="shared" si="77"/>
        <v>0</v>
      </c>
      <c r="DL46" s="25">
        <f t="shared" si="78"/>
        <v>0</v>
      </c>
      <c r="DM46" s="25">
        <f t="shared" si="79"/>
        <v>0</v>
      </c>
      <c r="DN46" s="25">
        <f t="shared" si="80"/>
        <v>0</v>
      </c>
      <c r="DO46" s="25">
        <f t="shared" si="81"/>
        <v>0</v>
      </c>
      <c r="DP46" s="25">
        <f t="shared" si="82"/>
        <v>0</v>
      </c>
      <c r="DQ46" s="25">
        <f t="shared" si="83"/>
        <v>0</v>
      </c>
      <c r="DR46" s="25">
        <f t="shared" si="84"/>
        <v>0</v>
      </c>
      <c r="DS46" s="25">
        <f t="shared" si="85"/>
        <v>0</v>
      </c>
      <c r="DT46" s="25">
        <f t="shared" si="86"/>
        <v>0</v>
      </c>
      <c r="DU46" s="25">
        <f t="shared" si="87"/>
        <v>0</v>
      </c>
      <c r="DV46" s="21">
        <f t="shared" si="88"/>
        <v>0</v>
      </c>
      <c r="DW46" s="317">
        <f t="shared" si="89"/>
        <v>0</v>
      </c>
      <c r="DX46" s="317">
        <f t="shared" si="90"/>
        <v>0</v>
      </c>
      <c r="DY46" s="317">
        <f t="shared" si="91"/>
        <v>0</v>
      </c>
      <c r="DZ46" s="230">
        <f t="shared" si="92"/>
        <v>0</v>
      </c>
    </row>
    <row r="47" spans="1:130" ht="15" customHeight="1" x14ac:dyDescent="0.25">
      <c r="A47" s="1908"/>
      <c r="B47" s="1916"/>
      <c r="C47" s="103" t="s">
        <v>34</v>
      </c>
      <c r="D47" s="21"/>
      <c r="E47" s="316">
        <f>'АВЗ АСУТП'!G47</f>
        <v>4.5</v>
      </c>
      <c r="F47" s="316">
        <f>'АВЗ АСУТП'!K47</f>
        <v>4.5</v>
      </c>
      <c r="G47" s="316">
        <f>'АВЗ АСУТП'!O47</f>
        <v>4.5</v>
      </c>
      <c r="H47" s="230">
        <f>'АВЗ АСУТП'!S47</f>
        <v>4.5</v>
      </c>
      <c r="I47" s="316">
        <f>'АВЗ АСУТП'!W47</f>
        <v>4.5</v>
      </c>
      <c r="J47" s="230">
        <f>'АВЗ АСУТП'!AA47</f>
        <v>4.5</v>
      </c>
      <c r="K47" s="230">
        <f>'АВЗ АСУТП'!AE47</f>
        <v>4.5</v>
      </c>
      <c r="L47" s="230">
        <f>'АВЗ АСУТП'!AI47</f>
        <v>4.5</v>
      </c>
      <c r="M47" s="230">
        <f>'SIEM АСУТП'!G47</f>
        <v>9</v>
      </c>
      <c r="N47" s="230">
        <f>'SIEM АСУТП'!K47</f>
        <v>9</v>
      </c>
      <c r="O47" s="230">
        <f>'МСЭ АСУТП'!G47</f>
        <v>18</v>
      </c>
      <c r="P47" s="317">
        <f>'МСЭ АСУТП'!K47</f>
        <v>18</v>
      </c>
      <c r="Q47" s="230">
        <f>'МСЭ АСУТП'!O47</f>
        <v>18</v>
      </c>
      <c r="R47" s="230">
        <f>'МСЭ АСУТП'!S47</f>
        <v>18</v>
      </c>
      <c r="S47" s="230">
        <f>'PAM АСУТП'!G47</f>
        <v>14</v>
      </c>
      <c r="T47" s="230">
        <f>'PAM АСУТП'!K47</f>
        <v>14</v>
      </c>
      <c r="U47" s="230">
        <f>'PAM АСУТП'!O47</f>
        <v>14</v>
      </c>
      <c r="V47" s="230">
        <f>'СКЗИ АСУТП'!G47</f>
        <v>4</v>
      </c>
      <c r="W47" s="230">
        <f>'СКЗИ АСУТП'!K47</f>
        <v>4</v>
      </c>
      <c r="X47" s="230">
        <f>'СКЗИ АСУТП'!O47</f>
        <v>4</v>
      </c>
      <c r="Y47" s="230">
        <f>'СКЗИ АСУТП'!S47</f>
        <v>4</v>
      </c>
      <c r="Z47" s="230">
        <f>'СКЗИ АСУТП'!W47</f>
        <v>4</v>
      </c>
      <c r="AA47" s="230">
        <f>'АЗ АСУТП'!G47</f>
        <v>4</v>
      </c>
      <c r="AB47" s="230">
        <f>'АЗ АСУТП'!K47</f>
        <v>4</v>
      </c>
      <c r="AC47" s="230">
        <f>'АЗ АСУТП'!O47</f>
        <v>4</v>
      </c>
      <c r="AD47" s="230">
        <f>'АЗ АСУТП'!S47</f>
        <v>4</v>
      </c>
      <c r="AE47" s="230">
        <f>'АЗ АСУТП'!W47</f>
        <v>4</v>
      </c>
      <c r="AF47" s="230">
        <f>'РК АСУТП'!G47</f>
        <v>2.5</v>
      </c>
      <c r="AG47" s="230">
        <f>'РК АСУТП'!K47</f>
        <v>2.5</v>
      </c>
      <c r="AH47" s="230">
        <f>'IDS АСУТП'!G47</f>
        <v>22</v>
      </c>
      <c r="AI47" s="230">
        <f>'IDS АСУТП'!K47</f>
        <v>22</v>
      </c>
      <c r="AJ47" s="230">
        <f>'IDS АСУТП'!O47</f>
        <v>22</v>
      </c>
      <c r="AK47" s="230">
        <f>'АПМДЗ АСУТП'!G47</f>
        <v>0</v>
      </c>
      <c r="AL47" s="230">
        <f>'АПМДЗ АСУТП'!K47</f>
        <v>0</v>
      </c>
      <c r="AM47" s="230">
        <f>'НСД АСУТП'!G47</f>
        <v>0</v>
      </c>
      <c r="AN47" s="230">
        <f>'НСД АСУТП'!K47</f>
        <v>0</v>
      </c>
      <c r="AO47" s="230">
        <f>'НСД АСУТП'!O47</f>
        <v>0</v>
      </c>
      <c r="AP47" s="230">
        <f>'MFA АСУТП'!G47</f>
        <v>32</v>
      </c>
      <c r="AQ47" s="230">
        <f>'MFA АСУТП'!K47</f>
        <v>32</v>
      </c>
      <c r="AR47" s="230">
        <f>'MFA АСУТП'!O47</f>
        <v>32</v>
      </c>
      <c r="AS47" s="230">
        <f>'MFA АСУТП'!S47</f>
        <v>32</v>
      </c>
      <c r="AT47" s="230">
        <f>'ДИОД АСУТП'!G47</f>
        <v>9</v>
      </c>
      <c r="AU47" s="230">
        <f>'ДИОД АСУТП'!K47</f>
        <v>9</v>
      </c>
      <c r="AV47" s="230">
        <f>'ДИОД АСУТП'!O47</f>
        <v>9</v>
      </c>
      <c r="AW47" s="230">
        <f>'ДИОД АСУТП'!S47</f>
        <v>9</v>
      </c>
      <c r="AX47" s="230">
        <f>'СЗВ АСУТП'!G47</f>
        <v>32</v>
      </c>
      <c r="AY47" s="230">
        <f>'СЗВ АСУТП'!K47</f>
        <v>32</v>
      </c>
      <c r="AZ47" s="230">
        <f>'СЗВ АСУТП'!O47</f>
        <v>32</v>
      </c>
      <c r="BA47" s="230">
        <f>'SOAR АСУТП'!G47</f>
        <v>8.5</v>
      </c>
      <c r="BB47" s="230">
        <f>'SOAR АСУТП'!K47</f>
        <v>8.5</v>
      </c>
      <c r="BC47" s="230">
        <f>'SOAR АСУТП'!O47</f>
        <v>8.5</v>
      </c>
      <c r="BD47" s="230" t="e">
        <f>'SOAR АСУТП'!#REF!</f>
        <v>#REF!</v>
      </c>
      <c r="BE47" s="230">
        <f>'VDI АСУТП'!G47</f>
        <v>7</v>
      </c>
      <c r="BF47" s="230">
        <f>'VDI АСУТП'!K47</f>
        <v>7</v>
      </c>
      <c r="BG47" s="230">
        <f>'VDI АСУТП'!O47</f>
        <v>7</v>
      </c>
      <c r="BH47" s="230">
        <f>'VDI АСУТП'!S47</f>
        <v>7</v>
      </c>
      <c r="BI47" s="230">
        <f>'VDI АСУТП'!W47</f>
        <v>7</v>
      </c>
      <c r="BJ47" s="316">
        <f>'СУБД АСУТП'!G47</f>
        <v>12</v>
      </c>
      <c r="BK47" s="316">
        <f>'СУБД АСУТП'!K47</f>
        <v>12</v>
      </c>
      <c r="BL47" s="316">
        <f>'ГОССОПКА АСУТП'!G47</f>
        <v>36</v>
      </c>
      <c r="BM47" s="316">
        <f>'ГОССОПКА АСУТП'!K47</f>
        <v>36</v>
      </c>
      <c r="BN47" s="316">
        <f>'TLS АСУТП'!G47</f>
        <v>36</v>
      </c>
      <c r="BO47" s="316">
        <f>'TLS АСУТП'!K47</f>
        <v>36</v>
      </c>
      <c r="BP47" s="316">
        <f>'DCAP АСУТП'!G47</f>
        <v>36</v>
      </c>
      <c r="BQ47" s="316">
        <f>'DCAP АСУТП'!K47</f>
        <v>36</v>
      </c>
      <c r="BR47" s="316">
        <f>'DCAP АСУТП'!O47</f>
        <v>36</v>
      </c>
      <c r="BS47" s="316">
        <f>'DO АСУТП'!G47</f>
        <v>10.5</v>
      </c>
      <c r="BT47" s="316">
        <f>'NTA АСУТП'!G47</f>
        <v>24</v>
      </c>
      <c r="BU47" s="316">
        <f>'NTA АСУТП'!K47</f>
        <v>24</v>
      </c>
      <c r="BV47" s="316">
        <f>'NTA АСУТП'!O47</f>
        <v>39</v>
      </c>
      <c r="BW47" s="316">
        <f>'NTA АСУТП'!S47</f>
        <v>24</v>
      </c>
      <c r="BX47" s="316">
        <f>'SEG АСУТП'!G47</f>
        <v>24</v>
      </c>
      <c r="BY47" s="316">
        <f>'APT АСУТП'!G47</f>
        <v>32</v>
      </c>
      <c r="BZ47" s="316">
        <f>'APT АСУТП'!K47</f>
        <v>32</v>
      </c>
      <c r="CA47" s="316">
        <f>'APT АСУТП'!O47</f>
        <v>32</v>
      </c>
      <c r="CB47" s="316">
        <f>'NAC АСУТП'!G47</f>
        <v>36</v>
      </c>
      <c r="CC47" s="316">
        <f>'SANDBOX АСУТП'!G47</f>
        <v>32</v>
      </c>
      <c r="CD47" s="316">
        <f>'SANDBOX АСУТП'!K47</f>
        <v>32</v>
      </c>
      <c r="CE47" s="316">
        <f>'EDR АСУТП'!G47</f>
        <v>4</v>
      </c>
      <c r="CF47" s="316">
        <f>'EDR АСУТП'!K47</f>
        <v>4</v>
      </c>
      <c r="CG47" s="316">
        <f>'WAF АСУТП'!G47</f>
        <v>36</v>
      </c>
      <c r="CH47" s="316">
        <f>'WAF АСУТП'!K47</f>
        <v>36</v>
      </c>
      <c r="CI47" s="316">
        <f>'WAF АСУТП'!O47</f>
        <v>36</v>
      </c>
      <c r="CJ47" s="316">
        <f>'ВМ ЗСВ'!G47</f>
        <v>32</v>
      </c>
      <c r="CK47" s="316">
        <f>'ВМ ЗСВ'!K47</f>
        <v>32</v>
      </c>
      <c r="CL47" s="316">
        <f>'ВМ ЗСВ'!O47</f>
        <v>32</v>
      </c>
      <c r="CM47" s="316">
        <f>'ВМ ЗСВ'!S47</f>
        <v>32</v>
      </c>
      <c r="CN47" s="316">
        <f>'ВМ ЗСВ'!W47</f>
        <v>32</v>
      </c>
      <c r="CO47" s="316">
        <f>'ВМ ЗСВ'!AA47</f>
        <v>32</v>
      </c>
      <c r="CP47" s="316">
        <f>'ВМ СПО'!G47</f>
        <v>4</v>
      </c>
      <c r="CQ47" s="316">
        <f>'ВМ СПО'!K47</f>
        <v>4</v>
      </c>
      <c r="CR47" s="316">
        <f>'ВМ СПО'!O47</f>
        <v>12</v>
      </c>
      <c r="CS47" s="316">
        <f>'ВМ СПО'!S47</f>
        <v>12</v>
      </c>
      <c r="CT47" s="316">
        <f>'ВМ АСО'!G47</f>
        <v>6</v>
      </c>
      <c r="CU47" s="316">
        <f>'ВМ АСО'!K47</f>
        <v>8</v>
      </c>
      <c r="CV47" s="316" t="e">
        <f t="shared" si="62"/>
        <v>#REF!</v>
      </c>
      <c r="CW47" s="25">
        <f t="shared" si="63"/>
        <v>4.5</v>
      </c>
      <c r="CX47" s="25">
        <f t="shared" si="64"/>
        <v>9</v>
      </c>
      <c r="CY47" s="25">
        <f t="shared" si="65"/>
        <v>0</v>
      </c>
      <c r="CZ47" s="25">
        <f t="shared" si="66"/>
        <v>0</v>
      </c>
      <c r="DA47" s="25">
        <f t="shared" si="67"/>
        <v>0</v>
      </c>
      <c r="DB47" s="25">
        <f t="shared" si="68"/>
        <v>0</v>
      </c>
      <c r="DC47" s="25">
        <f t="shared" si="69"/>
        <v>0</v>
      </c>
      <c r="DD47" s="25">
        <f t="shared" si="70"/>
        <v>0</v>
      </c>
      <c r="DE47" s="25">
        <f t="shared" si="71"/>
        <v>0</v>
      </c>
      <c r="DF47" s="25">
        <f t="shared" si="72"/>
        <v>0</v>
      </c>
      <c r="DG47" s="25">
        <f t="shared" si="73"/>
        <v>0</v>
      </c>
      <c r="DH47" s="25">
        <f t="shared" si="74"/>
        <v>0</v>
      </c>
      <c r="DI47" s="25">
        <f t="shared" si="75"/>
        <v>0</v>
      </c>
      <c r="DJ47" s="25" t="e">
        <f t="shared" si="76"/>
        <v>#REF!</v>
      </c>
      <c r="DK47" s="25">
        <f t="shared" si="77"/>
        <v>0</v>
      </c>
      <c r="DL47" s="25">
        <f t="shared" si="78"/>
        <v>0</v>
      </c>
      <c r="DM47" s="25">
        <f t="shared" si="79"/>
        <v>0</v>
      </c>
      <c r="DN47" s="25">
        <f t="shared" si="80"/>
        <v>0</v>
      </c>
      <c r="DO47" s="25">
        <f t="shared" si="81"/>
        <v>0</v>
      </c>
      <c r="DP47" s="25">
        <f t="shared" si="82"/>
        <v>0</v>
      </c>
      <c r="DQ47" s="25">
        <f t="shared" si="83"/>
        <v>0</v>
      </c>
      <c r="DR47" s="25">
        <f t="shared" si="84"/>
        <v>0</v>
      </c>
      <c r="DS47" s="25">
        <f t="shared" si="85"/>
        <v>0</v>
      </c>
      <c r="DT47" s="25">
        <f t="shared" si="86"/>
        <v>0</v>
      </c>
      <c r="DU47" s="25">
        <f t="shared" si="87"/>
        <v>0</v>
      </c>
      <c r="DV47" s="21">
        <f t="shared" si="88"/>
        <v>0</v>
      </c>
      <c r="DW47" s="317">
        <f t="shared" si="89"/>
        <v>0</v>
      </c>
      <c r="DX47" s="317">
        <f t="shared" si="90"/>
        <v>0</v>
      </c>
      <c r="DY47" s="317">
        <f t="shared" si="91"/>
        <v>0</v>
      </c>
      <c r="DZ47" s="230">
        <f t="shared" si="92"/>
        <v>0</v>
      </c>
    </row>
    <row r="48" spans="1:130" ht="15" customHeight="1" x14ac:dyDescent="0.25">
      <c r="A48" s="1908" t="s">
        <v>16</v>
      </c>
      <c r="B48" s="1916">
        <f>IF('Тип разраб-ой док-ции'!F21=1,1,0)</f>
        <v>0</v>
      </c>
      <c r="C48" s="103" t="s">
        <v>32</v>
      </c>
      <c r="D48" s="21"/>
      <c r="E48" s="316">
        <f>'АВЗ АСУТП'!G48</f>
        <v>0.5</v>
      </c>
      <c r="F48" s="316">
        <f>'АВЗ АСУТП'!K48</f>
        <v>0.5</v>
      </c>
      <c r="G48" s="316">
        <f>'АВЗ АСУТП'!O48</f>
        <v>0.5</v>
      </c>
      <c r="H48" s="230">
        <f>'АВЗ АСУТП'!S48</f>
        <v>0.5</v>
      </c>
      <c r="I48" s="316">
        <f>'АВЗ АСУТП'!W48</f>
        <v>0.5</v>
      </c>
      <c r="J48" s="230">
        <f>'АВЗ АСУТП'!AA48</f>
        <v>0.5</v>
      </c>
      <c r="K48" s="230">
        <f>'АВЗ АСУТП'!AE48</f>
        <v>0.5</v>
      </c>
      <c r="L48" s="230">
        <f>'АВЗ АСУТП'!AI48</f>
        <v>0.5</v>
      </c>
      <c r="M48" s="230">
        <f>'SIEM АСУТП'!G48</f>
        <v>1</v>
      </c>
      <c r="N48" s="230">
        <f>'SIEM АСУТП'!K48</f>
        <v>1</v>
      </c>
      <c r="O48" s="230">
        <f>'МСЭ АСУТП'!G48</f>
        <v>0</v>
      </c>
      <c r="P48" s="317">
        <f>'МСЭ АСУТП'!K48</f>
        <v>0</v>
      </c>
      <c r="Q48" s="230">
        <f>'МСЭ АСУТП'!O48</f>
        <v>0</v>
      </c>
      <c r="R48" s="230">
        <f>'МСЭ АСУТП'!S48</f>
        <v>0</v>
      </c>
      <c r="S48" s="230">
        <f>'PAM АСУТП'!G48</f>
        <v>0</v>
      </c>
      <c r="T48" s="230">
        <f>'PAM АСУТП'!K48</f>
        <v>0</v>
      </c>
      <c r="U48" s="230">
        <f>'PAM АСУТП'!O48</f>
        <v>0</v>
      </c>
      <c r="V48" s="230">
        <f>'СКЗИ АСУТП'!G48</f>
        <v>0</v>
      </c>
      <c r="W48" s="230">
        <f>'СКЗИ АСУТП'!K48</f>
        <v>0</v>
      </c>
      <c r="X48" s="230">
        <f>'СКЗИ АСУТП'!O48</f>
        <v>0</v>
      </c>
      <c r="Y48" s="230">
        <f>'СКЗИ АСУТП'!S48</f>
        <v>0</v>
      </c>
      <c r="Z48" s="230">
        <f>'СКЗИ АСУТП'!W48</f>
        <v>0</v>
      </c>
      <c r="AA48" s="230">
        <f>'АЗ АСУТП'!G48</f>
        <v>0</v>
      </c>
      <c r="AB48" s="230">
        <f>'АЗ АСУТП'!K48</f>
        <v>0</v>
      </c>
      <c r="AC48" s="230">
        <f>'АЗ АСУТП'!O48</f>
        <v>0</v>
      </c>
      <c r="AD48" s="230">
        <f>'АЗ АСУТП'!S48</f>
        <v>0</v>
      </c>
      <c r="AE48" s="230">
        <f>'АЗ АСУТП'!W48</f>
        <v>0</v>
      </c>
      <c r="AF48" s="230">
        <f>'РК АСУТП'!G48</f>
        <v>0</v>
      </c>
      <c r="AG48" s="230">
        <f>'РК АСУТП'!K48</f>
        <v>0</v>
      </c>
      <c r="AH48" s="230">
        <f>'IDS АСУТП'!G48</f>
        <v>3</v>
      </c>
      <c r="AI48" s="230">
        <f>'IDS АСУТП'!K48</f>
        <v>3</v>
      </c>
      <c r="AJ48" s="230">
        <f>'IDS АСУТП'!O48</f>
        <v>3</v>
      </c>
      <c r="AK48" s="230">
        <f>'АПМДЗ АСУТП'!G48</f>
        <v>0</v>
      </c>
      <c r="AL48" s="230">
        <f>'АПМДЗ АСУТП'!K48</f>
        <v>0</v>
      </c>
      <c r="AM48" s="230">
        <f>'НСД АСУТП'!G48</f>
        <v>0</v>
      </c>
      <c r="AN48" s="230">
        <f>'НСД АСУТП'!K48</f>
        <v>0</v>
      </c>
      <c r="AO48" s="230">
        <f>'НСД АСУТП'!O48</f>
        <v>0</v>
      </c>
      <c r="AP48" s="230">
        <f>'MFA АСУТП'!G48</f>
        <v>0</v>
      </c>
      <c r="AQ48" s="230">
        <f>'MFA АСУТП'!K48</f>
        <v>0</v>
      </c>
      <c r="AR48" s="230">
        <f>'MFA АСУТП'!O48</f>
        <v>0</v>
      </c>
      <c r="AS48" s="230">
        <f>'MFA АСУТП'!S48</f>
        <v>0</v>
      </c>
      <c r="AT48" s="230">
        <f>'ДИОД АСУТП'!G48</f>
        <v>0</v>
      </c>
      <c r="AU48" s="230">
        <f>'ДИОД АСУТП'!K48</f>
        <v>0</v>
      </c>
      <c r="AV48" s="230">
        <f>'ДИОД АСУТП'!O48</f>
        <v>0</v>
      </c>
      <c r="AW48" s="230">
        <f>'ДИОД АСУТП'!S48</f>
        <v>0</v>
      </c>
      <c r="AX48" s="230">
        <f>'СЗВ АСУТП'!G48</f>
        <v>0</v>
      </c>
      <c r="AY48" s="230">
        <f>'СЗВ АСУТП'!K48</f>
        <v>0</v>
      </c>
      <c r="AZ48" s="230">
        <f>'СЗВ АСУТП'!O48</f>
        <v>0</v>
      </c>
      <c r="BA48" s="230">
        <f>'SOAR АСУТП'!G48</f>
        <v>0</v>
      </c>
      <c r="BB48" s="230">
        <f>'SOAR АСУТП'!K48</f>
        <v>0</v>
      </c>
      <c r="BC48" s="230">
        <f>'SOAR АСУТП'!O48</f>
        <v>0</v>
      </c>
      <c r="BD48" s="230" t="e">
        <f>'SOAR АСУТП'!#REF!</f>
        <v>#REF!</v>
      </c>
      <c r="BE48" s="230">
        <f>'VDI АСУТП'!G48</f>
        <v>1</v>
      </c>
      <c r="BF48" s="230">
        <f>'VDI АСУТП'!K48</f>
        <v>1</v>
      </c>
      <c r="BG48" s="230">
        <f>'VDI АСУТП'!O48</f>
        <v>1</v>
      </c>
      <c r="BH48" s="230">
        <f>'VDI АСУТП'!S48</f>
        <v>1</v>
      </c>
      <c r="BI48" s="230">
        <f>'VDI АСУТП'!W48</f>
        <v>1</v>
      </c>
      <c r="BJ48" s="316">
        <f>'СУБД АСУТП'!G48</f>
        <v>0</v>
      </c>
      <c r="BK48" s="316">
        <f>'СУБД АСУТП'!K48</f>
        <v>0</v>
      </c>
      <c r="BL48" s="316">
        <f>'ГОССОПКА АСУТП'!G48</f>
        <v>0</v>
      </c>
      <c r="BM48" s="316">
        <f>'ГОССОПКА АСУТП'!K48</f>
        <v>0</v>
      </c>
      <c r="BN48" s="316">
        <f>'TLS АСУТП'!G48</f>
        <v>0</v>
      </c>
      <c r="BO48" s="316">
        <f>'TLS АСУТП'!K48</f>
        <v>0</v>
      </c>
      <c r="BP48" s="316">
        <f>'DCAP АСУТП'!G48</f>
        <v>0</v>
      </c>
      <c r="BQ48" s="316">
        <f>'DCAP АСУТП'!K48</f>
        <v>0</v>
      </c>
      <c r="BR48" s="316">
        <f>'DCAP АСУТП'!O48</f>
        <v>0</v>
      </c>
      <c r="BS48" s="316">
        <f>'DO АСУТП'!G48</f>
        <v>0</v>
      </c>
      <c r="BT48" s="316">
        <f>'NTA АСУТП'!G48</f>
        <v>0</v>
      </c>
      <c r="BU48" s="316">
        <f>'NTA АСУТП'!K48</f>
        <v>0</v>
      </c>
      <c r="BV48" s="316">
        <f>'NTA АСУТП'!O48</f>
        <v>0</v>
      </c>
      <c r="BW48" s="316">
        <f>'NTA АСУТП'!S48</f>
        <v>0</v>
      </c>
      <c r="BX48" s="316">
        <f>'SEG АСУТП'!G48</f>
        <v>0</v>
      </c>
      <c r="BY48" s="316">
        <f>'APT АСУТП'!G48</f>
        <v>0</v>
      </c>
      <c r="BZ48" s="316">
        <f>'APT АСУТП'!K48</f>
        <v>0</v>
      </c>
      <c r="CA48" s="316">
        <f>'APT АСУТП'!O48</f>
        <v>0</v>
      </c>
      <c r="CB48" s="316">
        <f>'NAC АСУТП'!G48</f>
        <v>0</v>
      </c>
      <c r="CC48" s="316">
        <f>'SANDBOX АСУТП'!G48</f>
        <v>0</v>
      </c>
      <c r="CD48" s="316">
        <f>'SANDBOX АСУТП'!K48</f>
        <v>0</v>
      </c>
      <c r="CE48" s="316">
        <f>'EDR АСУТП'!G48</f>
        <v>0</v>
      </c>
      <c r="CF48" s="316">
        <f>'EDR АСУТП'!K48</f>
        <v>0</v>
      </c>
      <c r="CG48" s="316">
        <f>'WAF АСУТП'!G48</f>
        <v>0</v>
      </c>
      <c r="CH48" s="316">
        <f>'WAF АСУТП'!K48</f>
        <v>0</v>
      </c>
      <c r="CI48" s="316">
        <f>'WAF АСУТП'!O48</f>
        <v>0</v>
      </c>
      <c r="CJ48" s="316">
        <f>'ВМ ЗСВ'!G48</f>
        <v>0</v>
      </c>
      <c r="CK48" s="316">
        <f>'ВМ ЗСВ'!K48</f>
        <v>0</v>
      </c>
      <c r="CL48" s="316">
        <f>'ВМ ЗСВ'!O48</f>
        <v>0</v>
      </c>
      <c r="CM48" s="316">
        <f>'ВМ ЗСВ'!S48</f>
        <v>0</v>
      </c>
      <c r="CN48" s="316">
        <f>'ВМ ЗСВ'!W48</f>
        <v>0</v>
      </c>
      <c r="CO48" s="316">
        <f>'ВМ ЗСВ'!AA48</f>
        <v>0</v>
      </c>
      <c r="CP48" s="316">
        <f>'ВМ СПО'!G48</f>
        <v>0</v>
      </c>
      <c r="CQ48" s="316">
        <f>'ВМ СПО'!K48</f>
        <v>0</v>
      </c>
      <c r="CR48" s="316">
        <f>'ВМ СПО'!O48</f>
        <v>0</v>
      </c>
      <c r="CS48" s="316">
        <f>'ВМ СПО'!S48</f>
        <v>0</v>
      </c>
      <c r="CT48" s="316">
        <f>'ВМ АСО'!G48</f>
        <v>0</v>
      </c>
      <c r="CU48" s="316">
        <f>'ВМ АСО'!K48</f>
        <v>0</v>
      </c>
      <c r="CV48" s="316" t="e">
        <f t="shared" si="62"/>
        <v>#REF!</v>
      </c>
      <c r="CW48" s="25">
        <f t="shared" si="63"/>
        <v>0.5</v>
      </c>
      <c r="CX48" s="25">
        <f t="shared" si="64"/>
        <v>1</v>
      </c>
      <c r="CY48" s="25">
        <f t="shared" si="65"/>
        <v>0</v>
      </c>
      <c r="CZ48" s="25">
        <f t="shared" si="66"/>
        <v>0</v>
      </c>
      <c r="DA48" s="25">
        <f t="shared" si="67"/>
        <v>0</v>
      </c>
      <c r="DB48" s="25">
        <f t="shared" si="68"/>
        <v>0</v>
      </c>
      <c r="DC48" s="25">
        <f t="shared" si="69"/>
        <v>0</v>
      </c>
      <c r="DD48" s="25">
        <f t="shared" si="70"/>
        <v>0</v>
      </c>
      <c r="DE48" s="25">
        <f t="shared" si="71"/>
        <v>0</v>
      </c>
      <c r="DF48" s="25">
        <f t="shared" si="72"/>
        <v>0</v>
      </c>
      <c r="DG48" s="25">
        <f t="shared" si="73"/>
        <v>0</v>
      </c>
      <c r="DH48" s="25">
        <f t="shared" si="74"/>
        <v>0</v>
      </c>
      <c r="DI48" s="25">
        <f t="shared" si="75"/>
        <v>0</v>
      </c>
      <c r="DJ48" s="25" t="e">
        <f t="shared" si="76"/>
        <v>#REF!</v>
      </c>
      <c r="DK48" s="25">
        <f t="shared" si="77"/>
        <v>0</v>
      </c>
      <c r="DL48" s="25">
        <f t="shared" si="78"/>
        <v>0</v>
      </c>
      <c r="DM48" s="25">
        <f t="shared" si="79"/>
        <v>0</v>
      </c>
      <c r="DN48" s="25">
        <f t="shared" si="80"/>
        <v>0</v>
      </c>
      <c r="DO48" s="25">
        <f t="shared" si="81"/>
        <v>0</v>
      </c>
      <c r="DP48" s="25">
        <f t="shared" si="82"/>
        <v>0</v>
      </c>
      <c r="DQ48" s="25">
        <f t="shared" si="83"/>
        <v>0</v>
      </c>
      <c r="DR48" s="25">
        <f t="shared" si="84"/>
        <v>0</v>
      </c>
      <c r="DS48" s="25">
        <f t="shared" si="85"/>
        <v>0</v>
      </c>
      <c r="DT48" s="25">
        <f t="shared" si="86"/>
        <v>0</v>
      </c>
      <c r="DU48" s="25">
        <f t="shared" si="87"/>
        <v>0</v>
      </c>
      <c r="DV48" s="21">
        <f t="shared" si="88"/>
        <v>0</v>
      </c>
      <c r="DW48" s="317">
        <f t="shared" si="89"/>
        <v>0</v>
      </c>
      <c r="DX48" s="317">
        <f t="shared" si="90"/>
        <v>0</v>
      </c>
      <c r="DY48" s="317">
        <f t="shared" si="91"/>
        <v>0</v>
      </c>
      <c r="DZ48" s="230">
        <f t="shared" si="92"/>
        <v>0</v>
      </c>
    </row>
    <row r="49" spans="1:130" ht="15" customHeight="1" x14ac:dyDescent="0.25">
      <c r="A49" s="1908"/>
      <c r="B49" s="1916"/>
      <c r="C49" s="103" t="s">
        <v>33</v>
      </c>
      <c r="D49" s="21"/>
      <c r="E49" s="316">
        <f>'АВЗ АСУТП'!G49</f>
        <v>0.5</v>
      </c>
      <c r="F49" s="316">
        <f>'АВЗ АСУТП'!K49</f>
        <v>0.5</v>
      </c>
      <c r="G49" s="316">
        <f>'АВЗ АСУТП'!O49</f>
        <v>0.5</v>
      </c>
      <c r="H49" s="230">
        <f>'АВЗ АСУТП'!S49</f>
        <v>0.5</v>
      </c>
      <c r="I49" s="316">
        <f>'АВЗ АСУТП'!W49</f>
        <v>0.5</v>
      </c>
      <c r="J49" s="230">
        <f>'АВЗ АСУТП'!AA49</f>
        <v>0.5</v>
      </c>
      <c r="K49" s="230">
        <f>'АВЗ АСУТП'!AE49</f>
        <v>0.5</v>
      </c>
      <c r="L49" s="230">
        <f>'АВЗ АСУТП'!AI49</f>
        <v>0.5</v>
      </c>
      <c r="M49" s="230">
        <f>'SIEM АСУТП'!G49</f>
        <v>1</v>
      </c>
      <c r="N49" s="230">
        <f>'SIEM АСУТП'!K49</f>
        <v>1</v>
      </c>
      <c r="O49" s="230">
        <f>'МСЭ АСУТП'!G49</f>
        <v>0</v>
      </c>
      <c r="P49" s="317">
        <f>'МСЭ АСУТП'!K49</f>
        <v>0</v>
      </c>
      <c r="Q49" s="230">
        <f>'МСЭ АСУТП'!O49</f>
        <v>0</v>
      </c>
      <c r="R49" s="230">
        <f>'МСЭ АСУТП'!S49</f>
        <v>0</v>
      </c>
      <c r="S49" s="230">
        <f>'PAM АСУТП'!G49</f>
        <v>0</v>
      </c>
      <c r="T49" s="230">
        <f>'PAM АСУТП'!K49</f>
        <v>0</v>
      </c>
      <c r="U49" s="230">
        <f>'PAM АСУТП'!O49</f>
        <v>0</v>
      </c>
      <c r="V49" s="230">
        <f>'СКЗИ АСУТП'!G49</f>
        <v>0</v>
      </c>
      <c r="W49" s="230">
        <f>'СКЗИ АСУТП'!K49</f>
        <v>0</v>
      </c>
      <c r="X49" s="230">
        <f>'СКЗИ АСУТП'!O49</f>
        <v>0</v>
      </c>
      <c r="Y49" s="230">
        <f>'СКЗИ АСУТП'!S49</f>
        <v>0</v>
      </c>
      <c r="Z49" s="230">
        <f>'СКЗИ АСУТП'!W49</f>
        <v>0</v>
      </c>
      <c r="AA49" s="230">
        <f>'АЗ АСУТП'!G49</f>
        <v>0</v>
      </c>
      <c r="AB49" s="230">
        <f>'АЗ АСУТП'!K49</f>
        <v>0</v>
      </c>
      <c r="AC49" s="230">
        <f>'АЗ АСУТП'!O49</f>
        <v>0</v>
      </c>
      <c r="AD49" s="230">
        <f>'АЗ АСУТП'!S49</f>
        <v>0</v>
      </c>
      <c r="AE49" s="230">
        <f>'АЗ АСУТП'!W49</f>
        <v>0</v>
      </c>
      <c r="AF49" s="230">
        <f>'РК АСУТП'!G49</f>
        <v>0</v>
      </c>
      <c r="AG49" s="230">
        <f>'РК АСУТП'!K49</f>
        <v>0</v>
      </c>
      <c r="AH49" s="230">
        <f>'IDS АСУТП'!G49</f>
        <v>4.5</v>
      </c>
      <c r="AI49" s="230">
        <f>'IDS АСУТП'!K49</f>
        <v>4.5</v>
      </c>
      <c r="AJ49" s="230">
        <f>'IDS АСУТП'!O49</f>
        <v>4.5</v>
      </c>
      <c r="AK49" s="230">
        <f>'АПМДЗ АСУТП'!G49</f>
        <v>0</v>
      </c>
      <c r="AL49" s="230">
        <f>'АПМДЗ АСУТП'!K49</f>
        <v>0</v>
      </c>
      <c r="AM49" s="230">
        <f>'НСД АСУТП'!G49</f>
        <v>0</v>
      </c>
      <c r="AN49" s="230">
        <f>'НСД АСУТП'!K49</f>
        <v>0</v>
      </c>
      <c r="AO49" s="230">
        <f>'НСД АСУТП'!O49</f>
        <v>0</v>
      </c>
      <c r="AP49" s="230">
        <f>'MFA АСУТП'!G49</f>
        <v>0</v>
      </c>
      <c r="AQ49" s="230">
        <f>'MFA АСУТП'!K49</f>
        <v>0</v>
      </c>
      <c r="AR49" s="230">
        <f>'MFA АСУТП'!O49</f>
        <v>0</v>
      </c>
      <c r="AS49" s="230">
        <f>'MFA АСУТП'!S49</f>
        <v>0</v>
      </c>
      <c r="AT49" s="230">
        <f>'ДИОД АСУТП'!G49</f>
        <v>0</v>
      </c>
      <c r="AU49" s="230">
        <f>'ДИОД АСУТП'!K49</f>
        <v>0</v>
      </c>
      <c r="AV49" s="230">
        <f>'ДИОД АСУТП'!O49</f>
        <v>0</v>
      </c>
      <c r="AW49" s="230">
        <f>'ДИОД АСУТП'!S49</f>
        <v>0</v>
      </c>
      <c r="AX49" s="230">
        <f>'СЗВ АСУТП'!G49</f>
        <v>0</v>
      </c>
      <c r="AY49" s="230">
        <f>'СЗВ АСУТП'!K49</f>
        <v>0</v>
      </c>
      <c r="AZ49" s="230">
        <f>'СЗВ АСУТП'!O49</f>
        <v>0</v>
      </c>
      <c r="BA49" s="230">
        <f>'SOAR АСУТП'!G49</f>
        <v>0.75</v>
      </c>
      <c r="BB49" s="230">
        <f>'SOAR АСУТП'!K49</f>
        <v>0.75</v>
      </c>
      <c r="BC49" s="230">
        <f>'SOAR АСУТП'!O49</f>
        <v>0.75</v>
      </c>
      <c r="BD49" s="230" t="e">
        <f>'SOAR АСУТП'!#REF!</f>
        <v>#REF!</v>
      </c>
      <c r="BE49" s="230">
        <f>'VDI АСУТП'!G49</f>
        <v>2</v>
      </c>
      <c r="BF49" s="230">
        <f>'VDI АСУТП'!K49</f>
        <v>2</v>
      </c>
      <c r="BG49" s="230">
        <f>'VDI АСУТП'!O49</f>
        <v>2</v>
      </c>
      <c r="BH49" s="230">
        <f>'VDI АСУТП'!S49</f>
        <v>2</v>
      </c>
      <c r="BI49" s="230">
        <f>'VDI АСУТП'!W49</f>
        <v>2</v>
      </c>
      <c r="BJ49" s="316">
        <f>'СУБД АСУТП'!G49</f>
        <v>0</v>
      </c>
      <c r="BK49" s="316">
        <f>'СУБД АСУТП'!K49</f>
        <v>0</v>
      </c>
      <c r="BL49" s="316">
        <f>'ГОССОПКА АСУТП'!G49</f>
        <v>0</v>
      </c>
      <c r="BM49" s="316">
        <f>'ГОССОПКА АСУТП'!K49</f>
        <v>0</v>
      </c>
      <c r="BN49" s="316">
        <f>'TLS АСУТП'!G49</f>
        <v>0</v>
      </c>
      <c r="BO49" s="316">
        <f>'TLS АСУТП'!K49</f>
        <v>0</v>
      </c>
      <c r="BP49" s="316">
        <f>'DCAP АСУТП'!G49</f>
        <v>0</v>
      </c>
      <c r="BQ49" s="316">
        <f>'DCAP АСУТП'!K49</f>
        <v>0</v>
      </c>
      <c r="BR49" s="316">
        <f>'DCAP АСУТП'!O49</f>
        <v>0</v>
      </c>
      <c r="BS49" s="316">
        <f>'DO АСУТП'!G49</f>
        <v>0.5</v>
      </c>
      <c r="BT49" s="316">
        <f>'NTA АСУТП'!G49</f>
        <v>0</v>
      </c>
      <c r="BU49" s="316">
        <f>'NTA АСУТП'!K49</f>
        <v>0</v>
      </c>
      <c r="BV49" s="316">
        <f>'NTA АСУТП'!O49</f>
        <v>0</v>
      </c>
      <c r="BW49" s="316">
        <f>'NTA АСУТП'!S49</f>
        <v>0</v>
      </c>
      <c r="BX49" s="316">
        <f>'SEG АСУТП'!G49</f>
        <v>0</v>
      </c>
      <c r="BY49" s="316">
        <f>'APT АСУТП'!G49</f>
        <v>0</v>
      </c>
      <c r="BZ49" s="316">
        <f>'APT АСУТП'!K49</f>
        <v>0</v>
      </c>
      <c r="CA49" s="316">
        <f>'APT АСУТП'!O49</f>
        <v>0</v>
      </c>
      <c r="CB49" s="316">
        <f>'NAC АСУТП'!G49</f>
        <v>0</v>
      </c>
      <c r="CC49" s="316">
        <f>'SANDBOX АСУТП'!G49</f>
        <v>0</v>
      </c>
      <c r="CD49" s="316">
        <f>'SANDBOX АСУТП'!K49</f>
        <v>0</v>
      </c>
      <c r="CE49" s="316">
        <f>'EDR АСУТП'!G49</f>
        <v>0.5</v>
      </c>
      <c r="CF49" s="316">
        <f>'EDR АСУТП'!K49</f>
        <v>0.5</v>
      </c>
      <c r="CG49" s="316">
        <f>'WAF АСУТП'!G49</f>
        <v>0</v>
      </c>
      <c r="CH49" s="316">
        <f>'WAF АСУТП'!K49</f>
        <v>0</v>
      </c>
      <c r="CI49" s="316">
        <f>'WAF АСУТП'!O49</f>
        <v>0</v>
      </c>
      <c r="CJ49" s="316">
        <f>'ВМ ЗСВ'!G49</f>
        <v>0</v>
      </c>
      <c r="CK49" s="316">
        <f>'ВМ ЗСВ'!K49</f>
        <v>0</v>
      </c>
      <c r="CL49" s="316">
        <f>'ВМ ЗСВ'!O49</f>
        <v>0</v>
      </c>
      <c r="CM49" s="316">
        <f>'ВМ ЗСВ'!S49</f>
        <v>0</v>
      </c>
      <c r="CN49" s="316">
        <f>'ВМ ЗСВ'!W49</f>
        <v>0</v>
      </c>
      <c r="CO49" s="316">
        <f>'ВМ ЗСВ'!AA49</f>
        <v>0</v>
      </c>
      <c r="CP49" s="316">
        <f>'ВМ СПО'!G49</f>
        <v>0</v>
      </c>
      <c r="CQ49" s="316">
        <f>'ВМ СПО'!K49</f>
        <v>0</v>
      </c>
      <c r="CR49" s="316">
        <f>'ВМ СПО'!O49</f>
        <v>0</v>
      </c>
      <c r="CS49" s="316">
        <f>'ВМ СПО'!S49</f>
        <v>0</v>
      </c>
      <c r="CT49" s="316">
        <f>'ВМ АСО'!G49</f>
        <v>0</v>
      </c>
      <c r="CU49" s="316">
        <f>'ВМ АСО'!K49</f>
        <v>0</v>
      </c>
      <c r="CV49" s="316" t="e">
        <f t="shared" si="62"/>
        <v>#REF!</v>
      </c>
      <c r="CW49" s="25">
        <f t="shared" si="63"/>
        <v>0.5</v>
      </c>
      <c r="CX49" s="25">
        <f t="shared" si="64"/>
        <v>1</v>
      </c>
      <c r="CY49" s="25">
        <f t="shared" si="65"/>
        <v>0</v>
      </c>
      <c r="CZ49" s="25">
        <f t="shared" si="66"/>
        <v>0</v>
      </c>
      <c r="DA49" s="25">
        <f t="shared" si="67"/>
        <v>0</v>
      </c>
      <c r="DB49" s="25">
        <f t="shared" si="68"/>
        <v>0</v>
      </c>
      <c r="DC49" s="25">
        <f t="shared" si="69"/>
        <v>0</v>
      </c>
      <c r="DD49" s="25">
        <f t="shared" si="70"/>
        <v>0</v>
      </c>
      <c r="DE49" s="25">
        <f t="shared" si="71"/>
        <v>0</v>
      </c>
      <c r="DF49" s="25">
        <f t="shared" si="72"/>
        <v>0</v>
      </c>
      <c r="DG49" s="25">
        <f t="shared" si="73"/>
        <v>0</v>
      </c>
      <c r="DH49" s="25">
        <f t="shared" si="74"/>
        <v>0</v>
      </c>
      <c r="DI49" s="25">
        <f t="shared" si="75"/>
        <v>0</v>
      </c>
      <c r="DJ49" s="25" t="e">
        <f t="shared" si="76"/>
        <v>#REF!</v>
      </c>
      <c r="DK49" s="25">
        <f t="shared" si="77"/>
        <v>0</v>
      </c>
      <c r="DL49" s="25">
        <f t="shared" si="78"/>
        <v>0</v>
      </c>
      <c r="DM49" s="25">
        <f t="shared" si="79"/>
        <v>0</v>
      </c>
      <c r="DN49" s="25">
        <f t="shared" si="80"/>
        <v>0</v>
      </c>
      <c r="DO49" s="25">
        <f t="shared" si="81"/>
        <v>0</v>
      </c>
      <c r="DP49" s="25">
        <f t="shared" si="82"/>
        <v>0</v>
      </c>
      <c r="DQ49" s="25">
        <f t="shared" si="83"/>
        <v>0</v>
      </c>
      <c r="DR49" s="25">
        <f t="shared" si="84"/>
        <v>0</v>
      </c>
      <c r="DS49" s="25">
        <f t="shared" si="85"/>
        <v>0</v>
      </c>
      <c r="DT49" s="25">
        <f t="shared" si="86"/>
        <v>0</v>
      </c>
      <c r="DU49" s="25">
        <f t="shared" si="87"/>
        <v>0</v>
      </c>
      <c r="DV49" s="21">
        <f t="shared" si="88"/>
        <v>0</v>
      </c>
      <c r="DW49" s="317">
        <f t="shared" si="89"/>
        <v>0</v>
      </c>
      <c r="DX49" s="317">
        <f t="shared" si="90"/>
        <v>0</v>
      </c>
      <c r="DY49" s="317">
        <f t="shared" si="91"/>
        <v>0</v>
      </c>
      <c r="DZ49" s="230">
        <f t="shared" si="92"/>
        <v>0</v>
      </c>
    </row>
    <row r="50" spans="1:130" ht="15" customHeight="1" x14ac:dyDescent="0.25">
      <c r="A50" s="1908"/>
      <c r="B50" s="1916"/>
      <c r="C50" s="103" t="s">
        <v>34</v>
      </c>
      <c r="D50" s="21"/>
      <c r="E50" s="316">
        <f>'АВЗ АСУТП'!G50</f>
        <v>0.5</v>
      </c>
      <c r="F50" s="316">
        <f>'АВЗ АСУТП'!K50</f>
        <v>0.5</v>
      </c>
      <c r="G50" s="316">
        <f>'АВЗ АСУТП'!O50</f>
        <v>0.5</v>
      </c>
      <c r="H50" s="230">
        <f>'АВЗ АСУТП'!S50</f>
        <v>0.5</v>
      </c>
      <c r="I50" s="316">
        <f>'АВЗ АСУТП'!W50</f>
        <v>0.5</v>
      </c>
      <c r="J50" s="230">
        <f>'АВЗ АСУТП'!AA50</f>
        <v>0.5</v>
      </c>
      <c r="K50" s="230">
        <f>'АВЗ АСУТП'!AE50</f>
        <v>0.5</v>
      </c>
      <c r="L50" s="230">
        <f>'АВЗ АСУТП'!AI50</f>
        <v>0.5</v>
      </c>
      <c r="M50" s="230">
        <f>'SIEM АСУТП'!G50</f>
        <v>1</v>
      </c>
      <c r="N50" s="230">
        <f>'SIEM АСУТП'!K50</f>
        <v>1</v>
      </c>
      <c r="O50" s="230">
        <f>'МСЭ АСУТП'!G50</f>
        <v>0</v>
      </c>
      <c r="P50" s="317">
        <f>'МСЭ АСУТП'!K50</f>
        <v>0</v>
      </c>
      <c r="Q50" s="230">
        <f>'МСЭ АСУТП'!O50</f>
        <v>0</v>
      </c>
      <c r="R50" s="230">
        <f>'МСЭ АСУТП'!S50</f>
        <v>0</v>
      </c>
      <c r="S50" s="230">
        <f>'PAM АСУТП'!G50</f>
        <v>0</v>
      </c>
      <c r="T50" s="230">
        <f>'PAM АСУТП'!K50</f>
        <v>0</v>
      </c>
      <c r="U50" s="230">
        <f>'PAM АСУТП'!O50</f>
        <v>0</v>
      </c>
      <c r="V50" s="230">
        <f>'СКЗИ АСУТП'!G50</f>
        <v>0</v>
      </c>
      <c r="W50" s="230">
        <f>'СКЗИ АСУТП'!K50</f>
        <v>0</v>
      </c>
      <c r="X50" s="230">
        <f>'СКЗИ АСУТП'!O50</f>
        <v>0</v>
      </c>
      <c r="Y50" s="230">
        <f>'СКЗИ АСУТП'!S50</f>
        <v>0</v>
      </c>
      <c r="Z50" s="230">
        <f>'СКЗИ АСУТП'!W50</f>
        <v>0</v>
      </c>
      <c r="AA50" s="230">
        <f>'АЗ АСУТП'!G50</f>
        <v>0</v>
      </c>
      <c r="AB50" s="230">
        <f>'АЗ АСУТП'!K50</f>
        <v>0</v>
      </c>
      <c r="AC50" s="230">
        <f>'АЗ АСУТП'!O50</f>
        <v>0</v>
      </c>
      <c r="AD50" s="230">
        <f>'АЗ АСУТП'!S50</f>
        <v>0</v>
      </c>
      <c r="AE50" s="230">
        <f>'АЗ АСУТП'!W50</f>
        <v>0</v>
      </c>
      <c r="AF50" s="230">
        <f>'РК АСУТП'!G50</f>
        <v>0</v>
      </c>
      <c r="AG50" s="230">
        <f>'РК АСУТП'!K50</f>
        <v>0</v>
      </c>
      <c r="AH50" s="230">
        <f>'IDS АСУТП'!G50</f>
        <v>6</v>
      </c>
      <c r="AI50" s="230">
        <f>'IDS АСУТП'!K50</f>
        <v>6</v>
      </c>
      <c r="AJ50" s="230">
        <f>'IDS АСУТП'!O50</f>
        <v>6</v>
      </c>
      <c r="AK50" s="230">
        <f>'АПМДЗ АСУТП'!G50</f>
        <v>0</v>
      </c>
      <c r="AL50" s="230">
        <f>'АПМДЗ АСУТП'!K50</f>
        <v>0</v>
      </c>
      <c r="AM50" s="230">
        <f>'НСД АСУТП'!G50</f>
        <v>0</v>
      </c>
      <c r="AN50" s="230">
        <f>'НСД АСУТП'!K50</f>
        <v>0</v>
      </c>
      <c r="AO50" s="230">
        <f>'НСД АСУТП'!O50</f>
        <v>0</v>
      </c>
      <c r="AP50" s="230">
        <f>'MFA АСУТП'!G50</f>
        <v>0</v>
      </c>
      <c r="AQ50" s="230">
        <f>'MFA АСУТП'!K50</f>
        <v>0</v>
      </c>
      <c r="AR50" s="230">
        <f>'MFA АСУТП'!O50</f>
        <v>0</v>
      </c>
      <c r="AS50" s="230">
        <f>'MFA АСУТП'!S50</f>
        <v>0</v>
      </c>
      <c r="AT50" s="230">
        <f>'ДИОД АСУТП'!G50</f>
        <v>0</v>
      </c>
      <c r="AU50" s="230">
        <f>'ДИОД АСУТП'!K50</f>
        <v>0</v>
      </c>
      <c r="AV50" s="230">
        <f>'ДИОД АСУТП'!O50</f>
        <v>0</v>
      </c>
      <c r="AW50" s="230">
        <f>'ДИОД АСУТП'!S50</f>
        <v>0</v>
      </c>
      <c r="AX50" s="230">
        <f>'СЗВ АСУТП'!G50</f>
        <v>0</v>
      </c>
      <c r="AY50" s="230">
        <f>'СЗВ АСУТП'!K50</f>
        <v>0</v>
      </c>
      <c r="AZ50" s="230">
        <f>'СЗВ АСУТП'!O50</f>
        <v>0</v>
      </c>
      <c r="BA50" s="230">
        <f>'SOAR АСУТП'!G50</f>
        <v>0.75</v>
      </c>
      <c r="BB50" s="230">
        <f>'SOAR АСУТП'!K50</f>
        <v>0.75</v>
      </c>
      <c r="BC50" s="230">
        <f>'SOAR АСУТП'!O50</f>
        <v>0.75</v>
      </c>
      <c r="BD50" s="230" t="e">
        <f>'SOAR АСУТП'!#REF!</f>
        <v>#REF!</v>
      </c>
      <c r="BE50" s="230">
        <f>'VDI АСУТП'!G50</f>
        <v>3</v>
      </c>
      <c r="BF50" s="230">
        <f>'VDI АСУТП'!K50</f>
        <v>3</v>
      </c>
      <c r="BG50" s="230">
        <f>'VDI АСУТП'!O50</f>
        <v>3</v>
      </c>
      <c r="BH50" s="230">
        <f>'VDI АСУТП'!S50</f>
        <v>3</v>
      </c>
      <c r="BI50" s="230">
        <f>'VDI АСУТП'!W50</f>
        <v>3</v>
      </c>
      <c r="BJ50" s="316">
        <f>'СУБД АСУТП'!G50</f>
        <v>0</v>
      </c>
      <c r="BK50" s="316">
        <f>'СУБД АСУТП'!K50</f>
        <v>0</v>
      </c>
      <c r="BL50" s="316">
        <f>'ГОССОПКА АСУТП'!G50</f>
        <v>0</v>
      </c>
      <c r="BM50" s="316">
        <f>'ГОССОПКА АСУТП'!K50</f>
        <v>0</v>
      </c>
      <c r="BN50" s="316">
        <f>'TLS АСУТП'!G50</f>
        <v>0</v>
      </c>
      <c r="BO50" s="316">
        <f>'TLS АСУТП'!K50</f>
        <v>0</v>
      </c>
      <c r="BP50" s="316">
        <f>'DCAP АСУТП'!G50</f>
        <v>0</v>
      </c>
      <c r="BQ50" s="316">
        <f>'DCAP АСУТП'!K50</f>
        <v>0</v>
      </c>
      <c r="BR50" s="316">
        <f>'DCAP АСУТП'!O50</f>
        <v>0</v>
      </c>
      <c r="BS50" s="316">
        <f>'DO АСУТП'!G50</f>
        <v>0.5</v>
      </c>
      <c r="BT50" s="316">
        <f>'NTA АСУТП'!G50</f>
        <v>0</v>
      </c>
      <c r="BU50" s="316">
        <f>'NTA АСУТП'!K50</f>
        <v>0</v>
      </c>
      <c r="BV50" s="316">
        <f>'NTA АСУТП'!O50</f>
        <v>0</v>
      </c>
      <c r="BW50" s="316">
        <f>'NTA АСУТП'!S50</f>
        <v>0</v>
      </c>
      <c r="BX50" s="316">
        <f>'SEG АСУТП'!G50</f>
        <v>0</v>
      </c>
      <c r="BY50" s="316">
        <f>'APT АСУТП'!G50</f>
        <v>0</v>
      </c>
      <c r="BZ50" s="316">
        <f>'APT АСУТП'!K50</f>
        <v>0</v>
      </c>
      <c r="CA50" s="316">
        <f>'APT АСУТП'!O50</f>
        <v>0</v>
      </c>
      <c r="CB50" s="316">
        <f>'NAC АСУТП'!G50</f>
        <v>0</v>
      </c>
      <c r="CC50" s="316">
        <f>'SANDBOX АСУТП'!G50</f>
        <v>0</v>
      </c>
      <c r="CD50" s="316">
        <f>'SANDBOX АСУТП'!K50</f>
        <v>0</v>
      </c>
      <c r="CE50" s="316">
        <f>'EDR АСУТП'!G50</f>
        <v>0.5</v>
      </c>
      <c r="CF50" s="316">
        <f>'EDR АСУТП'!K50</f>
        <v>0.5</v>
      </c>
      <c r="CG50" s="316">
        <f>'WAF АСУТП'!G50</f>
        <v>0</v>
      </c>
      <c r="CH50" s="316">
        <f>'WAF АСУТП'!K50</f>
        <v>0</v>
      </c>
      <c r="CI50" s="316">
        <f>'WAF АСУТП'!O50</f>
        <v>0</v>
      </c>
      <c r="CJ50" s="316">
        <f>'ВМ ЗСВ'!G50</f>
        <v>0</v>
      </c>
      <c r="CK50" s="316">
        <f>'ВМ ЗСВ'!K50</f>
        <v>0</v>
      </c>
      <c r="CL50" s="316">
        <f>'ВМ ЗСВ'!O50</f>
        <v>0</v>
      </c>
      <c r="CM50" s="316">
        <f>'ВМ ЗСВ'!S50</f>
        <v>0</v>
      </c>
      <c r="CN50" s="316">
        <f>'ВМ ЗСВ'!W50</f>
        <v>0</v>
      </c>
      <c r="CO50" s="316">
        <f>'ВМ ЗСВ'!AA50</f>
        <v>0</v>
      </c>
      <c r="CP50" s="316">
        <f>'ВМ СПО'!G50</f>
        <v>0</v>
      </c>
      <c r="CQ50" s="316">
        <f>'ВМ СПО'!K50</f>
        <v>0</v>
      </c>
      <c r="CR50" s="316">
        <f>'ВМ СПО'!O50</f>
        <v>0</v>
      </c>
      <c r="CS50" s="316">
        <f>'ВМ СПО'!S50</f>
        <v>0</v>
      </c>
      <c r="CT50" s="316">
        <f>'ВМ АСО'!G50</f>
        <v>0</v>
      </c>
      <c r="CU50" s="316">
        <f>'ВМ АСО'!K50</f>
        <v>0</v>
      </c>
      <c r="CV50" s="316" t="e">
        <f t="shared" si="62"/>
        <v>#REF!</v>
      </c>
      <c r="CW50" s="25">
        <f t="shared" si="63"/>
        <v>0.5</v>
      </c>
      <c r="CX50" s="25">
        <f t="shared" si="64"/>
        <v>1</v>
      </c>
      <c r="CY50" s="25">
        <f t="shared" si="65"/>
        <v>0</v>
      </c>
      <c r="CZ50" s="25">
        <f t="shared" si="66"/>
        <v>0</v>
      </c>
      <c r="DA50" s="25">
        <f t="shared" si="67"/>
        <v>0</v>
      </c>
      <c r="DB50" s="25">
        <f t="shared" si="68"/>
        <v>0</v>
      </c>
      <c r="DC50" s="25">
        <f t="shared" si="69"/>
        <v>0</v>
      </c>
      <c r="DD50" s="25">
        <f t="shared" si="70"/>
        <v>0</v>
      </c>
      <c r="DE50" s="25">
        <f t="shared" si="71"/>
        <v>0</v>
      </c>
      <c r="DF50" s="25">
        <f t="shared" si="72"/>
        <v>0</v>
      </c>
      <c r="DG50" s="25">
        <f t="shared" si="73"/>
        <v>0</v>
      </c>
      <c r="DH50" s="25">
        <f t="shared" si="74"/>
        <v>0</v>
      </c>
      <c r="DI50" s="25">
        <f t="shared" si="75"/>
        <v>0</v>
      </c>
      <c r="DJ50" s="25" t="e">
        <f t="shared" si="76"/>
        <v>#REF!</v>
      </c>
      <c r="DK50" s="25">
        <f t="shared" si="77"/>
        <v>0</v>
      </c>
      <c r="DL50" s="25">
        <f t="shared" si="78"/>
        <v>0</v>
      </c>
      <c r="DM50" s="25">
        <f t="shared" si="79"/>
        <v>0</v>
      </c>
      <c r="DN50" s="25">
        <f t="shared" si="80"/>
        <v>0</v>
      </c>
      <c r="DO50" s="25">
        <f t="shared" si="81"/>
        <v>0</v>
      </c>
      <c r="DP50" s="25">
        <f t="shared" si="82"/>
        <v>0</v>
      </c>
      <c r="DQ50" s="25">
        <f t="shared" si="83"/>
        <v>0</v>
      </c>
      <c r="DR50" s="25">
        <f t="shared" si="84"/>
        <v>0</v>
      </c>
      <c r="DS50" s="25">
        <f t="shared" si="85"/>
        <v>0</v>
      </c>
      <c r="DT50" s="25">
        <f t="shared" si="86"/>
        <v>0</v>
      </c>
      <c r="DU50" s="25">
        <f t="shared" si="87"/>
        <v>0</v>
      </c>
      <c r="DV50" s="21">
        <f t="shared" si="88"/>
        <v>0</v>
      </c>
      <c r="DW50" s="317">
        <f t="shared" si="89"/>
        <v>0</v>
      </c>
      <c r="DX50" s="317">
        <f t="shared" si="90"/>
        <v>0</v>
      </c>
      <c r="DY50" s="317">
        <f t="shared" si="91"/>
        <v>0</v>
      </c>
      <c r="DZ50" s="230">
        <f t="shared" si="92"/>
        <v>0</v>
      </c>
    </row>
    <row r="51" spans="1:130" ht="15" customHeight="1" x14ac:dyDescent="0.25">
      <c r="A51" s="1908" t="s">
        <v>17</v>
      </c>
      <c r="B51" s="1916">
        <f>IF('Тип разраб-ой док-ции'!F22=1,1,0)</f>
        <v>0</v>
      </c>
      <c r="C51" s="103" t="s">
        <v>32</v>
      </c>
      <c r="D51" s="21"/>
      <c r="E51" s="316">
        <f>'АВЗ АСУТП'!G51</f>
        <v>0.5</v>
      </c>
      <c r="F51" s="316">
        <f>'АВЗ АСУТП'!K51</f>
        <v>0.5</v>
      </c>
      <c r="G51" s="316">
        <f>'АВЗ АСУТП'!O51</f>
        <v>0.5</v>
      </c>
      <c r="H51" s="230">
        <f>'АВЗ АСУТП'!S51</f>
        <v>0.5</v>
      </c>
      <c r="I51" s="316">
        <f>'АВЗ АСУТП'!W51</f>
        <v>0.5</v>
      </c>
      <c r="J51" s="230">
        <f>'АВЗ АСУТП'!AA51</f>
        <v>0.5</v>
      </c>
      <c r="K51" s="230">
        <f>'АВЗ АСУТП'!AE51</f>
        <v>0.5</v>
      </c>
      <c r="L51" s="230">
        <f>'АВЗ АСУТП'!AI51</f>
        <v>0.5</v>
      </c>
      <c r="M51" s="230">
        <f>'SIEM АСУТП'!G51</f>
        <v>1</v>
      </c>
      <c r="N51" s="230">
        <f>'SIEM АСУТП'!K51</f>
        <v>1</v>
      </c>
      <c r="O51" s="230">
        <f>'МСЭ АСУТП'!G51</f>
        <v>0</v>
      </c>
      <c r="P51" s="317">
        <f>'МСЭ АСУТП'!K51</f>
        <v>0</v>
      </c>
      <c r="Q51" s="230">
        <f>'МСЭ АСУТП'!O51</f>
        <v>0</v>
      </c>
      <c r="R51" s="230">
        <f>'МСЭ АСУТП'!S51</f>
        <v>0</v>
      </c>
      <c r="S51" s="230">
        <f>'PAM АСУТП'!G51</f>
        <v>0</v>
      </c>
      <c r="T51" s="230">
        <f>'PAM АСУТП'!K51</f>
        <v>0</v>
      </c>
      <c r="U51" s="230">
        <f>'PAM АСУТП'!O51</f>
        <v>0</v>
      </c>
      <c r="V51" s="230">
        <f>'СКЗИ АСУТП'!G51</f>
        <v>0</v>
      </c>
      <c r="W51" s="230">
        <f>'СКЗИ АСУТП'!K51</f>
        <v>0</v>
      </c>
      <c r="X51" s="230">
        <f>'СКЗИ АСУТП'!O51</f>
        <v>0</v>
      </c>
      <c r="Y51" s="230">
        <f>'СКЗИ АСУТП'!S51</f>
        <v>0</v>
      </c>
      <c r="Z51" s="230">
        <f>'СКЗИ АСУТП'!W51</f>
        <v>0</v>
      </c>
      <c r="AA51" s="230">
        <f>'АЗ АСУТП'!G51</f>
        <v>0</v>
      </c>
      <c r="AB51" s="230">
        <f>'АЗ АСУТП'!K51</f>
        <v>0</v>
      </c>
      <c r="AC51" s="230">
        <f>'АЗ АСУТП'!O51</f>
        <v>0</v>
      </c>
      <c r="AD51" s="230">
        <f>'АЗ АСУТП'!S51</f>
        <v>0</v>
      </c>
      <c r="AE51" s="230">
        <f>'АЗ АСУТП'!W51</f>
        <v>0</v>
      </c>
      <c r="AF51" s="230">
        <f>'РК АСУТП'!G51</f>
        <v>0.8</v>
      </c>
      <c r="AG51" s="230">
        <f>'РК АСУТП'!K51</f>
        <v>0.8</v>
      </c>
      <c r="AH51" s="230">
        <f>'IDS АСУТП'!G51</f>
        <v>0</v>
      </c>
      <c r="AI51" s="230">
        <f>'IDS АСУТП'!K51</f>
        <v>0</v>
      </c>
      <c r="AJ51" s="230">
        <f>'IDS АСУТП'!O51</f>
        <v>0</v>
      </c>
      <c r="AK51" s="230">
        <f>'АПМДЗ АСУТП'!G51</f>
        <v>0</v>
      </c>
      <c r="AL51" s="230">
        <f>'АПМДЗ АСУТП'!K51</f>
        <v>0</v>
      </c>
      <c r="AM51" s="230">
        <f>'НСД АСУТП'!G51</f>
        <v>0</v>
      </c>
      <c r="AN51" s="230">
        <f>'НСД АСУТП'!K51</f>
        <v>0</v>
      </c>
      <c r="AO51" s="230">
        <f>'НСД АСУТП'!O51</f>
        <v>0</v>
      </c>
      <c r="AP51" s="230">
        <f>'MFA АСУТП'!G51</f>
        <v>0</v>
      </c>
      <c r="AQ51" s="230">
        <f>'MFA АСУТП'!K51</f>
        <v>0</v>
      </c>
      <c r="AR51" s="230">
        <f>'MFA АСУТП'!O51</f>
        <v>0</v>
      </c>
      <c r="AS51" s="230">
        <f>'MFA АСУТП'!S51</f>
        <v>0</v>
      </c>
      <c r="AT51" s="230">
        <f>'ДИОД АСУТП'!G51</f>
        <v>0</v>
      </c>
      <c r="AU51" s="230">
        <f>'ДИОД АСУТП'!K51</f>
        <v>0</v>
      </c>
      <c r="AV51" s="230">
        <f>'ДИОД АСУТП'!O51</f>
        <v>0</v>
      </c>
      <c r="AW51" s="230">
        <f>'ДИОД АСУТП'!S51</f>
        <v>0</v>
      </c>
      <c r="AX51" s="230">
        <f>'СЗВ АСУТП'!G51</f>
        <v>0</v>
      </c>
      <c r="AY51" s="230">
        <f>'СЗВ АСУТП'!K51</f>
        <v>0</v>
      </c>
      <c r="AZ51" s="230">
        <f>'СЗВ АСУТП'!O51</f>
        <v>0</v>
      </c>
      <c r="BA51" s="230">
        <f>'SOAR АСУТП'!G51</f>
        <v>0</v>
      </c>
      <c r="BB51" s="230">
        <f>'SOAR АСУТП'!K51</f>
        <v>0</v>
      </c>
      <c r="BC51" s="230">
        <f>'SOAR АСУТП'!O51</f>
        <v>0</v>
      </c>
      <c r="BD51" s="230" t="e">
        <f>'SOAR АСУТП'!#REF!</f>
        <v>#REF!</v>
      </c>
      <c r="BE51" s="230">
        <f>'VDI АСУТП'!G51</f>
        <v>1</v>
      </c>
      <c r="BF51" s="230">
        <f>'VDI АСУТП'!K51</f>
        <v>1</v>
      </c>
      <c r="BG51" s="230">
        <f>'VDI АСУТП'!O51</f>
        <v>1</v>
      </c>
      <c r="BH51" s="230">
        <f>'VDI АСУТП'!S51</f>
        <v>1</v>
      </c>
      <c r="BI51" s="230">
        <f>'VDI АСУТП'!W51</f>
        <v>1</v>
      </c>
      <c r="BJ51" s="316">
        <f>'СУБД АСУТП'!G51</f>
        <v>0</v>
      </c>
      <c r="BK51" s="316">
        <f>'СУБД АСУТП'!K51</f>
        <v>0</v>
      </c>
      <c r="BL51" s="316">
        <f>'ГОССОПКА АСУТП'!G51</f>
        <v>0</v>
      </c>
      <c r="BM51" s="316">
        <f>'ГОССОПКА АСУТП'!K51</f>
        <v>0</v>
      </c>
      <c r="BN51" s="316">
        <f>'TLS АСУТП'!G51</f>
        <v>0</v>
      </c>
      <c r="BO51" s="316">
        <f>'TLS АСУТП'!K51</f>
        <v>0</v>
      </c>
      <c r="BP51" s="316">
        <f>'DCAP АСУТП'!G51</f>
        <v>0</v>
      </c>
      <c r="BQ51" s="316">
        <f>'DCAP АСУТП'!K51</f>
        <v>0</v>
      </c>
      <c r="BR51" s="316">
        <f>'DCAP АСУТП'!O51</f>
        <v>0</v>
      </c>
      <c r="BS51" s="316">
        <f>'DO АСУТП'!G51</f>
        <v>0</v>
      </c>
      <c r="BT51" s="316">
        <f>'NTA АСУТП'!G51</f>
        <v>0</v>
      </c>
      <c r="BU51" s="316">
        <f>'NTA АСУТП'!K51</f>
        <v>0</v>
      </c>
      <c r="BV51" s="316">
        <f>'NTA АСУТП'!O51</f>
        <v>0</v>
      </c>
      <c r="BW51" s="316">
        <f>'NTA АСУТП'!S51</f>
        <v>0</v>
      </c>
      <c r="BX51" s="316">
        <f>'SEG АСУТП'!G51</f>
        <v>0</v>
      </c>
      <c r="BY51" s="316">
        <f>'APT АСУТП'!G51</f>
        <v>0</v>
      </c>
      <c r="BZ51" s="316">
        <f>'APT АСУТП'!K51</f>
        <v>0</v>
      </c>
      <c r="CA51" s="316">
        <f>'APT АСУТП'!O51</f>
        <v>0</v>
      </c>
      <c r="CB51" s="316">
        <f>'NAC АСУТП'!G51</f>
        <v>0</v>
      </c>
      <c r="CC51" s="316">
        <f>'SANDBOX АСУТП'!G51</f>
        <v>0</v>
      </c>
      <c r="CD51" s="316">
        <f>'SANDBOX АСУТП'!K51</f>
        <v>0</v>
      </c>
      <c r="CE51" s="316">
        <f>'EDR АСУТП'!G51</f>
        <v>0</v>
      </c>
      <c r="CF51" s="316">
        <f>'EDR АСУТП'!K51</f>
        <v>0</v>
      </c>
      <c r="CG51" s="316">
        <f>'WAF АСУТП'!G51</f>
        <v>0</v>
      </c>
      <c r="CH51" s="316">
        <f>'WAF АСУТП'!K51</f>
        <v>0</v>
      </c>
      <c r="CI51" s="316">
        <f>'WAF АСУТП'!O51</f>
        <v>0</v>
      </c>
      <c r="CJ51" s="316">
        <f>'ВМ ЗСВ'!G51</f>
        <v>0</v>
      </c>
      <c r="CK51" s="316">
        <f>'ВМ ЗСВ'!K51</f>
        <v>0</v>
      </c>
      <c r="CL51" s="316">
        <f>'ВМ ЗСВ'!O51</f>
        <v>0</v>
      </c>
      <c r="CM51" s="316">
        <f>'ВМ ЗСВ'!S51</f>
        <v>0</v>
      </c>
      <c r="CN51" s="316">
        <f>'ВМ ЗСВ'!W51</f>
        <v>0</v>
      </c>
      <c r="CO51" s="316">
        <f>'ВМ ЗСВ'!AA51</f>
        <v>0</v>
      </c>
      <c r="CP51" s="316">
        <f>'ВМ СПО'!G51</f>
        <v>0</v>
      </c>
      <c r="CQ51" s="316">
        <f>'ВМ СПО'!K51</f>
        <v>0</v>
      </c>
      <c r="CR51" s="316">
        <f>'ВМ СПО'!O51</f>
        <v>0</v>
      </c>
      <c r="CS51" s="316">
        <f>'ВМ СПО'!S51</f>
        <v>0</v>
      </c>
      <c r="CT51" s="316">
        <f>'ВМ АСО'!G51</f>
        <v>0</v>
      </c>
      <c r="CU51" s="316">
        <f>'ВМ АСО'!K51</f>
        <v>0</v>
      </c>
      <c r="CV51" s="316" t="e">
        <f t="shared" si="62"/>
        <v>#REF!</v>
      </c>
      <c r="CW51" s="25">
        <f t="shared" si="63"/>
        <v>0.5</v>
      </c>
      <c r="CX51" s="25">
        <f t="shared" si="64"/>
        <v>1</v>
      </c>
      <c r="CY51" s="25">
        <f t="shared" si="65"/>
        <v>0</v>
      </c>
      <c r="CZ51" s="25">
        <f t="shared" si="66"/>
        <v>0</v>
      </c>
      <c r="DA51" s="25">
        <f t="shared" si="67"/>
        <v>0</v>
      </c>
      <c r="DB51" s="25">
        <f t="shared" si="68"/>
        <v>0</v>
      </c>
      <c r="DC51" s="25">
        <f t="shared" si="69"/>
        <v>0</v>
      </c>
      <c r="DD51" s="25">
        <f t="shared" si="70"/>
        <v>0</v>
      </c>
      <c r="DE51" s="25">
        <f t="shared" si="71"/>
        <v>0</v>
      </c>
      <c r="DF51" s="25">
        <f t="shared" si="72"/>
        <v>0</v>
      </c>
      <c r="DG51" s="25">
        <f t="shared" si="73"/>
        <v>0</v>
      </c>
      <c r="DH51" s="25">
        <f t="shared" si="74"/>
        <v>0</v>
      </c>
      <c r="DI51" s="25">
        <f t="shared" si="75"/>
        <v>0</v>
      </c>
      <c r="DJ51" s="25" t="e">
        <f t="shared" si="76"/>
        <v>#REF!</v>
      </c>
      <c r="DK51" s="25">
        <f t="shared" si="77"/>
        <v>0</v>
      </c>
      <c r="DL51" s="25">
        <f t="shared" si="78"/>
        <v>0</v>
      </c>
      <c r="DM51" s="25">
        <f t="shared" si="79"/>
        <v>0</v>
      </c>
      <c r="DN51" s="25">
        <f t="shared" si="80"/>
        <v>0</v>
      </c>
      <c r="DO51" s="25">
        <f t="shared" si="81"/>
        <v>0</v>
      </c>
      <c r="DP51" s="25">
        <f t="shared" si="82"/>
        <v>0</v>
      </c>
      <c r="DQ51" s="25">
        <f t="shared" si="83"/>
        <v>0</v>
      </c>
      <c r="DR51" s="25">
        <f t="shared" si="84"/>
        <v>0</v>
      </c>
      <c r="DS51" s="25">
        <f t="shared" si="85"/>
        <v>0</v>
      </c>
      <c r="DT51" s="25">
        <f t="shared" si="86"/>
        <v>0</v>
      </c>
      <c r="DU51" s="25">
        <f t="shared" si="87"/>
        <v>0</v>
      </c>
      <c r="DV51" s="21">
        <f t="shared" si="88"/>
        <v>0</v>
      </c>
      <c r="DW51" s="317">
        <f t="shared" si="89"/>
        <v>0</v>
      </c>
      <c r="DX51" s="317">
        <f t="shared" si="90"/>
        <v>0</v>
      </c>
      <c r="DY51" s="317">
        <f t="shared" si="91"/>
        <v>0</v>
      </c>
      <c r="DZ51" s="230">
        <f t="shared" si="92"/>
        <v>0</v>
      </c>
    </row>
    <row r="52" spans="1:130" ht="15" customHeight="1" x14ac:dyDescent="0.25">
      <c r="A52" s="1908"/>
      <c r="B52" s="1916"/>
      <c r="C52" s="103" t="s">
        <v>33</v>
      </c>
      <c r="D52" s="21"/>
      <c r="E52" s="316">
        <f>'АВЗ АСУТП'!G52</f>
        <v>0.5</v>
      </c>
      <c r="F52" s="316">
        <f>'АВЗ АСУТП'!K52</f>
        <v>0.5</v>
      </c>
      <c r="G52" s="316">
        <f>'АВЗ АСУТП'!O52</f>
        <v>0.5</v>
      </c>
      <c r="H52" s="230">
        <f>'АВЗ АСУТП'!S52</f>
        <v>0.5</v>
      </c>
      <c r="I52" s="316">
        <f>'АВЗ АСУТП'!W52</f>
        <v>0.5</v>
      </c>
      <c r="J52" s="230">
        <f>'АВЗ АСУТП'!AA52</f>
        <v>0.5</v>
      </c>
      <c r="K52" s="230">
        <f>'АВЗ АСУТП'!AE52</f>
        <v>0.5</v>
      </c>
      <c r="L52" s="230">
        <f>'АВЗ АСУТП'!AI52</f>
        <v>0.5</v>
      </c>
      <c r="M52" s="230">
        <f>'SIEM АСУТП'!G52</f>
        <v>1</v>
      </c>
      <c r="N52" s="230">
        <f>'SIEM АСУТП'!K52</f>
        <v>1</v>
      </c>
      <c r="O52" s="230">
        <f>'МСЭ АСУТП'!G52</f>
        <v>0</v>
      </c>
      <c r="P52" s="317">
        <f>'МСЭ АСУТП'!K52</f>
        <v>0</v>
      </c>
      <c r="Q52" s="230">
        <f>'МСЭ АСУТП'!O52</f>
        <v>0</v>
      </c>
      <c r="R52" s="230">
        <f>'МСЭ АСУТП'!S52</f>
        <v>0</v>
      </c>
      <c r="S52" s="230">
        <f>'PAM АСУТП'!G52</f>
        <v>0</v>
      </c>
      <c r="T52" s="230">
        <f>'PAM АСУТП'!K52</f>
        <v>0</v>
      </c>
      <c r="U52" s="230">
        <f>'PAM АСУТП'!O52</f>
        <v>0</v>
      </c>
      <c r="V52" s="230">
        <f>'СКЗИ АСУТП'!G52</f>
        <v>0</v>
      </c>
      <c r="W52" s="230">
        <f>'СКЗИ АСУТП'!K52</f>
        <v>0</v>
      </c>
      <c r="X52" s="230">
        <f>'СКЗИ АСУТП'!O52</f>
        <v>0</v>
      </c>
      <c r="Y52" s="230">
        <f>'СКЗИ АСУТП'!S52</f>
        <v>0</v>
      </c>
      <c r="Z52" s="230">
        <f>'СКЗИ АСУТП'!W52</f>
        <v>0</v>
      </c>
      <c r="AA52" s="230">
        <f>'АЗ АСУТП'!G52</f>
        <v>0</v>
      </c>
      <c r="AB52" s="230">
        <f>'АЗ АСУТП'!K52</f>
        <v>0</v>
      </c>
      <c r="AC52" s="230">
        <f>'АЗ АСУТП'!O52</f>
        <v>0</v>
      </c>
      <c r="AD52" s="230">
        <f>'АЗ АСУТП'!S52</f>
        <v>0</v>
      </c>
      <c r="AE52" s="230">
        <f>'АЗ АСУТП'!W52</f>
        <v>0</v>
      </c>
      <c r="AF52" s="230">
        <f>'РК АСУТП'!G52</f>
        <v>1</v>
      </c>
      <c r="AG52" s="230">
        <f>'РК АСУТП'!K52</f>
        <v>1</v>
      </c>
      <c r="AH52" s="230">
        <f>'IDS АСУТП'!G52</f>
        <v>0</v>
      </c>
      <c r="AI52" s="230">
        <f>'IDS АСУТП'!K52</f>
        <v>0</v>
      </c>
      <c r="AJ52" s="230">
        <f>'IDS АСУТП'!O52</f>
        <v>0</v>
      </c>
      <c r="AK52" s="230">
        <f>'АПМДЗ АСУТП'!G52</f>
        <v>0</v>
      </c>
      <c r="AL52" s="230">
        <f>'АПМДЗ АСУТП'!K52</f>
        <v>0</v>
      </c>
      <c r="AM52" s="230">
        <f>'НСД АСУТП'!G52</f>
        <v>0</v>
      </c>
      <c r="AN52" s="230">
        <f>'НСД АСУТП'!K52</f>
        <v>0</v>
      </c>
      <c r="AO52" s="230">
        <f>'НСД АСУТП'!O52</f>
        <v>0</v>
      </c>
      <c r="AP52" s="230">
        <f>'MFA АСУТП'!G52</f>
        <v>0</v>
      </c>
      <c r="AQ52" s="230">
        <f>'MFA АСУТП'!K52</f>
        <v>0</v>
      </c>
      <c r="AR52" s="230">
        <f>'MFA АСУТП'!O52</f>
        <v>0</v>
      </c>
      <c r="AS52" s="230">
        <f>'MFA АСУТП'!S52</f>
        <v>0</v>
      </c>
      <c r="AT52" s="230">
        <f>'ДИОД АСУТП'!G52</f>
        <v>0</v>
      </c>
      <c r="AU52" s="230">
        <f>'ДИОД АСУТП'!K52</f>
        <v>0</v>
      </c>
      <c r="AV52" s="230">
        <f>'ДИОД АСУТП'!O52</f>
        <v>0</v>
      </c>
      <c r="AW52" s="230">
        <f>'ДИОД АСУТП'!S52</f>
        <v>0</v>
      </c>
      <c r="AX52" s="230">
        <f>'СЗВ АСУТП'!G52</f>
        <v>0</v>
      </c>
      <c r="AY52" s="230">
        <f>'СЗВ АСУТП'!K52</f>
        <v>0</v>
      </c>
      <c r="AZ52" s="230">
        <f>'СЗВ АСУТП'!O52</f>
        <v>0</v>
      </c>
      <c r="BA52" s="230">
        <f>'SOAR АСУТП'!G52</f>
        <v>0.75</v>
      </c>
      <c r="BB52" s="230">
        <f>'SOAR АСУТП'!K52</f>
        <v>0.75</v>
      </c>
      <c r="BC52" s="230">
        <f>'SOAR АСУТП'!O52</f>
        <v>0.75</v>
      </c>
      <c r="BD52" s="230" t="e">
        <f>'SOAR АСУТП'!#REF!</f>
        <v>#REF!</v>
      </c>
      <c r="BE52" s="230">
        <f>'VDI АСУТП'!G52</f>
        <v>2</v>
      </c>
      <c r="BF52" s="230">
        <f>'VDI АСУТП'!K52</f>
        <v>2</v>
      </c>
      <c r="BG52" s="230">
        <f>'VDI АСУТП'!O52</f>
        <v>2</v>
      </c>
      <c r="BH52" s="230">
        <f>'VDI АСУТП'!S52</f>
        <v>2</v>
      </c>
      <c r="BI52" s="230">
        <f>'VDI АСУТП'!W52</f>
        <v>2</v>
      </c>
      <c r="BJ52" s="316">
        <f>'СУБД АСУТП'!G52</f>
        <v>0</v>
      </c>
      <c r="BK52" s="316">
        <f>'СУБД АСУТП'!K52</f>
        <v>0</v>
      </c>
      <c r="BL52" s="316">
        <f>'ГОССОПКА АСУТП'!G52</f>
        <v>0</v>
      </c>
      <c r="BM52" s="316">
        <f>'ГОССОПКА АСУТП'!K52</f>
        <v>0</v>
      </c>
      <c r="BN52" s="316">
        <f>'TLS АСУТП'!G52</f>
        <v>0</v>
      </c>
      <c r="BO52" s="316">
        <f>'TLS АСУТП'!K52</f>
        <v>0</v>
      </c>
      <c r="BP52" s="316">
        <f>'DCAP АСУТП'!G52</f>
        <v>0</v>
      </c>
      <c r="BQ52" s="316">
        <f>'DCAP АСУТП'!K52</f>
        <v>0</v>
      </c>
      <c r="BR52" s="316">
        <f>'DCAP АСУТП'!O52</f>
        <v>0</v>
      </c>
      <c r="BS52" s="316">
        <f>'DO АСУТП'!G52</f>
        <v>0.5</v>
      </c>
      <c r="BT52" s="316">
        <f>'NTA АСУТП'!G52</f>
        <v>0</v>
      </c>
      <c r="BU52" s="316">
        <f>'NTA АСУТП'!K52</f>
        <v>0</v>
      </c>
      <c r="BV52" s="316">
        <f>'NTA АСУТП'!O52</f>
        <v>0</v>
      </c>
      <c r="BW52" s="316">
        <f>'NTA АСУТП'!S52</f>
        <v>0</v>
      </c>
      <c r="BX52" s="316">
        <f>'SEG АСУТП'!G52</f>
        <v>0</v>
      </c>
      <c r="BY52" s="316">
        <f>'APT АСУТП'!G52</f>
        <v>0</v>
      </c>
      <c r="BZ52" s="316">
        <f>'APT АСУТП'!K52</f>
        <v>0</v>
      </c>
      <c r="CA52" s="316">
        <f>'APT АСУТП'!O52</f>
        <v>0</v>
      </c>
      <c r="CB52" s="316">
        <f>'NAC АСУТП'!G52</f>
        <v>0</v>
      </c>
      <c r="CC52" s="316">
        <f>'SANDBOX АСУТП'!G52</f>
        <v>0</v>
      </c>
      <c r="CD52" s="316">
        <f>'SANDBOX АСУТП'!K52</f>
        <v>0</v>
      </c>
      <c r="CE52" s="316">
        <f>'EDR АСУТП'!G52</f>
        <v>0.5</v>
      </c>
      <c r="CF52" s="316">
        <f>'EDR АСУТП'!K52</f>
        <v>0.5</v>
      </c>
      <c r="CG52" s="316">
        <f>'WAF АСУТП'!G52</f>
        <v>0</v>
      </c>
      <c r="CH52" s="316">
        <f>'WAF АСУТП'!K52</f>
        <v>0</v>
      </c>
      <c r="CI52" s="316">
        <f>'WAF АСУТП'!O52</f>
        <v>0</v>
      </c>
      <c r="CJ52" s="316">
        <f>'ВМ ЗСВ'!G52</f>
        <v>0</v>
      </c>
      <c r="CK52" s="316">
        <f>'ВМ ЗСВ'!K52</f>
        <v>0</v>
      </c>
      <c r="CL52" s="316">
        <f>'ВМ ЗСВ'!O52</f>
        <v>0</v>
      </c>
      <c r="CM52" s="316">
        <f>'ВМ ЗСВ'!S52</f>
        <v>0</v>
      </c>
      <c r="CN52" s="316">
        <f>'ВМ ЗСВ'!W52</f>
        <v>0</v>
      </c>
      <c r="CO52" s="316">
        <f>'ВМ ЗСВ'!AA52</f>
        <v>0</v>
      </c>
      <c r="CP52" s="316">
        <f>'ВМ СПО'!G52</f>
        <v>0</v>
      </c>
      <c r="CQ52" s="316">
        <f>'ВМ СПО'!K52</f>
        <v>0</v>
      </c>
      <c r="CR52" s="316">
        <f>'ВМ СПО'!O52</f>
        <v>0</v>
      </c>
      <c r="CS52" s="316">
        <f>'ВМ СПО'!S52</f>
        <v>0</v>
      </c>
      <c r="CT52" s="316">
        <f>'ВМ АСО'!G52</f>
        <v>0</v>
      </c>
      <c r="CU52" s="316">
        <f>'ВМ АСО'!K52</f>
        <v>0</v>
      </c>
      <c r="CV52" s="316" t="e">
        <f t="shared" si="62"/>
        <v>#REF!</v>
      </c>
      <c r="CW52" s="25">
        <f t="shared" si="63"/>
        <v>0.5</v>
      </c>
      <c r="CX52" s="25">
        <f t="shared" si="64"/>
        <v>1</v>
      </c>
      <c r="CY52" s="25">
        <f t="shared" si="65"/>
        <v>0</v>
      </c>
      <c r="CZ52" s="25">
        <f t="shared" si="66"/>
        <v>0</v>
      </c>
      <c r="DA52" s="25">
        <f t="shared" si="67"/>
        <v>0</v>
      </c>
      <c r="DB52" s="25">
        <f t="shared" si="68"/>
        <v>0</v>
      </c>
      <c r="DC52" s="25">
        <f t="shared" si="69"/>
        <v>0</v>
      </c>
      <c r="DD52" s="25">
        <f t="shared" si="70"/>
        <v>0</v>
      </c>
      <c r="DE52" s="25">
        <f t="shared" si="71"/>
        <v>0</v>
      </c>
      <c r="DF52" s="25">
        <f t="shared" si="72"/>
        <v>0</v>
      </c>
      <c r="DG52" s="25">
        <f t="shared" si="73"/>
        <v>0</v>
      </c>
      <c r="DH52" s="25">
        <f t="shared" si="74"/>
        <v>0</v>
      </c>
      <c r="DI52" s="25">
        <f t="shared" si="75"/>
        <v>0</v>
      </c>
      <c r="DJ52" s="25" t="e">
        <f t="shared" si="76"/>
        <v>#REF!</v>
      </c>
      <c r="DK52" s="25">
        <f t="shared" si="77"/>
        <v>0</v>
      </c>
      <c r="DL52" s="25">
        <f t="shared" si="78"/>
        <v>0</v>
      </c>
      <c r="DM52" s="25">
        <f t="shared" si="79"/>
        <v>0</v>
      </c>
      <c r="DN52" s="25">
        <f t="shared" si="80"/>
        <v>0</v>
      </c>
      <c r="DO52" s="25">
        <f t="shared" si="81"/>
        <v>0</v>
      </c>
      <c r="DP52" s="25">
        <f t="shared" si="82"/>
        <v>0</v>
      </c>
      <c r="DQ52" s="25">
        <f t="shared" si="83"/>
        <v>0</v>
      </c>
      <c r="DR52" s="25">
        <f t="shared" si="84"/>
        <v>0</v>
      </c>
      <c r="DS52" s="25">
        <f t="shared" si="85"/>
        <v>0</v>
      </c>
      <c r="DT52" s="25">
        <f t="shared" si="86"/>
        <v>0</v>
      </c>
      <c r="DU52" s="25">
        <f t="shared" si="87"/>
        <v>0</v>
      </c>
      <c r="DV52" s="21">
        <f t="shared" si="88"/>
        <v>0</v>
      </c>
      <c r="DW52" s="317">
        <f t="shared" si="89"/>
        <v>0</v>
      </c>
      <c r="DX52" s="317">
        <f t="shared" si="90"/>
        <v>0</v>
      </c>
      <c r="DY52" s="317">
        <f t="shared" si="91"/>
        <v>0</v>
      </c>
      <c r="DZ52" s="230">
        <f t="shared" si="92"/>
        <v>0</v>
      </c>
    </row>
    <row r="53" spans="1:130" ht="15" customHeight="1" x14ac:dyDescent="0.25">
      <c r="A53" s="1908"/>
      <c r="B53" s="1916"/>
      <c r="C53" s="103" t="s">
        <v>34</v>
      </c>
      <c r="D53" s="21"/>
      <c r="E53" s="316">
        <f>'АВЗ АСУТП'!G53</f>
        <v>0.5</v>
      </c>
      <c r="F53" s="316">
        <f>'АВЗ АСУТП'!K53</f>
        <v>0.5</v>
      </c>
      <c r="G53" s="316">
        <f>'АВЗ АСУТП'!O53</f>
        <v>0.5</v>
      </c>
      <c r="H53" s="230">
        <f>'АВЗ АСУТП'!S53</f>
        <v>0.5</v>
      </c>
      <c r="I53" s="316">
        <f>'АВЗ АСУТП'!W53</f>
        <v>0.5</v>
      </c>
      <c r="J53" s="230">
        <f>'АВЗ АСУТП'!AA53</f>
        <v>0.5</v>
      </c>
      <c r="K53" s="230">
        <f>'АВЗ АСУТП'!AE53</f>
        <v>0.5</v>
      </c>
      <c r="L53" s="230">
        <f>'АВЗ АСУТП'!AI53</f>
        <v>0.5</v>
      </c>
      <c r="M53" s="230">
        <f>'SIEM АСУТП'!G53</f>
        <v>1</v>
      </c>
      <c r="N53" s="230">
        <f>'SIEM АСУТП'!K53</f>
        <v>1</v>
      </c>
      <c r="O53" s="230">
        <f>'МСЭ АСУТП'!G53</f>
        <v>0</v>
      </c>
      <c r="P53" s="317">
        <f>'МСЭ АСУТП'!K53</f>
        <v>0</v>
      </c>
      <c r="Q53" s="230">
        <f>'МСЭ АСУТП'!O53</f>
        <v>0</v>
      </c>
      <c r="R53" s="230">
        <f>'МСЭ АСУТП'!S53</f>
        <v>0</v>
      </c>
      <c r="S53" s="230">
        <f>'PAM АСУТП'!G53</f>
        <v>0</v>
      </c>
      <c r="T53" s="230">
        <f>'PAM АСУТП'!K53</f>
        <v>0</v>
      </c>
      <c r="U53" s="230">
        <f>'PAM АСУТП'!O53</f>
        <v>0</v>
      </c>
      <c r="V53" s="230">
        <f>'СКЗИ АСУТП'!G53</f>
        <v>0</v>
      </c>
      <c r="W53" s="230">
        <f>'СКЗИ АСУТП'!K53</f>
        <v>0</v>
      </c>
      <c r="X53" s="230">
        <f>'СКЗИ АСУТП'!O53</f>
        <v>0</v>
      </c>
      <c r="Y53" s="230">
        <f>'СКЗИ АСУТП'!S53</f>
        <v>0</v>
      </c>
      <c r="Z53" s="230">
        <f>'СКЗИ АСУТП'!W53</f>
        <v>0</v>
      </c>
      <c r="AA53" s="230">
        <f>'АЗ АСУТП'!G53</f>
        <v>0</v>
      </c>
      <c r="AB53" s="230">
        <f>'АЗ АСУТП'!K53</f>
        <v>0</v>
      </c>
      <c r="AC53" s="230">
        <f>'АЗ АСУТП'!O53</f>
        <v>0</v>
      </c>
      <c r="AD53" s="230">
        <f>'АЗ АСУТП'!S53</f>
        <v>0</v>
      </c>
      <c r="AE53" s="230">
        <f>'АЗ АСУТП'!W53</f>
        <v>0</v>
      </c>
      <c r="AF53" s="230">
        <f>'РК АСУТП'!G53</f>
        <v>1</v>
      </c>
      <c r="AG53" s="230">
        <f>'РК АСУТП'!K53</f>
        <v>1</v>
      </c>
      <c r="AH53" s="230">
        <f>'IDS АСУТП'!G53</f>
        <v>0</v>
      </c>
      <c r="AI53" s="230">
        <f>'IDS АСУТП'!K53</f>
        <v>0</v>
      </c>
      <c r="AJ53" s="230">
        <f>'IDS АСУТП'!O53</f>
        <v>0</v>
      </c>
      <c r="AK53" s="230">
        <f>'АПМДЗ АСУТП'!G53</f>
        <v>0</v>
      </c>
      <c r="AL53" s="230">
        <f>'АПМДЗ АСУТП'!K53</f>
        <v>0</v>
      </c>
      <c r="AM53" s="230">
        <f>'НСД АСУТП'!G53</f>
        <v>0</v>
      </c>
      <c r="AN53" s="230">
        <f>'НСД АСУТП'!K53</f>
        <v>0</v>
      </c>
      <c r="AO53" s="230">
        <f>'НСД АСУТП'!O53</f>
        <v>0</v>
      </c>
      <c r="AP53" s="230">
        <f>'MFA АСУТП'!G53</f>
        <v>0</v>
      </c>
      <c r="AQ53" s="230">
        <f>'MFA АСУТП'!K53</f>
        <v>0</v>
      </c>
      <c r="AR53" s="230">
        <f>'MFA АСУТП'!O53</f>
        <v>0</v>
      </c>
      <c r="AS53" s="230">
        <f>'MFA АСУТП'!S53</f>
        <v>0</v>
      </c>
      <c r="AT53" s="230">
        <f>'ДИОД АСУТП'!G53</f>
        <v>0</v>
      </c>
      <c r="AU53" s="230">
        <f>'ДИОД АСУТП'!K53</f>
        <v>0</v>
      </c>
      <c r="AV53" s="230">
        <f>'ДИОД АСУТП'!O53</f>
        <v>0</v>
      </c>
      <c r="AW53" s="230">
        <f>'ДИОД АСУТП'!S53</f>
        <v>0</v>
      </c>
      <c r="AX53" s="230">
        <f>'СЗВ АСУТП'!G53</f>
        <v>0</v>
      </c>
      <c r="AY53" s="230">
        <f>'СЗВ АСУТП'!K53</f>
        <v>0</v>
      </c>
      <c r="AZ53" s="230">
        <f>'СЗВ АСУТП'!O53</f>
        <v>0</v>
      </c>
      <c r="BA53" s="230">
        <f>'SOAR АСУТП'!G53</f>
        <v>0.75</v>
      </c>
      <c r="BB53" s="230">
        <f>'SOAR АСУТП'!K53</f>
        <v>0.75</v>
      </c>
      <c r="BC53" s="230">
        <f>'SOAR АСУТП'!O53</f>
        <v>0.75</v>
      </c>
      <c r="BD53" s="230" t="e">
        <f>'SOAR АСУТП'!#REF!</f>
        <v>#REF!</v>
      </c>
      <c r="BE53" s="230">
        <f>'VDI АСУТП'!G53</f>
        <v>3</v>
      </c>
      <c r="BF53" s="230">
        <f>'VDI АСУТП'!K53</f>
        <v>3</v>
      </c>
      <c r="BG53" s="230">
        <f>'VDI АСУТП'!O53</f>
        <v>3</v>
      </c>
      <c r="BH53" s="230">
        <f>'VDI АСУТП'!S53</f>
        <v>3</v>
      </c>
      <c r="BI53" s="230">
        <f>'VDI АСУТП'!W53</f>
        <v>3</v>
      </c>
      <c r="BJ53" s="316">
        <f>'СУБД АСУТП'!G53</f>
        <v>0</v>
      </c>
      <c r="BK53" s="316">
        <f>'СУБД АСУТП'!K53</f>
        <v>0</v>
      </c>
      <c r="BL53" s="316">
        <f>'ГОССОПКА АСУТП'!G53</f>
        <v>0</v>
      </c>
      <c r="BM53" s="316">
        <f>'ГОССОПКА АСУТП'!K53</f>
        <v>0</v>
      </c>
      <c r="BN53" s="316">
        <f>'TLS АСУТП'!G53</f>
        <v>0</v>
      </c>
      <c r="BO53" s="316">
        <f>'TLS АСУТП'!K53</f>
        <v>0</v>
      </c>
      <c r="BP53" s="316">
        <f>'DCAP АСУТП'!G53</f>
        <v>0</v>
      </c>
      <c r="BQ53" s="316">
        <f>'DCAP АСУТП'!K53</f>
        <v>0</v>
      </c>
      <c r="BR53" s="316">
        <f>'DCAP АСУТП'!O53</f>
        <v>0</v>
      </c>
      <c r="BS53" s="316">
        <f>'DO АСУТП'!G53</f>
        <v>0.5</v>
      </c>
      <c r="BT53" s="316">
        <f>'NTA АСУТП'!G53</f>
        <v>0</v>
      </c>
      <c r="BU53" s="316">
        <f>'NTA АСУТП'!K53</f>
        <v>0</v>
      </c>
      <c r="BV53" s="316">
        <f>'NTA АСУТП'!O53</f>
        <v>0</v>
      </c>
      <c r="BW53" s="316">
        <f>'NTA АСУТП'!S53</f>
        <v>0</v>
      </c>
      <c r="BX53" s="316">
        <f>'SEG АСУТП'!G53</f>
        <v>0</v>
      </c>
      <c r="BY53" s="316">
        <f>'APT АСУТП'!G53</f>
        <v>0</v>
      </c>
      <c r="BZ53" s="316">
        <f>'APT АСУТП'!K53</f>
        <v>0</v>
      </c>
      <c r="CA53" s="316">
        <f>'APT АСУТП'!O53</f>
        <v>0</v>
      </c>
      <c r="CB53" s="316">
        <f>'NAC АСУТП'!G53</f>
        <v>0</v>
      </c>
      <c r="CC53" s="316">
        <f>'SANDBOX АСУТП'!G53</f>
        <v>0</v>
      </c>
      <c r="CD53" s="316">
        <f>'SANDBOX АСУТП'!K53</f>
        <v>0</v>
      </c>
      <c r="CE53" s="316">
        <f>'EDR АСУТП'!G53</f>
        <v>0.5</v>
      </c>
      <c r="CF53" s="316">
        <f>'EDR АСУТП'!K53</f>
        <v>0.5</v>
      </c>
      <c r="CG53" s="316">
        <f>'WAF АСУТП'!G53</f>
        <v>0</v>
      </c>
      <c r="CH53" s="316">
        <f>'WAF АСУТП'!K53</f>
        <v>0</v>
      </c>
      <c r="CI53" s="316">
        <f>'WAF АСУТП'!O53</f>
        <v>0</v>
      </c>
      <c r="CJ53" s="316">
        <f>'ВМ ЗСВ'!G53</f>
        <v>0</v>
      </c>
      <c r="CK53" s="316">
        <f>'ВМ ЗСВ'!K53</f>
        <v>0</v>
      </c>
      <c r="CL53" s="316">
        <f>'ВМ ЗСВ'!O53</f>
        <v>0</v>
      </c>
      <c r="CM53" s="316">
        <f>'ВМ ЗСВ'!S53</f>
        <v>0</v>
      </c>
      <c r="CN53" s="316">
        <f>'ВМ ЗСВ'!W53</f>
        <v>0</v>
      </c>
      <c r="CO53" s="316">
        <f>'ВМ ЗСВ'!AA53</f>
        <v>0</v>
      </c>
      <c r="CP53" s="316">
        <f>'ВМ СПО'!G53</f>
        <v>0</v>
      </c>
      <c r="CQ53" s="316">
        <f>'ВМ СПО'!K53</f>
        <v>0</v>
      </c>
      <c r="CR53" s="316">
        <f>'ВМ СПО'!O53</f>
        <v>0</v>
      </c>
      <c r="CS53" s="316">
        <f>'ВМ СПО'!S53</f>
        <v>0</v>
      </c>
      <c r="CT53" s="316">
        <f>'ВМ АСО'!G53</f>
        <v>0</v>
      </c>
      <c r="CU53" s="316">
        <f>'ВМ АСО'!K53</f>
        <v>0</v>
      </c>
      <c r="CV53" s="316" t="e">
        <f t="shared" si="62"/>
        <v>#REF!</v>
      </c>
      <c r="CW53" s="25">
        <f t="shared" si="63"/>
        <v>0.5</v>
      </c>
      <c r="CX53" s="25">
        <f t="shared" si="64"/>
        <v>1</v>
      </c>
      <c r="CY53" s="25">
        <f t="shared" si="65"/>
        <v>0</v>
      </c>
      <c r="CZ53" s="25">
        <f t="shared" si="66"/>
        <v>0</v>
      </c>
      <c r="DA53" s="25">
        <f t="shared" si="67"/>
        <v>0</v>
      </c>
      <c r="DB53" s="25">
        <f t="shared" si="68"/>
        <v>0</v>
      </c>
      <c r="DC53" s="25">
        <f t="shared" si="69"/>
        <v>0</v>
      </c>
      <c r="DD53" s="25">
        <f t="shared" si="70"/>
        <v>0</v>
      </c>
      <c r="DE53" s="25">
        <f t="shared" si="71"/>
        <v>0</v>
      </c>
      <c r="DF53" s="25">
        <f t="shared" si="72"/>
        <v>0</v>
      </c>
      <c r="DG53" s="25">
        <f t="shared" si="73"/>
        <v>0</v>
      </c>
      <c r="DH53" s="25">
        <f t="shared" si="74"/>
        <v>0</v>
      </c>
      <c r="DI53" s="25">
        <f t="shared" si="75"/>
        <v>0</v>
      </c>
      <c r="DJ53" s="25" t="e">
        <f t="shared" si="76"/>
        <v>#REF!</v>
      </c>
      <c r="DK53" s="25">
        <f t="shared" si="77"/>
        <v>0</v>
      </c>
      <c r="DL53" s="25">
        <f t="shared" si="78"/>
        <v>0</v>
      </c>
      <c r="DM53" s="25">
        <f t="shared" si="79"/>
        <v>0</v>
      </c>
      <c r="DN53" s="25">
        <f t="shared" si="80"/>
        <v>0</v>
      </c>
      <c r="DO53" s="25">
        <f t="shared" si="81"/>
        <v>0</v>
      </c>
      <c r="DP53" s="25">
        <f t="shared" si="82"/>
        <v>0</v>
      </c>
      <c r="DQ53" s="25">
        <f t="shared" si="83"/>
        <v>0</v>
      </c>
      <c r="DR53" s="25">
        <f t="shared" si="84"/>
        <v>0</v>
      </c>
      <c r="DS53" s="25">
        <f t="shared" si="85"/>
        <v>0</v>
      </c>
      <c r="DT53" s="25">
        <f t="shared" si="86"/>
        <v>0</v>
      </c>
      <c r="DU53" s="25">
        <f t="shared" si="87"/>
        <v>0</v>
      </c>
      <c r="DV53" s="21">
        <f t="shared" si="88"/>
        <v>0</v>
      </c>
      <c r="DW53" s="317">
        <f t="shared" si="89"/>
        <v>0</v>
      </c>
      <c r="DX53" s="317">
        <f t="shared" si="90"/>
        <v>0</v>
      </c>
      <c r="DY53" s="317">
        <f t="shared" si="91"/>
        <v>0</v>
      </c>
      <c r="DZ53" s="230">
        <f t="shared" si="92"/>
        <v>0</v>
      </c>
    </row>
    <row r="54" spans="1:130" ht="15" customHeight="1" x14ac:dyDescent="0.25">
      <c r="A54" s="1908" t="s">
        <v>18</v>
      </c>
      <c r="B54" s="1916">
        <f>IF('Тип разраб-ой док-ции'!F23=1,1,0)</f>
        <v>0</v>
      </c>
      <c r="C54" s="103" t="s">
        <v>32</v>
      </c>
      <c r="D54" s="21"/>
      <c r="E54" s="316">
        <f>'АВЗ АСУТП'!G54</f>
        <v>0.25</v>
      </c>
      <c r="F54" s="316">
        <f>'АВЗ АСУТП'!K54</f>
        <v>0.25</v>
      </c>
      <c r="G54" s="316">
        <f>'АВЗ АСУТП'!O54</f>
        <v>0.25</v>
      </c>
      <c r="H54" s="230">
        <f>'АВЗ АСУТП'!S54</f>
        <v>0.25</v>
      </c>
      <c r="I54" s="316">
        <f>'АВЗ АСУТП'!W54</f>
        <v>0.25</v>
      </c>
      <c r="J54" s="230">
        <f>'АВЗ АСУТП'!AA54</f>
        <v>0.25</v>
      </c>
      <c r="K54" s="230">
        <f>'АВЗ АСУТП'!AE54</f>
        <v>0.25</v>
      </c>
      <c r="L54" s="230">
        <f>'АВЗ АСУТП'!AI54</f>
        <v>0.25</v>
      </c>
      <c r="M54" s="230">
        <f>'SIEM АСУТП'!G54</f>
        <v>1</v>
      </c>
      <c r="N54" s="230">
        <f>'SIEM АСУТП'!K54</f>
        <v>1</v>
      </c>
      <c r="O54" s="230">
        <f>'МСЭ АСУТП'!G54</f>
        <v>0</v>
      </c>
      <c r="P54" s="317">
        <f>'МСЭ АСУТП'!K54</f>
        <v>0</v>
      </c>
      <c r="Q54" s="230">
        <f>'МСЭ АСУТП'!O54</f>
        <v>0</v>
      </c>
      <c r="R54" s="230">
        <f>'МСЭ АСУТП'!S54</f>
        <v>0</v>
      </c>
      <c r="S54" s="230">
        <f>'PAM АСУТП'!G54</f>
        <v>0</v>
      </c>
      <c r="T54" s="230">
        <f>'PAM АСУТП'!K54</f>
        <v>0</v>
      </c>
      <c r="U54" s="230">
        <f>'PAM АСУТП'!O54</f>
        <v>0</v>
      </c>
      <c r="V54" s="230">
        <f>'СКЗИ АСУТП'!G54</f>
        <v>0</v>
      </c>
      <c r="W54" s="230">
        <f>'СКЗИ АСУТП'!K54</f>
        <v>0</v>
      </c>
      <c r="X54" s="230">
        <f>'СКЗИ АСУТП'!O54</f>
        <v>0</v>
      </c>
      <c r="Y54" s="230">
        <f>'СКЗИ АСУТП'!S54</f>
        <v>0</v>
      </c>
      <c r="Z54" s="230">
        <f>'СКЗИ АСУТП'!W54</f>
        <v>0</v>
      </c>
      <c r="AA54" s="230">
        <f>'АЗ АСУТП'!G54</f>
        <v>0</v>
      </c>
      <c r="AB54" s="230">
        <f>'АЗ АСУТП'!K54</f>
        <v>0</v>
      </c>
      <c r="AC54" s="230">
        <f>'АЗ АСУТП'!O54</f>
        <v>0</v>
      </c>
      <c r="AD54" s="230">
        <f>'АЗ АСУТП'!S54</f>
        <v>0</v>
      </c>
      <c r="AE54" s="230">
        <f>'АЗ АСУТП'!W54</f>
        <v>0</v>
      </c>
      <c r="AF54" s="230">
        <f>'РК АСУТП'!G54</f>
        <v>0</v>
      </c>
      <c r="AG54" s="230">
        <f>'РК АСУТП'!K54</f>
        <v>0</v>
      </c>
      <c r="AH54" s="230">
        <f>'IDS АСУТП'!G54</f>
        <v>1</v>
      </c>
      <c r="AI54" s="230">
        <f>'IDS АСУТП'!K54</f>
        <v>1</v>
      </c>
      <c r="AJ54" s="230">
        <f>'IDS АСУТП'!O54</f>
        <v>1</v>
      </c>
      <c r="AK54" s="230">
        <f>'АПМДЗ АСУТП'!G54</f>
        <v>0</v>
      </c>
      <c r="AL54" s="230">
        <f>'АПМДЗ АСУТП'!K54</f>
        <v>0</v>
      </c>
      <c r="AM54" s="230">
        <f>'НСД АСУТП'!G54</f>
        <v>0</v>
      </c>
      <c r="AN54" s="230">
        <f>'НСД АСУТП'!K54</f>
        <v>0</v>
      </c>
      <c r="AO54" s="230">
        <f>'НСД АСУТП'!O54</f>
        <v>0</v>
      </c>
      <c r="AP54" s="230">
        <f>'MFA АСУТП'!G54</f>
        <v>0</v>
      </c>
      <c r="AQ54" s="230">
        <f>'MFA АСУТП'!K54</f>
        <v>0</v>
      </c>
      <c r="AR54" s="230">
        <f>'MFA АСУТП'!O54</f>
        <v>0</v>
      </c>
      <c r="AS54" s="230">
        <f>'MFA АСУТП'!S54</f>
        <v>0</v>
      </c>
      <c r="AT54" s="230">
        <f>'ДИОД АСУТП'!G54</f>
        <v>0.25</v>
      </c>
      <c r="AU54" s="230">
        <f>'ДИОД АСУТП'!K54</f>
        <v>0.25</v>
      </c>
      <c r="AV54" s="230">
        <f>'ДИОД АСУТП'!O54</f>
        <v>0.25</v>
      </c>
      <c r="AW54" s="230">
        <f>'ДИОД АСУТП'!S54</f>
        <v>0.25</v>
      </c>
      <c r="AX54" s="230">
        <f>'СЗВ АСУТП'!G54</f>
        <v>0</v>
      </c>
      <c r="AY54" s="230">
        <f>'СЗВ АСУТП'!K54</f>
        <v>0</v>
      </c>
      <c r="AZ54" s="230">
        <f>'СЗВ АСУТП'!O54</f>
        <v>0</v>
      </c>
      <c r="BA54" s="230">
        <f>'SOAR АСУТП'!G54</f>
        <v>0</v>
      </c>
      <c r="BB54" s="230">
        <f>'SOAR АСУТП'!K54</f>
        <v>0</v>
      </c>
      <c r="BC54" s="230">
        <f>'SOAR АСУТП'!O54</f>
        <v>0</v>
      </c>
      <c r="BD54" s="230" t="e">
        <f>'SOAR АСУТП'!#REF!</f>
        <v>#REF!</v>
      </c>
      <c r="BE54" s="230">
        <f>'VDI АСУТП'!G54</f>
        <v>0</v>
      </c>
      <c r="BF54" s="230">
        <f>'VDI АСУТП'!K54</f>
        <v>0</v>
      </c>
      <c r="BG54" s="230">
        <f>'VDI АСУТП'!O54</f>
        <v>0</v>
      </c>
      <c r="BH54" s="230">
        <f>'VDI АСУТП'!S54</f>
        <v>0</v>
      </c>
      <c r="BI54" s="230">
        <f>'VDI АСУТП'!W54</f>
        <v>0</v>
      </c>
      <c r="BJ54" s="316">
        <f>'СУБД АСУТП'!G54</f>
        <v>0</v>
      </c>
      <c r="BK54" s="316">
        <f>'СУБД АСУТП'!K54</f>
        <v>0</v>
      </c>
      <c r="BL54" s="316">
        <f>'ГОССОПКА АСУТП'!G54</f>
        <v>0</v>
      </c>
      <c r="BM54" s="316">
        <f>'ГОССОПКА АСУТП'!K54</f>
        <v>0</v>
      </c>
      <c r="BN54" s="316">
        <f>'TLS АСУТП'!G54</f>
        <v>0</v>
      </c>
      <c r="BO54" s="316">
        <f>'TLS АСУТП'!K54</f>
        <v>0</v>
      </c>
      <c r="BP54" s="316">
        <f>'DCAP АСУТП'!G54</f>
        <v>0</v>
      </c>
      <c r="BQ54" s="316">
        <f>'DCAP АСУТП'!K54</f>
        <v>0</v>
      </c>
      <c r="BR54" s="316">
        <f>'DCAP АСУТП'!O54</f>
        <v>0</v>
      </c>
      <c r="BS54" s="316">
        <f>'DO АСУТП'!G54</f>
        <v>0</v>
      </c>
      <c r="BT54" s="316">
        <f>'NTA АСУТП'!G54</f>
        <v>0</v>
      </c>
      <c r="BU54" s="316">
        <f>'NTA АСУТП'!K54</f>
        <v>0</v>
      </c>
      <c r="BV54" s="316">
        <f>'NTA АСУТП'!O54</f>
        <v>0</v>
      </c>
      <c r="BW54" s="316">
        <f>'NTA АСУТП'!S54</f>
        <v>0</v>
      </c>
      <c r="BX54" s="316">
        <f>'SEG АСУТП'!G54</f>
        <v>0</v>
      </c>
      <c r="BY54" s="316">
        <f>'APT АСУТП'!G54</f>
        <v>0</v>
      </c>
      <c r="BZ54" s="316">
        <f>'APT АСУТП'!K54</f>
        <v>0</v>
      </c>
      <c r="CA54" s="316">
        <f>'APT АСУТП'!O54</f>
        <v>0</v>
      </c>
      <c r="CB54" s="316">
        <f>'NAC АСУТП'!G54</f>
        <v>0</v>
      </c>
      <c r="CC54" s="316">
        <f>'SANDBOX АСУТП'!G54</f>
        <v>0</v>
      </c>
      <c r="CD54" s="316">
        <f>'SANDBOX АСУТП'!K54</f>
        <v>0</v>
      </c>
      <c r="CE54" s="316">
        <f>'EDR АСУТП'!G54</f>
        <v>0</v>
      </c>
      <c r="CF54" s="316">
        <f>'EDR АСУТП'!K54</f>
        <v>0</v>
      </c>
      <c r="CG54" s="316">
        <f>'WAF АСУТП'!G54</f>
        <v>0</v>
      </c>
      <c r="CH54" s="316">
        <f>'WAF АСУТП'!K54</f>
        <v>0</v>
      </c>
      <c r="CI54" s="316">
        <f>'WAF АСУТП'!O54</f>
        <v>0</v>
      </c>
      <c r="CJ54" s="316">
        <f>'ВМ ЗСВ'!G54</f>
        <v>0</v>
      </c>
      <c r="CK54" s="316">
        <f>'ВМ ЗСВ'!K54</f>
        <v>0</v>
      </c>
      <c r="CL54" s="316">
        <f>'ВМ ЗСВ'!O54</f>
        <v>0</v>
      </c>
      <c r="CM54" s="316">
        <f>'ВМ ЗСВ'!S54</f>
        <v>0</v>
      </c>
      <c r="CN54" s="316">
        <f>'ВМ ЗСВ'!W54</f>
        <v>0</v>
      </c>
      <c r="CO54" s="316">
        <f>'ВМ ЗСВ'!AA54</f>
        <v>0</v>
      </c>
      <c r="CP54" s="316">
        <f>'ВМ СПО'!G54</f>
        <v>0</v>
      </c>
      <c r="CQ54" s="316">
        <f>'ВМ СПО'!K54</f>
        <v>0</v>
      </c>
      <c r="CR54" s="316">
        <f>'ВМ СПО'!O54</f>
        <v>0</v>
      </c>
      <c r="CS54" s="316">
        <f>'ВМ СПО'!S54</f>
        <v>0</v>
      </c>
      <c r="CT54" s="316">
        <f>'ВМ АСО'!G54</f>
        <v>0</v>
      </c>
      <c r="CU54" s="316">
        <f>'ВМ АСО'!K54</f>
        <v>0</v>
      </c>
      <c r="CV54" s="316" t="e">
        <f t="shared" si="62"/>
        <v>#REF!</v>
      </c>
      <c r="CW54" s="25">
        <f t="shared" si="63"/>
        <v>0.25</v>
      </c>
      <c r="CX54" s="25">
        <f t="shared" si="64"/>
        <v>1</v>
      </c>
      <c r="CY54" s="25">
        <f t="shared" si="65"/>
        <v>0</v>
      </c>
      <c r="CZ54" s="25">
        <f t="shared" si="66"/>
        <v>0</v>
      </c>
      <c r="DA54" s="25">
        <f t="shared" si="67"/>
        <v>0</v>
      </c>
      <c r="DB54" s="25">
        <f t="shared" si="68"/>
        <v>0</v>
      </c>
      <c r="DC54" s="25">
        <f t="shared" si="69"/>
        <v>0</v>
      </c>
      <c r="DD54" s="25">
        <f t="shared" si="70"/>
        <v>0</v>
      </c>
      <c r="DE54" s="25">
        <f t="shared" si="71"/>
        <v>0</v>
      </c>
      <c r="DF54" s="25">
        <f t="shared" si="72"/>
        <v>0</v>
      </c>
      <c r="DG54" s="25">
        <f t="shared" si="73"/>
        <v>0</v>
      </c>
      <c r="DH54" s="25">
        <f t="shared" si="74"/>
        <v>0</v>
      </c>
      <c r="DI54" s="25">
        <f t="shared" si="75"/>
        <v>0</v>
      </c>
      <c r="DJ54" s="25" t="e">
        <f t="shared" si="76"/>
        <v>#REF!</v>
      </c>
      <c r="DK54" s="25">
        <f t="shared" si="77"/>
        <v>0</v>
      </c>
      <c r="DL54" s="25">
        <f t="shared" si="78"/>
        <v>0</v>
      </c>
      <c r="DM54" s="25">
        <f t="shared" si="79"/>
        <v>0</v>
      </c>
      <c r="DN54" s="25">
        <f t="shared" si="80"/>
        <v>0</v>
      </c>
      <c r="DO54" s="25">
        <f t="shared" si="81"/>
        <v>0</v>
      </c>
      <c r="DP54" s="25">
        <f t="shared" si="82"/>
        <v>0</v>
      </c>
      <c r="DQ54" s="25">
        <f t="shared" si="83"/>
        <v>0</v>
      </c>
      <c r="DR54" s="25">
        <f t="shared" si="84"/>
        <v>0</v>
      </c>
      <c r="DS54" s="25">
        <f t="shared" si="85"/>
        <v>0</v>
      </c>
      <c r="DT54" s="25">
        <f t="shared" si="86"/>
        <v>0</v>
      </c>
      <c r="DU54" s="25">
        <f t="shared" si="87"/>
        <v>0</v>
      </c>
      <c r="DV54" s="21">
        <f t="shared" si="88"/>
        <v>0</v>
      </c>
      <c r="DW54" s="317">
        <f t="shared" si="89"/>
        <v>0</v>
      </c>
      <c r="DX54" s="317">
        <f t="shared" si="90"/>
        <v>0</v>
      </c>
      <c r="DY54" s="317">
        <f t="shared" si="91"/>
        <v>0</v>
      </c>
      <c r="DZ54" s="230">
        <f t="shared" si="92"/>
        <v>0</v>
      </c>
    </row>
    <row r="55" spans="1:130" ht="15" customHeight="1" x14ac:dyDescent="0.25">
      <c r="A55" s="1908"/>
      <c r="B55" s="1916"/>
      <c r="C55" s="103" t="s">
        <v>33</v>
      </c>
      <c r="D55" s="21"/>
      <c r="E55" s="316">
        <f>'АВЗ АСУТП'!G55</f>
        <v>0.5</v>
      </c>
      <c r="F55" s="316">
        <f>'АВЗ АСУТП'!K55</f>
        <v>0.5</v>
      </c>
      <c r="G55" s="316">
        <f>'АВЗ АСУТП'!O55</f>
        <v>0.5</v>
      </c>
      <c r="H55" s="230">
        <f>'АВЗ АСУТП'!S55</f>
        <v>0.5</v>
      </c>
      <c r="I55" s="316">
        <f>'АВЗ АСУТП'!W55</f>
        <v>0.5</v>
      </c>
      <c r="J55" s="230">
        <f>'АВЗ АСУТП'!AA55</f>
        <v>0.5</v>
      </c>
      <c r="K55" s="230">
        <f>'АВЗ АСУТП'!AE55</f>
        <v>0.5</v>
      </c>
      <c r="L55" s="230">
        <f>'АВЗ АСУТП'!AI55</f>
        <v>0.5</v>
      </c>
      <c r="M55" s="230">
        <f>'SIEM АСУТП'!G55</f>
        <v>0.5</v>
      </c>
      <c r="N55" s="230">
        <f>'SIEM АСУТП'!K55</f>
        <v>0.5</v>
      </c>
      <c r="O55" s="230">
        <f>'МСЭ АСУТП'!G55</f>
        <v>0</v>
      </c>
      <c r="P55" s="317">
        <f>'МСЭ АСУТП'!K55</f>
        <v>0</v>
      </c>
      <c r="Q55" s="230">
        <f>'МСЭ АСУТП'!O55</f>
        <v>0</v>
      </c>
      <c r="R55" s="230">
        <f>'МСЭ АСУТП'!S55</f>
        <v>0</v>
      </c>
      <c r="S55" s="230">
        <f>'PAM АСУТП'!G55</f>
        <v>0</v>
      </c>
      <c r="T55" s="230">
        <f>'PAM АСУТП'!K55</f>
        <v>0</v>
      </c>
      <c r="U55" s="230">
        <f>'PAM АСУТП'!O55</f>
        <v>0</v>
      </c>
      <c r="V55" s="230">
        <f>'СКЗИ АСУТП'!G55</f>
        <v>0</v>
      </c>
      <c r="W55" s="230">
        <f>'СКЗИ АСУТП'!K55</f>
        <v>0</v>
      </c>
      <c r="X55" s="230">
        <f>'СКЗИ АСУТП'!O55</f>
        <v>0</v>
      </c>
      <c r="Y55" s="230">
        <f>'СКЗИ АСУТП'!S55</f>
        <v>0</v>
      </c>
      <c r="Z55" s="230">
        <f>'СКЗИ АСУТП'!W55</f>
        <v>0</v>
      </c>
      <c r="AA55" s="230">
        <f>'АЗ АСУТП'!G55</f>
        <v>0</v>
      </c>
      <c r="AB55" s="230">
        <f>'АЗ АСУТП'!K55</f>
        <v>0</v>
      </c>
      <c r="AC55" s="230">
        <f>'АЗ АСУТП'!O55</f>
        <v>0</v>
      </c>
      <c r="AD55" s="230">
        <f>'АЗ АСУТП'!S55</f>
        <v>0</v>
      </c>
      <c r="AE55" s="230">
        <f>'АЗ АСУТП'!W55</f>
        <v>0</v>
      </c>
      <c r="AF55" s="230">
        <f>'РК АСУТП'!G55</f>
        <v>0</v>
      </c>
      <c r="AG55" s="230">
        <f>'РК АСУТП'!K55</f>
        <v>0</v>
      </c>
      <c r="AH55" s="230">
        <f>'IDS АСУТП'!G55</f>
        <v>1</v>
      </c>
      <c r="AI55" s="230">
        <f>'IDS АСУТП'!K55</f>
        <v>1</v>
      </c>
      <c r="AJ55" s="230">
        <f>'IDS АСУТП'!O55</f>
        <v>1</v>
      </c>
      <c r="AK55" s="230">
        <f>'АПМДЗ АСУТП'!G55</f>
        <v>0</v>
      </c>
      <c r="AL55" s="230">
        <f>'АПМДЗ АСУТП'!K55</f>
        <v>0</v>
      </c>
      <c r="AM55" s="230">
        <f>'НСД АСУТП'!G55</f>
        <v>0</v>
      </c>
      <c r="AN55" s="230">
        <f>'НСД АСУТП'!K55</f>
        <v>0</v>
      </c>
      <c r="AO55" s="230">
        <f>'НСД АСУТП'!O55</f>
        <v>0</v>
      </c>
      <c r="AP55" s="230">
        <f>'MFA АСУТП'!G55</f>
        <v>0</v>
      </c>
      <c r="AQ55" s="230">
        <f>'MFA АСУТП'!K55</f>
        <v>0</v>
      </c>
      <c r="AR55" s="230">
        <f>'MFA АСУТП'!O55</f>
        <v>0</v>
      </c>
      <c r="AS55" s="230">
        <f>'MFA АСУТП'!S55</f>
        <v>0</v>
      </c>
      <c r="AT55" s="230">
        <f>'ДИОД АСУТП'!G55</f>
        <v>0.5</v>
      </c>
      <c r="AU55" s="230">
        <f>'ДИОД АСУТП'!K55</f>
        <v>0.5</v>
      </c>
      <c r="AV55" s="230">
        <f>'ДИОД АСУТП'!O55</f>
        <v>0.5</v>
      </c>
      <c r="AW55" s="230">
        <f>'ДИОД АСУТП'!S55</f>
        <v>0.5</v>
      </c>
      <c r="AX55" s="230">
        <f>'СЗВ АСУТП'!G55</f>
        <v>0</v>
      </c>
      <c r="AY55" s="230">
        <f>'СЗВ АСУТП'!K55</f>
        <v>0</v>
      </c>
      <c r="AZ55" s="230">
        <f>'СЗВ АСУТП'!O55</f>
        <v>0</v>
      </c>
      <c r="BA55" s="230">
        <f>'SOAR АСУТП'!G55</f>
        <v>0.5</v>
      </c>
      <c r="BB55" s="230">
        <f>'SOAR АСУТП'!K55</f>
        <v>0.5</v>
      </c>
      <c r="BC55" s="230">
        <f>'SOAR АСУТП'!O55</f>
        <v>0.5</v>
      </c>
      <c r="BD55" s="230" t="e">
        <f>'SOAR АСУТП'!#REF!</f>
        <v>#REF!</v>
      </c>
      <c r="BE55" s="230">
        <f>'VDI АСУТП'!G55</f>
        <v>0</v>
      </c>
      <c r="BF55" s="230">
        <f>'VDI АСУТП'!K55</f>
        <v>0</v>
      </c>
      <c r="BG55" s="230">
        <f>'VDI АСУТП'!O55</f>
        <v>0</v>
      </c>
      <c r="BH55" s="230">
        <f>'VDI АСУТП'!S55</f>
        <v>0</v>
      </c>
      <c r="BI55" s="230">
        <f>'VDI АСУТП'!W55</f>
        <v>0</v>
      </c>
      <c r="BJ55" s="316">
        <f>'СУБД АСУТП'!G55</f>
        <v>0</v>
      </c>
      <c r="BK55" s="316">
        <f>'СУБД АСУТП'!K55</f>
        <v>0</v>
      </c>
      <c r="BL55" s="316">
        <f>'ГОССОПКА АСУТП'!G55</f>
        <v>0</v>
      </c>
      <c r="BM55" s="316">
        <f>'ГОССОПКА АСУТП'!K55</f>
        <v>0</v>
      </c>
      <c r="BN55" s="316">
        <f>'TLS АСУТП'!G55</f>
        <v>0</v>
      </c>
      <c r="BO55" s="316">
        <f>'TLS АСУТП'!K55</f>
        <v>0</v>
      </c>
      <c r="BP55" s="316">
        <f>'DCAP АСУТП'!G55</f>
        <v>0</v>
      </c>
      <c r="BQ55" s="316">
        <f>'DCAP АСУТП'!K55</f>
        <v>0</v>
      </c>
      <c r="BR55" s="316">
        <f>'DCAP АСУТП'!O55</f>
        <v>0</v>
      </c>
      <c r="BS55" s="316">
        <f>'DO АСУТП'!G55</f>
        <v>0.25</v>
      </c>
      <c r="BT55" s="316">
        <f>'NTA АСУТП'!G55</f>
        <v>0</v>
      </c>
      <c r="BU55" s="316">
        <f>'NTA АСУТП'!K55</f>
        <v>0</v>
      </c>
      <c r="BV55" s="316">
        <f>'NTA АСУТП'!O55</f>
        <v>0</v>
      </c>
      <c r="BW55" s="316">
        <f>'NTA АСУТП'!S55</f>
        <v>0</v>
      </c>
      <c r="BX55" s="316">
        <f>'SEG АСУТП'!G55</f>
        <v>0</v>
      </c>
      <c r="BY55" s="316">
        <f>'APT АСУТП'!G55</f>
        <v>0</v>
      </c>
      <c r="BZ55" s="316">
        <f>'APT АСУТП'!K55</f>
        <v>0</v>
      </c>
      <c r="CA55" s="316">
        <f>'APT АСУТП'!O55</f>
        <v>0</v>
      </c>
      <c r="CB55" s="316">
        <f>'NAC АСУТП'!G55</f>
        <v>0</v>
      </c>
      <c r="CC55" s="316">
        <f>'SANDBOX АСУТП'!G55</f>
        <v>0</v>
      </c>
      <c r="CD55" s="316">
        <f>'SANDBOX АСУТП'!K55</f>
        <v>0</v>
      </c>
      <c r="CE55" s="316">
        <f>'EDR АСУТП'!G55</f>
        <v>0.25</v>
      </c>
      <c r="CF55" s="316">
        <f>'EDR АСУТП'!K55</f>
        <v>0.25</v>
      </c>
      <c r="CG55" s="316">
        <f>'WAF АСУТП'!G55</f>
        <v>0</v>
      </c>
      <c r="CH55" s="316">
        <f>'WAF АСУТП'!K55</f>
        <v>0</v>
      </c>
      <c r="CI55" s="316">
        <f>'WAF АСУТП'!O55</f>
        <v>0</v>
      </c>
      <c r="CJ55" s="316">
        <f>'ВМ ЗСВ'!G55</f>
        <v>0</v>
      </c>
      <c r="CK55" s="316">
        <f>'ВМ ЗСВ'!K55</f>
        <v>0</v>
      </c>
      <c r="CL55" s="316">
        <f>'ВМ ЗСВ'!O55</f>
        <v>0</v>
      </c>
      <c r="CM55" s="316">
        <f>'ВМ ЗСВ'!S55</f>
        <v>0</v>
      </c>
      <c r="CN55" s="316">
        <f>'ВМ ЗСВ'!W55</f>
        <v>0</v>
      </c>
      <c r="CO55" s="316">
        <f>'ВМ ЗСВ'!AA55</f>
        <v>0</v>
      </c>
      <c r="CP55" s="316">
        <f>'ВМ СПО'!G55</f>
        <v>0</v>
      </c>
      <c r="CQ55" s="316">
        <f>'ВМ СПО'!K55</f>
        <v>0</v>
      </c>
      <c r="CR55" s="316">
        <f>'ВМ СПО'!O55</f>
        <v>0</v>
      </c>
      <c r="CS55" s="316">
        <f>'ВМ СПО'!S55</f>
        <v>0</v>
      </c>
      <c r="CT55" s="316">
        <f>'ВМ АСО'!G55</f>
        <v>0</v>
      </c>
      <c r="CU55" s="316">
        <f>'ВМ АСО'!K55</f>
        <v>0</v>
      </c>
      <c r="CV55" s="316" t="e">
        <f t="shared" si="62"/>
        <v>#REF!</v>
      </c>
      <c r="CW55" s="25">
        <f t="shared" si="63"/>
        <v>0.5</v>
      </c>
      <c r="CX55" s="25">
        <f t="shared" si="64"/>
        <v>0.5</v>
      </c>
      <c r="CY55" s="25">
        <f t="shared" si="65"/>
        <v>0</v>
      </c>
      <c r="CZ55" s="25">
        <f t="shared" si="66"/>
        <v>0</v>
      </c>
      <c r="DA55" s="25">
        <f t="shared" si="67"/>
        <v>0</v>
      </c>
      <c r="DB55" s="25">
        <f t="shared" si="68"/>
        <v>0</v>
      </c>
      <c r="DC55" s="25">
        <f t="shared" si="69"/>
        <v>0</v>
      </c>
      <c r="DD55" s="25">
        <f t="shared" si="70"/>
        <v>0</v>
      </c>
      <c r="DE55" s="25">
        <f t="shared" si="71"/>
        <v>0</v>
      </c>
      <c r="DF55" s="25">
        <f t="shared" si="72"/>
        <v>0</v>
      </c>
      <c r="DG55" s="25">
        <f t="shared" si="73"/>
        <v>0</v>
      </c>
      <c r="DH55" s="25">
        <f t="shared" si="74"/>
        <v>0</v>
      </c>
      <c r="DI55" s="25">
        <f t="shared" si="75"/>
        <v>0</v>
      </c>
      <c r="DJ55" s="25" t="e">
        <f t="shared" si="76"/>
        <v>#REF!</v>
      </c>
      <c r="DK55" s="25">
        <f t="shared" si="77"/>
        <v>0</v>
      </c>
      <c r="DL55" s="25">
        <f t="shared" si="78"/>
        <v>0</v>
      </c>
      <c r="DM55" s="25">
        <f t="shared" si="79"/>
        <v>0</v>
      </c>
      <c r="DN55" s="25">
        <f t="shared" si="80"/>
        <v>0</v>
      </c>
      <c r="DO55" s="25">
        <f t="shared" si="81"/>
        <v>0</v>
      </c>
      <c r="DP55" s="25">
        <f t="shared" si="82"/>
        <v>0</v>
      </c>
      <c r="DQ55" s="25">
        <f t="shared" si="83"/>
        <v>0</v>
      </c>
      <c r="DR55" s="25">
        <f t="shared" si="84"/>
        <v>0</v>
      </c>
      <c r="DS55" s="25">
        <f t="shared" si="85"/>
        <v>0</v>
      </c>
      <c r="DT55" s="25">
        <f t="shared" si="86"/>
        <v>0</v>
      </c>
      <c r="DU55" s="25">
        <f t="shared" si="87"/>
        <v>0</v>
      </c>
      <c r="DV55" s="21">
        <f t="shared" si="88"/>
        <v>0</v>
      </c>
      <c r="DW55" s="317">
        <f t="shared" si="89"/>
        <v>0</v>
      </c>
      <c r="DX55" s="317">
        <f t="shared" si="90"/>
        <v>0</v>
      </c>
      <c r="DY55" s="317">
        <f t="shared" si="91"/>
        <v>0</v>
      </c>
      <c r="DZ55" s="230">
        <f t="shared" si="92"/>
        <v>0</v>
      </c>
    </row>
    <row r="56" spans="1:130" ht="15" customHeight="1" x14ac:dyDescent="0.25">
      <c r="A56" s="1908"/>
      <c r="B56" s="1916"/>
      <c r="C56" s="103" t="s">
        <v>34</v>
      </c>
      <c r="D56" s="21"/>
      <c r="E56" s="316">
        <f>'АВЗ АСУТП'!G56</f>
        <v>0.5</v>
      </c>
      <c r="F56" s="316">
        <f>'АВЗ АСУТП'!K56</f>
        <v>0.5</v>
      </c>
      <c r="G56" s="316">
        <f>'АВЗ АСУТП'!O56</f>
        <v>0.5</v>
      </c>
      <c r="H56" s="230">
        <f>'АВЗ АСУТП'!S56</f>
        <v>0.5</v>
      </c>
      <c r="I56" s="316">
        <f>'АВЗ АСУТП'!W56</f>
        <v>0.5</v>
      </c>
      <c r="J56" s="230">
        <f>'АВЗ АСУТП'!AA56</f>
        <v>0.5</v>
      </c>
      <c r="K56" s="230">
        <f>'АВЗ АСУТП'!AE56</f>
        <v>0.5</v>
      </c>
      <c r="L56" s="230">
        <f>'АВЗ АСУТП'!AI56</f>
        <v>0.5</v>
      </c>
      <c r="M56" s="230">
        <f>'SIEM АСУТП'!G56</f>
        <v>0.5</v>
      </c>
      <c r="N56" s="230">
        <f>'SIEM АСУТП'!K56</f>
        <v>0.5</v>
      </c>
      <c r="O56" s="230">
        <f>'МСЭ АСУТП'!G56</f>
        <v>0</v>
      </c>
      <c r="P56" s="317">
        <f>'МСЭ АСУТП'!K56</f>
        <v>0</v>
      </c>
      <c r="Q56" s="230">
        <f>'МСЭ АСУТП'!O56</f>
        <v>0</v>
      </c>
      <c r="R56" s="230">
        <f>'МСЭ АСУТП'!S56</f>
        <v>0</v>
      </c>
      <c r="S56" s="230">
        <f>'PAM АСУТП'!G56</f>
        <v>0</v>
      </c>
      <c r="T56" s="230">
        <f>'PAM АСУТП'!K56</f>
        <v>0</v>
      </c>
      <c r="U56" s="230">
        <f>'PAM АСУТП'!O56</f>
        <v>0</v>
      </c>
      <c r="V56" s="230">
        <f>'СКЗИ АСУТП'!G56</f>
        <v>0</v>
      </c>
      <c r="W56" s="230">
        <f>'СКЗИ АСУТП'!K56</f>
        <v>0</v>
      </c>
      <c r="X56" s="230">
        <f>'СКЗИ АСУТП'!O56</f>
        <v>0</v>
      </c>
      <c r="Y56" s="230">
        <f>'СКЗИ АСУТП'!S56</f>
        <v>0</v>
      </c>
      <c r="Z56" s="230">
        <f>'СКЗИ АСУТП'!W56</f>
        <v>0</v>
      </c>
      <c r="AA56" s="230">
        <f>'АЗ АСУТП'!G56</f>
        <v>0</v>
      </c>
      <c r="AB56" s="230">
        <f>'АЗ АСУТП'!K56</f>
        <v>0</v>
      </c>
      <c r="AC56" s="230">
        <f>'АЗ АСУТП'!O56</f>
        <v>0</v>
      </c>
      <c r="AD56" s="230">
        <f>'АЗ АСУТП'!S56</f>
        <v>0</v>
      </c>
      <c r="AE56" s="230">
        <f>'АЗ АСУТП'!W56</f>
        <v>0</v>
      </c>
      <c r="AF56" s="230">
        <f>'РК АСУТП'!G56</f>
        <v>0</v>
      </c>
      <c r="AG56" s="230">
        <f>'РК АСУТП'!K56</f>
        <v>0</v>
      </c>
      <c r="AH56" s="230">
        <f>'IDS АСУТП'!G56</f>
        <v>1</v>
      </c>
      <c r="AI56" s="230">
        <f>'IDS АСУТП'!K56</f>
        <v>1</v>
      </c>
      <c r="AJ56" s="230">
        <f>'IDS АСУТП'!O56</f>
        <v>1</v>
      </c>
      <c r="AK56" s="230">
        <f>'АПМДЗ АСУТП'!G56</f>
        <v>0</v>
      </c>
      <c r="AL56" s="230">
        <f>'АПМДЗ АСУТП'!K56</f>
        <v>0</v>
      </c>
      <c r="AM56" s="230">
        <f>'НСД АСУТП'!G56</f>
        <v>0</v>
      </c>
      <c r="AN56" s="230">
        <f>'НСД АСУТП'!K56</f>
        <v>0</v>
      </c>
      <c r="AO56" s="230">
        <f>'НСД АСУТП'!O56</f>
        <v>0</v>
      </c>
      <c r="AP56" s="230">
        <f>'MFA АСУТП'!G56</f>
        <v>0</v>
      </c>
      <c r="AQ56" s="230">
        <f>'MFA АСУТП'!K56</f>
        <v>0</v>
      </c>
      <c r="AR56" s="230">
        <f>'MFA АСУТП'!O56</f>
        <v>0</v>
      </c>
      <c r="AS56" s="230">
        <f>'MFA АСУТП'!S56</f>
        <v>0</v>
      </c>
      <c r="AT56" s="230">
        <f>'ДИОД АСУТП'!G56</f>
        <v>0.75</v>
      </c>
      <c r="AU56" s="230">
        <f>'ДИОД АСУТП'!K56</f>
        <v>0.75</v>
      </c>
      <c r="AV56" s="230">
        <f>'ДИОД АСУТП'!O56</f>
        <v>0.75</v>
      </c>
      <c r="AW56" s="230">
        <f>'ДИОД АСУТП'!S56</f>
        <v>0.75</v>
      </c>
      <c r="AX56" s="230">
        <f>'СЗВ АСУТП'!G56</f>
        <v>0</v>
      </c>
      <c r="AY56" s="230">
        <f>'СЗВ АСУТП'!K56</f>
        <v>0</v>
      </c>
      <c r="AZ56" s="230">
        <f>'СЗВ АСУТП'!O56</f>
        <v>0</v>
      </c>
      <c r="BA56" s="230">
        <f>'SOAR АСУТП'!G56</f>
        <v>0.5</v>
      </c>
      <c r="BB56" s="230">
        <f>'SOAR АСУТП'!K56</f>
        <v>0.5</v>
      </c>
      <c r="BC56" s="230">
        <f>'SOAR АСУТП'!O56</f>
        <v>0.5</v>
      </c>
      <c r="BD56" s="230" t="e">
        <f>'SOAR АСУТП'!#REF!</f>
        <v>#REF!</v>
      </c>
      <c r="BE56" s="230">
        <f>'VDI АСУТП'!G56</f>
        <v>0</v>
      </c>
      <c r="BF56" s="230">
        <f>'VDI АСУТП'!K56</f>
        <v>0</v>
      </c>
      <c r="BG56" s="230">
        <f>'VDI АСУТП'!O56</f>
        <v>0</v>
      </c>
      <c r="BH56" s="230">
        <f>'VDI АСУТП'!S56</f>
        <v>0</v>
      </c>
      <c r="BI56" s="230">
        <f>'VDI АСУТП'!W56</f>
        <v>0</v>
      </c>
      <c r="BJ56" s="316">
        <f>'СУБД АСУТП'!G56</f>
        <v>0</v>
      </c>
      <c r="BK56" s="316">
        <f>'СУБД АСУТП'!K56</f>
        <v>0</v>
      </c>
      <c r="BL56" s="316">
        <f>'ГОССОПКА АСУТП'!G56</f>
        <v>0</v>
      </c>
      <c r="BM56" s="316">
        <f>'ГОССОПКА АСУТП'!K56</f>
        <v>0</v>
      </c>
      <c r="BN56" s="316">
        <f>'TLS АСУТП'!G56</f>
        <v>0</v>
      </c>
      <c r="BO56" s="316">
        <f>'TLS АСУТП'!K56</f>
        <v>0</v>
      </c>
      <c r="BP56" s="316">
        <f>'DCAP АСУТП'!G56</f>
        <v>0</v>
      </c>
      <c r="BQ56" s="316">
        <f>'DCAP АСУТП'!K56</f>
        <v>0</v>
      </c>
      <c r="BR56" s="316">
        <f>'DCAP АСУТП'!O56</f>
        <v>0</v>
      </c>
      <c r="BS56" s="316">
        <f>'DO АСУТП'!G56</f>
        <v>0.25</v>
      </c>
      <c r="BT56" s="316">
        <f>'NTA АСУТП'!G56</f>
        <v>0</v>
      </c>
      <c r="BU56" s="316">
        <f>'NTA АСУТП'!K56</f>
        <v>0</v>
      </c>
      <c r="BV56" s="316">
        <f>'NTA АСУТП'!O56</f>
        <v>0</v>
      </c>
      <c r="BW56" s="316">
        <f>'NTA АСУТП'!S56</f>
        <v>0</v>
      </c>
      <c r="BX56" s="316">
        <f>'SEG АСУТП'!G56</f>
        <v>0</v>
      </c>
      <c r="BY56" s="316">
        <f>'APT АСУТП'!G56</f>
        <v>0</v>
      </c>
      <c r="BZ56" s="316">
        <f>'APT АСУТП'!K56</f>
        <v>0</v>
      </c>
      <c r="CA56" s="316">
        <f>'APT АСУТП'!O56</f>
        <v>0</v>
      </c>
      <c r="CB56" s="316">
        <f>'NAC АСУТП'!G56</f>
        <v>0</v>
      </c>
      <c r="CC56" s="316">
        <f>'SANDBOX АСУТП'!G56</f>
        <v>0</v>
      </c>
      <c r="CD56" s="316">
        <f>'SANDBOX АСУТП'!K56</f>
        <v>0</v>
      </c>
      <c r="CE56" s="316">
        <f>'EDR АСУТП'!G56</f>
        <v>0.25</v>
      </c>
      <c r="CF56" s="316">
        <f>'EDR АСУТП'!K56</f>
        <v>0.25</v>
      </c>
      <c r="CG56" s="316">
        <f>'WAF АСУТП'!G56</f>
        <v>0</v>
      </c>
      <c r="CH56" s="316">
        <f>'WAF АСУТП'!K56</f>
        <v>0</v>
      </c>
      <c r="CI56" s="316">
        <f>'WAF АСУТП'!O56</f>
        <v>0</v>
      </c>
      <c r="CJ56" s="316">
        <f>'ВМ ЗСВ'!G56</f>
        <v>0</v>
      </c>
      <c r="CK56" s="316">
        <f>'ВМ ЗСВ'!K56</f>
        <v>0</v>
      </c>
      <c r="CL56" s="316">
        <f>'ВМ ЗСВ'!O56</f>
        <v>0</v>
      </c>
      <c r="CM56" s="316">
        <f>'ВМ ЗСВ'!S56</f>
        <v>0</v>
      </c>
      <c r="CN56" s="316">
        <f>'ВМ ЗСВ'!W56</f>
        <v>0</v>
      </c>
      <c r="CO56" s="316">
        <f>'ВМ ЗСВ'!AA56</f>
        <v>0</v>
      </c>
      <c r="CP56" s="316">
        <f>'ВМ СПО'!G56</f>
        <v>0</v>
      </c>
      <c r="CQ56" s="316">
        <f>'ВМ СПО'!K56</f>
        <v>0</v>
      </c>
      <c r="CR56" s="316">
        <f>'ВМ СПО'!O56</f>
        <v>0</v>
      </c>
      <c r="CS56" s="316">
        <f>'ВМ СПО'!S56</f>
        <v>0</v>
      </c>
      <c r="CT56" s="316">
        <f>'ВМ АСО'!G56</f>
        <v>0</v>
      </c>
      <c r="CU56" s="316">
        <f>'ВМ АСО'!K56</f>
        <v>0</v>
      </c>
      <c r="CV56" s="316" t="e">
        <f t="shared" si="62"/>
        <v>#REF!</v>
      </c>
      <c r="CW56" s="25">
        <f t="shared" si="63"/>
        <v>0.5</v>
      </c>
      <c r="CX56" s="25">
        <f t="shared" si="64"/>
        <v>0.5</v>
      </c>
      <c r="CY56" s="25">
        <f t="shared" si="65"/>
        <v>0</v>
      </c>
      <c r="CZ56" s="25">
        <f t="shared" si="66"/>
        <v>0</v>
      </c>
      <c r="DA56" s="25">
        <f t="shared" si="67"/>
        <v>0</v>
      </c>
      <c r="DB56" s="25">
        <f t="shared" si="68"/>
        <v>0</v>
      </c>
      <c r="DC56" s="25">
        <f t="shared" si="69"/>
        <v>0</v>
      </c>
      <c r="DD56" s="25">
        <f t="shared" si="70"/>
        <v>0</v>
      </c>
      <c r="DE56" s="25">
        <f t="shared" si="71"/>
        <v>0</v>
      </c>
      <c r="DF56" s="25">
        <f t="shared" si="72"/>
        <v>0</v>
      </c>
      <c r="DG56" s="25">
        <f t="shared" si="73"/>
        <v>0</v>
      </c>
      <c r="DH56" s="25">
        <f t="shared" si="74"/>
        <v>0</v>
      </c>
      <c r="DI56" s="25">
        <f t="shared" si="75"/>
        <v>0</v>
      </c>
      <c r="DJ56" s="25" t="e">
        <f t="shared" si="76"/>
        <v>#REF!</v>
      </c>
      <c r="DK56" s="25">
        <f t="shared" si="77"/>
        <v>0</v>
      </c>
      <c r="DL56" s="25">
        <f t="shared" si="78"/>
        <v>0</v>
      </c>
      <c r="DM56" s="25">
        <f t="shared" si="79"/>
        <v>0</v>
      </c>
      <c r="DN56" s="25">
        <f t="shared" si="80"/>
        <v>0</v>
      </c>
      <c r="DO56" s="25">
        <f t="shared" si="81"/>
        <v>0</v>
      </c>
      <c r="DP56" s="25">
        <f t="shared" si="82"/>
        <v>0</v>
      </c>
      <c r="DQ56" s="25">
        <f t="shared" si="83"/>
        <v>0</v>
      </c>
      <c r="DR56" s="25">
        <f t="shared" si="84"/>
        <v>0</v>
      </c>
      <c r="DS56" s="25">
        <f t="shared" si="85"/>
        <v>0</v>
      </c>
      <c r="DT56" s="25">
        <f t="shared" si="86"/>
        <v>0</v>
      </c>
      <c r="DU56" s="25">
        <f t="shared" si="87"/>
        <v>0</v>
      </c>
      <c r="DV56" s="21">
        <f t="shared" si="88"/>
        <v>0</v>
      </c>
      <c r="DW56" s="317">
        <f t="shared" si="89"/>
        <v>0</v>
      </c>
      <c r="DX56" s="317">
        <f t="shared" si="90"/>
        <v>0</v>
      </c>
      <c r="DY56" s="317">
        <f t="shared" si="91"/>
        <v>0</v>
      </c>
      <c r="DZ56" s="230">
        <f t="shared" si="92"/>
        <v>0</v>
      </c>
    </row>
    <row r="57" spans="1:130" ht="15" customHeight="1" x14ac:dyDescent="0.25">
      <c r="A57" s="1908" t="s">
        <v>19</v>
      </c>
      <c r="B57" s="1916">
        <f>IF('Тип разраб-ой док-ции'!F24=1,1,0)</f>
        <v>0</v>
      </c>
      <c r="C57" s="103" t="s">
        <v>32</v>
      </c>
      <c r="D57" s="21"/>
      <c r="E57" s="316">
        <f>'АВЗ АСУТП'!G57</f>
        <v>0.5</v>
      </c>
      <c r="F57" s="316">
        <f>'АВЗ АСУТП'!K57</f>
        <v>0.5</v>
      </c>
      <c r="G57" s="316">
        <f>'АВЗ АСУТП'!O57</f>
        <v>0.5</v>
      </c>
      <c r="H57" s="230">
        <f>'АВЗ АСУТП'!S57</f>
        <v>0.5</v>
      </c>
      <c r="I57" s="316">
        <f>'АВЗ АСУТП'!W57</f>
        <v>0.5</v>
      </c>
      <c r="J57" s="230">
        <f>'АВЗ АСУТП'!AA57</f>
        <v>0.5</v>
      </c>
      <c r="K57" s="230">
        <f>'АВЗ АСУТП'!AE57</f>
        <v>0.5</v>
      </c>
      <c r="L57" s="230">
        <f>'АВЗ АСУТП'!AI57</f>
        <v>0.5</v>
      </c>
      <c r="M57" s="230">
        <f>'SIEM АСУТП'!G57</f>
        <v>2</v>
      </c>
      <c r="N57" s="230">
        <f>'SIEM АСУТП'!K57</f>
        <v>2</v>
      </c>
      <c r="O57" s="230">
        <f>'МСЭ АСУТП'!G57</f>
        <v>4</v>
      </c>
      <c r="P57" s="317">
        <f>'МСЭ АСУТП'!K57</f>
        <v>4</v>
      </c>
      <c r="Q57" s="230">
        <f>'МСЭ АСУТП'!O57</f>
        <v>4</v>
      </c>
      <c r="R57" s="230">
        <f>'МСЭ АСУТП'!S57</f>
        <v>4</v>
      </c>
      <c r="S57" s="230">
        <f>'PAM АСУТП'!G57</f>
        <v>2</v>
      </c>
      <c r="T57" s="230">
        <f>'PAM АСУТП'!K57</f>
        <v>2</v>
      </c>
      <c r="U57" s="230">
        <f>'PAM АСУТП'!O57</f>
        <v>2</v>
      </c>
      <c r="V57" s="230">
        <f>'СКЗИ АСУТП'!G57</f>
        <v>4</v>
      </c>
      <c r="W57" s="230">
        <f>'СКЗИ АСУТП'!K57</f>
        <v>4</v>
      </c>
      <c r="X57" s="230">
        <f>'СКЗИ АСУТП'!O57</f>
        <v>4</v>
      </c>
      <c r="Y57" s="230">
        <f>'СКЗИ АСУТП'!S57</f>
        <v>4</v>
      </c>
      <c r="Z57" s="230">
        <f>'СКЗИ АСУТП'!W57</f>
        <v>4</v>
      </c>
      <c r="AA57" s="230">
        <f>'АЗ АСУТП'!G57</f>
        <v>2</v>
      </c>
      <c r="AB57" s="230">
        <f>'АЗ АСУТП'!K57</f>
        <v>2</v>
      </c>
      <c r="AC57" s="230">
        <f>'АЗ АСУТП'!O57</f>
        <v>2</v>
      </c>
      <c r="AD57" s="230">
        <f>'АЗ АСУТП'!S57</f>
        <v>2</v>
      </c>
      <c r="AE57" s="230">
        <f>'АЗ АСУТП'!W57</f>
        <v>2</v>
      </c>
      <c r="AF57" s="230">
        <f>'РК АСУТП'!G57</f>
        <v>1</v>
      </c>
      <c r="AG57" s="230">
        <f>'РК АСУТП'!K57</f>
        <v>1</v>
      </c>
      <c r="AH57" s="230">
        <f>'IDS АСУТП'!G57</f>
        <v>2</v>
      </c>
      <c r="AI57" s="230">
        <f>'IDS АСУТП'!K57</f>
        <v>2</v>
      </c>
      <c r="AJ57" s="230">
        <f>'IDS АСУТП'!O57</f>
        <v>2</v>
      </c>
      <c r="AK57" s="230">
        <f>'АПМДЗ АСУТП'!G57</f>
        <v>0.32000000000000006</v>
      </c>
      <c r="AL57" s="230">
        <f>'АПМДЗ АСУТП'!K57</f>
        <v>0.32000000000000006</v>
      </c>
      <c r="AM57" s="230">
        <f>'НСД АСУТП'!G57</f>
        <v>0.32000000000000006</v>
      </c>
      <c r="AN57" s="230">
        <f>'НСД АСУТП'!K57</f>
        <v>0.32000000000000006</v>
      </c>
      <c r="AO57" s="230">
        <f>'НСД АСУТП'!O57</f>
        <v>0.32000000000000006</v>
      </c>
      <c r="AP57" s="230">
        <f>'MFA АСУТП'!G57</f>
        <v>2</v>
      </c>
      <c r="AQ57" s="230">
        <f>'MFA АСУТП'!K57</f>
        <v>2</v>
      </c>
      <c r="AR57" s="230">
        <f>'MFA АСУТП'!O57</f>
        <v>2</v>
      </c>
      <c r="AS57" s="230">
        <f>'MFA АСУТП'!S57</f>
        <v>2</v>
      </c>
      <c r="AT57" s="230">
        <f>'ДИОД АСУТП'!G57</f>
        <v>0</v>
      </c>
      <c r="AU57" s="230">
        <f>'ДИОД АСУТП'!K57</f>
        <v>0</v>
      </c>
      <c r="AV57" s="230">
        <f>'ДИОД АСУТП'!O57</f>
        <v>0</v>
      </c>
      <c r="AW57" s="230">
        <f>'ДИОД АСУТП'!S57</f>
        <v>0</v>
      </c>
      <c r="AX57" s="230">
        <f>'СЗВ АСУТП'!G57</f>
        <v>2</v>
      </c>
      <c r="AY57" s="230">
        <f>'СЗВ АСУТП'!K57</f>
        <v>2</v>
      </c>
      <c r="AZ57" s="230">
        <f>'СЗВ АСУТП'!O57</f>
        <v>2</v>
      </c>
      <c r="BA57" s="230">
        <f>'SOAR АСУТП'!G57</f>
        <v>2</v>
      </c>
      <c r="BB57" s="230">
        <f>'SOAR АСУТП'!K57</f>
        <v>2</v>
      </c>
      <c r="BC57" s="230">
        <f>'SOAR АСУТП'!O57</f>
        <v>2</v>
      </c>
      <c r="BD57" s="230" t="e">
        <f>'SOAR АСУТП'!#REF!</f>
        <v>#REF!</v>
      </c>
      <c r="BE57" s="230">
        <f>'VDI АСУТП'!G57</f>
        <v>2</v>
      </c>
      <c r="BF57" s="230">
        <f>'VDI АСУТП'!K57</f>
        <v>2</v>
      </c>
      <c r="BG57" s="230">
        <f>'VDI АСУТП'!O57</f>
        <v>2</v>
      </c>
      <c r="BH57" s="230">
        <f>'VDI АСУТП'!S57</f>
        <v>2</v>
      </c>
      <c r="BI57" s="230">
        <f>'VDI АСУТП'!W57</f>
        <v>2</v>
      </c>
      <c r="BJ57" s="316">
        <f>'СУБД АСУТП'!G57</f>
        <v>0.5</v>
      </c>
      <c r="BK57" s="316">
        <f>'СУБД АСУТП'!K57</f>
        <v>0.5</v>
      </c>
      <c r="BL57" s="316">
        <f>'ГОССОПКА АСУТП'!G57</f>
        <v>2</v>
      </c>
      <c r="BM57" s="316">
        <f>'ГОССОПКА АСУТП'!K57</f>
        <v>2</v>
      </c>
      <c r="BN57" s="316">
        <f>'TLS АСУТП'!G57</f>
        <v>4</v>
      </c>
      <c r="BO57" s="316">
        <f>'TLS АСУТП'!K57</f>
        <v>4</v>
      </c>
      <c r="BP57" s="316">
        <f>'DCAP АСУТП'!G57</f>
        <v>2</v>
      </c>
      <c r="BQ57" s="316">
        <f>'DCAP АСУТП'!K57</f>
        <v>2</v>
      </c>
      <c r="BR57" s="316">
        <f>'DCAP АСУТП'!O57</f>
        <v>2</v>
      </c>
      <c r="BS57" s="316">
        <f>'DO АСУТП'!G57</f>
        <v>2</v>
      </c>
      <c r="BT57" s="316">
        <f>'NTA АСУТП'!G57</f>
        <v>2</v>
      </c>
      <c r="BU57" s="316">
        <f>'NTA АСУТП'!K57</f>
        <v>2</v>
      </c>
      <c r="BV57" s="316">
        <f>'NTA АСУТП'!O57</f>
        <v>2</v>
      </c>
      <c r="BW57" s="316">
        <f>'NTA АСУТП'!S57</f>
        <v>2</v>
      </c>
      <c r="BX57" s="316">
        <f>'SEG АСУТП'!G57</f>
        <v>2</v>
      </c>
      <c r="BY57" s="316">
        <f>'APT АСУТП'!G57</f>
        <v>2</v>
      </c>
      <c r="BZ57" s="316">
        <f>'APT АСУТП'!K57</f>
        <v>2</v>
      </c>
      <c r="CA57" s="316">
        <f>'APT АСУТП'!O57</f>
        <v>2</v>
      </c>
      <c r="CB57" s="316">
        <f>'NAC АСУТП'!G57</f>
        <v>4</v>
      </c>
      <c r="CC57" s="316">
        <f>'SANDBOX АСУТП'!G57</f>
        <v>4</v>
      </c>
      <c r="CD57" s="316">
        <f>'SANDBOX АСУТП'!K57</f>
        <v>4</v>
      </c>
      <c r="CE57" s="316">
        <f>'EDR АСУТП'!G57</f>
        <v>2</v>
      </c>
      <c r="CF57" s="316">
        <f>'EDR АСУТП'!K57</f>
        <v>2</v>
      </c>
      <c r="CG57" s="316">
        <f>'WAF АСУТП'!G57</f>
        <v>4</v>
      </c>
      <c r="CH57" s="316">
        <f>'WAF АСУТП'!K57</f>
        <v>4</v>
      </c>
      <c r="CI57" s="316">
        <f>'WAF АСУТП'!O57</f>
        <v>4</v>
      </c>
      <c r="CJ57" s="316">
        <f>'ВМ ЗСВ'!G57</f>
        <v>2</v>
      </c>
      <c r="CK57" s="316">
        <f>'ВМ ЗСВ'!K57</f>
        <v>2</v>
      </c>
      <c r="CL57" s="316">
        <f>'ВМ ЗСВ'!O57</f>
        <v>2</v>
      </c>
      <c r="CM57" s="316">
        <f>'ВМ ЗСВ'!S57</f>
        <v>2</v>
      </c>
      <c r="CN57" s="316">
        <f>'ВМ ЗСВ'!W57</f>
        <v>2</v>
      </c>
      <c r="CO57" s="316">
        <f>'ВМ ЗСВ'!AA57</f>
        <v>2</v>
      </c>
      <c r="CP57" s="316">
        <f>'ВМ СПО'!G57</f>
        <v>0.5</v>
      </c>
      <c r="CQ57" s="316">
        <f>'ВМ СПО'!K57</f>
        <v>0.5</v>
      </c>
      <c r="CR57" s="316">
        <f>'ВМ СПО'!O57</f>
        <v>0.5</v>
      </c>
      <c r="CS57" s="316">
        <f>'ВМ СПО'!S57</f>
        <v>0.5</v>
      </c>
      <c r="CT57" s="316">
        <f>'ВМ АСО'!G57</f>
        <v>0</v>
      </c>
      <c r="CU57" s="316">
        <f>'ВМ АСО'!K57</f>
        <v>0</v>
      </c>
      <c r="CV57" s="316" t="e">
        <f t="shared" si="62"/>
        <v>#REF!</v>
      </c>
      <c r="CW57" s="25">
        <f t="shared" si="63"/>
        <v>0.5</v>
      </c>
      <c r="CX57" s="25">
        <f t="shared" si="64"/>
        <v>2</v>
      </c>
      <c r="CY57" s="25">
        <f t="shared" si="65"/>
        <v>0</v>
      </c>
      <c r="CZ57" s="25">
        <f t="shared" si="66"/>
        <v>0</v>
      </c>
      <c r="DA57" s="25">
        <f t="shared" si="67"/>
        <v>0</v>
      </c>
      <c r="DB57" s="25">
        <f t="shared" si="68"/>
        <v>0</v>
      </c>
      <c r="DC57" s="25">
        <f t="shared" si="69"/>
        <v>0</v>
      </c>
      <c r="DD57" s="25">
        <f t="shared" si="70"/>
        <v>0</v>
      </c>
      <c r="DE57" s="25">
        <f t="shared" si="71"/>
        <v>0</v>
      </c>
      <c r="DF57" s="25">
        <f t="shared" si="72"/>
        <v>0</v>
      </c>
      <c r="DG57" s="25">
        <f t="shared" si="73"/>
        <v>0</v>
      </c>
      <c r="DH57" s="25">
        <f t="shared" si="74"/>
        <v>0</v>
      </c>
      <c r="DI57" s="25">
        <f t="shared" si="75"/>
        <v>0</v>
      </c>
      <c r="DJ57" s="25" t="e">
        <f t="shared" si="76"/>
        <v>#REF!</v>
      </c>
      <c r="DK57" s="25">
        <f t="shared" si="77"/>
        <v>0</v>
      </c>
      <c r="DL57" s="25">
        <f t="shared" si="78"/>
        <v>0</v>
      </c>
      <c r="DM57" s="25">
        <f t="shared" si="79"/>
        <v>0</v>
      </c>
      <c r="DN57" s="25">
        <f t="shared" si="80"/>
        <v>0</v>
      </c>
      <c r="DO57" s="25">
        <f t="shared" si="81"/>
        <v>0</v>
      </c>
      <c r="DP57" s="25">
        <f t="shared" si="82"/>
        <v>0</v>
      </c>
      <c r="DQ57" s="25">
        <f t="shared" si="83"/>
        <v>0</v>
      </c>
      <c r="DR57" s="25">
        <f t="shared" si="84"/>
        <v>0</v>
      </c>
      <c r="DS57" s="25">
        <f t="shared" si="85"/>
        <v>0</v>
      </c>
      <c r="DT57" s="25">
        <f t="shared" si="86"/>
        <v>0</v>
      </c>
      <c r="DU57" s="25">
        <f t="shared" si="87"/>
        <v>0</v>
      </c>
      <c r="DV57" s="21">
        <f t="shared" si="88"/>
        <v>0</v>
      </c>
      <c r="DW57" s="317">
        <f t="shared" si="89"/>
        <v>0</v>
      </c>
      <c r="DX57" s="317">
        <f t="shared" si="90"/>
        <v>0</v>
      </c>
      <c r="DY57" s="317">
        <f t="shared" si="91"/>
        <v>0</v>
      </c>
      <c r="DZ57" s="230">
        <f t="shared" si="92"/>
        <v>0</v>
      </c>
    </row>
    <row r="58" spans="1:130" ht="15" customHeight="1" x14ac:dyDescent="0.25">
      <c r="A58" s="1908"/>
      <c r="B58" s="1916"/>
      <c r="C58" s="103" t="s">
        <v>33</v>
      </c>
      <c r="D58" s="21"/>
      <c r="E58" s="316">
        <f>'АВЗ АСУТП'!G58</f>
        <v>3</v>
      </c>
      <c r="F58" s="316">
        <f>'АВЗ АСУТП'!K58</f>
        <v>3</v>
      </c>
      <c r="G58" s="316">
        <f>'АВЗ АСУТП'!O58</f>
        <v>3</v>
      </c>
      <c r="H58" s="230">
        <f>'АВЗ АСУТП'!S58</f>
        <v>3</v>
      </c>
      <c r="I58" s="316">
        <f>'АВЗ АСУТП'!W58</f>
        <v>3</v>
      </c>
      <c r="J58" s="230">
        <f>'АВЗ АСУТП'!AA58</f>
        <v>3</v>
      </c>
      <c r="K58" s="230">
        <f>'АВЗ АСУТП'!AE58</f>
        <v>3</v>
      </c>
      <c r="L58" s="230">
        <f>'АВЗ АСУТП'!AI58</f>
        <v>3</v>
      </c>
      <c r="M58" s="230">
        <f>'SIEM АСУТП'!G58</f>
        <v>5</v>
      </c>
      <c r="N58" s="230">
        <f>'SIEM АСУТП'!K58</f>
        <v>5</v>
      </c>
      <c r="O58" s="230">
        <f>'МСЭ АСУТП'!G58</f>
        <v>5.5</v>
      </c>
      <c r="P58" s="317">
        <f>'МСЭ АСУТП'!K58</f>
        <v>5.5</v>
      </c>
      <c r="Q58" s="230">
        <f>'МСЭ АСУТП'!O58</f>
        <v>5.5</v>
      </c>
      <c r="R58" s="230">
        <f>'МСЭ АСУТП'!S58</f>
        <v>5.5</v>
      </c>
      <c r="S58" s="230">
        <f>'PAM АСУТП'!G58</f>
        <v>4</v>
      </c>
      <c r="T58" s="230">
        <f>'PAM АСУТП'!K58</f>
        <v>4</v>
      </c>
      <c r="U58" s="230">
        <f>'PAM АСУТП'!O58</f>
        <v>4</v>
      </c>
      <c r="V58" s="230">
        <f>'СКЗИ АСУТП'!G58</f>
        <v>6</v>
      </c>
      <c r="W58" s="230">
        <f>'СКЗИ АСУТП'!K58</f>
        <v>6</v>
      </c>
      <c r="X58" s="230">
        <f>'СКЗИ АСУТП'!O58</f>
        <v>6</v>
      </c>
      <c r="Y58" s="230">
        <f>'СКЗИ АСУТП'!S58</f>
        <v>6</v>
      </c>
      <c r="Z58" s="230">
        <f>'СКЗИ АСУТП'!W58</f>
        <v>6</v>
      </c>
      <c r="AA58" s="230">
        <f>'АЗ АСУТП'!G58</f>
        <v>2</v>
      </c>
      <c r="AB58" s="230">
        <f>'АЗ АСУТП'!K58</f>
        <v>2</v>
      </c>
      <c r="AC58" s="230">
        <f>'АЗ АСУТП'!O58</f>
        <v>2</v>
      </c>
      <c r="AD58" s="230">
        <f>'АЗ АСУТП'!S58</f>
        <v>2</v>
      </c>
      <c r="AE58" s="230">
        <f>'АЗ АСУТП'!W58</f>
        <v>2</v>
      </c>
      <c r="AF58" s="230">
        <f>'РК АСУТП'!G58</f>
        <v>2</v>
      </c>
      <c r="AG58" s="230">
        <f>'РК АСУТП'!K58</f>
        <v>2</v>
      </c>
      <c r="AH58" s="230">
        <f>'IDS АСУТП'!G58</f>
        <v>4</v>
      </c>
      <c r="AI58" s="230">
        <f>'IDS АСУТП'!K58</f>
        <v>4</v>
      </c>
      <c r="AJ58" s="230">
        <f>'IDS АСУТП'!O58</f>
        <v>4</v>
      </c>
      <c r="AK58" s="230">
        <f>'АПМДЗ АСУТП'!G58</f>
        <v>0.4</v>
      </c>
      <c r="AL58" s="230">
        <f>'АПМДЗ АСУТП'!K58</f>
        <v>0.4</v>
      </c>
      <c r="AM58" s="230">
        <f>'НСД АСУТП'!G58</f>
        <v>0.4</v>
      </c>
      <c r="AN58" s="230">
        <f>'НСД АСУТП'!K58</f>
        <v>0.4</v>
      </c>
      <c r="AO58" s="230">
        <f>'НСД АСУТП'!O58</f>
        <v>0.4</v>
      </c>
      <c r="AP58" s="230">
        <f>'MFA АСУТП'!G58</f>
        <v>4</v>
      </c>
      <c r="AQ58" s="230">
        <f>'MFA АСУТП'!K58</f>
        <v>4</v>
      </c>
      <c r="AR58" s="230">
        <f>'MFA АСУТП'!O58</f>
        <v>4</v>
      </c>
      <c r="AS58" s="230">
        <f>'MFA АСУТП'!S58</f>
        <v>4</v>
      </c>
      <c r="AT58" s="230">
        <f>'ДИОД АСУТП'!G58</f>
        <v>0</v>
      </c>
      <c r="AU58" s="230">
        <f>'ДИОД АСУТП'!K58</f>
        <v>0</v>
      </c>
      <c r="AV58" s="230">
        <f>'ДИОД АСУТП'!O58</f>
        <v>0</v>
      </c>
      <c r="AW58" s="230">
        <f>'ДИОД АСУТП'!S58</f>
        <v>0</v>
      </c>
      <c r="AX58" s="230">
        <f>'СЗВ АСУТП'!G58</f>
        <v>4</v>
      </c>
      <c r="AY58" s="230">
        <f>'СЗВ АСУТП'!K58</f>
        <v>4</v>
      </c>
      <c r="AZ58" s="230">
        <f>'СЗВ АСУТП'!O58</f>
        <v>4</v>
      </c>
      <c r="BA58" s="230">
        <f>'SOAR АСУТП'!G58</f>
        <v>4.5</v>
      </c>
      <c r="BB58" s="230">
        <f>'SOAR АСУТП'!K58</f>
        <v>4.5</v>
      </c>
      <c r="BC58" s="230">
        <f>'SOAR АСУТП'!O58</f>
        <v>4.5</v>
      </c>
      <c r="BD58" s="230" t="e">
        <f>'SOAR АСУТП'!#REF!</f>
        <v>#REF!</v>
      </c>
      <c r="BE58" s="230">
        <f>'VDI АСУТП'!G58</f>
        <v>4</v>
      </c>
      <c r="BF58" s="230">
        <f>'VDI АСУТП'!K58</f>
        <v>4</v>
      </c>
      <c r="BG58" s="230">
        <f>'VDI АСУТП'!O58</f>
        <v>4</v>
      </c>
      <c r="BH58" s="230">
        <f>'VDI АСУТП'!S58</f>
        <v>4</v>
      </c>
      <c r="BI58" s="230">
        <f>'VDI АСУТП'!W58</f>
        <v>4</v>
      </c>
      <c r="BJ58" s="316">
        <f>'СУБД АСУТП'!G58</f>
        <v>1</v>
      </c>
      <c r="BK58" s="316">
        <f>'СУБД АСУТП'!K58</f>
        <v>1</v>
      </c>
      <c r="BL58" s="316">
        <f>'ГОССОПКА АСУТП'!G58</f>
        <v>4</v>
      </c>
      <c r="BM58" s="316">
        <f>'ГОССОПКА АСУТП'!K58</f>
        <v>4</v>
      </c>
      <c r="BN58" s="316">
        <f>'TLS АСУТП'!G58</f>
        <v>6</v>
      </c>
      <c r="BO58" s="316">
        <f>'TLS АСУТП'!K58</f>
        <v>6</v>
      </c>
      <c r="BP58" s="316">
        <f>'DCAP АСУТП'!G58</f>
        <v>4</v>
      </c>
      <c r="BQ58" s="316">
        <f>'DCAP АСУТП'!K58</f>
        <v>4</v>
      </c>
      <c r="BR58" s="316">
        <f>'DCAP АСУТП'!O58</f>
        <v>4</v>
      </c>
      <c r="BS58" s="316">
        <f>'DO АСУТП'!G58</f>
        <v>4.5</v>
      </c>
      <c r="BT58" s="316">
        <f>'NTA АСУТП'!G58</f>
        <v>4</v>
      </c>
      <c r="BU58" s="316">
        <f>'NTA АСУТП'!K58</f>
        <v>4</v>
      </c>
      <c r="BV58" s="316">
        <f>'NTA АСУТП'!O58</f>
        <v>4</v>
      </c>
      <c r="BW58" s="316">
        <f>'NTA АСУТП'!S58</f>
        <v>4</v>
      </c>
      <c r="BX58" s="316">
        <f>'SEG АСУТП'!G58</f>
        <v>4</v>
      </c>
      <c r="BY58" s="316">
        <f>'APT АСУТП'!G58</f>
        <v>4</v>
      </c>
      <c r="BZ58" s="316">
        <f>'APT АСУТП'!K58</f>
        <v>4</v>
      </c>
      <c r="CA58" s="316">
        <f>'APT АСУТП'!O58</f>
        <v>4</v>
      </c>
      <c r="CB58" s="316">
        <f>'NAC АСУТП'!G58</f>
        <v>6</v>
      </c>
      <c r="CC58" s="316">
        <f>'SANDBOX АСУТП'!G58</f>
        <v>6</v>
      </c>
      <c r="CD58" s="316">
        <f>'SANDBOX АСУТП'!K58</f>
        <v>6</v>
      </c>
      <c r="CE58" s="316">
        <f>'EDR АСУТП'!G58</f>
        <v>2</v>
      </c>
      <c r="CF58" s="316">
        <f>'EDR АСУТП'!K58</f>
        <v>2</v>
      </c>
      <c r="CG58" s="316">
        <f>'WAF АСУТП'!G58</f>
        <v>6</v>
      </c>
      <c r="CH58" s="316">
        <f>'WAF АСУТП'!K58</f>
        <v>6</v>
      </c>
      <c r="CI58" s="316">
        <f>'WAF АСУТП'!O58</f>
        <v>6</v>
      </c>
      <c r="CJ58" s="316">
        <f>'ВМ ЗСВ'!G58</f>
        <v>4</v>
      </c>
      <c r="CK58" s="316">
        <f>'ВМ ЗСВ'!K58</f>
        <v>4</v>
      </c>
      <c r="CL58" s="316">
        <f>'ВМ ЗСВ'!O58</f>
        <v>4</v>
      </c>
      <c r="CM58" s="316">
        <f>'ВМ ЗСВ'!S58</f>
        <v>4</v>
      </c>
      <c r="CN58" s="316">
        <f>'ВМ ЗСВ'!W58</f>
        <v>4</v>
      </c>
      <c r="CO58" s="316">
        <f>'ВМ ЗСВ'!AA58</f>
        <v>4</v>
      </c>
      <c r="CP58" s="316">
        <f>'ВМ СПО'!G58</f>
        <v>1</v>
      </c>
      <c r="CQ58" s="316">
        <f>'ВМ СПО'!K58</f>
        <v>1</v>
      </c>
      <c r="CR58" s="316">
        <f>'ВМ СПО'!O58</f>
        <v>1</v>
      </c>
      <c r="CS58" s="316">
        <f>'ВМ СПО'!S58</f>
        <v>1</v>
      </c>
      <c r="CT58" s="316">
        <f>'ВМ АСО'!G58</f>
        <v>0</v>
      </c>
      <c r="CU58" s="316">
        <f>'ВМ АСО'!K58</f>
        <v>0</v>
      </c>
      <c r="CV58" s="316" t="e">
        <f t="shared" si="62"/>
        <v>#REF!</v>
      </c>
      <c r="CW58" s="25">
        <f t="shared" si="63"/>
        <v>3</v>
      </c>
      <c r="CX58" s="25">
        <f t="shared" si="64"/>
        <v>5</v>
      </c>
      <c r="CY58" s="25">
        <f t="shared" si="65"/>
        <v>0</v>
      </c>
      <c r="CZ58" s="25">
        <f t="shared" si="66"/>
        <v>0</v>
      </c>
      <c r="DA58" s="25">
        <f t="shared" si="67"/>
        <v>0</v>
      </c>
      <c r="DB58" s="25">
        <f t="shared" si="68"/>
        <v>0</v>
      </c>
      <c r="DC58" s="25">
        <f t="shared" si="69"/>
        <v>0</v>
      </c>
      <c r="DD58" s="25">
        <f t="shared" si="70"/>
        <v>0</v>
      </c>
      <c r="DE58" s="25">
        <f t="shared" si="71"/>
        <v>0</v>
      </c>
      <c r="DF58" s="25">
        <f t="shared" si="72"/>
        <v>0</v>
      </c>
      <c r="DG58" s="25">
        <f t="shared" si="73"/>
        <v>0</v>
      </c>
      <c r="DH58" s="25">
        <f t="shared" si="74"/>
        <v>0</v>
      </c>
      <c r="DI58" s="25">
        <f t="shared" si="75"/>
        <v>0</v>
      </c>
      <c r="DJ58" s="25" t="e">
        <f t="shared" si="76"/>
        <v>#REF!</v>
      </c>
      <c r="DK58" s="25">
        <f t="shared" si="77"/>
        <v>0</v>
      </c>
      <c r="DL58" s="25">
        <f t="shared" si="78"/>
        <v>0</v>
      </c>
      <c r="DM58" s="25">
        <f t="shared" si="79"/>
        <v>0</v>
      </c>
      <c r="DN58" s="25">
        <f t="shared" si="80"/>
        <v>0</v>
      </c>
      <c r="DO58" s="25">
        <f t="shared" si="81"/>
        <v>0</v>
      </c>
      <c r="DP58" s="25">
        <f t="shared" si="82"/>
        <v>0</v>
      </c>
      <c r="DQ58" s="25">
        <f t="shared" si="83"/>
        <v>0</v>
      </c>
      <c r="DR58" s="25">
        <f t="shared" si="84"/>
        <v>0</v>
      </c>
      <c r="DS58" s="25">
        <f t="shared" si="85"/>
        <v>0</v>
      </c>
      <c r="DT58" s="25">
        <f t="shared" si="86"/>
        <v>0</v>
      </c>
      <c r="DU58" s="25">
        <f t="shared" si="87"/>
        <v>0</v>
      </c>
      <c r="DV58" s="21">
        <f t="shared" si="88"/>
        <v>0</v>
      </c>
      <c r="DW58" s="317">
        <f t="shared" si="89"/>
        <v>0</v>
      </c>
      <c r="DX58" s="317">
        <f t="shared" si="90"/>
        <v>0</v>
      </c>
      <c r="DY58" s="317">
        <f t="shared" si="91"/>
        <v>0</v>
      </c>
      <c r="DZ58" s="230">
        <f t="shared" si="92"/>
        <v>0</v>
      </c>
    </row>
    <row r="59" spans="1:130" ht="15" customHeight="1" x14ac:dyDescent="0.25">
      <c r="A59" s="1908"/>
      <c r="B59" s="1916"/>
      <c r="C59" s="103" t="s">
        <v>34</v>
      </c>
      <c r="D59" s="21"/>
      <c r="E59" s="316">
        <f>'АВЗ АСУТП'!G59</f>
        <v>5</v>
      </c>
      <c r="F59" s="316">
        <f>'АВЗ АСУТП'!K59</f>
        <v>5</v>
      </c>
      <c r="G59" s="316">
        <f>'АВЗ АСУТП'!O59</f>
        <v>5</v>
      </c>
      <c r="H59" s="230">
        <f>'АВЗ АСУТП'!S59</f>
        <v>5</v>
      </c>
      <c r="I59" s="316">
        <f>'АВЗ АСУТП'!W59</f>
        <v>5</v>
      </c>
      <c r="J59" s="230">
        <f>'АВЗ АСУТП'!AA59</f>
        <v>5</v>
      </c>
      <c r="K59" s="230">
        <f>'АВЗ АСУТП'!AE59</f>
        <v>5</v>
      </c>
      <c r="L59" s="230">
        <f>'АВЗ АСУТП'!AI59</f>
        <v>5</v>
      </c>
      <c r="M59" s="230">
        <f>'SIEM АСУТП'!G59</f>
        <v>7</v>
      </c>
      <c r="N59" s="230">
        <f>'SIEM АСУТП'!K59</f>
        <v>7</v>
      </c>
      <c r="O59" s="230">
        <f>'МСЭ АСУТП'!G59</f>
        <v>7</v>
      </c>
      <c r="P59" s="317">
        <f>'МСЭ АСУТП'!K59</f>
        <v>7</v>
      </c>
      <c r="Q59" s="230">
        <f>'МСЭ АСУТП'!O59</f>
        <v>7</v>
      </c>
      <c r="R59" s="230">
        <f>'МСЭ АСУТП'!S59</f>
        <v>7</v>
      </c>
      <c r="S59" s="230">
        <f>'PAM АСУТП'!G59</f>
        <v>6</v>
      </c>
      <c r="T59" s="230">
        <f>'PAM АСУТП'!K59</f>
        <v>6</v>
      </c>
      <c r="U59" s="230">
        <f>'PAM АСУТП'!O59</f>
        <v>6</v>
      </c>
      <c r="V59" s="230">
        <f>'СКЗИ АСУТП'!G59</f>
        <v>8</v>
      </c>
      <c r="W59" s="230">
        <f>'СКЗИ АСУТП'!K59</f>
        <v>8</v>
      </c>
      <c r="X59" s="230">
        <f>'СКЗИ АСУТП'!O59</f>
        <v>8</v>
      </c>
      <c r="Y59" s="230">
        <f>'СКЗИ АСУТП'!S59</f>
        <v>8</v>
      </c>
      <c r="Z59" s="230">
        <f>'СКЗИ АСУТП'!W59</f>
        <v>8</v>
      </c>
      <c r="AA59" s="230">
        <f>'АЗ АСУТП'!G59</f>
        <v>4</v>
      </c>
      <c r="AB59" s="230">
        <f>'АЗ АСУТП'!K59</f>
        <v>4</v>
      </c>
      <c r="AC59" s="230">
        <f>'АЗ АСУТП'!O59</f>
        <v>4</v>
      </c>
      <c r="AD59" s="230">
        <f>'АЗ АСУТП'!S59</f>
        <v>4</v>
      </c>
      <c r="AE59" s="230">
        <f>'АЗ АСУТП'!W59</f>
        <v>4</v>
      </c>
      <c r="AF59" s="230">
        <f>'РК АСУТП'!G59</f>
        <v>4</v>
      </c>
      <c r="AG59" s="230">
        <f>'РК АСУТП'!K59</f>
        <v>4</v>
      </c>
      <c r="AH59" s="230">
        <f>'IDS АСУТП'!G59</f>
        <v>6</v>
      </c>
      <c r="AI59" s="230">
        <f>'IDS АСУТП'!K59</f>
        <v>6</v>
      </c>
      <c r="AJ59" s="230">
        <f>'IDS АСУТП'!O59</f>
        <v>6</v>
      </c>
      <c r="AK59" s="230">
        <f>'АПМДЗ АСУТП'!G59</f>
        <v>0.60000000000000009</v>
      </c>
      <c r="AL59" s="230">
        <f>'АПМДЗ АСУТП'!K59</f>
        <v>0.60000000000000009</v>
      </c>
      <c r="AM59" s="230">
        <f>'НСД АСУТП'!G59</f>
        <v>0.60000000000000009</v>
      </c>
      <c r="AN59" s="230">
        <f>'НСД АСУТП'!K59</f>
        <v>0.60000000000000009</v>
      </c>
      <c r="AO59" s="230">
        <f>'НСД АСУТП'!O59</f>
        <v>0.60000000000000009</v>
      </c>
      <c r="AP59" s="230">
        <f>'MFA АСУТП'!G59</f>
        <v>6</v>
      </c>
      <c r="AQ59" s="230">
        <f>'MFA АСУТП'!K59</f>
        <v>6</v>
      </c>
      <c r="AR59" s="230">
        <f>'MFA АСУТП'!O59</f>
        <v>6</v>
      </c>
      <c r="AS59" s="230">
        <f>'MFA АСУТП'!S59</f>
        <v>6</v>
      </c>
      <c r="AT59" s="230">
        <f>'ДИОД АСУТП'!G59</f>
        <v>0</v>
      </c>
      <c r="AU59" s="230">
        <f>'ДИОД АСУТП'!K59</f>
        <v>0</v>
      </c>
      <c r="AV59" s="230">
        <f>'ДИОД АСУТП'!O59</f>
        <v>0</v>
      </c>
      <c r="AW59" s="230">
        <f>'ДИОД АСУТП'!S59</f>
        <v>0</v>
      </c>
      <c r="AX59" s="230">
        <f>'СЗВ АСУТП'!G59</f>
        <v>6</v>
      </c>
      <c r="AY59" s="230">
        <f>'СЗВ АСУТП'!K59</f>
        <v>6</v>
      </c>
      <c r="AZ59" s="230">
        <f>'СЗВ АСУТП'!O59</f>
        <v>6</v>
      </c>
      <c r="BA59" s="230">
        <f>'SOAR АСУТП'!G59</f>
        <v>6.5</v>
      </c>
      <c r="BB59" s="230">
        <f>'SOAR АСУТП'!K59</f>
        <v>6.5</v>
      </c>
      <c r="BC59" s="230">
        <f>'SOAR АСУТП'!O59</f>
        <v>6.5</v>
      </c>
      <c r="BD59" s="230" t="e">
        <f>'SOAR АСУТП'!#REF!</f>
        <v>#REF!</v>
      </c>
      <c r="BE59" s="230">
        <f>'VDI АСУТП'!G59</f>
        <v>6</v>
      </c>
      <c r="BF59" s="230">
        <f>'VDI АСУТП'!K59</f>
        <v>6</v>
      </c>
      <c r="BG59" s="230">
        <f>'VDI АСУТП'!O59</f>
        <v>6</v>
      </c>
      <c r="BH59" s="230">
        <f>'VDI АСУТП'!S59</f>
        <v>6</v>
      </c>
      <c r="BI59" s="230">
        <f>'VDI АСУТП'!W59</f>
        <v>6</v>
      </c>
      <c r="BJ59" s="316">
        <f>'СУБД АСУТП'!G59</f>
        <v>2</v>
      </c>
      <c r="BK59" s="316">
        <f>'СУБД АСУТП'!K59</f>
        <v>2</v>
      </c>
      <c r="BL59" s="316">
        <f>'ГОССОПКА АСУТП'!G59</f>
        <v>6</v>
      </c>
      <c r="BM59" s="316">
        <f>'ГОССОПКА АСУТП'!K59</f>
        <v>6</v>
      </c>
      <c r="BN59" s="316">
        <f>'TLS АСУТП'!G59</f>
        <v>8</v>
      </c>
      <c r="BO59" s="316">
        <f>'TLS АСУТП'!K59</f>
        <v>8</v>
      </c>
      <c r="BP59" s="316">
        <f>'DCAP АСУТП'!G59</f>
        <v>6</v>
      </c>
      <c r="BQ59" s="316">
        <f>'DCAP АСУТП'!K59</f>
        <v>6</v>
      </c>
      <c r="BR59" s="316">
        <f>'DCAP АСУТП'!O59</f>
        <v>6</v>
      </c>
      <c r="BS59" s="316">
        <f>'DO АСУТП'!G59</f>
        <v>6.5</v>
      </c>
      <c r="BT59" s="316">
        <f>'NTA АСУТП'!G59</f>
        <v>6</v>
      </c>
      <c r="BU59" s="316">
        <f>'NTA АСУТП'!K59</f>
        <v>6</v>
      </c>
      <c r="BV59" s="316">
        <f>'NTA АСУТП'!O59</f>
        <v>6</v>
      </c>
      <c r="BW59" s="316">
        <f>'NTA АСУТП'!S59</f>
        <v>6</v>
      </c>
      <c r="BX59" s="316">
        <f>'SEG АСУТП'!G59</f>
        <v>6</v>
      </c>
      <c r="BY59" s="316">
        <f>'APT АСУТП'!G59</f>
        <v>6</v>
      </c>
      <c r="BZ59" s="316">
        <f>'APT АСУТП'!K59</f>
        <v>6</v>
      </c>
      <c r="CA59" s="316">
        <f>'APT АСУТП'!O59</f>
        <v>6</v>
      </c>
      <c r="CB59" s="316">
        <f>'NAC АСУТП'!G59</f>
        <v>8</v>
      </c>
      <c r="CC59" s="316">
        <f>'SANDBOX АСУТП'!G59</f>
        <v>8</v>
      </c>
      <c r="CD59" s="316">
        <f>'SANDBOX АСУТП'!K59</f>
        <v>8</v>
      </c>
      <c r="CE59" s="316">
        <f>'EDR АСУТП'!G59</f>
        <v>4</v>
      </c>
      <c r="CF59" s="316">
        <f>'EDR АСУТП'!K59</f>
        <v>4</v>
      </c>
      <c r="CG59" s="316">
        <f>'WAF АСУТП'!G59</f>
        <v>8</v>
      </c>
      <c r="CH59" s="316">
        <f>'WAF АСУТП'!K59</f>
        <v>8</v>
      </c>
      <c r="CI59" s="316">
        <f>'WAF АСУТП'!O59</f>
        <v>8</v>
      </c>
      <c r="CJ59" s="316">
        <f>'ВМ ЗСВ'!G59</f>
        <v>6</v>
      </c>
      <c r="CK59" s="316">
        <f>'ВМ ЗСВ'!K59</f>
        <v>6</v>
      </c>
      <c r="CL59" s="316">
        <f>'ВМ ЗСВ'!O59</f>
        <v>6</v>
      </c>
      <c r="CM59" s="316">
        <f>'ВМ ЗСВ'!S59</f>
        <v>6</v>
      </c>
      <c r="CN59" s="316">
        <f>'ВМ ЗСВ'!W59</f>
        <v>6</v>
      </c>
      <c r="CO59" s="316">
        <f>'ВМ ЗСВ'!AA59</f>
        <v>6</v>
      </c>
      <c r="CP59" s="316">
        <f>'ВМ СПО'!G59</f>
        <v>2</v>
      </c>
      <c r="CQ59" s="316">
        <f>'ВМ СПО'!K59</f>
        <v>2</v>
      </c>
      <c r="CR59" s="316">
        <f>'ВМ СПО'!O59</f>
        <v>2</v>
      </c>
      <c r="CS59" s="316">
        <f>'ВМ СПО'!S59</f>
        <v>2</v>
      </c>
      <c r="CT59" s="316">
        <f>'ВМ АСО'!G59</f>
        <v>0</v>
      </c>
      <c r="CU59" s="316">
        <f>'ВМ АСО'!K59</f>
        <v>0</v>
      </c>
      <c r="CV59" s="316" t="e">
        <f t="shared" si="62"/>
        <v>#REF!</v>
      </c>
      <c r="CW59" s="25">
        <f t="shared" si="63"/>
        <v>5</v>
      </c>
      <c r="CX59" s="25">
        <f t="shared" si="64"/>
        <v>7</v>
      </c>
      <c r="CY59" s="25">
        <f t="shared" si="65"/>
        <v>0</v>
      </c>
      <c r="CZ59" s="25">
        <f t="shared" si="66"/>
        <v>0</v>
      </c>
      <c r="DA59" s="25">
        <f t="shared" si="67"/>
        <v>0</v>
      </c>
      <c r="DB59" s="25">
        <f t="shared" si="68"/>
        <v>0</v>
      </c>
      <c r="DC59" s="25">
        <f t="shared" si="69"/>
        <v>0</v>
      </c>
      <c r="DD59" s="25">
        <f t="shared" si="70"/>
        <v>0</v>
      </c>
      <c r="DE59" s="25">
        <f t="shared" si="71"/>
        <v>0</v>
      </c>
      <c r="DF59" s="25">
        <f t="shared" si="72"/>
        <v>0</v>
      </c>
      <c r="DG59" s="25">
        <f t="shared" si="73"/>
        <v>0</v>
      </c>
      <c r="DH59" s="25">
        <f t="shared" si="74"/>
        <v>0</v>
      </c>
      <c r="DI59" s="25">
        <f t="shared" si="75"/>
        <v>0</v>
      </c>
      <c r="DJ59" s="25" t="e">
        <f t="shared" si="76"/>
        <v>#REF!</v>
      </c>
      <c r="DK59" s="25">
        <f t="shared" si="77"/>
        <v>0</v>
      </c>
      <c r="DL59" s="25">
        <f t="shared" si="78"/>
        <v>0</v>
      </c>
      <c r="DM59" s="25">
        <f t="shared" si="79"/>
        <v>0</v>
      </c>
      <c r="DN59" s="25">
        <f t="shared" si="80"/>
        <v>0</v>
      </c>
      <c r="DO59" s="25">
        <f t="shared" si="81"/>
        <v>0</v>
      </c>
      <c r="DP59" s="25">
        <f t="shared" si="82"/>
        <v>0</v>
      </c>
      <c r="DQ59" s="25">
        <f t="shared" si="83"/>
        <v>0</v>
      </c>
      <c r="DR59" s="25">
        <f t="shared" si="84"/>
        <v>0</v>
      </c>
      <c r="DS59" s="25">
        <f t="shared" si="85"/>
        <v>0</v>
      </c>
      <c r="DT59" s="25">
        <f t="shared" si="86"/>
        <v>0</v>
      </c>
      <c r="DU59" s="25">
        <f t="shared" si="87"/>
        <v>0</v>
      </c>
      <c r="DV59" s="21">
        <f t="shared" si="88"/>
        <v>0</v>
      </c>
      <c r="DW59" s="317">
        <f t="shared" si="89"/>
        <v>0</v>
      </c>
      <c r="DX59" s="317">
        <f t="shared" si="90"/>
        <v>0</v>
      </c>
      <c r="DY59" s="317">
        <f t="shared" si="91"/>
        <v>0</v>
      </c>
      <c r="DZ59" s="230">
        <f t="shared" si="92"/>
        <v>0</v>
      </c>
    </row>
    <row r="60" spans="1:130" ht="15" customHeight="1" x14ac:dyDescent="0.25">
      <c r="A60" s="1908" t="s">
        <v>20</v>
      </c>
      <c r="B60" s="1916">
        <f>IF('Тип разраб-ой док-ции'!F25=1,1,0)</f>
        <v>1</v>
      </c>
      <c r="C60" s="103" t="s">
        <v>32</v>
      </c>
      <c r="D60" s="21"/>
      <c r="E60" s="316">
        <f>'АВЗ АСУТП'!G60</f>
        <v>7</v>
      </c>
      <c r="F60" s="316">
        <f>'АВЗ АСУТП'!K60</f>
        <v>7</v>
      </c>
      <c r="G60" s="316">
        <f>'АВЗ АСУТП'!O60</f>
        <v>7</v>
      </c>
      <c r="H60" s="230">
        <f>'АВЗ АСУТП'!S60</f>
        <v>7</v>
      </c>
      <c r="I60" s="316">
        <f>'АВЗ АСУТП'!W60</f>
        <v>7</v>
      </c>
      <c r="J60" s="230">
        <f>'АВЗ АСУТП'!AA60</f>
        <v>7</v>
      </c>
      <c r="K60" s="230">
        <f>'АВЗ АСУТП'!AE60</f>
        <v>7</v>
      </c>
      <c r="L60" s="230">
        <f>'АВЗ АСУТП'!AI60</f>
        <v>7</v>
      </c>
      <c r="M60" s="230">
        <f>'SIEM АСУТП'!G60</f>
        <v>6</v>
      </c>
      <c r="N60" s="230">
        <f>'SIEM АСУТП'!K60</f>
        <v>6</v>
      </c>
      <c r="O60" s="230">
        <f>'МСЭ АСУТП'!G60</f>
        <v>11</v>
      </c>
      <c r="P60" s="317">
        <f>'МСЭ АСУТП'!K60</f>
        <v>11</v>
      </c>
      <c r="Q60" s="230">
        <f>'МСЭ АСУТП'!O60</f>
        <v>11</v>
      </c>
      <c r="R60" s="230">
        <f>'МСЭ АСУТП'!S60</f>
        <v>11</v>
      </c>
      <c r="S60" s="230">
        <f>'PAM АСУТП'!G60</f>
        <v>10</v>
      </c>
      <c r="T60" s="230">
        <f>'PAM АСУТП'!K60</f>
        <v>10</v>
      </c>
      <c r="U60" s="230">
        <f>'PAM АСУТП'!O60</f>
        <v>10</v>
      </c>
      <c r="V60" s="230">
        <f>'СКЗИ АСУТП'!G60</f>
        <v>0</v>
      </c>
      <c r="W60" s="230">
        <f>'СКЗИ АСУТП'!K60</f>
        <v>0</v>
      </c>
      <c r="X60" s="230">
        <f>'СКЗИ АСУТП'!O60</f>
        <v>0</v>
      </c>
      <c r="Y60" s="230">
        <f>'СКЗИ АСУТП'!S60</f>
        <v>0</v>
      </c>
      <c r="Z60" s="230">
        <f>'СКЗИ АСУТП'!W60</f>
        <v>0</v>
      </c>
      <c r="AA60" s="230">
        <f>'АЗ АСУТП'!G60</f>
        <v>6</v>
      </c>
      <c r="AB60" s="230">
        <f>'АЗ АСУТП'!K60</f>
        <v>6</v>
      </c>
      <c r="AC60" s="230">
        <f>'АЗ АСУТП'!O60</f>
        <v>6</v>
      </c>
      <c r="AD60" s="230">
        <f>'АЗ АСУТП'!S60</f>
        <v>6</v>
      </c>
      <c r="AE60" s="230">
        <f>'АЗ АСУТП'!W60</f>
        <v>6</v>
      </c>
      <c r="AF60" s="230">
        <f>'РК АСУТП'!G60</f>
        <v>3</v>
      </c>
      <c r="AG60" s="230">
        <f>'РК АСУТП'!K60</f>
        <v>3</v>
      </c>
      <c r="AH60" s="230">
        <f>'IDS АСУТП'!G60</f>
        <v>8</v>
      </c>
      <c r="AI60" s="230">
        <f>'IDS АСУТП'!K60</f>
        <v>8</v>
      </c>
      <c r="AJ60" s="230">
        <f>'IDS АСУТП'!O60</f>
        <v>8</v>
      </c>
      <c r="AK60" s="230">
        <f>'АПМДЗ АСУТП'!G60</f>
        <v>1.2800000000000002</v>
      </c>
      <c r="AL60" s="230">
        <f>'АПМДЗ АСУТП'!K60</f>
        <v>1.2800000000000002</v>
      </c>
      <c r="AM60" s="230">
        <f>'НСД АСУТП'!G60</f>
        <v>1.2800000000000002</v>
      </c>
      <c r="AN60" s="230">
        <f>'НСД АСУТП'!K60</f>
        <v>1.2800000000000002</v>
      </c>
      <c r="AO60" s="230">
        <f>'НСД АСУТП'!O60</f>
        <v>1.2800000000000002</v>
      </c>
      <c r="AP60" s="230">
        <f>'MFA АСУТП'!G60</f>
        <v>8</v>
      </c>
      <c r="AQ60" s="230">
        <f>'MFA АСУТП'!K60</f>
        <v>8</v>
      </c>
      <c r="AR60" s="230">
        <f>'MFA АСУТП'!O60</f>
        <v>8</v>
      </c>
      <c r="AS60" s="230">
        <f>'MFA АСУТП'!S60</f>
        <v>8</v>
      </c>
      <c r="AT60" s="230">
        <f>'ДИОД АСУТП'!G60</f>
        <v>2</v>
      </c>
      <c r="AU60" s="230">
        <f>'ДИОД АСУТП'!K60</f>
        <v>2</v>
      </c>
      <c r="AV60" s="230">
        <f>'ДИОД АСУТП'!O60</f>
        <v>2</v>
      </c>
      <c r="AW60" s="230">
        <f>'ДИОД АСУТП'!S60</f>
        <v>2</v>
      </c>
      <c r="AX60" s="230">
        <f>'СЗВ АСУТП'!G60</f>
        <v>8</v>
      </c>
      <c r="AY60" s="230">
        <f>'СЗВ АСУТП'!K60</f>
        <v>8</v>
      </c>
      <c r="AZ60" s="230">
        <f>'СЗВ АСУТП'!O60</f>
        <v>8</v>
      </c>
      <c r="BA60" s="230">
        <f>'SOAR АСУТП'!G60</f>
        <v>4</v>
      </c>
      <c r="BB60" s="230">
        <f>'SOAR АСУТП'!K60</f>
        <v>4</v>
      </c>
      <c r="BC60" s="230">
        <f>'SOAR АСУТП'!O60</f>
        <v>4</v>
      </c>
      <c r="BD60" s="230" t="e">
        <f>'SOAR АСУТП'!#REF!</f>
        <v>#REF!</v>
      </c>
      <c r="BE60" s="230">
        <f>'VDI АСУТП'!G60</f>
        <v>4</v>
      </c>
      <c r="BF60" s="230">
        <f>'VDI АСУТП'!K60</f>
        <v>4</v>
      </c>
      <c r="BG60" s="230">
        <f>'VDI АСУТП'!O60</f>
        <v>4</v>
      </c>
      <c r="BH60" s="230">
        <f>'VDI АСУТП'!S60</f>
        <v>4</v>
      </c>
      <c r="BI60" s="230">
        <f>'VDI АСУТП'!W60</f>
        <v>4</v>
      </c>
      <c r="BJ60" s="316">
        <f>'СУБД АСУТП'!G60</f>
        <v>8</v>
      </c>
      <c r="BK60" s="316">
        <f>'СУБД АСУТП'!K60</f>
        <v>8</v>
      </c>
      <c r="BL60" s="316">
        <f>'ГОССОПКА АСУТП'!G60</f>
        <v>8</v>
      </c>
      <c r="BM60" s="316">
        <f>'ГОССОПКА АСУТП'!K60</f>
        <v>8</v>
      </c>
      <c r="BN60" s="316">
        <f>'TLS АСУТП'!G60</f>
        <v>8</v>
      </c>
      <c r="BO60" s="316">
        <f>'TLS АСУТП'!K60</f>
        <v>8</v>
      </c>
      <c r="BP60" s="316">
        <f>'DCAP АСУТП'!G60</f>
        <v>8</v>
      </c>
      <c r="BQ60" s="316">
        <f>'DCAP АСУТП'!K60</f>
        <v>8</v>
      </c>
      <c r="BR60" s="316">
        <f>'DCAP АСУТП'!O60</f>
        <v>8</v>
      </c>
      <c r="BS60" s="316">
        <f>'DO АСУТП'!G60</f>
        <v>8</v>
      </c>
      <c r="BT60" s="316">
        <f>'NTA АСУТП'!G60</f>
        <v>8</v>
      </c>
      <c r="BU60" s="316">
        <f>'NTA АСУТП'!K60</f>
        <v>8</v>
      </c>
      <c r="BV60" s="316">
        <f>'NTA АСУТП'!O60</f>
        <v>16</v>
      </c>
      <c r="BW60" s="316">
        <f>'NTA АСУТП'!S60</f>
        <v>8</v>
      </c>
      <c r="BX60" s="316">
        <f>'SEG АСУТП'!G60</f>
        <v>8</v>
      </c>
      <c r="BY60" s="316">
        <f>'APT АСУТП'!G60</f>
        <v>16</v>
      </c>
      <c r="BZ60" s="316">
        <f>'APT АСУТП'!K60</f>
        <v>16</v>
      </c>
      <c r="CA60" s="316">
        <f>'APT АСУТП'!O60</f>
        <v>16</v>
      </c>
      <c r="CB60" s="316">
        <f>'NAC АСУТП'!G60</f>
        <v>6</v>
      </c>
      <c r="CC60" s="316">
        <f>'SANDBOX АСУТП'!G60</f>
        <v>6</v>
      </c>
      <c r="CD60" s="316">
        <f>'SANDBOX АСУТП'!K60</f>
        <v>6</v>
      </c>
      <c r="CE60" s="316">
        <f>'EDR АСУТП'!G60</f>
        <v>4</v>
      </c>
      <c r="CF60" s="316">
        <f>'EDR АСУТП'!K60</f>
        <v>4</v>
      </c>
      <c r="CG60" s="316">
        <f>'WAF АСУТП'!G60</f>
        <v>6</v>
      </c>
      <c r="CH60" s="316">
        <f>'WAF АСУТП'!K60</f>
        <v>6</v>
      </c>
      <c r="CI60" s="316">
        <f>'WAF АСУТП'!O60</f>
        <v>6</v>
      </c>
      <c r="CJ60" s="316">
        <f>'ВМ ЗСВ'!G60</f>
        <v>8</v>
      </c>
      <c r="CK60" s="316">
        <f>'ВМ ЗСВ'!K60</f>
        <v>8</v>
      </c>
      <c r="CL60" s="316">
        <f>'ВМ ЗСВ'!O60</f>
        <v>8</v>
      </c>
      <c r="CM60" s="316">
        <f>'ВМ ЗСВ'!S60</f>
        <v>8</v>
      </c>
      <c r="CN60" s="316">
        <f>'ВМ ЗСВ'!W60</f>
        <v>8</v>
      </c>
      <c r="CO60" s="316">
        <f>'ВМ ЗСВ'!AA60</f>
        <v>8</v>
      </c>
      <c r="CP60" s="316">
        <f>'ВМ СПО'!G60</f>
        <v>8</v>
      </c>
      <c r="CQ60" s="316">
        <f>'ВМ СПО'!K60</f>
        <v>8</v>
      </c>
      <c r="CR60" s="316">
        <f>'ВМ СПО'!O60</f>
        <v>10</v>
      </c>
      <c r="CS60" s="316">
        <f>'ВМ СПО'!S60</f>
        <v>10</v>
      </c>
      <c r="CT60" s="316">
        <f>'ВМ АСО'!G60</f>
        <v>8</v>
      </c>
      <c r="CU60" s="316">
        <f>'ВМ АСО'!K60</f>
        <v>10</v>
      </c>
      <c r="CV60" s="316" t="e">
        <f t="shared" si="62"/>
        <v>#REF!</v>
      </c>
      <c r="CW60" s="25">
        <f t="shared" si="63"/>
        <v>7</v>
      </c>
      <c r="CX60" s="25">
        <f t="shared" si="64"/>
        <v>6</v>
      </c>
      <c r="CY60" s="25">
        <f t="shared" si="65"/>
        <v>0</v>
      </c>
      <c r="CZ60" s="25">
        <f t="shared" si="66"/>
        <v>0</v>
      </c>
      <c r="DA60" s="25">
        <f t="shared" si="67"/>
        <v>0</v>
      </c>
      <c r="DB60" s="25">
        <f t="shared" si="68"/>
        <v>0</v>
      </c>
      <c r="DC60" s="25">
        <f t="shared" si="69"/>
        <v>0</v>
      </c>
      <c r="DD60" s="25">
        <f t="shared" si="70"/>
        <v>0</v>
      </c>
      <c r="DE60" s="25">
        <f t="shared" si="71"/>
        <v>0</v>
      </c>
      <c r="DF60" s="25">
        <f t="shared" si="72"/>
        <v>0</v>
      </c>
      <c r="DG60" s="25">
        <f t="shared" si="73"/>
        <v>0</v>
      </c>
      <c r="DH60" s="25">
        <f t="shared" si="74"/>
        <v>0</v>
      </c>
      <c r="DI60" s="25">
        <f t="shared" si="75"/>
        <v>0</v>
      </c>
      <c r="DJ60" s="25" t="e">
        <f t="shared" si="76"/>
        <v>#REF!</v>
      </c>
      <c r="DK60" s="25">
        <f t="shared" si="77"/>
        <v>0</v>
      </c>
      <c r="DL60" s="25">
        <f t="shared" si="78"/>
        <v>0</v>
      </c>
      <c r="DM60" s="25">
        <f t="shared" si="79"/>
        <v>0</v>
      </c>
      <c r="DN60" s="25">
        <f t="shared" si="80"/>
        <v>0</v>
      </c>
      <c r="DO60" s="25">
        <f t="shared" si="81"/>
        <v>0</v>
      </c>
      <c r="DP60" s="25">
        <f t="shared" si="82"/>
        <v>0</v>
      </c>
      <c r="DQ60" s="25">
        <f t="shared" si="83"/>
        <v>0</v>
      </c>
      <c r="DR60" s="25">
        <f t="shared" si="84"/>
        <v>0</v>
      </c>
      <c r="DS60" s="25">
        <f t="shared" si="85"/>
        <v>0</v>
      </c>
      <c r="DT60" s="25">
        <f t="shared" si="86"/>
        <v>0</v>
      </c>
      <c r="DU60" s="25">
        <f t="shared" si="87"/>
        <v>0</v>
      </c>
      <c r="DV60" s="21">
        <f t="shared" si="88"/>
        <v>0</v>
      </c>
      <c r="DW60" s="317">
        <f t="shared" si="89"/>
        <v>0</v>
      </c>
      <c r="DX60" s="317">
        <f t="shared" si="90"/>
        <v>0</v>
      </c>
      <c r="DY60" s="317">
        <f t="shared" si="91"/>
        <v>0</v>
      </c>
      <c r="DZ60" s="230">
        <f t="shared" si="92"/>
        <v>0</v>
      </c>
    </row>
    <row r="61" spans="1:130" ht="15" customHeight="1" x14ac:dyDescent="0.25">
      <c r="A61" s="1908"/>
      <c r="B61" s="1916"/>
      <c r="C61" s="103" t="s">
        <v>33</v>
      </c>
      <c r="D61" s="21"/>
      <c r="E61" s="316">
        <f>'АВЗ АСУТП'!G61</f>
        <v>1.5</v>
      </c>
      <c r="F61" s="316">
        <f>'АВЗ АСУТП'!K61</f>
        <v>1.5</v>
      </c>
      <c r="G61" s="316">
        <f>'АВЗ АСУТП'!O61</f>
        <v>1.5</v>
      </c>
      <c r="H61" s="230">
        <f>'АВЗ АСУТП'!S61</f>
        <v>1.5</v>
      </c>
      <c r="I61" s="316">
        <f>'АВЗ АСУТП'!W61</f>
        <v>1.5</v>
      </c>
      <c r="J61" s="230">
        <f>'АВЗ АСУТП'!AA61</f>
        <v>1.5</v>
      </c>
      <c r="K61" s="230">
        <f>'АВЗ АСУТП'!AE61</f>
        <v>1.5</v>
      </c>
      <c r="L61" s="230">
        <f>'АВЗ АСУТП'!AI61</f>
        <v>1.5</v>
      </c>
      <c r="M61" s="230">
        <f>'SIEM АСУТП'!G61</f>
        <v>2.5</v>
      </c>
      <c r="N61" s="230">
        <f>'SIEM АСУТП'!K61</f>
        <v>2.5</v>
      </c>
      <c r="O61" s="230">
        <f>'МСЭ АСУТП'!G61</f>
        <v>15.5</v>
      </c>
      <c r="P61" s="317">
        <f>'МСЭ АСУТП'!K61</f>
        <v>15.5</v>
      </c>
      <c r="Q61" s="230">
        <f>'МСЭ АСУТП'!O61</f>
        <v>15.5</v>
      </c>
      <c r="R61" s="230">
        <f>'МСЭ АСУТП'!S61</f>
        <v>15.5</v>
      </c>
      <c r="S61" s="230">
        <f>'PAM АСУТП'!G61</f>
        <v>12</v>
      </c>
      <c r="T61" s="230">
        <f>'PAM АСУТП'!K61</f>
        <v>12</v>
      </c>
      <c r="U61" s="230">
        <f>'PAM АСУТП'!O61</f>
        <v>12</v>
      </c>
      <c r="V61" s="230">
        <f>'СКЗИ АСУТП'!G61</f>
        <v>0</v>
      </c>
      <c r="W61" s="230">
        <f>'СКЗИ АСУТП'!K61</f>
        <v>0</v>
      </c>
      <c r="X61" s="230">
        <f>'СКЗИ АСУТП'!O61</f>
        <v>0</v>
      </c>
      <c r="Y61" s="230">
        <f>'СКЗИ АСУТП'!S61</f>
        <v>0</v>
      </c>
      <c r="Z61" s="230">
        <f>'СКЗИ АСУТП'!W61</f>
        <v>0</v>
      </c>
      <c r="AA61" s="230">
        <f>'АЗ АСУТП'!G61</f>
        <v>6</v>
      </c>
      <c r="AB61" s="230">
        <f>'АЗ АСУТП'!K61</f>
        <v>6</v>
      </c>
      <c r="AC61" s="230">
        <f>'АЗ АСУТП'!O61</f>
        <v>6</v>
      </c>
      <c r="AD61" s="230">
        <f>'АЗ АСУТП'!S61</f>
        <v>6</v>
      </c>
      <c r="AE61" s="230">
        <f>'АЗ АСУТП'!W61</f>
        <v>6</v>
      </c>
      <c r="AF61" s="230">
        <f>'РК АСУТП'!G61</f>
        <v>4</v>
      </c>
      <c r="AG61" s="230">
        <f>'РК АСУТП'!K61</f>
        <v>4</v>
      </c>
      <c r="AH61" s="230">
        <f>'IDS АСУТП'!G61</f>
        <v>16</v>
      </c>
      <c r="AI61" s="230">
        <f>'IDS АСУТП'!K61</f>
        <v>16</v>
      </c>
      <c r="AJ61" s="230">
        <f>'IDS АСУТП'!O61</f>
        <v>16</v>
      </c>
      <c r="AK61" s="230">
        <f>'АПМДЗ АСУТП'!G61</f>
        <v>1.6</v>
      </c>
      <c r="AL61" s="230">
        <f>'АПМДЗ АСУТП'!K61</f>
        <v>1.6</v>
      </c>
      <c r="AM61" s="230">
        <f>'НСД АСУТП'!G61</f>
        <v>1.6</v>
      </c>
      <c r="AN61" s="230">
        <f>'НСД АСУТП'!K61</f>
        <v>1.6</v>
      </c>
      <c r="AO61" s="230">
        <f>'НСД АСУТП'!O61</f>
        <v>1.6</v>
      </c>
      <c r="AP61" s="230">
        <f>'MFA АСУТП'!G61</f>
        <v>16</v>
      </c>
      <c r="AQ61" s="230">
        <f>'MFA АСУТП'!K61</f>
        <v>16</v>
      </c>
      <c r="AR61" s="230">
        <f>'MFA АСУТП'!O61</f>
        <v>16</v>
      </c>
      <c r="AS61" s="230">
        <f>'MFA АСУТП'!S61</f>
        <v>16</v>
      </c>
      <c r="AT61" s="230">
        <f>'ДИОД АСУТП'!G61</f>
        <v>4</v>
      </c>
      <c r="AU61" s="230">
        <f>'ДИОД АСУТП'!K61</f>
        <v>4</v>
      </c>
      <c r="AV61" s="230">
        <f>'ДИОД АСУТП'!O61</f>
        <v>4</v>
      </c>
      <c r="AW61" s="230">
        <f>'ДИОД АСУТП'!S61</f>
        <v>4</v>
      </c>
      <c r="AX61" s="230">
        <f>'СЗВ АСУТП'!G61</f>
        <v>10</v>
      </c>
      <c r="AY61" s="230">
        <f>'СЗВ АСУТП'!K61</f>
        <v>10</v>
      </c>
      <c r="AZ61" s="230">
        <f>'СЗВ АСУТП'!O61</f>
        <v>10</v>
      </c>
      <c r="BA61" s="230">
        <f>'SOAR АСУТП'!G61</f>
        <v>2</v>
      </c>
      <c r="BB61" s="230">
        <f>'SOAR АСУТП'!K61</f>
        <v>2</v>
      </c>
      <c r="BC61" s="230">
        <f>'SOAR АСУТП'!O61</f>
        <v>2</v>
      </c>
      <c r="BD61" s="230" t="e">
        <f>'SOAR АСУТП'!#REF!</f>
        <v>#REF!</v>
      </c>
      <c r="BE61" s="230">
        <f>'VDI АСУТП'!G61</f>
        <v>6</v>
      </c>
      <c r="BF61" s="230">
        <f>'VDI АСУТП'!K61</f>
        <v>6</v>
      </c>
      <c r="BG61" s="230">
        <f>'VDI АСУТП'!O61</f>
        <v>6</v>
      </c>
      <c r="BH61" s="230">
        <f>'VDI АСУТП'!S61</f>
        <v>6</v>
      </c>
      <c r="BI61" s="230">
        <f>'VDI АСУТП'!W61</f>
        <v>6</v>
      </c>
      <c r="BJ61" s="316">
        <f>'СУБД АСУТП'!G61</f>
        <v>2</v>
      </c>
      <c r="BK61" s="316">
        <f>'СУБД АСУТП'!K61</f>
        <v>2</v>
      </c>
      <c r="BL61" s="316">
        <f>'ГОССОПКА АСУТП'!G61</f>
        <v>16</v>
      </c>
      <c r="BM61" s="316">
        <f>'ГОССОПКА АСУТП'!K61</f>
        <v>16</v>
      </c>
      <c r="BN61" s="316">
        <f>'TLS АСУТП'!G61</f>
        <v>16</v>
      </c>
      <c r="BO61" s="316">
        <f>'TLS АСУТП'!K61</f>
        <v>16</v>
      </c>
      <c r="BP61" s="316">
        <f>'DCAP АСУТП'!G61</f>
        <v>10</v>
      </c>
      <c r="BQ61" s="316">
        <f>'DCAP АСУТП'!K61</f>
        <v>10</v>
      </c>
      <c r="BR61" s="316">
        <f>'DCAP АСУТП'!O61</f>
        <v>10</v>
      </c>
      <c r="BS61" s="316">
        <f>'DO АСУТП'!G61</f>
        <v>4.5</v>
      </c>
      <c r="BT61" s="316">
        <f>'NTA АСУТП'!G61</f>
        <v>10</v>
      </c>
      <c r="BU61" s="316">
        <f>'NTA АСУТП'!K61</f>
        <v>10</v>
      </c>
      <c r="BV61" s="316">
        <f>'NTA АСУТП'!O61</f>
        <v>32</v>
      </c>
      <c r="BW61" s="316">
        <f>'NTA АСУТП'!S61</f>
        <v>10</v>
      </c>
      <c r="BX61" s="316">
        <f>'SEG АСУТП'!G61</f>
        <v>10</v>
      </c>
      <c r="BY61" s="316">
        <f>'APT АСУТП'!G61</f>
        <v>32</v>
      </c>
      <c r="BZ61" s="316">
        <f>'APT АСУТП'!K61</f>
        <v>32</v>
      </c>
      <c r="CA61" s="316">
        <f>'APT АСУТП'!O61</f>
        <v>32</v>
      </c>
      <c r="CB61" s="316">
        <f>'NAC АСУТП'!G61</f>
        <v>12</v>
      </c>
      <c r="CC61" s="316">
        <f>'SANDBOX АСУТП'!G61</f>
        <v>12</v>
      </c>
      <c r="CD61" s="316">
        <f>'SANDBOX АСУТП'!K61</f>
        <v>12</v>
      </c>
      <c r="CE61" s="316">
        <f>'EDR АСУТП'!G61</f>
        <v>2</v>
      </c>
      <c r="CF61" s="316">
        <f>'EDR АСУТП'!K61</f>
        <v>2</v>
      </c>
      <c r="CG61" s="316">
        <f>'WAF АСУТП'!G61</f>
        <v>12</v>
      </c>
      <c r="CH61" s="316">
        <f>'WAF АСУТП'!K61</f>
        <v>12</v>
      </c>
      <c r="CI61" s="316">
        <f>'WAF АСУТП'!O61</f>
        <v>12</v>
      </c>
      <c r="CJ61" s="316">
        <f>'ВМ ЗСВ'!G61</f>
        <v>10</v>
      </c>
      <c r="CK61" s="316">
        <f>'ВМ ЗСВ'!K61</f>
        <v>10</v>
      </c>
      <c r="CL61" s="316">
        <f>'ВМ ЗСВ'!O61</f>
        <v>10</v>
      </c>
      <c r="CM61" s="316">
        <f>'ВМ ЗСВ'!S61</f>
        <v>10</v>
      </c>
      <c r="CN61" s="316">
        <f>'ВМ ЗСВ'!W61</f>
        <v>10</v>
      </c>
      <c r="CO61" s="316">
        <f>'ВМ ЗСВ'!AA61</f>
        <v>10</v>
      </c>
      <c r="CP61" s="316">
        <f>'ВМ СПО'!G61</f>
        <v>1</v>
      </c>
      <c r="CQ61" s="316">
        <f>'ВМ СПО'!K61</f>
        <v>1</v>
      </c>
      <c r="CR61" s="316">
        <f>'ВМ СПО'!O61</f>
        <v>4</v>
      </c>
      <c r="CS61" s="316">
        <f>'ВМ СПО'!S61</f>
        <v>4</v>
      </c>
      <c r="CT61" s="316">
        <f>'ВМ АСО'!G61</f>
        <v>12</v>
      </c>
      <c r="CU61" s="316">
        <f>'ВМ АСО'!K61</f>
        <v>14</v>
      </c>
      <c r="CV61" s="316" t="e">
        <f t="shared" si="62"/>
        <v>#REF!</v>
      </c>
      <c r="CW61" s="25">
        <f t="shared" si="63"/>
        <v>1.5</v>
      </c>
      <c r="CX61" s="25">
        <f t="shared" si="64"/>
        <v>2.5</v>
      </c>
      <c r="CY61" s="25">
        <f t="shared" si="65"/>
        <v>0</v>
      </c>
      <c r="CZ61" s="25">
        <f t="shared" si="66"/>
        <v>0</v>
      </c>
      <c r="DA61" s="25">
        <f t="shared" si="67"/>
        <v>0</v>
      </c>
      <c r="DB61" s="25">
        <f t="shared" si="68"/>
        <v>0</v>
      </c>
      <c r="DC61" s="25">
        <f t="shared" si="69"/>
        <v>0</v>
      </c>
      <c r="DD61" s="25">
        <f t="shared" si="70"/>
        <v>0</v>
      </c>
      <c r="DE61" s="25">
        <f t="shared" si="71"/>
        <v>0</v>
      </c>
      <c r="DF61" s="25">
        <f t="shared" si="72"/>
        <v>0</v>
      </c>
      <c r="DG61" s="25">
        <f t="shared" si="73"/>
        <v>0</v>
      </c>
      <c r="DH61" s="25">
        <f t="shared" si="74"/>
        <v>0</v>
      </c>
      <c r="DI61" s="25">
        <f t="shared" si="75"/>
        <v>0</v>
      </c>
      <c r="DJ61" s="25" t="e">
        <f t="shared" si="76"/>
        <v>#REF!</v>
      </c>
      <c r="DK61" s="25">
        <f t="shared" si="77"/>
        <v>0</v>
      </c>
      <c r="DL61" s="25">
        <f t="shared" si="78"/>
        <v>0</v>
      </c>
      <c r="DM61" s="25">
        <f t="shared" si="79"/>
        <v>0</v>
      </c>
      <c r="DN61" s="25">
        <f t="shared" si="80"/>
        <v>0</v>
      </c>
      <c r="DO61" s="25">
        <f t="shared" si="81"/>
        <v>0</v>
      </c>
      <c r="DP61" s="25">
        <f t="shared" si="82"/>
        <v>0</v>
      </c>
      <c r="DQ61" s="25">
        <f t="shared" si="83"/>
        <v>0</v>
      </c>
      <c r="DR61" s="25">
        <f t="shared" si="84"/>
        <v>0</v>
      </c>
      <c r="DS61" s="25">
        <f t="shared" si="85"/>
        <v>0</v>
      </c>
      <c r="DT61" s="25">
        <f t="shared" si="86"/>
        <v>0</v>
      </c>
      <c r="DU61" s="25">
        <f t="shared" si="87"/>
        <v>0</v>
      </c>
      <c r="DV61" s="21">
        <f t="shared" si="88"/>
        <v>0</v>
      </c>
      <c r="DW61" s="317">
        <f t="shared" si="89"/>
        <v>0</v>
      </c>
      <c r="DX61" s="317">
        <f t="shared" si="90"/>
        <v>0</v>
      </c>
      <c r="DY61" s="317">
        <f t="shared" si="91"/>
        <v>0</v>
      </c>
      <c r="DZ61" s="230">
        <f t="shared" si="92"/>
        <v>0</v>
      </c>
    </row>
    <row r="62" spans="1:130" ht="15" customHeight="1" x14ac:dyDescent="0.25">
      <c r="A62" s="1908"/>
      <c r="B62" s="1916"/>
      <c r="C62" s="103" t="s">
        <v>34</v>
      </c>
      <c r="D62" s="21"/>
      <c r="E62" s="316">
        <f>'АВЗ АСУТП'!G62</f>
        <v>2.5</v>
      </c>
      <c r="F62" s="316">
        <f>'АВЗ АСУТП'!K62</f>
        <v>2.5</v>
      </c>
      <c r="G62" s="316">
        <f>'АВЗ АСУТП'!O62</f>
        <v>2.5</v>
      </c>
      <c r="H62" s="230">
        <f>'АВЗ АСУТП'!S62</f>
        <v>2.5</v>
      </c>
      <c r="I62" s="316">
        <f>'АВЗ АСУТП'!W62</f>
        <v>2.5</v>
      </c>
      <c r="J62" s="230">
        <f>'АВЗ АСУТП'!AA62</f>
        <v>2.5</v>
      </c>
      <c r="K62" s="230">
        <f>'АВЗ АСУТП'!AE62</f>
        <v>2.5</v>
      </c>
      <c r="L62" s="230">
        <f>'АВЗ АСУТП'!AI62</f>
        <v>2.5</v>
      </c>
      <c r="M62" s="230">
        <f>'SIEM АСУТП'!G62</f>
        <v>4.5</v>
      </c>
      <c r="N62" s="230">
        <f>'SIEM АСУТП'!K62</f>
        <v>4.5</v>
      </c>
      <c r="O62" s="230">
        <f>'МСЭ АСУТП'!G62</f>
        <v>20</v>
      </c>
      <c r="P62" s="317">
        <f>'МСЭ АСУТП'!K62</f>
        <v>20</v>
      </c>
      <c r="Q62" s="230">
        <f>'МСЭ АСУТП'!O62</f>
        <v>20</v>
      </c>
      <c r="R62" s="230">
        <f>'МСЭ АСУТП'!S62</f>
        <v>20</v>
      </c>
      <c r="S62" s="230">
        <f>'PAM АСУТП'!G62</f>
        <v>14</v>
      </c>
      <c r="T62" s="230">
        <f>'PAM АСУТП'!K62</f>
        <v>14</v>
      </c>
      <c r="U62" s="230">
        <f>'PAM АСУТП'!O62</f>
        <v>14</v>
      </c>
      <c r="V62" s="230">
        <f>'СКЗИ АСУТП'!G62</f>
        <v>0</v>
      </c>
      <c r="W62" s="230">
        <f>'СКЗИ АСУТП'!K62</f>
        <v>0</v>
      </c>
      <c r="X62" s="230">
        <f>'СКЗИ АСУТП'!O62</f>
        <v>0</v>
      </c>
      <c r="Y62" s="230">
        <f>'СКЗИ АСУТП'!S62</f>
        <v>0</v>
      </c>
      <c r="Z62" s="230">
        <f>'СКЗИ АСУТП'!W62</f>
        <v>0</v>
      </c>
      <c r="AA62" s="230">
        <f>'АЗ АСУТП'!G62</f>
        <v>8</v>
      </c>
      <c r="AB62" s="230">
        <f>'АЗ АСУТП'!K62</f>
        <v>8</v>
      </c>
      <c r="AC62" s="230">
        <f>'АЗ АСУТП'!O62</f>
        <v>8</v>
      </c>
      <c r="AD62" s="230">
        <f>'АЗ АСУТП'!S62</f>
        <v>8</v>
      </c>
      <c r="AE62" s="230">
        <f>'АЗ АСУТП'!W62</f>
        <v>8</v>
      </c>
      <c r="AF62" s="230">
        <f>'РК АСУТП'!G62</f>
        <v>5</v>
      </c>
      <c r="AG62" s="230">
        <f>'РК АСУТП'!K62</f>
        <v>5</v>
      </c>
      <c r="AH62" s="230">
        <f>'IDS АСУТП'!G62</f>
        <v>24</v>
      </c>
      <c r="AI62" s="230">
        <f>'IDS АСУТП'!K62</f>
        <v>24</v>
      </c>
      <c r="AJ62" s="230">
        <f>'IDS АСУТП'!O62</f>
        <v>24</v>
      </c>
      <c r="AK62" s="230">
        <f>'АПМДЗ АСУТП'!G62</f>
        <v>2.4000000000000004</v>
      </c>
      <c r="AL62" s="230">
        <f>'АПМДЗ АСУТП'!K62</f>
        <v>2.4000000000000004</v>
      </c>
      <c r="AM62" s="230">
        <f>'НСД АСУТП'!G62</f>
        <v>2.4000000000000004</v>
      </c>
      <c r="AN62" s="230">
        <f>'НСД АСУТП'!K62</f>
        <v>2.4000000000000004</v>
      </c>
      <c r="AO62" s="230">
        <f>'НСД АСУТП'!O62</f>
        <v>2.4000000000000004</v>
      </c>
      <c r="AP62" s="230">
        <f>'MFA АСУТП'!G62</f>
        <v>32</v>
      </c>
      <c r="AQ62" s="230">
        <f>'MFA АСУТП'!K62</f>
        <v>32</v>
      </c>
      <c r="AR62" s="230">
        <f>'MFA АСУТП'!O62</f>
        <v>32</v>
      </c>
      <c r="AS62" s="230">
        <f>'MFA АСУТП'!S62</f>
        <v>32</v>
      </c>
      <c r="AT62" s="230">
        <f>'ДИОД АСУТП'!G62</f>
        <v>6</v>
      </c>
      <c r="AU62" s="230">
        <f>'ДИОД АСУТП'!K62</f>
        <v>6</v>
      </c>
      <c r="AV62" s="230">
        <f>'ДИОД АСУТП'!O62</f>
        <v>6</v>
      </c>
      <c r="AW62" s="230">
        <f>'ДИОД АСУТП'!S62</f>
        <v>6</v>
      </c>
      <c r="AX62" s="230">
        <f>'СЗВ АСУТП'!G62</f>
        <v>12</v>
      </c>
      <c r="AY62" s="230">
        <f>'СЗВ АСУТП'!K62</f>
        <v>12</v>
      </c>
      <c r="AZ62" s="230">
        <f>'СЗВ АСУТП'!O62</f>
        <v>12</v>
      </c>
      <c r="BA62" s="230">
        <f>'SOAR АСУТП'!G62</f>
        <v>4</v>
      </c>
      <c r="BB62" s="230">
        <f>'SOAR АСУТП'!K62</f>
        <v>4</v>
      </c>
      <c r="BC62" s="230">
        <f>'SOAR АСУТП'!O62</f>
        <v>4</v>
      </c>
      <c r="BD62" s="230" t="e">
        <f>'SOAR АСУТП'!#REF!</f>
        <v>#REF!</v>
      </c>
      <c r="BE62" s="230">
        <f>'VDI АСУТП'!G62</f>
        <v>8</v>
      </c>
      <c r="BF62" s="230">
        <f>'VDI АСУТП'!K62</f>
        <v>8</v>
      </c>
      <c r="BG62" s="230">
        <f>'VDI АСУТП'!O62</f>
        <v>8</v>
      </c>
      <c r="BH62" s="230">
        <f>'VDI АСУТП'!S62</f>
        <v>8</v>
      </c>
      <c r="BI62" s="230">
        <f>'VDI АСУТП'!W62</f>
        <v>8</v>
      </c>
      <c r="BJ62" s="316">
        <f>'СУБД АСУТП'!G62</f>
        <v>4</v>
      </c>
      <c r="BK62" s="316">
        <f>'СУБД АСУТП'!K62</f>
        <v>4</v>
      </c>
      <c r="BL62" s="316">
        <f>'ГОССОПКА АСУТП'!G62</f>
        <v>32</v>
      </c>
      <c r="BM62" s="316">
        <f>'ГОССОПКА АСУТП'!K62</f>
        <v>32</v>
      </c>
      <c r="BN62" s="316">
        <f>'TLS АСУТП'!G62</f>
        <v>32</v>
      </c>
      <c r="BO62" s="316">
        <f>'TLS АСУТП'!K62</f>
        <v>32</v>
      </c>
      <c r="BP62" s="316">
        <f>'DCAP АСУТП'!G62</f>
        <v>12</v>
      </c>
      <c r="BQ62" s="316">
        <f>'DCAP АСУТП'!K62</f>
        <v>12</v>
      </c>
      <c r="BR62" s="316">
        <f>'DCAP АСУТП'!O62</f>
        <v>12</v>
      </c>
      <c r="BS62" s="316">
        <f>'DO АСУТП'!G62</f>
        <v>6.5</v>
      </c>
      <c r="BT62" s="316">
        <f>'NTA АСУТП'!G62</f>
        <v>12</v>
      </c>
      <c r="BU62" s="316">
        <f>'NTA АСУТП'!K62</f>
        <v>12</v>
      </c>
      <c r="BV62" s="316">
        <f>'NTA АСУТП'!O62</f>
        <v>48</v>
      </c>
      <c r="BW62" s="316">
        <f>'NTA АСУТП'!S62</f>
        <v>12</v>
      </c>
      <c r="BX62" s="316">
        <f>'SEG АСУТП'!G62</f>
        <v>12</v>
      </c>
      <c r="BY62" s="316">
        <f>'APT АСУТП'!G62</f>
        <v>48</v>
      </c>
      <c r="BZ62" s="316">
        <f>'APT АСУТП'!K62</f>
        <v>48</v>
      </c>
      <c r="CA62" s="316">
        <f>'APT АСУТП'!O62</f>
        <v>48</v>
      </c>
      <c r="CB62" s="316">
        <f>'NAC АСУТП'!G62</f>
        <v>24</v>
      </c>
      <c r="CC62" s="316">
        <f>'SANDBOX АСУТП'!G62</f>
        <v>24</v>
      </c>
      <c r="CD62" s="316">
        <f>'SANDBOX АСУТП'!K62</f>
        <v>24</v>
      </c>
      <c r="CE62" s="316">
        <f>'EDR АСУТП'!G62</f>
        <v>4</v>
      </c>
      <c r="CF62" s="316">
        <f>'EDR АСУТП'!K62</f>
        <v>4</v>
      </c>
      <c r="CG62" s="316">
        <f>'WAF АСУТП'!G62</f>
        <v>24</v>
      </c>
      <c r="CH62" s="316">
        <f>'WAF АСУТП'!K62</f>
        <v>24</v>
      </c>
      <c r="CI62" s="316">
        <f>'WAF АСУТП'!O62</f>
        <v>24</v>
      </c>
      <c r="CJ62" s="316">
        <f>'ВМ ЗСВ'!G62</f>
        <v>12</v>
      </c>
      <c r="CK62" s="316">
        <f>'ВМ ЗСВ'!K62</f>
        <v>12</v>
      </c>
      <c r="CL62" s="316">
        <f>'ВМ ЗСВ'!O62</f>
        <v>12</v>
      </c>
      <c r="CM62" s="316">
        <f>'ВМ ЗСВ'!S62</f>
        <v>12</v>
      </c>
      <c r="CN62" s="316">
        <f>'ВМ ЗСВ'!W62</f>
        <v>12</v>
      </c>
      <c r="CO62" s="316">
        <f>'ВМ ЗСВ'!AA62</f>
        <v>12</v>
      </c>
      <c r="CP62" s="316">
        <f>'ВМ СПО'!G62</f>
        <v>2</v>
      </c>
      <c r="CQ62" s="316">
        <f>'ВМ СПО'!K62</f>
        <v>2</v>
      </c>
      <c r="CR62" s="316">
        <f>'ВМ СПО'!O62</f>
        <v>6</v>
      </c>
      <c r="CS62" s="316">
        <f>'ВМ СПО'!S62</f>
        <v>6</v>
      </c>
      <c r="CT62" s="316">
        <f>'ВМ АСО'!G62</f>
        <v>16</v>
      </c>
      <c r="CU62" s="316">
        <f>'ВМ АСО'!K62</f>
        <v>18</v>
      </c>
      <c r="CV62" s="316" t="e">
        <f t="shared" si="62"/>
        <v>#REF!</v>
      </c>
      <c r="CW62" s="25">
        <f t="shared" si="63"/>
        <v>2.5</v>
      </c>
      <c r="CX62" s="25">
        <f t="shared" si="64"/>
        <v>4.5</v>
      </c>
      <c r="CY62" s="25">
        <f t="shared" si="65"/>
        <v>0</v>
      </c>
      <c r="CZ62" s="25">
        <f t="shared" si="66"/>
        <v>0</v>
      </c>
      <c r="DA62" s="25">
        <f t="shared" si="67"/>
        <v>0</v>
      </c>
      <c r="DB62" s="25">
        <f t="shared" si="68"/>
        <v>0</v>
      </c>
      <c r="DC62" s="25">
        <f t="shared" si="69"/>
        <v>0</v>
      </c>
      <c r="DD62" s="25">
        <f t="shared" si="70"/>
        <v>0</v>
      </c>
      <c r="DE62" s="25">
        <f t="shared" si="71"/>
        <v>0</v>
      </c>
      <c r="DF62" s="25">
        <f t="shared" si="72"/>
        <v>0</v>
      </c>
      <c r="DG62" s="25">
        <f t="shared" si="73"/>
        <v>0</v>
      </c>
      <c r="DH62" s="25">
        <f t="shared" si="74"/>
        <v>0</v>
      </c>
      <c r="DI62" s="25">
        <f t="shared" si="75"/>
        <v>0</v>
      </c>
      <c r="DJ62" s="25" t="e">
        <f t="shared" si="76"/>
        <v>#REF!</v>
      </c>
      <c r="DK62" s="25">
        <f t="shared" si="77"/>
        <v>0</v>
      </c>
      <c r="DL62" s="25">
        <f t="shared" si="78"/>
        <v>0</v>
      </c>
      <c r="DM62" s="25">
        <f t="shared" si="79"/>
        <v>0</v>
      </c>
      <c r="DN62" s="25">
        <f t="shared" si="80"/>
        <v>0</v>
      </c>
      <c r="DO62" s="25">
        <f t="shared" si="81"/>
        <v>0</v>
      </c>
      <c r="DP62" s="25">
        <f t="shared" si="82"/>
        <v>0</v>
      </c>
      <c r="DQ62" s="25">
        <f t="shared" si="83"/>
        <v>0</v>
      </c>
      <c r="DR62" s="25">
        <f t="shared" si="84"/>
        <v>0</v>
      </c>
      <c r="DS62" s="25">
        <f t="shared" si="85"/>
        <v>0</v>
      </c>
      <c r="DT62" s="25">
        <f t="shared" si="86"/>
        <v>0</v>
      </c>
      <c r="DU62" s="25">
        <f t="shared" si="87"/>
        <v>0</v>
      </c>
      <c r="DV62" s="21">
        <f t="shared" si="88"/>
        <v>0</v>
      </c>
      <c r="DW62" s="317">
        <f t="shared" si="89"/>
        <v>0</v>
      </c>
      <c r="DX62" s="317">
        <f t="shared" si="90"/>
        <v>0</v>
      </c>
      <c r="DY62" s="317">
        <f t="shared" si="91"/>
        <v>0</v>
      </c>
      <c r="DZ62" s="230">
        <f t="shared" si="92"/>
        <v>0</v>
      </c>
    </row>
    <row r="63" spans="1:130" ht="15" customHeight="1" x14ac:dyDescent="0.25">
      <c r="A63" s="1908" t="s">
        <v>451</v>
      </c>
      <c r="B63" s="1916">
        <f>IF('Тип разраб-ой док-ции'!F26=1,1,0)</f>
        <v>1</v>
      </c>
      <c r="C63" s="103" t="s">
        <v>32</v>
      </c>
      <c r="D63" s="21"/>
      <c r="E63" s="316">
        <f>'АВЗ АСУТП'!G63</f>
        <v>0.25</v>
      </c>
      <c r="F63" s="316">
        <f>'АВЗ АСУТП'!K63</f>
        <v>0.25</v>
      </c>
      <c r="G63" s="316">
        <f>'АВЗ АСУТП'!O63</f>
        <v>0.25</v>
      </c>
      <c r="H63" s="230">
        <f>'АВЗ АСУТП'!S63</f>
        <v>0.25</v>
      </c>
      <c r="I63" s="316">
        <f>'АВЗ АСУТП'!W63</f>
        <v>0.25</v>
      </c>
      <c r="J63" s="230">
        <f>'АВЗ АСУТП'!AA63</f>
        <v>0.25</v>
      </c>
      <c r="K63" s="230">
        <f>'АВЗ АСУТП'!AE63</f>
        <v>0.25</v>
      </c>
      <c r="L63" s="230">
        <f>'АВЗ АСУТП'!AI63</f>
        <v>0.25</v>
      </c>
      <c r="M63" s="230">
        <f>'SIEM АСУТП'!G63</f>
        <v>0.25</v>
      </c>
      <c r="N63" s="230">
        <f>'SIEM АСУТП'!K63</f>
        <v>0.25</v>
      </c>
      <c r="O63" s="230">
        <f>'МСЭ АСУТП'!G63</f>
        <v>0</v>
      </c>
      <c r="P63" s="317">
        <f>'МСЭ АСУТП'!K63</f>
        <v>0</v>
      </c>
      <c r="Q63" s="230">
        <f>'МСЭ АСУТП'!O63</f>
        <v>0</v>
      </c>
      <c r="R63" s="230">
        <f>'МСЭ АСУТП'!S63</f>
        <v>0</v>
      </c>
      <c r="S63" s="230">
        <f>'PAM АСУТП'!G63</f>
        <v>2</v>
      </c>
      <c r="T63" s="230">
        <f>'PAM АСУТП'!K63</f>
        <v>2</v>
      </c>
      <c r="U63" s="230">
        <f>'PAM АСУТП'!O63</f>
        <v>2</v>
      </c>
      <c r="V63" s="230">
        <f>'СКЗИ АСУТП'!G63</f>
        <v>0.5</v>
      </c>
      <c r="W63" s="230">
        <f>'СКЗИ АСУТП'!K63</f>
        <v>0.5</v>
      </c>
      <c r="X63" s="230">
        <f>'СКЗИ АСУТП'!O63</f>
        <v>0.5</v>
      </c>
      <c r="Y63" s="230">
        <f>'СКЗИ АСУТП'!S63</f>
        <v>0.5</v>
      </c>
      <c r="Z63" s="230">
        <f>'СКЗИ АСУТП'!W63</f>
        <v>0.5</v>
      </c>
      <c r="AA63" s="230">
        <f>'АЗ АСУТП'!G63</f>
        <v>2</v>
      </c>
      <c r="AB63" s="230">
        <f>'АЗ АСУТП'!K63</f>
        <v>2</v>
      </c>
      <c r="AC63" s="230">
        <f>'АЗ АСУТП'!O63</f>
        <v>2</v>
      </c>
      <c r="AD63" s="230">
        <f>'АЗ АСУТП'!S63</f>
        <v>2</v>
      </c>
      <c r="AE63" s="230">
        <f>'АЗ АСУТП'!W63</f>
        <v>2</v>
      </c>
      <c r="AF63" s="230">
        <f>'РК АСУТП'!G63</f>
        <v>2</v>
      </c>
      <c r="AG63" s="230">
        <f>'РК АСУТП'!K63</f>
        <v>2</v>
      </c>
      <c r="AH63" s="230">
        <f>'IDS АСУТП'!G63</f>
        <v>1</v>
      </c>
      <c r="AI63" s="230">
        <f>'IDS АСУТП'!K63</f>
        <v>1</v>
      </c>
      <c r="AJ63" s="230">
        <f>'IDS АСУТП'!O63</f>
        <v>1</v>
      </c>
      <c r="AK63" s="230">
        <f>'АПМДЗ АСУТП'!G63</f>
        <v>0.5</v>
      </c>
      <c r="AL63" s="230">
        <f>'АПМДЗ АСУТП'!K63</f>
        <v>0.5</v>
      </c>
      <c r="AM63" s="230">
        <f>'НСД АСУТП'!G63</f>
        <v>0.5</v>
      </c>
      <c r="AN63" s="230">
        <f>'НСД АСУТП'!K63</f>
        <v>0.5</v>
      </c>
      <c r="AO63" s="230">
        <f>'НСД АСУТП'!O63</f>
        <v>0.5</v>
      </c>
      <c r="AP63" s="230">
        <f>'MFA АСУТП'!G63</f>
        <v>0.25</v>
      </c>
      <c r="AQ63" s="230">
        <f>'MFA АСУТП'!K63</f>
        <v>0.25</v>
      </c>
      <c r="AR63" s="230">
        <f>'MFA АСУТП'!O63</f>
        <v>0.25</v>
      </c>
      <c r="AS63" s="230">
        <f>'MFA АСУТП'!S63</f>
        <v>0.25</v>
      </c>
      <c r="AT63" s="230">
        <f>'ДИОД АСУТП'!G63</f>
        <v>0.25</v>
      </c>
      <c r="AU63" s="230">
        <f>'ДИОД АСУТП'!K63</f>
        <v>0.25</v>
      </c>
      <c r="AV63" s="230">
        <f>'ДИОД АСУТП'!O63</f>
        <v>0.25</v>
      </c>
      <c r="AW63" s="230">
        <f>'ДИОД АСУТП'!S63</f>
        <v>0.25</v>
      </c>
      <c r="AX63" s="230">
        <f>'СЗВ АСУТП'!G63</f>
        <v>0</v>
      </c>
      <c r="AY63" s="230">
        <f>'СЗВ АСУТП'!K63</f>
        <v>0</v>
      </c>
      <c r="AZ63" s="230">
        <f>'СЗВ АСУТП'!O63</f>
        <v>0</v>
      </c>
      <c r="BA63" s="230">
        <f>'SOAR АСУТП'!G63</f>
        <v>0.25</v>
      </c>
      <c r="BB63" s="230">
        <f>'SOAR АСУТП'!K63</f>
        <v>0.25</v>
      </c>
      <c r="BC63" s="230">
        <f>'SOAR АСУТП'!O63</f>
        <v>0.25</v>
      </c>
      <c r="BD63" s="230" t="e">
        <f>'SOAR АСУТП'!#REF!</f>
        <v>#REF!</v>
      </c>
      <c r="BE63" s="230">
        <f>'VDI АСУТП'!G63</f>
        <v>2</v>
      </c>
      <c r="BF63" s="230">
        <f>'VDI АСУТП'!K63</f>
        <v>2</v>
      </c>
      <c r="BG63" s="230">
        <f>'VDI АСУТП'!O63</f>
        <v>2</v>
      </c>
      <c r="BH63" s="230">
        <f>'VDI АСУТП'!S63</f>
        <v>2</v>
      </c>
      <c r="BI63" s="230">
        <f>'VDI АСУТП'!W63</f>
        <v>2</v>
      </c>
      <c r="BJ63" s="316">
        <f>'СУБД АСУТП'!G63</f>
        <v>0</v>
      </c>
      <c r="BK63" s="316">
        <f>'СУБД АСУТП'!K63</f>
        <v>0</v>
      </c>
      <c r="BL63" s="316">
        <f>'ГОССОПКА АСУТП'!G63</f>
        <v>0.25</v>
      </c>
      <c r="BM63" s="316">
        <f>'ГОССОПКА АСУТП'!K63</f>
        <v>0.25</v>
      </c>
      <c r="BN63" s="316">
        <f>'TLS АСУТП'!G63</f>
        <v>0.25</v>
      </c>
      <c r="BO63" s="316">
        <f>'TLS АСУТП'!K63</f>
        <v>0.25</v>
      </c>
      <c r="BP63" s="316">
        <f>'DCAP АСУТП'!G63</f>
        <v>4</v>
      </c>
      <c r="BQ63" s="316">
        <f>'DCAP АСУТП'!K63</f>
        <v>4</v>
      </c>
      <c r="BR63" s="316">
        <f>'DCAP АСУТП'!O63</f>
        <v>4</v>
      </c>
      <c r="BS63" s="316">
        <f>'DO АСУТП'!G63</f>
        <v>0.25</v>
      </c>
      <c r="BT63" s="316">
        <f>'NTA АСУТП'!G63</f>
        <v>1</v>
      </c>
      <c r="BU63" s="316">
        <f>'NTA АСУТП'!K63</f>
        <v>1</v>
      </c>
      <c r="BV63" s="316">
        <f>'NTA АСУТП'!O63</f>
        <v>1</v>
      </c>
      <c r="BW63" s="316">
        <f>'NTA АСУТП'!S63</f>
        <v>1</v>
      </c>
      <c r="BX63" s="316">
        <f>'SEG АСУТП'!G63</f>
        <v>8</v>
      </c>
      <c r="BY63" s="316">
        <f>'APT АСУТП'!G63</f>
        <v>1</v>
      </c>
      <c r="BZ63" s="316">
        <f>'APT АСУТП'!K63</f>
        <v>1</v>
      </c>
      <c r="CA63" s="316">
        <f>'APT АСУТП'!O63</f>
        <v>1</v>
      </c>
      <c r="CB63" s="316">
        <f>'NAC АСУТП'!G63</f>
        <v>0.25</v>
      </c>
      <c r="CC63" s="316">
        <f>'SANDBOX АСУТП'!G63</f>
        <v>0.25</v>
      </c>
      <c r="CD63" s="316">
        <f>'SANDBOX АСУТП'!K63</f>
        <v>0.25</v>
      </c>
      <c r="CE63" s="316">
        <f>'EDR АСУТП'!G63</f>
        <v>0.25</v>
      </c>
      <c r="CF63" s="316">
        <f>'EDR АСУТП'!K63</f>
        <v>0.25</v>
      </c>
      <c r="CG63" s="316">
        <f>'WAF АСУТП'!G63</f>
        <v>0.25</v>
      </c>
      <c r="CH63" s="316">
        <f>'WAF АСУТП'!K63</f>
        <v>0.25</v>
      </c>
      <c r="CI63" s="316">
        <f>'WAF АСУТП'!O63</f>
        <v>0.25</v>
      </c>
      <c r="CJ63" s="316">
        <f>'ВМ ЗСВ'!G63</f>
        <v>0</v>
      </c>
      <c r="CK63" s="316">
        <f>'ВМ ЗСВ'!K63</f>
        <v>0</v>
      </c>
      <c r="CL63" s="316">
        <f>'ВМ ЗСВ'!O63</f>
        <v>0</v>
      </c>
      <c r="CM63" s="316">
        <f>'ВМ ЗСВ'!S63</f>
        <v>0</v>
      </c>
      <c r="CN63" s="316">
        <f>'ВМ ЗСВ'!W63</f>
        <v>0</v>
      </c>
      <c r="CO63" s="316">
        <f>'ВМ ЗСВ'!AA63</f>
        <v>0</v>
      </c>
      <c r="CP63" s="316">
        <f>'ВМ СПО'!G63</f>
        <v>0</v>
      </c>
      <c r="CQ63" s="316">
        <f>'ВМ СПО'!K63</f>
        <v>0</v>
      </c>
      <c r="CR63" s="316">
        <f>'ВМ СПО'!O63</f>
        <v>0</v>
      </c>
      <c r="CS63" s="316">
        <f>'ВМ СПО'!S63</f>
        <v>0</v>
      </c>
      <c r="CT63" s="316">
        <f>'ВМ АСО'!G63</f>
        <v>0</v>
      </c>
      <c r="CU63" s="316">
        <f>'ВМ АСО'!K63</f>
        <v>0</v>
      </c>
      <c r="CV63" s="316" t="e">
        <f t="shared" si="62"/>
        <v>#REF!</v>
      </c>
      <c r="CW63" s="25">
        <f t="shared" si="63"/>
        <v>0.25</v>
      </c>
      <c r="CX63" s="25">
        <f t="shared" si="64"/>
        <v>0.25</v>
      </c>
      <c r="CY63" s="25">
        <f t="shared" si="65"/>
        <v>0</v>
      </c>
      <c r="CZ63" s="25">
        <f t="shared" si="66"/>
        <v>0</v>
      </c>
      <c r="DA63" s="25">
        <f t="shared" si="67"/>
        <v>0</v>
      </c>
      <c r="DB63" s="25">
        <f t="shared" si="68"/>
        <v>0</v>
      </c>
      <c r="DC63" s="25">
        <f t="shared" si="69"/>
        <v>0</v>
      </c>
      <c r="DD63" s="25">
        <f t="shared" si="70"/>
        <v>0</v>
      </c>
      <c r="DE63" s="25">
        <f t="shared" si="71"/>
        <v>0</v>
      </c>
      <c r="DF63" s="25">
        <f t="shared" si="72"/>
        <v>0</v>
      </c>
      <c r="DG63" s="25">
        <f t="shared" si="73"/>
        <v>0</v>
      </c>
      <c r="DH63" s="25">
        <f t="shared" si="74"/>
        <v>0</v>
      </c>
      <c r="DI63" s="25">
        <f t="shared" si="75"/>
        <v>0</v>
      </c>
      <c r="DJ63" s="25" t="e">
        <f t="shared" si="76"/>
        <v>#REF!</v>
      </c>
      <c r="DK63" s="25">
        <f t="shared" si="77"/>
        <v>0</v>
      </c>
      <c r="DL63" s="25">
        <f t="shared" si="78"/>
        <v>0</v>
      </c>
      <c r="DM63" s="25">
        <f t="shared" si="79"/>
        <v>0</v>
      </c>
      <c r="DN63" s="25">
        <f t="shared" si="80"/>
        <v>0</v>
      </c>
      <c r="DO63" s="25">
        <f t="shared" si="81"/>
        <v>0</v>
      </c>
      <c r="DP63" s="25">
        <f t="shared" si="82"/>
        <v>0</v>
      </c>
      <c r="DQ63" s="25">
        <f t="shared" si="83"/>
        <v>0</v>
      </c>
      <c r="DR63" s="25">
        <f t="shared" si="84"/>
        <v>0</v>
      </c>
      <c r="DS63" s="25">
        <f t="shared" si="85"/>
        <v>0</v>
      </c>
      <c r="DT63" s="25">
        <f t="shared" si="86"/>
        <v>0</v>
      </c>
      <c r="DU63" s="25">
        <f t="shared" si="87"/>
        <v>0</v>
      </c>
      <c r="DV63" s="21">
        <f t="shared" si="88"/>
        <v>0</v>
      </c>
      <c r="DW63" s="317">
        <f t="shared" si="89"/>
        <v>0</v>
      </c>
      <c r="DX63" s="317">
        <f t="shared" si="90"/>
        <v>0</v>
      </c>
      <c r="DY63" s="317">
        <f t="shared" si="91"/>
        <v>0</v>
      </c>
      <c r="DZ63" s="230">
        <f t="shared" si="92"/>
        <v>0</v>
      </c>
    </row>
    <row r="64" spans="1:130" ht="15" customHeight="1" x14ac:dyDescent="0.25">
      <c r="A64" s="1908"/>
      <c r="B64" s="1916"/>
      <c r="C64" s="103" t="s">
        <v>33</v>
      </c>
      <c r="D64" s="21"/>
      <c r="E64" s="316">
        <f>'АВЗ АСУТП'!G64</f>
        <v>0</v>
      </c>
      <c r="F64" s="316">
        <f>'АВЗ АСУТП'!K64</f>
        <v>0</v>
      </c>
      <c r="G64" s="316">
        <f>'АВЗ АСУТП'!O64</f>
        <v>0</v>
      </c>
      <c r="H64" s="230">
        <f>'АВЗ АСУТП'!S64</f>
        <v>0</v>
      </c>
      <c r="I64" s="316">
        <f>'АВЗ АСУТП'!W64</f>
        <v>0</v>
      </c>
      <c r="J64" s="230">
        <f>'АВЗ АСУТП'!AA64</f>
        <v>0</v>
      </c>
      <c r="K64" s="230">
        <f>'АВЗ АСУТП'!AE64</f>
        <v>0</v>
      </c>
      <c r="L64" s="230">
        <f>'АВЗ АСУТП'!AI64</f>
        <v>0</v>
      </c>
      <c r="M64" s="230">
        <f>'SIEM АСУТП'!G64</f>
        <v>0</v>
      </c>
      <c r="N64" s="230">
        <f>'SIEM АСУТП'!K64</f>
        <v>0</v>
      </c>
      <c r="O64" s="230">
        <f>'МСЭ АСУТП'!G64</f>
        <v>0</v>
      </c>
      <c r="P64" s="317">
        <f>'МСЭ АСУТП'!K64</f>
        <v>0</v>
      </c>
      <c r="Q64" s="230">
        <f>'МСЭ АСУТП'!O64</f>
        <v>0</v>
      </c>
      <c r="R64" s="230">
        <f>'МСЭ АСУТП'!S64</f>
        <v>0</v>
      </c>
      <c r="S64" s="230">
        <f>'PAM АСУТП'!G64</f>
        <v>2</v>
      </c>
      <c r="T64" s="230">
        <f>'PAM АСУТП'!K64</f>
        <v>2</v>
      </c>
      <c r="U64" s="230">
        <f>'PAM АСУТП'!O64</f>
        <v>2</v>
      </c>
      <c r="V64" s="230">
        <f>'СКЗИ АСУТП'!G64</f>
        <v>0.75</v>
      </c>
      <c r="W64" s="230">
        <f>'СКЗИ АСУТП'!K64</f>
        <v>0.75</v>
      </c>
      <c r="X64" s="230">
        <f>'СКЗИ АСУТП'!O64</f>
        <v>0.75</v>
      </c>
      <c r="Y64" s="230">
        <f>'СКЗИ АСУТП'!S64</f>
        <v>0.75</v>
      </c>
      <c r="Z64" s="230">
        <f>'СКЗИ АСУТП'!W64</f>
        <v>0.75</v>
      </c>
      <c r="AA64" s="230">
        <f>'АЗ АСУТП'!G64</f>
        <v>2</v>
      </c>
      <c r="AB64" s="230">
        <f>'АЗ АСУТП'!K64</f>
        <v>2</v>
      </c>
      <c r="AC64" s="230">
        <f>'АЗ АСУТП'!O64</f>
        <v>2</v>
      </c>
      <c r="AD64" s="230">
        <f>'АЗ АСУТП'!S64</f>
        <v>2</v>
      </c>
      <c r="AE64" s="230">
        <f>'АЗ АСУТП'!W64</f>
        <v>2</v>
      </c>
      <c r="AF64" s="230">
        <f>'РК АСУТП'!G64</f>
        <v>2</v>
      </c>
      <c r="AG64" s="230">
        <f>'РК АСУТП'!K64</f>
        <v>2</v>
      </c>
      <c r="AH64" s="230">
        <f>'IDS АСУТП'!G64</f>
        <v>1</v>
      </c>
      <c r="AI64" s="230">
        <f>'IDS АСУТП'!K64</f>
        <v>1</v>
      </c>
      <c r="AJ64" s="230">
        <f>'IDS АСУТП'!O64</f>
        <v>1</v>
      </c>
      <c r="AK64" s="230">
        <f>'АПМДЗ АСУТП'!G64</f>
        <v>1</v>
      </c>
      <c r="AL64" s="230">
        <f>'АПМДЗ АСУТП'!K64</f>
        <v>1</v>
      </c>
      <c r="AM64" s="230">
        <f>'НСД АСУТП'!G64</f>
        <v>1</v>
      </c>
      <c r="AN64" s="230">
        <f>'НСД АСУТП'!K64</f>
        <v>1</v>
      </c>
      <c r="AO64" s="230">
        <f>'НСД АСУТП'!O64</f>
        <v>1</v>
      </c>
      <c r="AP64" s="230">
        <f>'MFA АСУТП'!G64</f>
        <v>0.5</v>
      </c>
      <c r="AQ64" s="230">
        <f>'MFA АСУТП'!K64</f>
        <v>0.5</v>
      </c>
      <c r="AR64" s="230">
        <f>'MFA АСУТП'!O64</f>
        <v>0.5</v>
      </c>
      <c r="AS64" s="230">
        <f>'MFA АСУТП'!S64</f>
        <v>0.5</v>
      </c>
      <c r="AT64" s="230">
        <f>'ДИОД АСУТП'!G64</f>
        <v>0.5</v>
      </c>
      <c r="AU64" s="230">
        <f>'ДИОД АСУТП'!K64</f>
        <v>0.5</v>
      </c>
      <c r="AV64" s="230">
        <f>'ДИОД АСУТП'!O64</f>
        <v>0.5</v>
      </c>
      <c r="AW64" s="230">
        <f>'ДИОД АСУТП'!S64</f>
        <v>0.5</v>
      </c>
      <c r="AX64" s="230">
        <f>'СЗВ АСУТП'!G64</f>
        <v>0</v>
      </c>
      <c r="AY64" s="230">
        <f>'СЗВ АСУТП'!K64</f>
        <v>0</v>
      </c>
      <c r="AZ64" s="230">
        <f>'СЗВ АСУТП'!O64</f>
        <v>0</v>
      </c>
      <c r="BA64" s="230">
        <f>'SOAR АСУТП'!G64</f>
        <v>0</v>
      </c>
      <c r="BB64" s="230">
        <f>'SOAR АСУТП'!K64</f>
        <v>0</v>
      </c>
      <c r="BC64" s="230">
        <f>'SOAR АСУТП'!O64</f>
        <v>0</v>
      </c>
      <c r="BD64" s="230" t="e">
        <f>'SOAR АСУТП'!#REF!</f>
        <v>#REF!</v>
      </c>
      <c r="BE64" s="230">
        <f>'VDI АСУТП'!G64</f>
        <v>2</v>
      </c>
      <c r="BF64" s="230">
        <f>'VDI АСУТП'!K64</f>
        <v>2</v>
      </c>
      <c r="BG64" s="230">
        <f>'VDI АСУТП'!O64</f>
        <v>2</v>
      </c>
      <c r="BH64" s="230">
        <f>'VDI АСУТП'!S64</f>
        <v>2</v>
      </c>
      <c r="BI64" s="230">
        <f>'VDI АСУТП'!W64</f>
        <v>2</v>
      </c>
      <c r="BJ64" s="316">
        <f>'СУБД АСУТП'!G64</f>
        <v>0</v>
      </c>
      <c r="BK64" s="316">
        <f>'СУБД АСУТП'!K64</f>
        <v>0</v>
      </c>
      <c r="BL64" s="316">
        <f>'ГОССОПКА АСУТП'!G64</f>
        <v>0.5</v>
      </c>
      <c r="BM64" s="316">
        <f>'ГОССОПКА АСУТП'!K64</f>
        <v>0.5</v>
      </c>
      <c r="BN64" s="316">
        <f>'TLS АСУТП'!G64</f>
        <v>0.5</v>
      </c>
      <c r="BO64" s="316">
        <f>'TLS АСУТП'!K64</f>
        <v>0.5</v>
      </c>
      <c r="BP64" s="316">
        <f>'DCAP АСУТП'!G64</f>
        <v>6</v>
      </c>
      <c r="BQ64" s="316">
        <f>'DCAP АСУТП'!K64</f>
        <v>6</v>
      </c>
      <c r="BR64" s="316">
        <f>'DCAP АСУТП'!O64</f>
        <v>6</v>
      </c>
      <c r="BS64" s="316">
        <f>'DO АСУТП'!G64</f>
        <v>0</v>
      </c>
      <c r="BT64" s="316">
        <f>'NTA АСУТП'!G64</f>
        <v>1</v>
      </c>
      <c r="BU64" s="316">
        <f>'NTA АСУТП'!K64</f>
        <v>1</v>
      </c>
      <c r="BV64" s="316">
        <f>'NTA АСУТП'!O64</f>
        <v>1</v>
      </c>
      <c r="BW64" s="316">
        <f>'NTA АСУТП'!S64</f>
        <v>1</v>
      </c>
      <c r="BX64" s="316">
        <f>'SEG АСУТП'!G64</f>
        <v>8</v>
      </c>
      <c r="BY64" s="316">
        <f>'APT АСУТП'!G64</f>
        <v>1</v>
      </c>
      <c r="BZ64" s="316">
        <f>'APT АСУТП'!K64</f>
        <v>1</v>
      </c>
      <c r="CA64" s="316">
        <f>'APT АСУТП'!O64</f>
        <v>1</v>
      </c>
      <c r="CB64" s="316">
        <f>'NAC АСУТП'!G64</f>
        <v>0.5</v>
      </c>
      <c r="CC64" s="316">
        <f>'SANDBOX АСУТП'!G64</f>
        <v>0.5</v>
      </c>
      <c r="CD64" s="316">
        <f>'SANDBOX АСУТП'!K64</f>
        <v>0.5</v>
      </c>
      <c r="CE64" s="316">
        <f>'EDR АСУТП'!G64</f>
        <v>0</v>
      </c>
      <c r="CF64" s="316">
        <f>'EDR АСУТП'!K64</f>
        <v>0</v>
      </c>
      <c r="CG64" s="316">
        <f>'WAF АСУТП'!G64</f>
        <v>0.5</v>
      </c>
      <c r="CH64" s="316">
        <f>'WAF АСУТП'!K64</f>
        <v>0.5</v>
      </c>
      <c r="CI64" s="316">
        <f>'WAF АСУТП'!O64</f>
        <v>0.5</v>
      </c>
      <c r="CJ64" s="316">
        <f>'ВМ ЗСВ'!G64</f>
        <v>0</v>
      </c>
      <c r="CK64" s="316">
        <f>'ВМ ЗСВ'!K64</f>
        <v>0</v>
      </c>
      <c r="CL64" s="316">
        <f>'ВМ ЗСВ'!O64</f>
        <v>0</v>
      </c>
      <c r="CM64" s="316">
        <f>'ВМ ЗСВ'!S64</f>
        <v>0</v>
      </c>
      <c r="CN64" s="316">
        <f>'ВМ ЗСВ'!W64</f>
        <v>0</v>
      </c>
      <c r="CO64" s="316">
        <f>'ВМ ЗСВ'!AA64</f>
        <v>0</v>
      </c>
      <c r="CP64" s="316">
        <f>'ВМ СПО'!G64</f>
        <v>0</v>
      </c>
      <c r="CQ64" s="316">
        <f>'ВМ СПО'!K64</f>
        <v>0</v>
      </c>
      <c r="CR64" s="316">
        <f>'ВМ СПО'!O64</f>
        <v>0</v>
      </c>
      <c r="CS64" s="316">
        <f>'ВМ СПО'!S64</f>
        <v>0</v>
      </c>
      <c r="CT64" s="316">
        <f>'ВМ АСО'!G64</f>
        <v>0</v>
      </c>
      <c r="CU64" s="316">
        <f>'ВМ АСО'!K64</f>
        <v>0</v>
      </c>
      <c r="CV64" s="316" t="e">
        <f t="shared" si="62"/>
        <v>#REF!</v>
      </c>
      <c r="CW64" s="25">
        <f t="shared" si="63"/>
        <v>0</v>
      </c>
      <c r="CX64" s="25">
        <f t="shared" si="64"/>
        <v>0</v>
      </c>
      <c r="CY64" s="25">
        <f t="shared" si="65"/>
        <v>0</v>
      </c>
      <c r="CZ64" s="25">
        <f t="shared" si="66"/>
        <v>0</v>
      </c>
      <c r="DA64" s="25">
        <f t="shared" si="67"/>
        <v>0</v>
      </c>
      <c r="DB64" s="25">
        <f t="shared" si="68"/>
        <v>0</v>
      </c>
      <c r="DC64" s="25">
        <f t="shared" si="69"/>
        <v>0</v>
      </c>
      <c r="DD64" s="25">
        <f t="shared" si="70"/>
        <v>0</v>
      </c>
      <c r="DE64" s="25">
        <f t="shared" si="71"/>
        <v>0</v>
      </c>
      <c r="DF64" s="25">
        <f t="shared" si="72"/>
        <v>0</v>
      </c>
      <c r="DG64" s="25">
        <f t="shared" si="73"/>
        <v>0</v>
      </c>
      <c r="DH64" s="25">
        <f t="shared" si="74"/>
        <v>0</v>
      </c>
      <c r="DI64" s="25">
        <f t="shared" si="75"/>
        <v>0</v>
      </c>
      <c r="DJ64" s="25" t="e">
        <f t="shared" si="76"/>
        <v>#REF!</v>
      </c>
      <c r="DK64" s="25">
        <f t="shared" si="77"/>
        <v>0</v>
      </c>
      <c r="DL64" s="25">
        <f t="shared" si="78"/>
        <v>0</v>
      </c>
      <c r="DM64" s="25">
        <f t="shared" si="79"/>
        <v>0</v>
      </c>
      <c r="DN64" s="25">
        <f t="shared" si="80"/>
        <v>0</v>
      </c>
      <c r="DO64" s="25">
        <f t="shared" si="81"/>
        <v>0</v>
      </c>
      <c r="DP64" s="25">
        <f t="shared" si="82"/>
        <v>0</v>
      </c>
      <c r="DQ64" s="25">
        <f t="shared" si="83"/>
        <v>0</v>
      </c>
      <c r="DR64" s="25">
        <f t="shared" si="84"/>
        <v>0</v>
      </c>
      <c r="DS64" s="25">
        <f t="shared" si="85"/>
        <v>0</v>
      </c>
      <c r="DT64" s="25">
        <f t="shared" si="86"/>
        <v>0</v>
      </c>
      <c r="DU64" s="25">
        <f t="shared" si="87"/>
        <v>0</v>
      </c>
      <c r="DV64" s="21">
        <f t="shared" si="88"/>
        <v>0</v>
      </c>
      <c r="DW64" s="317">
        <f t="shared" si="89"/>
        <v>0</v>
      </c>
      <c r="DX64" s="317">
        <f t="shared" si="90"/>
        <v>0</v>
      </c>
      <c r="DY64" s="317">
        <f t="shared" si="91"/>
        <v>0</v>
      </c>
      <c r="DZ64" s="230">
        <f t="shared" si="92"/>
        <v>0</v>
      </c>
    </row>
    <row r="65" spans="1:130" ht="15.75" customHeight="1" x14ac:dyDescent="0.25">
      <c r="A65" s="1908"/>
      <c r="B65" s="1916"/>
      <c r="C65" s="103" t="s">
        <v>34</v>
      </c>
      <c r="D65" s="21"/>
      <c r="E65" s="316">
        <f>'АВЗ АСУТП'!G65</f>
        <v>0</v>
      </c>
      <c r="F65" s="316">
        <f>'АВЗ АСУТП'!K65</f>
        <v>0</v>
      </c>
      <c r="G65" s="316">
        <f>'АВЗ АСУТП'!O65</f>
        <v>0</v>
      </c>
      <c r="H65" s="230">
        <f>'АВЗ АСУТП'!S65</f>
        <v>0</v>
      </c>
      <c r="I65" s="316">
        <f>'АВЗ АСУТП'!W65</f>
        <v>0</v>
      </c>
      <c r="J65" s="230">
        <f>'АВЗ АСУТП'!AA65</f>
        <v>0</v>
      </c>
      <c r="K65" s="230">
        <f>'АВЗ АСУТП'!AE65</f>
        <v>0</v>
      </c>
      <c r="L65" s="230">
        <f>'АВЗ АСУТП'!AI65</f>
        <v>0</v>
      </c>
      <c r="M65" s="230">
        <f>'SIEM АСУТП'!G65</f>
        <v>0</v>
      </c>
      <c r="N65" s="230">
        <f>'SIEM АСУТП'!K65</f>
        <v>0</v>
      </c>
      <c r="O65" s="230">
        <f>'МСЭ АСУТП'!G65</f>
        <v>0</v>
      </c>
      <c r="P65" s="317">
        <f>'МСЭ АСУТП'!K65</f>
        <v>0</v>
      </c>
      <c r="Q65" s="230">
        <f>'МСЭ АСУТП'!O65</f>
        <v>0</v>
      </c>
      <c r="R65" s="230">
        <f>'МСЭ АСУТП'!S65</f>
        <v>0</v>
      </c>
      <c r="S65" s="230">
        <f>'PAM АСУТП'!G65</f>
        <v>2</v>
      </c>
      <c r="T65" s="230">
        <f>'PAM АСУТП'!K65</f>
        <v>2</v>
      </c>
      <c r="U65" s="230">
        <f>'PAM АСУТП'!O65</f>
        <v>2</v>
      </c>
      <c r="V65" s="230">
        <f>'СКЗИ АСУТП'!G65</f>
        <v>1</v>
      </c>
      <c r="W65" s="230">
        <f>'СКЗИ АСУТП'!K65</f>
        <v>1</v>
      </c>
      <c r="X65" s="230">
        <f>'СКЗИ АСУТП'!O65</f>
        <v>1</v>
      </c>
      <c r="Y65" s="230">
        <f>'СКЗИ АСУТП'!S65</f>
        <v>1</v>
      </c>
      <c r="Z65" s="230">
        <f>'СКЗИ АСУТП'!W65</f>
        <v>1</v>
      </c>
      <c r="AA65" s="230">
        <f>'АЗ АСУТП'!G65</f>
        <v>2</v>
      </c>
      <c r="AB65" s="230">
        <f>'АЗ АСУТП'!K65</f>
        <v>2</v>
      </c>
      <c r="AC65" s="230">
        <f>'АЗ АСУТП'!O65</f>
        <v>2</v>
      </c>
      <c r="AD65" s="230">
        <f>'АЗ АСУТП'!S65</f>
        <v>2</v>
      </c>
      <c r="AE65" s="230">
        <f>'АЗ АСУТП'!W65</f>
        <v>2</v>
      </c>
      <c r="AF65" s="230">
        <f>'РК АСУТП'!G65</f>
        <v>2</v>
      </c>
      <c r="AG65" s="230">
        <f>'РК АСУТП'!K65</f>
        <v>2</v>
      </c>
      <c r="AH65" s="230">
        <f>'IDS АСУТП'!G65</f>
        <v>1</v>
      </c>
      <c r="AI65" s="230">
        <f>'IDS АСУТП'!K65</f>
        <v>1</v>
      </c>
      <c r="AJ65" s="230">
        <f>'IDS АСУТП'!O65</f>
        <v>1</v>
      </c>
      <c r="AK65" s="230">
        <f>'АПМДЗ АСУТП'!G65</f>
        <v>1.5</v>
      </c>
      <c r="AL65" s="230">
        <f>'АПМДЗ АСУТП'!K65</f>
        <v>1.5</v>
      </c>
      <c r="AM65" s="230">
        <f>'НСД АСУТП'!G65</f>
        <v>1.5</v>
      </c>
      <c r="AN65" s="230">
        <f>'НСД АСУТП'!K65</f>
        <v>1.5</v>
      </c>
      <c r="AO65" s="230">
        <f>'НСД АСУТП'!O65</f>
        <v>1.5</v>
      </c>
      <c r="AP65" s="230">
        <f>'MFA АСУТП'!G65</f>
        <v>1</v>
      </c>
      <c r="AQ65" s="230">
        <f>'MFA АСУТП'!K65</f>
        <v>1</v>
      </c>
      <c r="AR65" s="230">
        <f>'MFA АСУТП'!O65</f>
        <v>1</v>
      </c>
      <c r="AS65" s="230">
        <f>'MFA АСУТП'!S65</f>
        <v>1</v>
      </c>
      <c r="AT65" s="230">
        <f>'ДИОД АСУТП'!G65</f>
        <v>1</v>
      </c>
      <c r="AU65" s="230">
        <f>'ДИОД АСУТП'!K65</f>
        <v>1</v>
      </c>
      <c r="AV65" s="230">
        <f>'ДИОД АСУТП'!O65</f>
        <v>1</v>
      </c>
      <c r="AW65" s="230">
        <f>'ДИОД АСУТП'!S65</f>
        <v>1</v>
      </c>
      <c r="AX65" s="230">
        <f>'СЗВ АСУТП'!G65</f>
        <v>0</v>
      </c>
      <c r="AY65" s="230">
        <f>'СЗВ АСУТП'!K65</f>
        <v>0</v>
      </c>
      <c r="AZ65" s="230">
        <f>'СЗВ АСУТП'!O65</f>
        <v>0</v>
      </c>
      <c r="BA65" s="230">
        <f>'SOAR АСУТП'!G65</f>
        <v>0</v>
      </c>
      <c r="BB65" s="230">
        <f>'SOAR АСУТП'!K65</f>
        <v>0</v>
      </c>
      <c r="BC65" s="230">
        <f>'SOAR АСУТП'!O65</f>
        <v>0</v>
      </c>
      <c r="BD65" s="230" t="e">
        <f>'SOAR АСУТП'!#REF!</f>
        <v>#REF!</v>
      </c>
      <c r="BE65" s="230">
        <f>'VDI АСУТП'!G65</f>
        <v>2</v>
      </c>
      <c r="BF65" s="230">
        <f>'VDI АСУТП'!K65</f>
        <v>2</v>
      </c>
      <c r="BG65" s="230">
        <f>'VDI АСУТП'!O65</f>
        <v>2</v>
      </c>
      <c r="BH65" s="230">
        <f>'VDI АСУТП'!S65</f>
        <v>2</v>
      </c>
      <c r="BI65" s="230">
        <f>'VDI АСУТП'!W65</f>
        <v>2</v>
      </c>
      <c r="BJ65" s="316">
        <f>'СУБД АСУТП'!G65</f>
        <v>0</v>
      </c>
      <c r="BK65" s="316">
        <f>'СУБД АСУТП'!K65</f>
        <v>0</v>
      </c>
      <c r="BL65" s="316">
        <f>'ГОССОПКА АСУТП'!G65</f>
        <v>1</v>
      </c>
      <c r="BM65" s="316">
        <f>'ГОССОПКА АСУТП'!K65</f>
        <v>1</v>
      </c>
      <c r="BN65" s="316">
        <f>'TLS АСУТП'!G65</f>
        <v>1</v>
      </c>
      <c r="BO65" s="316">
        <f>'TLS АСУТП'!K65</f>
        <v>1</v>
      </c>
      <c r="BP65" s="316">
        <f>'DCAP АСУТП'!G65</f>
        <v>8</v>
      </c>
      <c r="BQ65" s="316">
        <f>'DCAP АСУТП'!K65</f>
        <v>8</v>
      </c>
      <c r="BR65" s="316">
        <f>'DCAP АСУТП'!O65</f>
        <v>8</v>
      </c>
      <c r="BS65" s="316">
        <f>'DO АСУТП'!G65</f>
        <v>0</v>
      </c>
      <c r="BT65" s="316">
        <f>'NTA АСУТП'!G65</f>
        <v>1</v>
      </c>
      <c r="BU65" s="316">
        <f>'NTA АСУТП'!K65</f>
        <v>1</v>
      </c>
      <c r="BV65" s="316">
        <f>'NTA АСУТП'!O65</f>
        <v>1</v>
      </c>
      <c r="BW65" s="316">
        <f>'NTA АСУТП'!S65</f>
        <v>1</v>
      </c>
      <c r="BX65" s="316">
        <f>'SEG АСУТП'!G65</f>
        <v>8</v>
      </c>
      <c r="BY65" s="316">
        <f>'APT АСУТП'!G65</f>
        <v>1</v>
      </c>
      <c r="BZ65" s="316">
        <f>'APT АСУТП'!K65</f>
        <v>1</v>
      </c>
      <c r="CA65" s="316">
        <f>'APT АСУТП'!O65</f>
        <v>1</v>
      </c>
      <c r="CB65" s="316">
        <f>'NAC АСУТП'!G65</f>
        <v>1</v>
      </c>
      <c r="CC65" s="316">
        <f>'SANDBOX АСУТП'!G65</f>
        <v>1</v>
      </c>
      <c r="CD65" s="316">
        <f>'SANDBOX АСУТП'!K65</f>
        <v>1</v>
      </c>
      <c r="CE65" s="316">
        <f>'EDR АСУТП'!G65</f>
        <v>0</v>
      </c>
      <c r="CF65" s="316">
        <f>'EDR АСУТП'!K65</f>
        <v>0</v>
      </c>
      <c r="CG65" s="316">
        <f>'WAF АСУТП'!G65</f>
        <v>1</v>
      </c>
      <c r="CH65" s="316">
        <f>'WAF АСУТП'!K65</f>
        <v>1</v>
      </c>
      <c r="CI65" s="316">
        <f>'WAF АСУТП'!O65</f>
        <v>1</v>
      </c>
      <c r="CJ65" s="316">
        <f>'ВМ ЗСВ'!G65</f>
        <v>0</v>
      </c>
      <c r="CK65" s="316">
        <f>'ВМ ЗСВ'!K65</f>
        <v>0</v>
      </c>
      <c r="CL65" s="316">
        <f>'ВМ ЗСВ'!O65</f>
        <v>0</v>
      </c>
      <c r="CM65" s="316">
        <f>'ВМ ЗСВ'!S65</f>
        <v>0</v>
      </c>
      <c r="CN65" s="316">
        <f>'ВМ ЗСВ'!W65</f>
        <v>0</v>
      </c>
      <c r="CO65" s="316">
        <f>'ВМ ЗСВ'!AA65</f>
        <v>0</v>
      </c>
      <c r="CP65" s="316">
        <f>'ВМ СПО'!G65</f>
        <v>0</v>
      </c>
      <c r="CQ65" s="316">
        <f>'ВМ СПО'!K65</f>
        <v>0</v>
      </c>
      <c r="CR65" s="316">
        <f>'ВМ СПО'!O65</f>
        <v>0</v>
      </c>
      <c r="CS65" s="316">
        <f>'ВМ СПО'!S65</f>
        <v>0</v>
      </c>
      <c r="CT65" s="316">
        <f>'ВМ АСО'!G65</f>
        <v>0</v>
      </c>
      <c r="CU65" s="316">
        <f>'ВМ АСО'!K65</f>
        <v>0</v>
      </c>
      <c r="CV65" s="316" t="e">
        <f t="shared" si="62"/>
        <v>#REF!</v>
      </c>
      <c r="CW65" s="25">
        <f t="shared" si="63"/>
        <v>0</v>
      </c>
      <c r="CX65" s="25">
        <f t="shared" si="64"/>
        <v>0</v>
      </c>
      <c r="CY65" s="25">
        <f t="shared" si="65"/>
        <v>0</v>
      </c>
      <c r="CZ65" s="25">
        <f t="shared" si="66"/>
        <v>0</v>
      </c>
      <c r="DA65" s="25">
        <f t="shared" si="67"/>
        <v>0</v>
      </c>
      <c r="DB65" s="25">
        <f t="shared" si="68"/>
        <v>0</v>
      </c>
      <c r="DC65" s="25">
        <f t="shared" si="69"/>
        <v>0</v>
      </c>
      <c r="DD65" s="25">
        <f t="shared" si="70"/>
        <v>0</v>
      </c>
      <c r="DE65" s="25">
        <f t="shared" si="71"/>
        <v>0</v>
      </c>
      <c r="DF65" s="25">
        <f t="shared" si="72"/>
        <v>0</v>
      </c>
      <c r="DG65" s="25">
        <f t="shared" si="73"/>
        <v>0</v>
      </c>
      <c r="DH65" s="25">
        <f t="shared" si="74"/>
        <v>0</v>
      </c>
      <c r="DI65" s="25">
        <f t="shared" si="75"/>
        <v>0</v>
      </c>
      <c r="DJ65" s="25" t="e">
        <f t="shared" si="76"/>
        <v>#REF!</v>
      </c>
      <c r="DK65" s="25">
        <f t="shared" si="77"/>
        <v>0</v>
      </c>
      <c r="DL65" s="25">
        <f t="shared" si="78"/>
        <v>0</v>
      </c>
      <c r="DM65" s="25">
        <f t="shared" si="79"/>
        <v>0</v>
      </c>
      <c r="DN65" s="25">
        <f t="shared" si="80"/>
        <v>0</v>
      </c>
      <c r="DO65" s="25">
        <f t="shared" si="81"/>
        <v>0</v>
      </c>
      <c r="DP65" s="25">
        <f t="shared" si="82"/>
        <v>0</v>
      </c>
      <c r="DQ65" s="25">
        <f t="shared" si="83"/>
        <v>0</v>
      </c>
      <c r="DR65" s="25">
        <f t="shared" si="84"/>
        <v>0</v>
      </c>
      <c r="DS65" s="25">
        <f t="shared" si="85"/>
        <v>0</v>
      </c>
      <c r="DT65" s="25">
        <f t="shared" si="86"/>
        <v>0</v>
      </c>
      <c r="DU65" s="25">
        <f t="shared" si="87"/>
        <v>0</v>
      </c>
      <c r="DV65" s="21">
        <f t="shared" si="88"/>
        <v>0</v>
      </c>
      <c r="DW65" s="317">
        <f t="shared" si="89"/>
        <v>0</v>
      </c>
      <c r="DX65" s="317">
        <f t="shared" si="90"/>
        <v>0</v>
      </c>
      <c r="DY65" s="317">
        <f t="shared" si="91"/>
        <v>0</v>
      </c>
      <c r="DZ65" s="230">
        <f t="shared" si="92"/>
        <v>0</v>
      </c>
    </row>
    <row r="66" spans="1:130" ht="15" customHeight="1" x14ac:dyDescent="0.25">
      <c r="A66" s="1908" t="s">
        <v>452</v>
      </c>
      <c r="B66" s="1916">
        <f>IF('Тип разраб-ой док-ции'!F27=1,1,0)</f>
        <v>1</v>
      </c>
      <c r="C66" s="103" t="s">
        <v>32</v>
      </c>
      <c r="D66" s="21"/>
      <c r="E66" s="316">
        <f>'АВЗ АСУТП'!G66</f>
        <v>0.25</v>
      </c>
      <c r="F66" s="316">
        <f>'АВЗ АСУТП'!K66</f>
        <v>0.25</v>
      </c>
      <c r="G66" s="316">
        <f>'АВЗ АСУТП'!O66</f>
        <v>0.25</v>
      </c>
      <c r="H66" s="230">
        <f>'АВЗ АСУТП'!S66</f>
        <v>0.25</v>
      </c>
      <c r="I66" s="316">
        <f>'АВЗ АСУТП'!W66</f>
        <v>0.25</v>
      </c>
      <c r="J66" s="230">
        <f>'АВЗ АСУТП'!AA66</f>
        <v>0.25</v>
      </c>
      <c r="K66" s="230">
        <f>'АВЗ АСУТП'!AE66</f>
        <v>0.25</v>
      </c>
      <c r="L66" s="230">
        <f>'АВЗ АСУТП'!AI66</f>
        <v>0.25</v>
      </c>
      <c r="M66" s="230">
        <f>'SIEM АСУТП'!G66</f>
        <v>0.25</v>
      </c>
      <c r="N66" s="230">
        <f>'SIEM АСУТП'!K66</f>
        <v>0.25</v>
      </c>
      <c r="O66" s="230">
        <f>'МСЭ АСУТП'!G66</f>
        <v>0.5</v>
      </c>
      <c r="P66" s="317">
        <f>'МСЭ АСУТП'!K66</f>
        <v>0.5</v>
      </c>
      <c r="Q66" s="230">
        <f>'МСЭ АСУТП'!O66</f>
        <v>0.5</v>
      </c>
      <c r="R66" s="230">
        <f>'МСЭ АСУТП'!S66</f>
        <v>0.5</v>
      </c>
      <c r="S66" s="230">
        <f>'PAM АСУТП'!G66</f>
        <v>1</v>
      </c>
      <c r="T66" s="230">
        <f>'PAM АСУТП'!K66</f>
        <v>1</v>
      </c>
      <c r="U66" s="230">
        <f>'PAM АСУТП'!O66</f>
        <v>1</v>
      </c>
      <c r="V66" s="230">
        <f>'СКЗИ АСУТП'!G66</f>
        <v>4</v>
      </c>
      <c r="W66" s="230">
        <f>'СКЗИ АСУТП'!K66</f>
        <v>4</v>
      </c>
      <c r="X66" s="230">
        <f>'СКЗИ АСУТП'!O66</f>
        <v>4</v>
      </c>
      <c r="Y66" s="230">
        <f>'СКЗИ АСУТП'!S66</f>
        <v>4</v>
      </c>
      <c r="Z66" s="230">
        <f>'СКЗИ АСУТП'!W66</f>
        <v>4</v>
      </c>
      <c r="AA66" s="230">
        <f>'АЗ АСУТП'!G66</f>
        <v>1</v>
      </c>
      <c r="AB66" s="230">
        <f>'АЗ АСУТП'!K66</f>
        <v>1</v>
      </c>
      <c r="AC66" s="230">
        <f>'АЗ АСУТП'!O66</f>
        <v>1</v>
      </c>
      <c r="AD66" s="230">
        <f>'АЗ АСУТП'!S66</f>
        <v>1</v>
      </c>
      <c r="AE66" s="230">
        <f>'АЗ АСУТП'!W66</f>
        <v>1</v>
      </c>
      <c r="AF66" s="230">
        <f>'РК АСУТП'!G66</f>
        <v>1.5</v>
      </c>
      <c r="AG66" s="230">
        <f>'РК АСУТП'!K66</f>
        <v>1.5</v>
      </c>
      <c r="AH66" s="230">
        <f>'IDS АСУТП'!G66</f>
        <v>0</v>
      </c>
      <c r="AI66" s="230">
        <f>'IDS АСУТП'!K66</f>
        <v>0</v>
      </c>
      <c r="AJ66" s="230">
        <f>'IDS АСУТП'!O66</f>
        <v>0</v>
      </c>
      <c r="AK66" s="230">
        <f>'АПМДЗ АСУТП'!G66</f>
        <v>0.5</v>
      </c>
      <c r="AL66" s="230">
        <f>'АПМДЗ АСУТП'!K66</f>
        <v>0.5</v>
      </c>
      <c r="AM66" s="230">
        <f>'НСД АСУТП'!G66</f>
        <v>0.5</v>
      </c>
      <c r="AN66" s="230">
        <f>'НСД АСУТП'!K66</f>
        <v>0.5</v>
      </c>
      <c r="AO66" s="230">
        <f>'НСД АСУТП'!O66</f>
        <v>0.5</v>
      </c>
      <c r="AP66" s="230">
        <f>'MFA АСУТП'!G66</f>
        <v>0.25</v>
      </c>
      <c r="AQ66" s="230">
        <f>'MFA АСУТП'!K66</f>
        <v>0.25</v>
      </c>
      <c r="AR66" s="230">
        <f>'MFA АСУТП'!O66</f>
        <v>0.25</v>
      </c>
      <c r="AS66" s="230">
        <f>'MFA АСУТП'!S66</f>
        <v>0.25</v>
      </c>
      <c r="AT66" s="230">
        <f>'ДИОД АСУТП'!G66</f>
        <v>0.25</v>
      </c>
      <c r="AU66" s="230">
        <f>'ДИОД АСУТП'!K66</f>
        <v>0.25</v>
      </c>
      <c r="AV66" s="230">
        <f>'ДИОД АСУТП'!O66</f>
        <v>0.25</v>
      </c>
      <c r="AW66" s="230">
        <f>'ДИОД АСУТП'!S66</f>
        <v>0.25</v>
      </c>
      <c r="AX66" s="230">
        <f>'СЗВ АСУТП'!G66</f>
        <v>0</v>
      </c>
      <c r="AY66" s="230">
        <f>'СЗВ АСУТП'!K66</f>
        <v>0</v>
      </c>
      <c r="AZ66" s="230">
        <f>'СЗВ АСУТП'!O66</f>
        <v>0</v>
      </c>
      <c r="BA66" s="230">
        <f>'SOAR АСУТП'!G66</f>
        <v>0.25</v>
      </c>
      <c r="BB66" s="230">
        <f>'SOAR АСУТП'!K66</f>
        <v>0.25</v>
      </c>
      <c r="BC66" s="230">
        <f>'SOAR АСУТП'!O66</f>
        <v>0.25</v>
      </c>
      <c r="BD66" s="230" t="e">
        <f>'SOAR АСУТП'!#REF!</f>
        <v>#REF!</v>
      </c>
      <c r="BE66" s="230">
        <f>'VDI АСУТП'!G66</f>
        <v>2</v>
      </c>
      <c r="BF66" s="230">
        <f>'VDI АСУТП'!K66</f>
        <v>2</v>
      </c>
      <c r="BG66" s="230">
        <f>'VDI АСУТП'!O66</f>
        <v>2</v>
      </c>
      <c r="BH66" s="230">
        <f>'VDI АСУТП'!S66</f>
        <v>2</v>
      </c>
      <c r="BI66" s="230">
        <f>'VDI АСУТП'!W66</f>
        <v>2</v>
      </c>
      <c r="BJ66" s="316">
        <f>'СУБД АСУТП'!G66</f>
        <v>0</v>
      </c>
      <c r="BK66" s="316">
        <f>'СУБД АСУТП'!K66</f>
        <v>0</v>
      </c>
      <c r="BL66" s="316">
        <f>'ГОССОПКА АСУТП'!G66</f>
        <v>0.25</v>
      </c>
      <c r="BM66" s="316">
        <f>'ГОССОПКА АСУТП'!K66</f>
        <v>0.25</v>
      </c>
      <c r="BN66" s="316">
        <f>'TLS АСУТП'!G66</f>
        <v>0.25</v>
      </c>
      <c r="BO66" s="316">
        <f>'TLS АСУТП'!K66</f>
        <v>0.25</v>
      </c>
      <c r="BP66" s="316">
        <f>'DCAP АСУТП'!G66</f>
        <v>8</v>
      </c>
      <c r="BQ66" s="316">
        <f>'DCAP АСУТП'!K66</f>
        <v>8</v>
      </c>
      <c r="BR66" s="316">
        <f>'DCAP АСУТП'!O66</f>
        <v>8</v>
      </c>
      <c r="BS66" s="316">
        <f>'DO АСУТП'!G66</f>
        <v>0.25</v>
      </c>
      <c r="BT66" s="316">
        <f>'NTA АСУТП'!G66</f>
        <v>0</v>
      </c>
      <c r="BU66" s="316">
        <f>'NTA АСУТП'!K66</f>
        <v>0</v>
      </c>
      <c r="BV66" s="316">
        <f>'NTA АСУТП'!O66</f>
        <v>0</v>
      </c>
      <c r="BW66" s="316">
        <f>'NTA АСУТП'!S66</f>
        <v>0</v>
      </c>
      <c r="BX66" s="316">
        <f>'SEG АСУТП'!G66</f>
        <v>8</v>
      </c>
      <c r="BY66" s="316">
        <f>'APT АСУТП'!G66</f>
        <v>0</v>
      </c>
      <c r="BZ66" s="316">
        <f>'APT АСУТП'!K66</f>
        <v>0</v>
      </c>
      <c r="CA66" s="316">
        <f>'APT АСУТП'!O66</f>
        <v>0</v>
      </c>
      <c r="CB66" s="316">
        <f>'NAC АСУТП'!G66</f>
        <v>0.25</v>
      </c>
      <c r="CC66" s="316">
        <f>'SANDBOX АСУТП'!G66</f>
        <v>0.25</v>
      </c>
      <c r="CD66" s="316">
        <f>'SANDBOX АСУТП'!K66</f>
        <v>0.25</v>
      </c>
      <c r="CE66" s="316">
        <f>'EDR АСУТП'!G66</f>
        <v>0.25</v>
      </c>
      <c r="CF66" s="316">
        <f>'EDR АСУТП'!K66</f>
        <v>0.25</v>
      </c>
      <c r="CG66" s="316">
        <f>'WAF АСУТП'!G66</f>
        <v>0.25</v>
      </c>
      <c r="CH66" s="316">
        <f>'WAF АСУТП'!K66</f>
        <v>0.25</v>
      </c>
      <c r="CI66" s="316">
        <f>'WAF АСУТП'!O66</f>
        <v>0.25</v>
      </c>
      <c r="CJ66" s="316">
        <f>'ВМ ЗСВ'!G66</f>
        <v>0</v>
      </c>
      <c r="CK66" s="316">
        <f>'ВМ ЗСВ'!K66</f>
        <v>0</v>
      </c>
      <c r="CL66" s="316">
        <f>'ВМ ЗСВ'!O66</f>
        <v>0</v>
      </c>
      <c r="CM66" s="316">
        <f>'ВМ ЗСВ'!S66</f>
        <v>0</v>
      </c>
      <c r="CN66" s="316">
        <f>'ВМ ЗСВ'!W66</f>
        <v>0</v>
      </c>
      <c r="CO66" s="316">
        <f>'ВМ ЗСВ'!AA66</f>
        <v>0</v>
      </c>
      <c r="CP66" s="316">
        <f>'ВМ СПО'!G66</f>
        <v>0</v>
      </c>
      <c r="CQ66" s="316">
        <f>'ВМ СПО'!K66</f>
        <v>0</v>
      </c>
      <c r="CR66" s="316">
        <f>'ВМ СПО'!O66</f>
        <v>0</v>
      </c>
      <c r="CS66" s="316">
        <f>'ВМ СПО'!S66</f>
        <v>0</v>
      </c>
      <c r="CT66" s="316">
        <f>'ВМ АСО'!G66</f>
        <v>0</v>
      </c>
      <c r="CU66" s="316">
        <f>'ВМ АСО'!K66</f>
        <v>0</v>
      </c>
      <c r="CV66" s="316" t="e">
        <f t="shared" si="62"/>
        <v>#REF!</v>
      </c>
      <c r="CW66" s="25">
        <f t="shared" si="63"/>
        <v>0.25</v>
      </c>
      <c r="CX66" s="25">
        <f t="shared" si="64"/>
        <v>0.25</v>
      </c>
      <c r="CY66" s="25">
        <f t="shared" si="65"/>
        <v>0</v>
      </c>
      <c r="CZ66" s="25">
        <f t="shared" si="66"/>
        <v>0</v>
      </c>
      <c r="DA66" s="25">
        <f t="shared" si="67"/>
        <v>0</v>
      </c>
      <c r="DB66" s="25">
        <f t="shared" si="68"/>
        <v>0</v>
      </c>
      <c r="DC66" s="25">
        <f t="shared" si="69"/>
        <v>0</v>
      </c>
      <c r="DD66" s="25">
        <f t="shared" si="70"/>
        <v>0</v>
      </c>
      <c r="DE66" s="25">
        <f t="shared" si="71"/>
        <v>0</v>
      </c>
      <c r="DF66" s="25">
        <f t="shared" si="72"/>
        <v>0</v>
      </c>
      <c r="DG66" s="25">
        <f t="shared" si="73"/>
        <v>0</v>
      </c>
      <c r="DH66" s="25">
        <f t="shared" si="74"/>
        <v>0</v>
      </c>
      <c r="DI66" s="25">
        <f t="shared" si="75"/>
        <v>0</v>
      </c>
      <c r="DJ66" s="25" t="e">
        <f t="shared" si="76"/>
        <v>#REF!</v>
      </c>
      <c r="DK66" s="25">
        <f t="shared" si="77"/>
        <v>0</v>
      </c>
      <c r="DL66" s="25">
        <f t="shared" si="78"/>
        <v>0</v>
      </c>
      <c r="DM66" s="25">
        <f t="shared" si="79"/>
        <v>0</v>
      </c>
      <c r="DN66" s="25">
        <f t="shared" si="80"/>
        <v>0</v>
      </c>
      <c r="DO66" s="25">
        <f t="shared" si="81"/>
        <v>0</v>
      </c>
      <c r="DP66" s="25">
        <f t="shared" si="82"/>
        <v>0</v>
      </c>
      <c r="DQ66" s="25">
        <f t="shared" si="83"/>
        <v>0</v>
      </c>
      <c r="DR66" s="25">
        <f t="shared" si="84"/>
        <v>0</v>
      </c>
      <c r="DS66" s="25">
        <f t="shared" si="85"/>
        <v>0</v>
      </c>
      <c r="DT66" s="25">
        <f t="shared" si="86"/>
        <v>0</v>
      </c>
      <c r="DU66" s="25">
        <f t="shared" si="87"/>
        <v>0</v>
      </c>
      <c r="DV66" s="21">
        <f t="shared" si="88"/>
        <v>0</v>
      </c>
      <c r="DW66" s="317">
        <f t="shared" si="89"/>
        <v>0</v>
      </c>
      <c r="DX66" s="317">
        <f t="shared" si="90"/>
        <v>0</v>
      </c>
      <c r="DY66" s="317">
        <f t="shared" si="91"/>
        <v>0</v>
      </c>
      <c r="DZ66" s="230">
        <f t="shared" si="92"/>
        <v>0</v>
      </c>
    </row>
    <row r="67" spans="1:130" ht="15" customHeight="1" x14ac:dyDescent="0.25">
      <c r="A67" s="1908"/>
      <c r="B67" s="1916"/>
      <c r="C67" s="103" t="s">
        <v>33</v>
      </c>
      <c r="D67" s="21"/>
      <c r="E67" s="316">
        <f>'АВЗ АСУТП'!G67</f>
        <v>0.5</v>
      </c>
      <c r="F67" s="316">
        <f>'АВЗ АСУТП'!K67</f>
        <v>0.5</v>
      </c>
      <c r="G67" s="316">
        <f>'АВЗ АСУТП'!O67</f>
        <v>0.5</v>
      </c>
      <c r="H67" s="230">
        <f>'АВЗ АСУТП'!S67</f>
        <v>0.5</v>
      </c>
      <c r="I67" s="316">
        <f>'АВЗ АСУТП'!W67</f>
        <v>0.5</v>
      </c>
      <c r="J67" s="230">
        <f>'АВЗ АСУТП'!AA67</f>
        <v>0.5</v>
      </c>
      <c r="K67" s="230">
        <f>'АВЗ АСУТП'!AE67</f>
        <v>0.5</v>
      </c>
      <c r="L67" s="230">
        <f>'АВЗ АСУТП'!AI67</f>
        <v>0.5</v>
      </c>
      <c r="M67" s="230">
        <f>'SIEM АСУТП'!G67</f>
        <v>0.5</v>
      </c>
      <c r="N67" s="230">
        <f>'SIEM АСУТП'!K67</f>
        <v>0.5</v>
      </c>
      <c r="O67" s="230">
        <f>'МСЭ АСУТП'!G67</f>
        <v>1</v>
      </c>
      <c r="P67" s="317">
        <f>'МСЭ АСУТП'!K67</f>
        <v>1</v>
      </c>
      <c r="Q67" s="230">
        <f>'МСЭ АСУТП'!O67</f>
        <v>1</v>
      </c>
      <c r="R67" s="230">
        <f>'МСЭ АСУТП'!S67</f>
        <v>1</v>
      </c>
      <c r="S67" s="230">
        <f>'PAM АСУТП'!G67</f>
        <v>1</v>
      </c>
      <c r="T67" s="230">
        <f>'PAM АСУТП'!K67</f>
        <v>1</v>
      </c>
      <c r="U67" s="230">
        <f>'PAM АСУТП'!O67</f>
        <v>1</v>
      </c>
      <c r="V67" s="230">
        <f>'СКЗИ АСУТП'!G67</f>
        <v>6</v>
      </c>
      <c r="W67" s="230">
        <f>'СКЗИ АСУТП'!K67</f>
        <v>6</v>
      </c>
      <c r="X67" s="230">
        <f>'СКЗИ АСУТП'!O67</f>
        <v>6</v>
      </c>
      <c r="Y67" s="230">
        <f>'СКЗИ АСУТП'!S67</f>
        <v>6</v>
      </c>
      <c r="Z67" s="230">
        <f>'СКЗИ АСУТП'!W67</f>
        <v>6</v>
      </c>
      <c r="AA67" s="230">
        <f>'АЗ АСУТП'!G67</f>
        <v>1</v>
      </c>
      <c r="AB67" s="230">
        <f>'АЗ АСУТП'!K67</f>
        <v>1</v>
      </c>
      <c r="AC67" s="230">
        <f>'АЗ АСУТП'!O67</f>
        <v>1</v>
      </c>
      <c r="AD67" s="230">
        <f>'АЗ АСУТП'!S67</f>
        <v>1</v>
      </c>
      <c r="AE67" s="230">
        <f>'АЗ АСУТП'!W67</f>
        <v>1</v>
      </c>
      <c r="AF67" s="230">
        <f>'РК АСУТП'!G67</f>
        <v>1.5</v>
      </c>
      <c r="AG67" s="230">
        <f>'РК АСУТП'!K67</f>
        <v>1.5</v>
      </c>
      <c r="AH67" s="230">
        <f>'IDS АСУТП'!G67</f>
        <v>0</v>
      </c>
      <c r="AI67" s="230">
        <f>'IDS АСУТП'!K67</f>
        <v>0</v>
      </c>
      <c r="AJ67" s="230">
        <f>'IDS АСУТП'!O67</f>
        <v>0</v>
      </c>
      <c r="AK67" s="230">
        <f>'АПМДЗ АСУТП'!G67</f>
        <v>1</v>
      </c>
      <c r="AL67" s="230">
        <f>'АПМДЗ АСУТП'!K67</f>
        <v>1</v>
      </c>
      <c r="AM67" s="230">
        <f>'НСД АСУТП'!G67</f>
        <v>1</v>
      </c>
      <c r="AN67" s="230">
        <f>'НСД АСУТП'!K67</f>
        <v>1</v>
      </c>
      <c r="AO67" s="230">
        <f>'НСД АСУТП'!O67</f>
        <v>1</v>
      </c>
      <c r="AP67" s="230">
        <f>'MFA АСУТП'!G67</f>
        <v>0.5</v>
      </c>
      <c r="AQ67" s="230">
        <f>'MFA АСУТП'!K67</f>
        <v>0.5</v>
      </c>
      <c r="AR67" s="230">
        <f>'MFA АСУТП'!O67</f>
        <v>0.5</v>
      </c>
      <c r="AS67" s="230">
        <f>'MFA АСУТП'!S67</f>
        <v>0.5</v>
      </c>
      <c r="AT67" s="230">
        <f>'ДИОД АСУТП'!G67</f>
        <v>0.5</v>
      </c>
      <c r="AU67" s="230">
        <f>'ДИОД АСУТП'!K67</f>
        <v>0.5</v>
      </c>
      <c r="AV67" s="230">
        <f>'ДИОД АСУТП'!O67</f>
        <v>0.5</v>
      </c>
      <c r="AW67" s="230">
        <f>'ДИОД АСУТП'!S67</f>
        <v>0.5</v>
      </c>
      <c r="AX67" s="230">
        <f>'СЗВ АСУТП'!G67</f>
        <v>0</v>
      </c>
      <c r="AY67" s="230">
        <f>'СЗВ АСУТП'!K67</f>
        <v>0</v>
      </c>
      <c r="AZ67" s="230">
        <f>'СЗВ АСУТП'!O67</f>
        <v>0</v>
      </c>
      <c r="BA67" s="230">
        <f>'SOAR АСУТП'!G67</f>
        <v>0.5</v>
      </c>
      <c r="BB67" s="230">
        <f>'SOAR АСУТП'!K67</f>
        <v>0.5</v>
      </c>
      <c r="BC67" s="230">
        <f>'SOAR АСУТП'!O67</f>
        <v>0.5</v>
      </c>
      <c r="BD67" s="230" t="e">
        <f>'SOAR АСУТП'!#REF!</f>
        <v>#REF!</v>
      </c>
      <c r="BE67" s="230">
        <f>'VDI АСУТП'!G67</f>
        <v>2</v>
      </c>
      <c r="BF67" s="230">
        <f>'VDI АСУТП'!K67</f>
        <v>2</v>
      </c>
      <c r="BG67" s="230">
        <f>'VDI АСУТП'!O67</f>
        <v>2</v>
      </c>
      <c r="BH67" s="230">
        <f>'VDI АСУТП'!S67</f>
        <v>2</v>
      </c>
      <c r="BI67" s="230">
        <f>'VDI АСУТП'!W67</f>
        <v>2</v>
      </c>
      <c r="BJ67" s="316">
        <f>'СУБД АСУТП'!G67</f>
        <v>0</v>
      </c>
      <c r="BK67" s="316">
        <f>'СУБД АСУТП'!K67</f>
        <v>0</v>
      </c>
      <c r="BL67" s="316">
        <f>'ГОССОПКА АСУТП'!G67</f>
        <v>0.5</v>
      </c>
      <c r="BM67" s="316">
        <f>'ГОССОПКА АСУТП'!K67</f>
        <v>0.5</v>
      </c>
      <c r="BN67" s="316">
        <f>'TLS АСУТП'!G67</f>
        <v>0.5</v>
      </c>
      <c r="BO67" s="316">
        <f>'TLS АСУТП'!K67</f>
        <v>0.5</v>
      </c>
      <c r="BP67" s="316">
        <f>'DCAP АСУТП'!G67</f>
        <v>16</v>
      </c>
      <c r="BQ67" s="316">
        <f>'DCAP АСУТП'!K67</f>
        <v>16</v>
      </c>
      <c r="BR67" s="316">
        <f>'DCAP АСУТП'!O67</f>
        <v>16</v>
      </c>
      <c r="BS67" s="316">
        <f>'DO АСУТП'!G67</f>
        <v>0.25</v>
      </c>
      <c r="BT67" s="316">
        <f>'NTA АСУТП'!G67</f>
        <v>0</v>
      </c>
      <c r="BU67" s="316">
        <f>'NTA АСУТП'!K67</f>
        <v>0</v>
      </c>
      <c r="BV67" s="316">
        <f>'NTA АСУТП'!O67</f>
        <v>0</v>
      </c>
      <c r="BW67" s="316">
        <f>'NTA АСУТП'!S67</f>
        <v>0</v>
      </c>
      <c r="BX67" s="316">
        <f>'SEG АСУТП'!G67</f>
        <v>16</v>
      </c>
      <c r="BY67" s="316">
        <f>'APT АСУТП'!G67</f>
        <v>0</v>
      </c>
      <c r="BZ67" s="316">
        <f>'APT АСУТП'!K67</f>
        <v>0</v>
      </c>
      <c r="CA67" s="316">
        <f>'APT АСУТП'!O67</f>
        <v>0</v>
      </c>
      <c r="CB67" s="316">
        <f>'NAC АСУТП'!G67</f>
        <v>0.5</v>
      </c>
      <c r="CC67" s="316">
        <f>'SANDBOX АСУТП'!G67</f>
        <v>0.5</v>
      </c>
      <c r="CD67" s="316">
        <f>'SANDBOX АСУТП'!K67</f>
        <v>0.5</v>
      </c>
      <c r="CE67" s="316">
        <f>'EDR АСУТП'!G67</f>
        <v>0.25</v>
      </c>
      <c r="CF67" s="316">
        <f>'EDR АСУТП'!K67</f>
        <v>0.25</v>
      </c>
      <c r="CG67" s="316">
        <f>'WAF АСУТП'!G67</f>
        <v>0.5</v>
      </c>
      <c r="CH67" s="316">
        <f>'WAF АСУТП'!K67</f>
        <v>0.5</v>
      </c>
      <c r="CI67" s="316">
        <f>'WAF АСУТП'!O67</f>
        <v>0.5</v>
      </c>
      <c r="CJ67" s="316">
        <f>'ВМ ЗСВ'!G67</f>
        <v>0</v>
      </c>
      <c r="CK67" s="316">
        <f>'ВМ ЗСВ'!K67</f>
        <v>0</v>
      </c>
      <c r="CL67" s="316">
        <f>'ВМ ЗСВ'!O67</f>
        <v>0</v>
      </c>
      <c r="CM67" s="316">
        <f>'ВМ ЗСВ'!S67</f>
        <v>0</v>
      </c>
      <c r="CN67" s="316">
        <f>'ВМ ЗСВ'!W67</f>
        <v>0</v>
      </c>
      <c r="CO67" s="316">
        <f>'ВМ ЗСВ'!AA67</f>
        <v>0</v>
      </c>
      <c r="CP67" s="316">
        <f>'ВМ СПО'!G67</f>
        <v>0</v>
      </c>
      <c r="CQ67" s="316">
        <f>'ВМ СПО'!K67</f>
        <v>0</v>
      </c>
      <c r="CR67" s="316">
        <f>'ВМ СПО'!O67</f>
        <v>0</v>
      </c>
      <c r="CS67" s="316">
        <f>'ВМ СПО'!S67</f>
        <v>0</v>
      </c>
      <c r="CT67" s="316">
        <f>'ВМ АСО'!G67</f>
        <v>0</v>
      </c>
      <c r="CU67" s="316">
        <f>'ВМ АСО'!K67</f>
        <v>0</v>
      </c>
      <c r="CV67" s="316" t="e">
        <f t="shared" si="62"/>
        <v>#REF!</v>
      </c>
      <c r="CW67" s="25">
        <f t="shared" si="63"/>
        <v>0.5</v>
      </c>
      <c r="CX67" s="25">
        <f t="shared" si="64"/>
        <v>0.5</v>
      </c>
      <c r="CY67" s="25">
        <f t="shared" si="65"/>
        <v>0</v>
      </c>
      <c r="CZ67" s="25">
        <f t="shared" si="66"/>
        <v>0</v>
      </c>
      <c r="DA67" s="25">
        <f t="shared" si="67"/>
        <v>0</v>
      </c>
      <c r="DB67" s="25">
        <f t="shared" si="68"/>
        <v>0</v>
      </c>
      <c r="DC67" s="25">
        <f t="shared" si="69"/>
        <v>0</v>
      </c>
      <c r="DD67" s="25">
        <f t="shared" si="70"/>
        <v>0</v>
      </c>
      <c r="DE67" s="25">
        <f t="shared" si="71"/>
        <v>0</v>
      </c>
      <c r="DF67" s="25">
        <f t="shared" si="72"/>
        <v>0</v>
      </c>
      <c r="DG67" s="25">
        <f t="shared" si="73"/>
        <v>0</v>
      </c>
      <c r="DH67" s="25">
        <f t="shared" si="74"/>
        <v>0</v>
      </c>
      <c r="DI67" s="25">
        <f t="shared" si="75"/>
        <v>0</v>
      </c>
      <c r="DJ67" s="25" t="e">
        <f t="shared" si="76"/>
        <v>#REF!</v>
      </c>
      <c r="DK67" s="25">
        <f t="shared" si="77"/>
        <v>0</v>
      </c>
      <c r="DL67" s="25">
        <f t="shared" si="78"/>
        <v>0</v>
      </c>
      <c r="DM67" s="25">
        <f t="shared" si="79"/>
        <v>0</v>
      </c>
      <c r="DN67" s="25">
        <f t="shared" si="80"/>
        <v>0</v>
      </c>
      <c r="DO67" s="25">
        <f t="shared" si="81"/>
        <v>0</v>
      </c>
      <c r="DP67" s="25">
        <f t="shared" si="82"/>
        <v>0</v>
      </c>
      <c r="DQ67" s="25">
        <f t="shared" si="83"/>
        <v>0</v>
      </c>
      <c r="DR67" s="25">
        <f t="shared" si="84"/>
        <v>0</v>
      </c>
      <c r="DS67" s="25">
        <f t="shared" si="85"/>
        <v>0</v>
      </c>
      <c r="DT67" s="25">
        <f t="shared" si="86"/>
        <v>0</v>
      </c>
      <c r="DU67" s="25">
        <f t="shared" si="87"/>
        <v>0</v>
      </c>
      <c r="DV67" s="21">
        <f t="shared" si="88"/>
        <v>0</v>
      </c>
      <c r="DW67" s="317">
        <f t="shared" si="89"/>
        <v>0</v>
      </c>
      <c r="DX67" s="317">
        <f t="shared" si="90"/>
        <v>0</v>
      </c>
      <c r="DY67" s="317">
        <f t="shared" si="91"/>
        <v>0</v>
      </c>
      <c r="DZ67" s="230">
        <f t="shared" si="92"/>
        <v>0</v>
      </c>
    </row>
    <row r="68" spans="1:130" ht="15.75" customHeight="1" x14ac:dyDescent="0.25">
      <c r="A68" s="1908"/>
      <c r="B68" s="1916"/>
      <c r="C68" s="103" t="s">
        <v>34</v>
      </c>
      <c r="D68" s="21"/>
      <c r="E68" s="316">
        <f>'АВЗ АСУТП'!G68</f>
        <v>0.5</v>
      </c>
      <c r="F68" s="316">
        <f>'АВЗ АСУТП'!K68</f>
        <v>0.5</v>
      </c>
      <c r="G68" s="316">
        <f>'АВЗ АСУТП'!O68</f>
        <v>0.5</v>
      </c>
      <c r="H68" s="230">
        <f>'АВЗ АСУТП'!S68</f>
        <v>0.5</v>
      </c>
      <c r="I68" s="316">
        <f>'АВЗ АСУТП'!W68</f>
        <v>0.5</v>
      </c>
      <c r="J68" s="230">
        <f>'АВЗ АСУТП'!AA68</f>
        <v>0.5</v>
      </c>
      <c r="K68" s="230">
        <f>'АВЗ АСУТП'!AE68</f>
        <v>0.5</v>
      </c>
      <c r="L68" s="230">
        <f>'АВЗ АСУТП'!AI68</f>
        <v>0.5</v>
      </c>
      <c r="M68" s="230">
        <f>'SIEM АСУТП'!G68</f>
        <v>0.5</v>
      </c>
      <c r="N68" s="230">
        <f>'SIEM АСУТП'!K68</f>
        <v>0.5</v>
      </c>
      <c r="O68" s="230">
        <f>'МСЭ АСУТП'!G68</f>
        <v>1.5</v>
      </c>
      <c r="P68" s="317">
        <f>'МСЭ АСУТП'!K68</f>
        <v>1.5</v>
      </c>
      <c r="Q68" s="230">
        <f>'МСЭ АСУТП'!O68</f>
        <v>1.5</v>
      </c>
      <c r="R68" s="230">
        <f>'МСЭ АСУТП'!S68</f>
        <v>1.5</v>
      </c>
      <c r="S68" s="230">
        <f>'PAM АСУТП'!G68</f>
        <v>1</v>
      </c>
      <c r="T68" s="230">
        <f>'PAM АСУТП'!K68</f>
        <v>1</v>
      </c>
      <c r="U68" s="230">
        <f>'PAM АСУТП'!O68</f>
        <v>1</v>
      </c>
      <c r="V68" s="230">
        <f>'СКЗИ АСУТП'!G68</f>
        <v>8</v>
      </c>
      <c r="W68" s="230">
        <f>'СКЗИ АСУТП'!K68</f>
        <v>8</v>
      </c>
      <c r="X68" s="230">
        <f>'СКЗИ АСУТП'!O68</f>
        <v>8</v>
      </c>
      <c r="Y68" s="230">
        <f>'СКЗИ АСУТП'!S68</f>
        <v>8</v>
      </c>
      <c r="Z68" s="230">
        <f>'СКЗИ АСУТП'!W68</f>
        <v>8</v>
      </c>
      <c r="AA68" s="230">
        <f>'АЗ АСУТП'!G68</f>
        <v>1</v>
      </c>
      <c r="AB68" s="230">
        <f>'АЗ АСУТП'!K68</f>
        <v>1</v>
      </c>
      <c r="AC68" s="230">
        <f>'АЗ АСУТП'!O68</f>
        <v>1</v>
      </c>
      <c r="AD68" s="230">
        <f>'АЗ АСУТП'!S68</f>
        <v>1</v>
      </c>
      <c r="AE68" s="230">
        <f>'АЗ АСУТП'!W68</f>
        <v>1</v>
      </c>
      <c r="AF68" s="230">
        <f>'РК АСУТП'!G68</f>
        <v>1.5</v>
      </c>
      <c r="AG68" s="230">
        <f>'РК АСУТП'!K68</f>
        <v>1.5</v>
      </c>
      <c r="AH68" s="230">
        <f>'IDS АСУТП'!G68</f>
        <v>0</v>
      </c>
      <c r="AI68" s="230">
        <f>'IDS АСУТП'!K68</f>
        <v>0</v>
      </c>
      <c r="AJ68" s="230">
        <f>'IDS АСУТП'!O68</f>
        <v>0</v>
      </c>
      <c r="AK68" s="230">
        <f>'АПМДЗ АСУТП'!G68</f>
        <v>1.5</v>
      </c>
      <c r="AL68" s="230">
        <f>'АПМДЗ АСУТП'!K68</f>
        <v>1.5</v>
      </c>
      <c r="AM68" s="230">
        <f>'НСД АСУТП'!G68</f>
        <v>1.5</v>
      </c>
      <c r="AN68" s="230">
        <f>'НСД АСУТП'!K68</f>
        <v>1.5</v>
      </c>
      <c r="AO68" s="230">
        <f>'НСД АСУТП'!O68</f>
        <v>1.5</v>
      </c>
      <c r="AP68" s="230">
        <f>'MFA АСУТП'!G68</f>
        <v>1</v>
      </c>
      <c r="AQ68" s="230">
        <f>'MFA АСУТП'!K68</f>
        <v>1</v>
      </c>
      <c r="AR68" s="230">
        <f>'MFA АСУТП'!O68</f>
        <v>1</v>
      </c>
      <c r="AS68" s="230">
        <f>'MFA АСУТП'!S68</f>
        <v>1</v>
      </c>
      <c r="AT68" s="230">
        <f>'ДИОД АСУТП'!G68</f>
        <v>1</v>
      </c>
      <c r="AU68" s="230">
        <f>'ДИОД АСУТП'!K68</f>
        <v>1</v>
      </c>
      <c r="AV68" s="230">
        <f>'ДИОД АСУТП'!O68</f>
        <v>1</v>
      </c>
      <c r="AW68" s="230">
        <f>'ДИОД АСУТП'!S68</f>
        <v>1</v>
      </c>
      <c r="AX68" s="230">
        <f>'СЗВ АСУТП'!G68</f>
        <v>0</v>
      </c>
      <c r="AY68" s="230">
        <f>'СЗВ АСУТП'!K68</f>
        <v>0</v>
      </c>
      <c r="AZ68" s="230">
        <f>'СЗВ АСУТП'!O68</f>
        <v>0</v>
      </c>
      <c r="BA68" s="230">
        <f>'SOAR АСУТП'!G68</f>
        <v>0.5</v>
      </c>
      <c r="BB68" s="230">
        <f>'SOAR АСУТП'!K68</f>
        <v>0.5</v>
      </c>
      <c r="BC68" s="230">
        <f>'SOAR АСУТП'!O68</f>
        <v>0.5</v>
      </c>
      <c r="BD68" s="230" t="e">
        <f>'SOAR АСУТП'!#REF!</f>
        <v>#REF!</v>
      </c>
      <c r="BE68" s="230">
        <f>'VDI АСУТП'!G68</f>
        <v>2</v>
      </c>
      <c r="BF68" s="230">
        <f>'VDI АСУТП'!K68</f>
        <v>2</v>
      </c>
      <c r="BG68" s="230">
        <f>'VDI АСУТП'!O68</f>
        <v>2</v>
      </c>
      <c r="BH68" s="230">
        <f>'VDI АСУТП'!S68</f>
        <v>2</v>
      </c>
      <c r="BI68" s="230">
        <f>'VDI АСУТП'!W68</f>
        <v>2</v>
      </c>
      <c r="BJ68" s="316">
        <f>'СУБД АСУТП'!G68</f>
        <v>0</v>
      </c>
      <c r="BK68" s="316">
        <f>'СУБД АСУТП'!K68</f>
        <v>0</v>
      </c>
      <c r="BL68" s="316">
        <f>'ГОССОПКА АСУТП'!G68</f>
        <v>1</v>
      </c>
      <c r="BM68" s="316">
        <f>'ГОССОПКА АСУТП'!K68</f>
        <v>1</v>
      </c>
      <c r="BN68" s="316">
        <f>'TLS АСУТП'!G68</f>
        <v>1</v>
      </c>
      <c r="BO68" s="316">
        <f>'TLS АСУТП'!K68</f>
        <v>1</v>
      </c>
      <c r="BP68" s="316">
        <f>'DCAP АСУТП'!G68</f>
        <v>24</v>
      </c>
      <c r="BQ68" s="316">
        <f>'DCAP АСУТП'!K68</f>
        <v>24</v>
      </c>
      <c r="BR68" s="316">
        <f>'DCAP АСУТП'!O68</f>
        <v>24</v>
      </c>
      <c r="BS68" s="316">
        <f>'DO АСУТП'!G68</f>
        <v>0.25</v>
      </c>
      <c r="BT68" s="316">
        <f>'NTA АСУТП'!G68</f>
        <v>0</v>
      </c>
      <c r="BU68" s="316">
        <f>'NTA АСУТП'!K68</f>
        <v>0</v>
      </c>
      <c r="BV68" s="316">
        <f>'NTA АСУТП'!O68</f>
        <v>0</v>
      </c>
      <c r="BW68" s="316">
        <f>'NTA АСУТП'!S68</f>
        <v>0</v>
      </c>
      <c r="BX68" s="316">
        <f>'SEG АСУТП'!G68</f>
        <v>24</v>
      </c>
      <c r="BY68" s="316">
        <f>'APT АСУТП'!G68</f>
        <v>0</v>
      </c>
      <c r="BZ68" s="316">
        <f>'APT АСУТП'!K68</f>
        <v>0</v>
      </c>
      <c r="CA68" s="316">
        <f>'APT АСУТП'!O68</f>
        <v>0</v>
      </c>
      <c r="CB68" s="316">
        <f>'NAC АСУТП'!G68</f>
        <v>1</v>
      </c>
      <c r="CC68" s="316">
        <f>'SANDBOX АСУТП'!G68</f>
        <v>1</v>
      </c>
      <c r="CD68" s="316">
        <f>'SANDBOX АСУТП'!K68</f>
        <v>1</v>
      </c>
      <c r="CE68" s="316">
        <f>'EDR АСУТП'!G68</f>
        <v>0.25</v>
      </c>
      <c r="CF68" s="316">
        <f>'EDR АСУТП'!K68</f>
        <v>0.25</v>
      </c>
      <c r="CG68" s="316">
        <f>'WAF АСУТП'!G68</f>
        <v>1</v>
      </c>
      <c r="CH68" s="316">
        <f>'WAF АСУТП'!K68</f>
        <v>1</v>
      </c>
      <c r="CI68" s="316">
        <f>'WAF АСУТП'!O68</f>
        <v>1</v>
      </c>
      <c r="CJ68" s="316">
        <f>'ВМ ЗСВ'!G68</f>
        <v>0</v>
      </c>
      <c r="CK68" s="316">
        <f>'ВМ ЗСВ'!K68</f>
        <v>0</v>
      </c>
      <c r="CL68" s="316">
        <f>'ВМ ЗСВ'!O68</f>
        <v>0</v>
      </c>
      <c r="CM68" s="316">
        <f>'ВМ ЗСВ'!S68</f>
        <v>0</v>
      </c>
      <c r="CN68" s="316">
        <f>'ВМ ЗСВ'!W68</f>
        <v>0</v>
      </c>
      <c r="CO68" s="316">
        <f>'ВМ ЗСВ'!AA68</f>
        <v>0</v>
      </c>
      <c r="CP68" s="316">
        <f>'ВМ СПО'!G68</f>
        <v>0</v>
      </c>
      <c r="CQ68" s="316">
        <f>'ВМ СПО'!K68</f>
        <v>0</v>
      </c>
      <c r="CR68" s="316">
        <f>'ВМ СПО'!O68</f>
        <v>0</v>
      </c>
      <c r="CS68" s="316">
        <f>'ВМ СПО'!S68</f>
        <v>0</v>
      </c>
      <c r="CT68" s="316">
        <f>'ВМ АСО'!G68</f>
        <v>0</v>
      </c>
      <c r="CU68" s="316">
        <f>'ВМ АСО'!K68</f>
        <v>0</v>
      </c>
      <c r="CV68" s="316" t="e">
        <f t="shared" si="62"/>
        <v>#REF!</v>
      </c>
      <c r="CW68" s="25">
        <f t="shared" si="63"/>
        <v>0.5</v>
      </c>
      <c r="CX68" s="25">
        <f t="shared" si="64"/>
        <v>0.5</v>
      </c>
      <c r="CY68" s="25">
        <f t="shared" si="65"/>
        <v>0</v>
      </c>
      <c r="CZ68" s="25">
        <f t="shared" si="66"/>
        <v>0</v>
      </c>
      <c r="DA68" s="25">
        <f t="shared" si="67"/>
        <v>0</v>
      </c>
      <c r="DB68" s="25">
        <f t="shared" si="68"/>
        <v>0</v>
      </c>
      <c r="DC68" s="25">
        <f t="shared" si="69"/>
        <v>0</v>
      </c>
      <c r="DD68" s="25">
        <f t="shared" si="70"/>
        <v>0</v>
      </c>
      <c r="DE68" s="25">
        <f t="shared" si="71"/>
        <v>0</v>
      </c>
      <c r="DF68" s="25">
        <f t="shared" si="72"/>
        <v>0</v>
      </c>
      <c r="DG68" s="25">
        <f t="shared" si="73"/>
        <v>0</v>
      </c>
      <c r="DH68" s="25">
        <f t="shared" si="74"/>
        <v>0</v>
      </c>
      <c r="DI68" s="25">
        <f t="shared" si="75"/>
        <v>0</v>
      </c>
      <c r="DJ68" s="25" t="e">
        <f t="shared" si="76"/>
        <v>#REF!</v>
      </c>
      <c r="DK68" s="25">
        <f t="shared" si="77"/>
        <v>0</v>
      </c>
      <c r="DL68" s="25">
        <f t="shared" si="78"/>
        <v>0</v>
      </c>
      <c r="DM68" s="25">
        <f t="shared" si="79"/>
        <v>0</v>
      </c>
      <c r="DN68" s="25">
        <f t="shared" si="80"/>
        <v>0</v>
      </c>
      <c r="DO68" s="25">
        <f t="shared" si="81"/>
        <v>0</v>
      </c>
      <c r="DP68" s="25">
        <f t="shared" si="82"/>
        <v>0</v>
      </c>
      <c r="DQ68" s="25">
        <f t="shared" si="83"/>
        <v>0</v>
      </c>
      <c r="DR68" s="25">
        <f t="shared" si="84"/>
        <v>0</v>
      </c>
      <c r="DS68" s="25">
        <f t="shared" si="85"/>
        <v>0</v>
      </c>
      <c r="DT68" s="25">
        <f t="shared" si="86"/>
        <v>0</v>
      </c>
      <c r="DU68" s="25">
        <f t="shared" si="87"/>
        <v>0</v>
      </c>
      <c r="DV68" s="21">
        <f t="shared" si="88"/>
        <v>0</v>
      </c>
      <c r="DW68" s="317">
        <f t="shared" si="89"/>
        <v>0</v>
      </c>
      <c r="DX68" s="317">
        <f t="shared" si="90"/>
        <v>0</v>
      </c>
      <c r="DY68" s="317">
        <f t="shared" si="91"/>
        <v>0</v>
      </c>
      <c r="DZ68" s="230">
        <f t="shared" si="92"/>
        <v>0</v>
      </c>
    </row>
    <row r="69" spans="1:130" ht="15.75" customHeight="1" x14ac:dyDescent="0.25">
      <c r="A69" s="1908" t="s">
        <v>533</v>
      </c>
      <c r="B69" s="1916">
        <f>IF('Тип разраб-ой док-ции'!F28=1,1,0)</f>
        <v>1</v>
      </c>
      <c r="C69" s="103" t="s">
        <v>32</v>
      </c>
      <c r="D69" s="21"/>
      <c r="E69" s="316">
        <f>'АВЗ АСУТП'!G69</f>
        <v>3</v>
      </c>
      <c r="F69" s="316">
        <f>'АВЗ АСУТП'!K69</f>
        <v>3</v>
      </c>
      <c r="G69" s="316">
        <f>'АВЗ АСУТП'!O69</f>
        <v>3</v>
      </c>
      <c r="H69" s="230">
        <f>'АВЗ АСУТП'!S69</f>
        <v>3</v>
      </c>
      <c r="I69" s="316">
        <f>'АВЗ АСУТП'!W69</f>
        <v>3</v>
      </c>
      <c r="J69" s="230">
        <f>'АВЗ АСУТП'!AA69</f>
        <v>3</v>
      </c>
      <c r="K69" s="230">
        <f>'АВЗ АСУТП'!AE69</f>
        <v>3</v>
      </c>
      <c r="L69" s="230">
        <f>'АВЗ АСУТП'!AI69</f>
        <v>3</v>
      </c>
      <c r="M69" s="230">
        <f>'SIEM АСУТП'!G69</f>
        <v>5.5</v>
      </c>
      <c r="N69" s="230">
        <f>'SIEM АСУТП'!K69</f>
        <v>5.5</v>
      </c>
      <c r="O69" s="230">
        <f>'МСЭ АСУТП'!G69</f>
        <v>4</v>
      </c>
      <c r="P69" s="317">
        <f>'МСЭ АСУТП'!K69</f>
        <v>4</v>
      </c>
      <c r="Q69" s="230">
        <f>'МСЭ АСУТП'!O69</f>
        <v>4</v>
      </c>
      <c r="R69" s="230">
        <f>'МСЭ АСУТП'!S69</f>
        <v>4</v>
      </c>
      <c r="S69" s="230">
        <f>'PAM АСУТП'!G69</f>
        <v>4</v>
      </c>
      <c r="T69" s="230">
        <f>'PAM АСУТП'!K69</f>
        <v>4</v>
      </c>
      <c r="U69" s="230">
        <f>'PAM АСУТП'!O69</f>
        <v>4</v>
      </c>
      <c r="V69" s="230">
        <f>'СКЗИ АСУТП'!G69</f>
        <v>4</v>
      </c>
      <c r="W69" s="230">
        <f>'СКЗИ АСУТП'!K69</f>
        <v>4</v>
      </c>
      <c r="X69" s="230">
        <f>'СКЗИ АСУТП'!O69</f>
        <v>4</v>
      </c>
      <c r="Y69" s="230">
        <f>'СКЗИ АСУТП'!S69</f>
        <v>4</v>
      </c>
      <c r="Z69" s="230">
        <f>'СКЗИ АСУТП'!W69</f>
        <v>4</v>
      </c>
      <c r="AA69" s="230">
        <f>'АЗ АСУТП'!G69</f>
        <v>2</v>
      </c>
      <c r="AB69" s="230">
        <f>'АЗ АСУТП'!K69</f>
        <v>2</v>
      </c>
      <c r="AC69" s="230">
        <f>'АЗ АСУТП'!O69</f>
        <v>2</v>
      </c>
      <c r="AD69" s="230">
        <f>'АЗ АСУТП'!S69</f>
        <v>2</v>
      </c>
      <c r="AE69" s="230">
        <f>'АЗ АСУТП'!W69</f>
        <v>2</v>
      </c>
      <c r="AF69" s="230">
        <f>'РК АСУТП'!G69</f>
        <v>3</v>
      </c>
      <c r="AG69" s="230">
        <f>'РК АСУТП'!K69</f>
        <v>3</v>
      </c>
      <c r="AH69" s="230">
        <f>'IDS АСУТП'!G69</f>
        <v>0</v>
      </c>
      <c r="AI69" s="230">
        <f>'IDS АСУТП'!K69</f>
        <v>0</v>
      </c>
      <c r="AJ69" s="230">
        <f>'IDS АСУТП'!O69</f>
        <v>0</v>
      </c>
      <c r="AK69" s="230">
        <f>'АПМДЗ АСУТП'!G69</f>
        <v>0</v>
      </c>
      <c r="AL69" s="230">
        <f>'АПМДЗ АСУТП'!K69</f>
        <v>0</v>
      </c>
      <c r="AM69" s="230">
        <f>'НСД АСУТП'!G69</f>
        <v>0</v>
      </c>
      <c r="AN69" s="230">
        <f>'НСД АСУТП'!K69</f>
        <v>0</v>
      </c>
      <c r="AO69" s="230">
        <f>'НСД АСУТП'!O69</f>
        <v>0</v>
      </c>
      <c r="AP69" s="230">
        <f>'MFA АСУТП'!G69</f>
        <v>3</v>
      </c>
      <c r="AQ69" s="230">
        <f>'MFA АСУТП'!K69</f>
        <v>3</v>
      </c>
      <c r="AR69" s="230">
        <f>'MFA АСУТП'!O69</f>
        <v>3</v>
      </c>
      <c r="AS69" s="230">
        <f>'MFA АСУТП'!S69</f>
        <v>3</v>
      </c>
      <c r="AT69" s="230">
        <f>'ДИОД АСУТП'!G69</f>
        <v>1</v>
      </c>
      <c r="AU69" s="230">
        <f>'ДИОД АСУТП'!K69</f>
        <v>1</v>
      </c>
      <c r="AV69" s="230">
        <f>'ДИОД АСУТП'!O69</f>
        <v>1</v>
      </c>
      <c r="AW69" s="230">
        <f>'ДИОД АСУТП'!S69</f>
        <v>1</v>
      </c>
      <c r="AX69" s="230">
        <f>'СЗВ АСУТП'!G69</f>
        <v>2</v>
      </c>
      <c r="AY69" s="230">
        <f>'СЗВ АСУТП'!K69</f>
        <v>2</v>
      </c>
      <c r="AZ69" s="230">
        <f>'СЗВ АСУТП'!O69</f>
        <v>2</v>
      </c>
      <c r="BA69" s="230">
        <f>'SOAR АСУТП'!G69</f>
        <v>2</v>
      </c>
      <c r="BB69" s="230">
        <f>'SOAR АСУТП'!K69</f>
        <v>2</v>
      </c>
      <c r="BC69" s="230">
        <f>'SOAR АСУТП'!O69</f>
        <v>2</v>
      </c>
      <c r="BD69" s="230" t="e">
        <f>'SOAR АСУТП'!#REF!</f>
        <v>#REF!</v>
      </c>
      <c r="BE69" s="230">
        <f>'VDI АСУТП'!G69</f>
        <v>2</v>
      </c>
      <c r="BF69" s="230">
        <f>'VDI АСУТП'!K69</f>
        <v>2</v>
      </c>
      <c r="BG69" s="230">
        <f>'VDI АСУТП'!O69</f>
        <v>2</v>
      </c>
      <c r="BH69" s="230">
        <f>'VDI АСУТП'!S69</f>
        <v>2</v>
      </c>
      <c r="BI69" s="230">
        <f>'VDI АСУТП'!W69</f>
        <v>2</v>
      </c>
      <c r="BJ69" s="316">
        <f>'СУБД АСУТП'!G69</f>
        <v>0</v>
      </c>
      <c r="BK69" s="316">
        <f>'СУБД АСУТП'!K69</f>
        <v>0</v>
      </c>
      <c r="BL69" s="316">
        <f>'ГОССОПКА АСУТП'!G69</f>
        <v>4</v>
      </c>
      <c r="BM69" s="316">
        <f>'ГОССОПКА АСУТП'!K69</f>
        <v>4</v>
      </c>
      <c r="BN69" s="316">
        <f>'TLS АСУТП'!G69</f>
        <v>4</v>
      </c>
      <c r="BO69" s="316">
        <f>'TLS АСУТП'!K69</f>
        <v>4</v>
      </c>
      <c r="BP69" s="316">
        <f>'DCAP АСУТП'!G69</f>
        <v>8</v>
      </c>
      <c r="BQ69" s="316">
        <f>'DCAP АСУТП'!K69</f>
        <v>8</v>
      </c>
      <c r="BR69" s="316">
        <f>'DCAP АСУТП'!O69</f>
        <v>8</v>
      </c>
      <c r="BS69" s="316">
        <f>'DO АСУТП'!G69</f>
        <v>3</v>
      </c>
      <c r="BT69" s="316">
        <f>'NTA АСУТП'!G69</f>
        <v>0</v>
      </c>
      <c r="BU69" s="316">
        <f>'NTA АСУТП'!K69</f>
        <v>0</v>
      </c>
      <c r="BV69" s="316">
        <f>'NTA АСУТП'!O69</f>
        <v>0</v>
      </c>
      <c r="BW69" s="316">
        <f>'NTA АСУТП'!S69</f>
        <v>0</v>
      </c>
      <c r="BX69" s="316">
        <f>'SEG АСУТП'!G69</f>
        <v>8</v>
      </c>
      <c r="BY69" s="316">
        <f>'APT АСУТП'!G69</f>
        <v>0</v>
      </c>
      <c r="BZ69" s="316">
        <f>'APT АСУТП'!K69</f>
        <v>0</v>
      </c>
      <c r="CA69" s="316">
        <f>'APT АСУТП'!O69</f>
        <v>0</v>
      </c>
      <c r="CB69" s="316">
        <f>'NAC АСУТП'!G69</f>
        <v>4</v>
      </c>
      <c r="CC69" s="316">
        <f>'SANDBOX АСУТП'!G69</f>
        <v>2</v>
      </c>
      <c r="CD69" s="316">
        <f>'SANDBOX АСУТП'!K69</f>
        <v>2</v>
      </c>
      <c r="CE69" s="316">
        <f>'EDR АСУТП'!G69</f>
        <v>2</v>
      </c>
      <c r="CF69" s="316">
        <f>'EDR АСУТП'!K69</f>
        <v>2</v>
      </c>
      <c r="CG69" s="316">
        <f>'WAF АСУТП'!G69</f>
        <v>3</v>
      </c>
      <c r="CH69" s="316">
        <f>'WAF АСУТП'!K69</f>
        <v>3</v>
      </c>
      <c r="CI69" s="316">
        <f>'WAF АСУТП'!O69</f>
        <v>3</v>
      </c>
      <c r="CJ69" s="316">
        <f>'ВМ ЗСВ'!G69</f>
        <v>0</v>
      </c>
      <c r="CK69" s="316">
        <f>'ВМ ЗСВ'!K69</f>
        <v>0</v>
      </c>
      <c r="CL69" s="316">
        <f>'ВМ ЗСВ'!O69</f>
        <v>0</v>
      </c>
      <c r="CM69" s="316">
        <f>'ВМ ЗСВ'!S69</f>
        <v>0</v>
      </c>
      <c r="CN69" s="316">
        <f>'ВМ ЗСВ'!W69</f>
        <v>0</v>
      </c>
      <c r="CO69" s="316">
        <f>'ВМ ЗСВ'!AA69</f>
        <v>0</v>
      </c>
      <c r="CP69" s="316">
        <f>'ВМ СПО'!G69</f>
        <v>0</v>
      </c>
      <c r="CQ69" s="316">
        <f>'ВМ СПО'!K69</f>
        <v>0</v>
      </c>
      <c r="CR69" s="316">
        <f>'ВМ СПО'!O69</f>
        <v>0</v>
      </c>
      <c r="CS69" s="316">
        <f>'ВМ СПО'!S69</f>
        <v>0</v>
      </c>
      <c r="CT69" s="316">
        <f>'ВМ АСО'!G69</f>
        <v>0</v>
      </c>
      <c r="CU69" s="316">
        <f>'ВМ АСО'!K69</f>
        <v>0</v>
      </c>
      <c r="CV69" s="316" t="e">
        <f t="shared" si="62"/>
        <v>#REF!</v>
      </c>
      <c r="CW69" s="25">
        <f t="shared" si="63"/>
        <v>3</v>
      </c>
      <c r="CX69" s="25">
        <f t="shared" si="64"/>
        <v>5.5</v>
      </c>
      <c r="CY69" s="25">
        <f t="shared" si="65"/>
        <v>0</v>
      </c>
      <c r="CZ69" s="25">
        <f t="shared" si="66"/>
        <v>0</v>
      </c>
      <c r="DA69" s="25">
        <f t="shared" si="67"/>
        <v>0</v>
      </c>
      <c r="DB69" s="25">
        <f t="shared" si="68"/>
        <v>0</v>
      </c>
      <c r="DC69" s="25">
        <f t="shared" si="69"/>
        <v>0</v>
      </c>
      <c r="DD69" s="25">
        <f t="shared" si="70"/>
        <v>0</v>
      </c>
      <c r="DE69" s="25">
        <f t="shared" si="71"/>
        <v>0</v>
      </c>
      <c r="DF69" s="25">
        <f t="shared" si="72"/>
        <v>0</v>
      </c>
      <c r="DG69" s="25">
        <f t="shared" si="73"/>
        <v>0</v>
      </c>
      <c r="DH69" s="25">
        <f t="shared" si="74"/>
        <v>0</v>
      </c>
      <c r="DI69" s="25">
        <f t="shared" si="75"/>
        <v>0</v>
      </c>
      <c r="DJ69" s="25" t="e">
        <f t="shared" si="76"/>
        <v>#REF!</v>
      </c>
      <c r="DK69" s="25">
        <f t="shared" si="77"/>
        <v>0</v>
      </c>
      <c r="DL69" s="25">
        <f t="shared" si="78"/>
        <v>0</v>
      </c>
      <c r="DM69" s="25">
        <f t="shared" si="79"/>
        <v>0</v>
      </c>
      <c r="DN69" s="25">
        <f t="shared" si="80"/>
        <v>0</v>
      </c>
      <c r="DO69" s="25">
        <f t="shared" si="81"/>
        <v>0</v>
      </c>
      <c r="DP69" s="25">
        <f t="shared" si="82"/>
        <v>0</v>
      </c>
      <c r="DQ69" s="25">
        <f t="shared" si="83"/>
        <v>0</v>
      </c>
      <c r="DR69" s="25">
        <f t="shared" si="84"/>
        <v>0</v>
      </c>
      <c r="DS69" s="25">
        <f t="shared" si="85"/>
        <v>0</v>
      </c>
      <c r="DT69" s="25">
        <f t="shared" si="86"/>
        <v>0</v>
      </c>
      <c r="DU69" s="25">
        <f t="shared" si="87"/>
        <v>0</v>
      </c>
      <c r="DV69" s="21">
        <f t="shared" si="88"/>
        <v>0</v>
      </c>
      <c r="DW69" s="317">
        <f t="shared" si="89"/>
        <v>0</v>
      </c>
      <c r="DX69" s="317">
        <f t="shared" si="90"/>
        <v>0</v>
      </c>
      <c r="DY69" s="317">
        <f t="shared" si="91"/>
        <v>0</v>
      </c>
      <c r="DZ69" s="230">
        <f t="shared" si="92"/>
        <v>0</v>
      </c>
    </row>
    <row r="70" spans="1:130" ht="15.75" customHeight="1" x14ac:dyDescent="0.25">
      <c r="A70" s="1908"/>
      <c r="B70" s="1916"/>
      <c r="C70" s="103" t="s">
        <v>33</v>
      </c>
      <c r="D70" s="21"/>
      <c r="E70" s="316">
        <f>'АВЗ АСУТП'!G70</f>
        <v>0</v>
      </c>
      <c r="F70" s="316">
        <f>'АВЗ АСУТП'!K70</f>
        <v>0</v>
      </c>
      <c r="G70" s="316">
        <f>'АВЗ АСУТП'!O70</f>
        <v>0</v>
      </c>
      <c r="H70" s="230">
        <f>'АВЗ АСУТП'!S70</f>
        <v>0</v>
      </c>
      <c r="I70" s="316">
        <f>'АВЗ АСУТП'!W70</f>
        <v>0</v>
      </c>
      <c r="J70" s="230">
        <f>'АВЗ АСУТП'!AA70</f>
        <v>0</v>
      </c>
      <c r="K70" s="230">
        <f>'АВЗ АСУТП'!AE70</f>
        <v>0</v>
      </c>
      <c r="L70" s="230">
        <f>'АВЗ АСУТП'!AI70</f>
        <v>0</v>
      </c>
      <c r="M70" s="230">
        <f>'SIEM АСУТП'!G70</f>
        <v>0</v>
      </c>
      <c r="N70" s="230">
        <f>'SIEM АСУТП'!K70</f>
        <v>0</v>
      </c>
      <c r="O70" s="230">
        <f>'МСЭ АСУТП'!G70</f>
        <v>6</v>
      </c>
      <c r="P70" s="317">
        <f>'МСЭ АСУТП'!K70</f>
        <v>6</v>
      </c>
      <c r="Q70" s="230">
        <f>'МСЭ АСУТП'!O70</f>
        <v>6</v>
      </c>
      <c r="R70" s="230">
        <f>'МСЭ АСУТП'!S70</f>
        <v>6</v>
      </c>
      <c r="S70" s="230">
        <f>'PAM АСУТП'!G70</f>
        <v>6</v>
      </c>
      <c r="T70" s="230">
        <f>'PAM АСУТП'!K70</f>
        <v>6</v>
      </c>
      <c r="U70" s="230">
        <f>'PAM АСУТП'!O70</f>
        <v>6</v>
      </c>
      <c r="V70" s="230">
        <f>'СКЗИ АСУТП'!G70</f>
        <v>6</v>
      </c>
      <c r="W70" s="230">
        <f>'СКЗИ АСУТП'!K70</f>
        <v>6</v>
      </c>
      <c r="X70" s="230">
        <f>'СКЗИ АСУТП'!O70</f>
        <v>6</v>
      </c>
      <c r="Y70" s="230">
        <f>'СКЗИ АСУТП'!S70</f>
        <v>6</v>
      </c>
      <c r="Z70" s="230">
        <f>'СКЗИ АСУТП'!W70</f>
        <v>6</v>
      </c>
      <c r="AA70" s="230">
        <f>'АЗ АСУТП'!G70</f>
        <v>2</v>
      </c>
      <c r="AB70" s="230">
        <f>'АЗ АСУТП'!K70</f>
        <v>2</v>
      </c>
      <c r="AC70" s="230">
        <f>'АЗ АСУТП'!O70</f>
        <v>2</v>
      </c>
      <c r="AD70" s="230">
        <f>'АЗ АСУТП'!S70</f>
        <v>2</v>
      </c>
      <c r="AE70" s="230">
        <f>'АЗ АСУТП'!W70</f>
        <v>2</v>
      </c>
      <c r="AF70" s="230">
        <f>'РК АСУТП'!G70</f>
        <v>4</v>
      </c>
      <c r="AG70" s="230">
        <f>'РК АСУТП'!K70</f>
        <v>4</v>
      </c>
      <c r="AH70" s="230">
        <f>'IDS АСУТП'!G70</f>
        <v>0</v>
      </c>
      <c r="AI70" s="230">
        <f>'IDS АСУТП'!K70</f>
        <v>0</v>
      </c>
      <c r="AJ70" s="230">
        <f>'IDS АСУТП'!O70</f>
        <v>0</v>
      </c>
      <c r="AK70" s="230">
        <f>'АПМДЗ АСУТП'!G70</f>
        <v>0</v>
      </c>
      <c r="AL70" s="230">
        <f>'АПМДЗ АСУТП'!K70</f>
        <v>0</v>
      </c>
      <c r="AM70" s="230">
        <f>'НСД АСУТП'!G70</f>
        <v>0</v>
      </c>
      <c r="AN70" s="230">
        <f>'НСД АСУТП'!K70</f>
        <v>0</v>
      </c>
      <c r="AO70" s="230">
        <f>'НСД АСУТП'!O70</f>
        <v>0</v>
      </c>
      <c r="AP70" s="230">
        <f>'MFA АСУТП'!G70</f>
        <v>4</v>
      </c>
      <c r="AQ70" s="230">
        <f>'MFA АСУТП'!K70</f>
        <v>4</v>
      </c>
      <c r="AR70" s="230">
        <f>'MFA АСУТП'!O70</f>
        <v>4</v>
      </c>
      <c r="AS70" s="230">
        <f>'MFA АСУТП'!S70</f>
        <v>4</v>
      </c>
      <c r="AT70" s="230">
        <f>'ДИОД АСУТП'!G70</f>
        <v>2</v>
      </c>
      <c r="AU70" s="230">
        <f>'ДИОД АСУТП'!K70</f>
        <v>2</v>
      </c>
      <c r="AV70" s="230">
        <f>'ДИОД АСУТП'!O70</f>
        <v>2</v>
      </c>
      <c r="AW70" s="230">
        <f>'ДИОД АСУТП'!S70</f>
        <v>2</v>
      </c>
      <c r="AX70" s="230">
        <f>'СЗВ АСУТП'!G70</f>
        <v>3</v>
      </c>
      <c r="AY70" s="230">
        <f>'СЗВ АСУТП'!K70</f>
        <v>3</v>
      </c>
      <c r="AZ70" s="230">
        <f>'СЗВ АСУТП'!O70</f>
        <v>3</v>
      </c>
      <c r="BA70" s="230">
        <f>'SOAR АСУТП'!G70</f>
        <v>0</v>
      </c>
      <c r="BB70" s="230">
        <f>'SOAR АСУТП'!K70</f>
        <v>0</v>
      </c>
      <c r="BC70" s="230">
        <f>'SOAR АСУТП'!O70</f>
        <v>0</v>
      </c>
      <c r="BD70" s="230" t="e">
        <f>'SOAR АСУТП'!#REF!</f>
        <v>#REF!</v>
      </c>
      <c r="BE70" s="230">
        <f>'VDI АСУТП'!G70</f>
        <v>3</v>
      </c>
      <c r="BF70" s="230">
        <f>'VDI АСУТП'!K70</f>
        <v>3</v>
      </c>
      <c r="BG70" s="230">
        <f>'VDI АСУТП'!O70</f>
        <v>3</v>
      </c>
      <c r="BH70" s="230">
        <f>'VDI АСУТП'!S70</f>
        <v>3</v>
      </c>
      <c r="BI70" s="230">
        <f>'VDI АСУТП'!W70</f>
        <v>3</v>
      </c>
      <c r="BJ70" s="316">
        <f>'СУБД АСУТП'!G70</f>
        <v>0</v>
      </c>
      <c r="BK70" s="316">
        <f>'СУБД АСУТП'!K70</f>
        <v>0</v>
      </c>
      <c r="BL70" s="316">
        <f>'ГОССОПКА АСУТП'!G70</f>
        <v>5</v>
      </c>
      <c r="BM70" s="316">
        <f>'ГОССОПКА АСУТП'!K70</f>
        <v>5</v>
      </c>
      <c r="BN70" s="316">
        <f>'TLS АСУТП'!G70</f>
        <v>8</v>
      </c>
      <c r="BO70" s="316">
        <f>'TLS АСУТП'!K70</f>
        <v>8</v>
      </c>
      <c r="BP70" s="316">
        <f>'DCAP АСУТП'!G70</f>
        <v>16</v>
      </c>
      <c r="BQ70" s="316">
        <f>'DCAP АСУТП'!K70</f>
        <v>16</v>
      </c>
      <c r="BR70" s="316">
        <f>'DCAP АСУТП'!O70</f>
        <v>16</v>
      </c>
      <c r="BS70" s="316">
        <f>'DO АСУТП'!G70</f>
        <v>0</v>
      </c>
      <c r="BT70" s="316">
        <f>'NTA АСУТП'!G70</f>
        <v>0</v>
      </c>
      <c r="BU70" s="316">
        <f>'NTA АСУТП'!K70</f>
        <v>0</v>
      </c>
      <c r="BV70" s="316">
        <f>'NTA АСУТП'!O70</f>
        <v>0</v>
      </c>
      <c r="BW70" s="316">
        <f>'NTA АСУТП'!S70</f>
        <v>0</v>
      </c>
      <c r="BX70" s="316">
        <f>'SEG АСУТП'!G70</f>
        <v>16</v>
      </c>
      <c r="BY70" s="316">
        <f>'APT АСУТП'!G70</f>
        <v>0</v>
      </c>
      <c r="BZ70" s="316">
        <f>'APT АСУТП'!K70</f>
        <v>0</v>
      </c>
      <c r="CA70" s="316">
        <f>'APT АСУТП'!O70</f>
        <v>0</v>
      </c>
      <c r="CB70" s="316">
        <f>'NAC АСУТП'!G70</f>
        <v>6</v>
      </c>
      <c r="CC70" s="316">
        <f>'SANDBOX АСУТП'!G70</f>
        <v>4</v>
      </c>
      <c r="CD70" s="316">
        <f>'SANDBOX АСУТП'!K70</f>
        <v>4</v>
      </c>
      <c r="CE70" s="316">
        <f>'EDR АСУТП'!G70</f>
        <v>0</v>
      </c>
      <c r="CF70" s="316">
        <f>'EDR АСУТП'!K70</f>
        <v>0</v>
      </c>
      <c r="CG70" s="316">
        <f>'WAF АСУТП'!G70</f>
        <v>5</v>
      </c>
      <c r="CH70" s="316">
        <f>'WAF АСУТП'!K70</f>
        <v>5</v>
      </c>
      <c r="CI70" s="316">
        <f>'WAF АСУТП'!O70</f>
        <v>5</v>
      </c>
      <c r="CJ70" s="316">
        <f>'ВМ ЗСВ'!G70</f>
        <v>0</v>
      </c>
      <c r="CK70" s="316">
        <f>'ВМ ЗСВ'!K70</f>
        <v>0</v>
      </c>
      <c r="CL70" s="316">
        <f>'ВМ ЗСВ'!O70</f>
        <v>0</v>
      </c>
      <c r="CM70" s="316">
        <f>'ВМ ЗСВ'!S70</f>
        <v>0</v>
      </c>
      <c r="CN70" s="316">
        <f>'ВМ ЗСВ'!W70</f>
        <v>0</v>
      </c>
      <c r="CO70" s="316">
        <f>'ВМ ЗСВ'!AA70</f>
        <v>0</v>
      </c>
      <c r="CP70" s="316">
        <f>'ВМ СПО'!G70</f>
        <v>0</v>
      </c>
      <c r="CQ70" s="316">
        <f>'ВМ СПО'!K70</f>
        <v>0</v>
      </c>
      <c r="CR70" s="316">
        <f>'ВМ СПО'!O70</f>
        <v>0</v>
      </c>
      <c r="CS70" s="316">
        <f>'ВМ СПО'!S70</f>
        <v>0</v>
      </c>
      <c r="CT70" s="316">
        <f>'ВМ АСО'!G70</f>
        <v>0</v>
      </c>
      <c r="CU70" s="316">
        <f>'ВМ АСО'!K70</f>
        <v>0</v>
      </c>
      <c r="CV70" s="316" t="e">
        <f t="shared" si="62"/>
        <v>#REF!</v>
      </c>
      <c r="CW70" s="25">
        <f t="shared" si="63"/>
        <v>0</v>
      </c>
      <c r="CX70" s="25">
        <f t="shared" si="64"/>
        <v>0</v>
      </c>
      <c r="CY70" s="25">
        <f t="shared" si="65"/>
        <v>0</v>
      </c>
      <c r="CZ70" s="25">
        <f t="shared" si="66"/>
        <v>0</v>
      </c>
      <c r="DA70" s="25">
        <f t="shared" si="67"/>
        <v>0</v>
      </c>
      <c r="DB70" s="25">
        <f t="shared" si="68"/>
        <v>0</v>
      </c>
      <c r="DC70" s="25">
        <f t="shared" si="69"/>
        <v>0</v>
      </c>
      <c r="DD70" s="25">
        <f t="shared" si="70"/>
        <v>0</v>
      </c>
      <c r="DE70" s="25">
        <f t="shared" si="71"/>
        <v>0</v>
      </c>
      <c r="DF70" s="25">
        <f t="shared" si="72"/>
        <v>0</v>
      </c>
      <c r="DG70" s="25">
        <f t="shared" si="73"/>
        <v>0</v>
      </c>
      <c r="DH70" s="25">
        <f t="shared" si="74"/>
        <v>0</v>
      </c>
      <c r="DI70" s="25">
        <f t="shared" si="75"/>
        <v>0</v>
      </c>
      <c r="DJ70" s="25" t="e">
        <f t="shared" si="76"/>
        <v>#REF!</v>
      </c>
      <c r="DK70" s="25">
        <f t="shared" si="77"/>
        <v>0</v>
      </c>
      <c r="DL70" s="25">
        <f t="shared" si="78"/>
        <v>0</v>
      </c>
      <c r="DM70" s="25">
        <f t="shared" si="79"/>
        <v>0</v>
      </c>
      <c r="DN70" s="25">
        <f t="shared" si="80"/>
        <v>0</v>
      </c>
      <c r="DO70" s="25">
        <f t="shared" si="81"/>
        <v>0</v>
      </c>
      <c r="DP70" s="25">
        <f t="shared" si="82"/>
        <v>0</v>
      </c>
      <c r="DQ70" s="25">
        <f t="shared" si="83"/>
        <v>0</v>
      </c>
      <c r="DR70" s="25">
        <f t="shared" si="84"/>
        <v>0</v>
      </c>
      <c r="DS70" s="25">
        <f t="shared" si="85"/>
        <v>0</v>
      </c>
      <c r="DT70" s="25">
        <f t="shared" si="86"/>
        <v>0</v>
      </c>
      <c r="DU70" s="25">
        <f t="shared" si="87"/>
        <v>0</v>
      </c>
      <c r="DV70" s="21">
        <f t="shared" si="88"/>
        <v>0</v>
      </c>
      <c r="DW70" s="317">
        <f t="shared" si="89"/>
        <v>0</v>
      </c>
      <c r="DX70" s="317">
        <f t="shared" si="90"/>
        <v>0</v>
      </c>
      <c r="DY70" s="317">
        <f t="shared" si="91"/>
        <v>0</v>
      </c>
      <c r="DZ70" s="230">
        <f t="shared" si="92"/>
        <v>0</v>
      </c>
    </row>
    <row r="71" spans="1:130" ht="15.75" customHeight="1" x14ac:dyDescent="0.25">
      <c r="A71" s="1908"/>
      <c r="B71" s="1916"/>
      <c r="C71" s="103" t="s">
        <v>34</v>
      </c>
      <c r="D71" s="21"/>
      <c r="E71" s="316">
        <f>'АВЗ АСУТП'!G71</f>
        <v>0</v>
      </c>
      <c r="F71" s="316">
        <f>'АВЗ АСУТП'!K71</f>
        <v>0</v>
      </c>
      <c r="G71" s="316">
        <f>'АВЗ АСУТП'!O71</f>
        <v>0</v>
      </c>
      <c r="H71" s="230">
        <f>'АВЗ АСУТП'!S71</f>
        <v>0</v>
      </c>
      <c r="I71" s="316">
        <f>'АВЗ АСУТП'!W71</f>
        <v>0</v>
      </c>
      <c r="J71" s="230">
        <f>'АВЗ АСУТП'!AA71</f>
        <v>0</v>
      </c>
      <c r="K71" s="230">
        <f>'АВЗ АСУТП'!AE71</f>
        <v>0</v>
      </c>
      <c r="L71" s="230">
        <f>'АВЗ АСУТП'!AI71</f>
        <v>0</v>
      </c>
      <c r="M71" s="230">
        <f>'SIEM АСУТП'!G71</f>
        <v>0</v>
      </c>
      <c r="N71" s="230">
        <f>'SIEM АСУТП'!K71</f>
        <v>0</v>
      </c>
      <c r="O71" s="230">
        <f>'МСЭ АСУТП'!G71</f>
        <v>8</v>
      </c>
      <c r="P71" s="317">
        <f>'МСЭ АСУТП'!K71</f>
        <v>8</v>
      </c>
      <c r="Q71" s="230">
        <f>'МСЭ АСУТП'!O71</f>
        <v>8</v>
      </c>
      <c r="R71" s="230">
        <f>'МСЭ АСУТП'!S71</f>
        <v>8</v>
      </c>
      <c r="S71" s="230">
        <f>'PAM АСУТП'!G71</f>
        <v>8</v>
      </c>
      <c r="T71" s="230">
        <f>'PAM АСУТП'!K71</f>
        <v>8</v>
      </c>
      <c r="U71" s="230">
        <f>'PAM АСУТП'!O71</f>
        <v>8</v>
      </c>
      <c r="V71" s="230">
        <f>'СКЗИ АСУТП'!G71</f>
        <v>8</v>
      </c>
      <c r="W71" s="230">
        <f>'СКЗИ АСУТП'!K71</f>
        <v>8</v>
      </c>
      <c r="X71" s="230">
        <f>'СКЗИ АСУТП'!O71</f>
        <v>8</v>
      </c>
      <c r="Y71" s="230">
        <f>'СКЗИ АСУТП'!S71</f>
        <v>8</v>
      </c>
      <c r="Z71" s="230">
        <f>'СКЗИ АСУТП'!W71</f>
        <v>8</v>
      </c>
      <c r="AA71" s="230">
        <f>'АЗ АСУТП'!G71</f>
        <v>2</v>
      </c>
      <c r="AB71" s="230">
        <f>'АЗ АСУТП'!K71</f>
        <v>2</v>
      </c>
      <c r="AC71" s="230">
        <f>'АЗ АСУТП'!O71</f>
        <v>2</v>
      </c>
      <c r="AD71" s="230">
        <f>'АЗ АСУТП'!S71</f>
        <v>2</v>
      </c>
      <c r="AE71" s="230">
        <f>'АЗ АСУТП'!W71</f>
        <v>2</v>
      </c>
      <c r="AF71" s="230">
        <f>'РК АСУТП'!G71</f>
        <v>6</v>
      </c>
      <c r="AG71" s="230">
        <f>'РК АСУТП'!K71</f>
        <v>6</v>
      </c>
      <c r="AH71" s="230">
        <f>'IDS АСУТП'!G71</f>
        <v>0</v>
      </c>
      <c r="AI71" s="230">
        <f>'IDS АСУТП'!K71</f>
        <v>0</v>
      </c>
      <c r="AJ71" s="230">
        <f>'IDS АСУТП'!O71</f>
        <v>0</v>
      </c>
      <c r="AK71" s="230">
        <f>'АПМДЗ АСУТП'!G71</f>
        <v>0</v>
      </c>
      <c r="AL71" s="230">
        <f>'АПМДЗ АСУТП'!K71</f>
        <v>0</v>
      </c>
      <c r="AM71" s="230">
        <f>'НСД АСУТП'!G71</f>
        <v>0</v>
      </c>
      <c r="AN71" s="230">
        <f>'НСД АСУТП'!K71</f>
        <v>0</v>
      </c>
      <c r="AO71" s="230">
        <f>'НСД АСУТП'!O71</f>
        <v>0</v>
      </c>
      <c r="AP71" s="230">
        <f>'MFA АСУТП'!G71</f>
        <v>6</v>
      </c>
      <c r="AQ71" s="230">
        <f>'MFA АСУТП'!K71</f>
        <v>6</v>
      </c>
      <c r="AR71" s="230">
        <f>'MFA АСУТП'!O71</f>
        <v>6</v>
      </c>
      <c r="AS71" s="230">
        <f>'MFA АСУТП'!S71</f>
        <v>6</v>
      </c>
      <c r="AT71" s="230">
        <f>'ДИОД АСУТП'!G71</f>
        <v>4</v>
      </c>
      <c r="AU71" s="230">
        <f>'ДИОД АСУТП'!K71</f>
        <v>4</v>
      </c>
      <c r="AV71" s="230">
        <f>'ДИОД АСУТП'!O71</f>
        <v>4</v>
      </c>
      <c r="AW71" s="230">
        <f>'ДИОД АСУТП'!S71</f>
        <v>4</v>
      </c>
      <c r="AX71" s="230">
        <f>'СЗВ АСУТП'!G71</f>
        <v>4</v>
      </c>
      <c r="AY71" s="230">
        <f>'СЗВ АСУТП'!K71</f>
        <v>4</v>
      </c>
      <c r="AZ71" s="230">
        <f>'СЗВ АСУТП'!O71</f>
        <v>4</v>
      </c>
      <c r="BA71" s="230">
        <f>'SOAR АСУТП'!G71</f>
        <v>0</v>
      </c>
      <c r="BB71" s="230">
        <f>'SOAR АСУТП'!K71</f>
        <v>0</v>
      </c>
      <c r="BC71" s="230">
        <f>'SOAR АСУТП'!O71</f>
        <v>0</v>
      </c>
      <c r="BD71" s="230" t="e">
        <f>'SOAR АСУТП'!#REF!</f>
        <v>#REF!</v>
      </c>
      <c r="BE71" s="230">
        <f>'VDI АСУТП'!G71</f>
        <v>4</v>
      </c>
      <c r="BF71" s="230">
        <f>'VDI АСУТП'!K71</f>
        <v>4</v>
      </c>
      <c r="BG71" s="230">
        <f>'VDI АСУТП'!O71</f>
        <v>4</v>
      </c>
      <c r="BH71" s="230">
        <f>'VDI АСУТП'!S71</f>
        <v>4</v>
      </c>
      <c r="BI71" s="230">
        <f>'VDI АСУТП'!W71</f>
        <v>4</v>
      </c>
      <c r="BJ71" s="316">
        <f>'СУБД АСУТП'!G71</f>
        <v>0</v>
      </c>
      <c r="BK71" s="316">
        <f>'СУБД АСУТП'!K71</f>
        <v>0</v>
      </c>
      <c r="BL71" s="316">
        <f>'ГОССОПКА АСУТП'!G71</f>
        <v>6</v>
      </c>
      <c r="BM71" s="316">
        <f>'ГОССОПКА АСУТП'!K71</f>
        <v>6</v>
      </c>
      <c r="BN71" s="316">
        <f>'TLS АСУТП'!G71</f>
        <v>16</v>
      </c>
      <c r="BO71" s="316">
        <f>'TLS АСУТП'!K71</f>
        <v>16</v>
      </c>
      <c r="BP71" s="316">
        <f>'DCAP АСУТП'!G71</f>
        <v>24</v>
      </c>
      <c r="BQ71" s="316">
        <f>'DCAP АСУТП'!K71</f>
        <v>24</v>
      </c>
      <c r="BR71" s="316">
        <f>'DCAP АСУТП'!O71</f>
        <v>24</v>
      </c>
      <c r="BS71" s="316">
        <f>'DO АСУТП'!G71</f>
        <v>0</v>
      </c>
      <c r="BT71" s="316">
        <f>'NTA АСУТП'!G71</f>
        <v>0</v>
      </c>
      <c r="BU71" s="316">
        <f>'NTA АСУТП'!K71</f>
        <v>0</v>
      </c>
      <c r="BV71" s="316">
        <f>'NTA АСУТП'!O71</f>
        <v>0</v>
      </c>
      <c r="BW71" s="316">
        <f>'NTA АСУТП'!S71</f>
        <v>0</v>
      </c>
      <c r="BX71" s="316">
        <f>'SEG АСУТП'!G71</f>
        <v>24</v>
      </c>
      <c r="BY71" s="316">
        <f>'APT АСУТП'!G71</f>
        <v>0</v>
      </c>
      <c r="BZ71" s="316">
        <f>'APT АСУТП'!K71</f>
        <v>0</v>
      </c>
      <c r="CA71" s="316">
        <f>'APT АСУТП'!O71</f>
        <v>0</v>
      </c>
      <c r="CB71" s="316">
        <f>'NAC АСУТП'!G71</f>
        <v>8</v>
      </c>
      <c r="CC71" s="316">
        <f>'SANDBOX АСУТП'!G71</f>
        <v>6</v>
      </c>
      <c r="CD71" s="316">
        <f>'SANDBOX АСУТП'!K71</f>
        <v>6</v>
      </c>
      <c r="CE71" s="316">
        <f>'EDR АСУТП'!G71</f>
        <v>0</v>
      </c>
      <c r="CF71" s="316">
        <f>'EDR АСУТП'!K71</f>
        <v>0</v>
      </c>
      <c r="CG71" s="316">
        <f>'WAF АСУТП'!G71</f>
        <v>7</v>
      </c>
      <c r="CH71" s="316">
        <f>'WAF АСУТП'!K71</f>
        <v>7</v>
      </c>
      <c r="CI71" s="316">
        <f>'WAF АСУТП'!O71</f>
        <v>7</v>
      </c>
      <c r="CJ71" s="316">
        <f>'ВМ ЗСВ'!G71</f>
        <v>0</v>
      </c>
      <c r="CK71" s="316">
        <f>'ВМ ЗСВ'!K71</f>
        <v>0</v>
      </c>
      <c r="CL71" s="316">
        <f>'ВМ ЗСВ'!O71</f>
        <v>0</v>
      </c>
      <c r="CM71" s="316">
        <f>'ВМ ЗСВ'!S71</f>
        <v>0</v>
      </c>
      <c r="CN71" s="316">
        <f>'ВМ ЗСВ'!W71</f>
        <v>0</v>
      </c>
      <c r="CO71" s="316">
        <f>'ВМ ЗСВ'!AA71</f>
        <v>0</v>
      </c>
      <c r="CP71" s="316">
        <f>'ВМ СПО'!G71</f>
        <v>0</v>
      </c>
      <c r="CQ71" s="316">
        <f>'ВМ СПО'!K71</f>
        <v>0</v>
      </c>
      <c r="CR71" s="316">
        <f>'ВМ СПО'!O71</f>
        <v>0</v>
      </c>
      <c r="CS71" s="316">
        <f>'ВМ СПО'!S71</f>
        <v>0</v>
      </c>
      <c r="CT71" s="316">
        <f>'ВМ АСО'!G71</f>
        <v>0</v>
      </c>
      <c r="CU71" s="316">
        <f>'ВМ АСО'!K71</f>
        <v>0</v>
      </c>
      <c r="CV71" s="316" t="e">
        <f t="shared" si="62"/>
        <v>#REF!</v>
      </c>
      <c r="CW71" s="25">
        <f t="shared" si="63"/>
        <v>0</v>
      </c>
      <c r="CX71" s="25">
        <f t="shared" si="64"/>
        <v>0</v>
      </c>
      <c r="CY71" s="25">
        <f t="shared" si="65"/>
        <v>0</v>
      </c>
      <c r="CZ71" s="25">
        <f t="shared" si="66"/>
        <v>0</v>
      </c>
      <c r="DA71" s="25">
        <f t="shared" si="67"/>
        <v>0</v>
      </c>
      <c r="DB71" s="25">
        <f t="shared" si="68"/>
        <v>0</v>
      </c>
      <c r="DC71" s="25">
        <f t="shared" si="69"/>
        <v>0</v>
      </c>
      <c r="DD71" s="25">
        <f t="shared" si="70"/>
        <v>0</v>
      </c>
      <c r="DE71" s="25">
        <f t="shared" si="71"/>
        <v>0</v>
      </c>
      <c r="DF71" s="25">
        <f t="shared" si="72"/>
        <v>0</v>
      </c>
      <c r="DG71" s="25">
        <f t="shared" si="73"/>
        <v>0</v>
      </c>
      <c r="DH71" s="25">
        <f t="shared" si="74"/>
        <v>0</v>
      </c>
      <c r="DI71" s="25">
        <f t="shared" si="75"/>
        <v>0</v>
      </c>
      <c r="DJ71" s="25" t="e">
        <f t="shared" si="76"/>
        <v>#REF!</v>
      </c>
      <c r="DK71" s="25">
        <f t="shared" si="77"/>
        <v>0</v>
      </c>
      <c r="DL71" s="25">
        <f t="shared" si="78"/>
        <v>0</v>
      </c>
      <c r="DM71" s="25">
        <f t="shared" si="79"/>
        <v>0</v>
      </c>
      <c r="DN71" s="25">
        <f t="shared" si="80"/>
        <v>0</v>
      </c>
      <c r="DO71" s="25">
        <f t="shared" si="81"/>
        <v>0</v>
      </c>
      <c r="DP71" s="25">
        <f t="shared" si="82"/>
        <v>0</v>
      </c>
      <c r="DQ71" s="25">
        <f t="shared" si="83"/>
        <v>0</v>
      </c>
      <c r="DR71" s="25">
        <f t="shared" si="84"/>
        <v>0</v>
      </c>
      <c r="DS71" s="25">
        <f t="shared" si="85"/>
        <v>0</v>
      </c>
      <c r="DT71" s="25">
        <f t="shared" si="86"/>
        <v>0</v>
      </c>
      <c r="DU71" s="25">
        <f t="shared" si="87"/>
        <v>0</v>
      </c>
      <c r="DV71" s="21">
        <f t="shared" si="88"/>
        <v>0</v>
      </c>
      <c r="DW71" s="317">
        <f t="shared" si="89"/>
        <v>0</v>
      </c>
      <c r="DX71" s="317">
        <f t="shared" si="90"/>
        <v>0</v>
      </c>
      <c r="DY71" s="317">
        <f t="shared" si="91"/>
        <v>0</v>
      </c>
      <c r="DZ71" s="230">
        <f t="shared" si="92"/>
        <v>0</v>
      </c>
    </row>
    <row r="72" spans="1:130" ht="15.75" customHeight="1" x14ac:dyDescent="0.25">
      <c r="A72" s="1908" t="s">
        <v>534</v>
      </c>
      <c r="B72" s="1916">
        <f>IF('Тип разраб-ой док-ции'!F29=1,1,0)</f>
        <v>1</v>
      </c>
      <c r="C72" s="103" t="s">
        <v>32</v>
      </c>
      <c r="D72" s="21"/>
      <c r="E72" s="316">
        <f>'АВЗ АСУТП'!G72</f>
        <v>3</v>
      </c>
      <c r="F72" s="316">
        <f>'АВЗ АСУТП'!K72</f>
        <v>3</v>
      </c>
      <c r="G72" s="316">
        <f>'АВЗ АСУТП'!O72</f>
        <v>3</v>
      </c>
      <c r="H72" s="230">
        <f>'АВЗ АСУТП'!S72</f>
        <v>3</v>
      </c>
      <c r="I72" s="316">
        <f>'АВЗ АСУТП'!W72</f>
        <v>3</v>
      </c>
      <c r="J72" s="230">
        <f>'АВЗ АСУТП'!AA72</f>
        <v>3</v>
      </c>
      <c r="K72" s="230">
        <f>'АВЗ АСУТП'!AE72</f>
        <v>3</v>
      </c>
      <c r="L72" s="230">
        <f>'АВЗ АСУТП'!AI72</f>
        <v>3</v>
      </c>
      <c r="M72" s="230">
        <f>'SIEM АСУТП'!G72</f>
        <v>5.5</v>
      </c>
      <c r="N72" s="230">
        <f>'SIEM АСУТП'!K72</f>
        <v>5.5</v>
      </c>
      <c r="O72" s="230">
        <f>'МСЭ АСУТП'!G72</f>
        <v>4</v>
      </c>
      <c r="P72" s="317">
        <f>'МСЭ АСУТП'!K72</f>
        <v>4</v>
      </c>
      <c r="Q72" s="230">
        <f>'МСЭ АСУТП'!O72</f>
        <v>4</v>
      </c>
      <c r="R72" s="230">
        <f>'МСЭ АСУТП'!S72</f>
        <v>4</v>
      </c>
      <c r="S72" s="230">
        <f>'PAM АСУТП'!G72</f>
        <v>4</v>
      </c>
      <c r="T72" s="230">
        <f>'PAM АСУТП'!K72</f>
        <v>4</v>
      </c>
      <c r="U72" s="230">
        <f>'PAM АСУТП'!O72</f>
        <v>4</v>
      </c>
      <c r="V72" s="230">
        <f>'СКЗИ АСУТП'!G72</f>
        <v>10</v>
      </c>
      <c r="W72" s="230">
        <f>'СКЗИ АСУТП'!K72</f>
        <v>10</v>
      </c>
      <c r="X72" s="230">
        <f>'СКЗИ АСУТП'!O72</f>
        <v>10</v>
      </c>
      <c r="Y72" s="230">
        <f>'СКЗИ АСУТП'!S72</f>
        <v>10</v>
      </c>
      <c r="Z72" s="230">
        <f>'СКЗИ АСУТП'!W72</f>
        <v>10</v>
      </c>
      <c r="AA72" s="230">
        <f>'АЗ АСУТП'!G72</f>
        <v>1</v>
      </c>
      <c r="AB72" s="230">
        <f>'АЗ АСУТП'!K72</f>
        <v>1</v>
      </c>
      <c r="AC72" s="230">
        <f>'АЗ АСУТП'!O72</f>
        <v>1</v>
      </c>
      <c r="AD72" s="230">
        <f>'АЗ АСУТП'!S72</f>
        <v>1</v>
      </c>
      <c r="AE72" s="230">
        <f>'АЗ АСУТП'!W72</f>
        <v>1</v>
      </c>
      <c r="AF72" s="230">
        <f>'РК АСУТП'!G72</f>
        <v>3</v>
      </c>
      <c r="AG72" s="230">
        <f>'РК АСУТП'!K72</f>
        <v>3</v>
      </c>
      <c r="AH72" s="230">
        <f>'IDS АСУТП'!G72</f>
        <v>0</v>
      </c>
      <c r="AI72" s="230">
        <f>'IDS АСУТП'!K72</f>
        <v>0</v>
      </c>
      <c r="AJ72" s="230">
        <f>'IDS АСУТП'!O72</f>
        <v>0</v>
      </c>
      <c r="AK72" s="230">
        <f>'АПМДЗ АСУТП'!G72</f>
        <v>0</v>
      </c>
      <c r="AL72" s="230">
        <f>'АПМДЗ АСУТП'!K72</f>
        <v>0</v>
      </c>
      <c r="AM72" s="230">
        <f>'НСД АСУТП'!G72</f>
        <v>0</v>
      </c>
      <c r="AN72" s="230">
        <f>'НСД АСУТП'!K72</f>
        <v>0</v>
      </c>
      <c r="AO72" s="230">
        <f>'НСД АСУТП'!O72</f>
        <v>0</v>
      </c>
      <c r="AP72" s="230">
        <f>'MFA АСУТП'!G72</f>
        <v>4</v>
      </c>
      <c r="AQ72" s="230">
        <f>'MFA АСУТП'!K72</f>
        <v>4</v>
      </c>
      <c r="AR72" s="230">
        <f>'MFA АСУТП'!O72</f>
        <v>4</v>
      </c>
      <c r="AS72" s="230">
        <f>'MFA АСУТП'!S72</f>
        <v>4</v>
      </c>
      <c r="AT72" s="230">
        <f>'ДИОД АСУТП'!G72</f>
        <v>1</v>
      </c>
      <c r="AU72" s="230">
        <f>'ДИОД АСУТП'!K72</f>
        <v>1</v>
      </c>
      <c r="AV72" s="230">
        <f>'ДИОД АСУТП'!O72</f>
        <v>1</v>
      </c>
      <c r="AW72" s="230">
        <f>'ДИОД АСУТП'!S72</f>
        <v>1</v>
      </c>
      <c r="AX72" s="230">
        <f>'СЗВ АСУТП'!G72</f>
        <v>2</v>
      </c>
      <c r="AY72" s="230">
        <f>'СЗВ АСУТП'!K72</f>
        <v>2</v>
      </c>
      <c r="AZ72" s="230">
        <f>'СЗВ АСУТП'!O72</f>
        <v>2</v>
      </c>
      <c r="BA72" s="230">
        <f>'SOAR АСУТП'!G72</f>
        <v>2</v>
      </c>
      <c r="BB72" s="230">
        <f>'SOAR АСУТП'!K72</f>
        <v>2</v>
      </c>
      <c r="BC72" s="230">
        <f>'SOAR АСУТП'!O72</f>
        <v>2</v>
      </c>
      <c r="BD72" s="230" t="e">
        <f>'SOAR АСУТП'!#REF!</f>
        <v>#REF!</v>
      </c>
      <c r="BE72" s="230">
        <f>'VDI АСУТП'!G72</f>
        <v>2</v>
      </c>
      <c r="BF72" s="230">
        <f>'VDI АСУТП'!K72</f>
        <v>2</v>
      </c>
      <c r="BG72" s="230">
        <f>'VDI АСУТП'!O72</f>
        <v>2</v>
      </c>
      <c r="BH72" s="230">
        <f>'VDI АСУТП'!S72</f>
        <v>2</v>
      </c>
      <c r="BI72" s="230">
        <f>'VDI АСУТП'!W72</f>
        <v>2</v>
      </c>
      <c r="BJ72" s="316">
        <f>'СУБД АСУТП'!G72</f>
        <v>0</v>
      </c>
      <c r="BK72" s="316">
        <f>'СУБД АСУТП'!K72</f>
        <v>0</v>
      </c>
      <c r="BL72" s="316">
        <f>'ГОССОПКА АСУТП'!G72</f>
        <v>6</v>
      </c>
      <c r="BM72" s="316">
        <f>'ГОССОПКА АСУТП'!K72</f>
        <v>6</v>
      </c>
      <c r="BN72" s="316">
        <f>'TLS АСУТП'!G72</f>
        <v>4</v>
      </c>
      <c r="BO72" s="316">
        <f>'TLS АСУТП'!K72</f>
        <v>4</v>
      </c>
      <c r="BP72" s="316">
        <f>'DCAP АСУТП'!G72</f>
        <v>10</v>
      </c>
      <c r="BQ72" s="316">
        <f>'DCAP АСУТП'!K72</f>
        <v>10</v>
      </c>
      <c r="BR72" s="316">
        <f>'DCAP АСУТП'!O72</f>
        <v>10</v>
      </c>
      <c r="BS72" s="316">
        <f>'DO АСУТП'!G72</f>
        <v>4</v>
      </c>
      <c r="BT72" s="316">
        <f>'NTA АСУТП'!G72</f>
        <v>0</v>
      </c>
      <c r="BU72" s="316">
        <f>'NTA АСУТП'!K72</f>
        <v>0</v>
      </c>
      <c r="BV72" s="316">
        <f>'NTA АСУТП'!O72</f>
        <v>0</v>
      </c>
      <c r="BW72" s="316">
        <f>'NTA АСУТП'!S72</f>
        <v>0</v>
      </c>
      <c r="BX72" s="316">
        <f>'SEG АСУТП'!G72</f>
        <v>10</v>
      </c>
      <c r="BY72" s="316">
        <f>'APT АСУТП'!G72</f>
        <v>0</v>
      </c>
      <c r="BZ72" s="316">
        <f>'APT АСУТП'!K72</f>
        <v>0</v>
      </c>
      <c r="CA72" s="316">
        <f>'APT АСУТП'!O72</f>
        <v>0</v>
      </c>
      <c r="CB72" s="316">
        <f>'NAC АСУТП'!G72</f>
        <v>4</v>
      </c>
      <c r="CC72" s="316">
        <f>'SANDBOX АСУТП'!G72</f>
        <v>4</v>
      </c>
      <c r="CD72" s="316">
        <f>'SANDBOX АСУТП'!K72</f>
        <v>4</v>
      </c>
      <c r="CE72" s="316">
        <f>'EDR АСУТП'!G72</f>
        <v>2</v>
      </c>
      <c r="CF72" s="316">
        <f>'EDR АСУТП'!K72</f>
        <v>2</v>
      </c>
      <c r="CG72" s="316">
        <f>'WAF АСУТП'!G72</f>
        <v>3</v>
      </c>
      <c r="CH72" s="316">
        <f>'WAF АСУТП'!K72</f>
        <v>3</v>
      </c>
      <c r="CI72" s="316">
        <f>'WAF АСУТП'!O72</f>
        <v>3</v>
      </c>
      <c r="CJ72" s="316">
        <f>'ВМ ЗСВ'!G72</f>
        <v>0</v>
      </c>
      <c r="CK72" s="316">
        <f>'ВМ ЗСВ'!K72</f>
        <v>0</v>
      </c>
      <c r="CL72" s="316">
        <f>'ВМ ЗСВ'!O72</f>
        <v>0</v>
      </c>
      <c r="CM72" s="316">
        <f>'ВМ ЗСВ'!S72</f>
        <v>0</v>
      </c>
      <c r="CN72" s="316">
        <f>'ВМ ЗСВ'!W72</f>
        <v>0</v>
      </c>
      <c r="CO72" s="316">
        <f>'ВМ ЗСВ'!AA72</f>
        <v>0</v>
      </c>
      <c r="CP72" s="316">
        <f>'ВМ СПО'!G72</f>
        <v>0</v>
      </c>
      <c r="CQ72" s="316">
        <f>'ВМ СПО'!K72</f>
        <v>0</v>
      </c>
      <c r="CR72" s="316">
        <f>'ВМ СПО'!O72</f>
        <v>0</v>
      </c>
      <c r="CS72" s="316">
        <f>'ВМ СПО'!S72</f>
        <v>0</v>
      </c>
      <c r="CT72" s="316">
        <f>'ВМ АСО'!G72</f>
        <v>0</v>
      </c>
      <c r="CU72" s="316">
        <f>'ВМ АСО'!K72</f>
        <v>0</v>
      </c>
      <c r="CV72" s="316" t="e">
        <f t="shared" si="62"/>
        <v>#REF!</v>
      </c>
      <c r="CW72" s="25">
        <f t="shared" si="63"/>
        <v>3</v>
      </c>
      <c r="CX72" s="25">
        <f t="shared" si="64"/>
        <v>5.5</v>
      </c>
      <c r="CY72" s="25">
        <f t="shared" si="65"/>
        <v>0</v>
      </c>
      <c r="CZ72" s="25">
        <f t="shared" si="66"/>
        <v>0</v>
      </c>
      <c r="DA72" s="25">
        <f t="shared" si="67"/>
        <v>0</v>
      </c>
      <c r="DB72" s="25">
        <f t="shared" si="68"/>
        <v>0</v>
      </c>
      <c r="DC72" s="25">
        <f t="shared" si="69"/>
        <v>0</v>
      </c>
      <c r="DD72" s="25">
        <f t="shared" si="70"/>
        <v>0</v>
      </c>
      <c r="DE72" s="25">
        <f t="shared" si="71"/>
        <v>0</v>
      </c>
      <c r="DF72" s="25">
        <f t="shared" si="72"/>
        <v>0</v>
      </c>
      <c r="DG72" s="25">
        <f t="shared" si="73"/>
        <v>0</v>
      </c>
      <c r="DH72" s="25">
        <f t="shared" si="74"/>
        <v>0</v>
      </c>
      <c r="DI72" s="25">
        <f t="shared" si="75"/>
        <v>0</v>
      </c>
      <c r="DJ72" s="25" t="e">
        <f t="shared" si="76"/>
        <v>#REF!</v>
      </c>
      <c r="DK72" s="25">
        <f t="shared" si="77"/>
        <v>0</v>
      </c>
      <c r="DL72" s="25">
        <f t="shared" si="78"/>
        <v>0</v>
      </c>
      <c r="DM72" s="25">
        <f t="shared" si="79"/>
        <v>0</v>
      </c>
      <c r="DN72" s="25">
        <f t="shared" si="80"/>
        <v>0</v>
      </c>
      <c r="DO72" s="25">
        <f t="shared" si="81"/>
        <v>0</v>
      </c>
      <c r="DP72" s="25">
        <f t="shared" si="82"/>
        <v>0</v>
      </c>
      <c r="DQ72" s="25">
        <f t="shared" si="83"/>
        <v>0</v>
      </c>
      <c r="DR72" s="25">
        <f t="shared" si="84"/>
        <v>0</v>
      </c>
      <c r="DS72" s="25">
        <f t="shared" si="85"/>
        <v>0</v>
      </c>
      <c r="DT72" s="25">
        <f t="shared" si="86"/>
        <v>0</v>
      </c>
      <c r="DU72" s="25">
        <f t="shared" si="87"/>
        <v>0</v>
      </c>
      <c r="DV72" s="21">
        <f t="shared" si="88"/>
        <v>0</v>
      </c>
      <c r="DW72" s="317">
        <f t="shared" si="89"/>
        <v>0</v>
      </c>
      <c r="DX72" s="317">
        <f t="shared" si="90"/>
        <v>0</v>
      </c>
      <c r="DY72" s="317">
        <f t="shared" si="91"/>
        <v>0</v>
      </c>
      <c r="DZ72" s="230">
        <f t="shared" si="92"/>
        <v>0</v>
      </c>
    </row>
    <row r="73" spans="1:130" ht="15.75" customHeight="1" x14ac:dyDescent="0.25">
      <c r="A73" s="1908"/>
      <c r="B73" s="1916"/>
      <c r="C73" s="103" t="s">
        <v>33</v>
      </c>
      <c r="D73" s="21"/>
      <c r="E73" s="316">
        <f>'АВЗ АСУТП'!G73</f>
        <v>0</v>
      </c>
      <c r="F73" s="316">
        <f>'АВЗ АСУТП'!K73</f>
        <v>0</v>
      </c>
      <c r="G73" s="316">
        <f>'АВЗ АСУТП'!O73</f>
        <v>0</v>
      </c>
      <c r="H73" s="230">
        <f>'АВЗ АСУТП'!S73</f>
        <v>0</v>
      </c>
      <c r="I73" s="316">
        <f>'АВЗ АСУТП'!W73</f>
        <v>0</v>
      </c>
      <c r="J73" s="230">
        <f>'АВЗ АСУТП'!AA73</f>
        <v>0</v>
      </c>
      <c r="K73" s="230">
        <f>'АВЗ АСУТП'!AE73</f>
        <v>0</v>
      </c>
      <c r="L73" s="230">
        <f>'АВЗ АСУТП'!AI73</f>
        <v>0</v>
      </c>
      <c r="M73" s="230">
        <f>'SIEM АСУТП'!G73</f>
        <v>0</v>
      </c>
      <c r="N73" s="230">
        <f>'SIEM АСУТП'!K73</f>
        <v>0</v>
      </c>
      <c r="O73" s="230">
        <f>'МСЭ АСУТП'!G73</f>
        <v>6</v>
      </c>
      <c r="P73" s="317">
        <f>'МСЭ АСУТП'!K73</f>
        <v>6</v>
      </c>
      <c r="Q73" s="230">
        <f>'МСЭ АСУТП'!O73</f>
        <v>6</v>
      </c>
      <c r="R73" s="230">
        <f>'МСЭ АСУТП'!S73</f>
        <v>6</v>
      </c>
      <c r="S73" s="230">
        <f>'PAM АСУТП'!G73</f>
        <v>6</v>
      </c>
      <c r="T73" s="230">
        <f>'PAM АСУТП'!K73</f>
        <v>6</v>
      </c>
      <c r="U73" s="230">
        <f>'PAM АСУТП'!O73</f>
        <v>6</v>
      </c>
      <c r="V73" s="230">
        <f>'СКЗИ АСУТП'!G73</f>
        <v>14</v>
      </c>
      <c r="W73" s="230">
        <f>'СКЗИ АСУТП'!K73</f>
        <v>14</v>
      </c>
      <c r="X73" s="230">
        <f>'СКЗИ АСУТП'!O73</f>
        <v>14</v>
      </c>
      <c r="Y73" s="230">
        <f>'СКЗИ АСУТП'!S73</f>
        <v>14</v>
      </c>
      <c r="Z73" s="230">
        <f>'СКЗИ АСУТП'!W73</f>
        <v>14</v>
      </c>
      <c r="AA73" s="230">
        <f>'АЗ АСУТП'!G73</f>
        <v>1</v>
      </c>
      <c r="AB73" s="230">
        <f>'АЗ АСУТП'!K73</f>
        <v>1</v>
      </c>
      <c r="AC73" s="230">
        <f>'АЗ АСУТП'!O73</f>
        <v>1</v>
      </c>
      <c r="AD73" s="230">
        <f>'АЗ АСУТП'!S73</f>
        <v>1</v>
      </c>
      <c r="AE73" s="230">
        <f>'АЗ АСУТП'!W73</f>
        <v>1</v>
      </c>
      <c r="AF73" s="230">
        <f>'РК АСУТП'!G73</f>
        <v>4</v>
      </c>
      <c r="AG73" s="230">
        <f>'РК АСУТП'!K73</f>
        <v>4</v>
      </c>
      <c r="AH73" s="230">
        <f>'IDS АСУТП'!G73</f>
        <v>0</v>
      </c>
      <c r="AI73" s="230">
        <f>'IDS АСУТП'!K73</f>
        <v>0</v>
      </c>
      <c r="AJ73" s="230">
        <f>'IDS АСУТП'!O73</f>
        <v>0</v>
      </c>
      <c r="AK73" s="230">
        <f>'АПМДЗ АСУТП'!G73</f>
        <v>0</v>
      </c>
      <c r="AL73" s="230">
        <f>'АПМДЗ АСУТП'!K73</f>
        <v>0</v>
      </c>
      <c r="AM73" s="230">
        <f>'НСД АСУТП'!G73</f>
        <v>0</v>
      </c>
      <c r="AN73" s="230">
        <f>'НСД АСУТП'!K73</f>
        <v>0</v>
      </c>
      <c r="AO73" s="230">
        <f>'НСД АСУТП'!O73</f>
        <v>0</v>
      </c>
      <c r="AP73" s="230">
        <f>'MFA АСУТП'!G73</f>
        <v>6</v>
      </c>
      <c r="AQ73" s="230">
        <f>'MFA АСУТП'!K73</f>
        <v>6</v>
      </c>
      <c r="AR73" s="230">
        <f>'MFA АСУТП'!O73</f>
        <v>6</v>
      </c>
      <c r="AS73" s="230">
        <f>'MFA АСУТП'!S73</f>
        <v>6</v>
      </c>
      <c r="AT73" s="230">
        <f>'ДИОД АСУТП'!G73</f>
        <v>2</v>
      </c>
      <c r="AU73" s="230">
        <f>'ДИОД АСУТП'!K73</f>
        <v>2</v>
      </c>
      <c r="AV73" s="230">
        <f>'ДИОД АСУТП'!O73</f>
        <v>2</v>
      </c>
      <c r="AW73" s="230">
        <f>'ДИОД АСУТП'!S73</f>
        <v>2</v>
      </c>
      <c r="AX73" s="230">
        <f>'СЗВ АСУТП'!G73</f>
        <v>3</v>
      </c>
      <c r="AY73" s="230">
        <f>'СЗВ АСУТП'!K73</f>
        <v>3</v>
      </c>
      <c r="AZ73" s="230">
        <f>'СЗВ АСУТП'!O73</f>
        <v>3</v>
      </c>
      <c r="BA73" s="230">
        <f>'SOAR АСУТП'!G73</f>
        <v>0</v>
      </c>
      <c r="BB73" s="230">
        <f>'SOAR АСУТП'!K73</f>
        <v>0</v>
      </c>
      <c r="BC73" s="230">
        <f>'SOAR АСУТП'!O73</f>
        <v>0</v>
      </c>
      <c r="BD73" s="230" t="e">
        <f>'SOAR АСУТП'!#REF!</f>
        <v>#REF!</v>
      </c>
      <c r="BE73" s="230">
        <f>'VDI АСУТП'!G73</f>
        <v>3</v>
      </c>
      <c r="BF73" s="230">
        <f>'VDI АСУТП'!K73</f>
        <v>3</v>
      </c>
      <c r="BG73" s="230">
        <f>'VDI АСУТП'!O73</f>
        <v>3</v>
      </c>
      <c r="BH73" s="230">
        <f>'VDI АСУТП'!S73</f>
        <v>3</v>
      </c>
      <c r="BI73" s="230">
        <f>'VDI АСУТП'!W73</f>
        <v>3</v>
      </c>
      <c r="BJ73" s="316">
        <f>'СУБД АСУТП'!G73</f>
        <v>0</v>
      </c>
      <c r="BK73" s="316">
        <f>'СУБД АСУТП'!K73</f>
        <v>0</v>
      </c>
      <c r="BL73" s="316">
        <f>'ГОССОПКА АСУТП'!G73</f>
        <v>8</v>
      </c>
      <c r="BM73" s="316">
        <f>'ГОССОПКА АСУТП'!K73</f>
        <v>8</v>
      </c>
      <c r="BN73" s="316">
        <f>'TLS АСУТП'!G73</f>
        <v>8</v>
      </c>
      <c r="BO73" s="316">
        <f>'TLS АСУТП'!K73</f>
        <v>8</v>
      </c>
      <c r="BP73" s="316">
        <f>'DCAP АСУТП'!G73</f>
        <v>16</v>
      </c>
      <c r="BQ73" s="316">
        <f>'DCAP АСУТП'!K73</f>
        <v>16</v>
      </c>
      <c r="BR73" s="316">
        <f>'DCAP АСУТП'!O73</f>
        <v>16</v>
      </c>
      <c r="BS73" s="316">
        <f>'DO АСУТП'!G73</f>
        <v>0</v>
      </c>
      <c r="BT73" s="316">
        <f>'NTA АСУТП'!G73</f>
        <v>0</v>
      </c>
      <c r="BU73" s="316">
        <f>'NTA АСУТП'!K73</f>
        <v>0</v>
      </c>
      <c r="BV73" s="316">
        <f>'NTA АСУТП'!O73</f>
        <v>0</v>
      </c>
      <c r="BW73" s="316">
        <f>'NTA АСУТП'!S73</f>
        <v>0</v>
      </c>
      <c r="BX73" s="316">
        <f>'SEG АСУТП'!G73</f>
        <v>16</v>
      </c>
      <c r="BY73" s="316">
        <f>'APT АСУТП'!G73</f>
        <v>0</v>
      </c>
      <c r="BZ73" s="316">
        <f>'APT АСУТП'!K73</f>
        <v>0</v>
      </c>
      <c r="CA73" s="316">
        <f>'APT АСУТП'!O73</f>
        <v>0</v>
      </c>
      <c r="CB73" s="316">
        <f>'NAC АСУТП'!G73</f>
        <v>6</v>
      </c>
      <c r="CC73" s="316">
        <f>'SANDBOX АСУТП'!G73</f>
        <v>6</v>
      </c>
      <c r="CD73" s="316">
        <f>'SANDBOX АСУТП'!K73</f>
        <v>6</v>
      </c>
      <c r="CE73" s="316">
        <f>'EDR АСУТП'!G73</f>
        <v>0</v>
      </c>
      <c r="CF73" s="316">
        <f>'EDR АСУТП'!K73</f>
        <v>0</v>
      </c>
      <c r="CG73" s="316">
        <f>'WAF АСУТП'!G73</f>
        <v>5</v>
      </c>
      <c r="CH73" s="316">
        <f>'WAF АСУТП'!K73</f>
        <v>5</v>
      </c>
      <c r="CI73" s="316">
        <f>'WAF АСУТП'!O73</f>
        <v>5</v>
      </c>
      <c r="CJ73" s="316">
        <f>'ВМ ЗСВ'!G73</f>
        <v>0</v>
      </c>
      <c r="CK73" s="316">
        <f>'ВМ ЗСВ'!K73</f>
        <v>0</v>
      </c>
      <c r="CL73" s="316">
        <f>'ВМ ЗСВ'!O73</f>
        <v>0</v>
      </c>
      <c r="CM73" s="316">
        <f>'ВМ ЗСВ'!S73</f>
        <v>0</v>
      </c>
      <c r="CN73" s="316">
        <f>'ВМ ЗСВ'!W73</f>
        <v>0</v>
      </c>
      <c r="CO73" s="316">
        <f>'ВМ ЗСВ'!AA73</f>
        <v>0</v>
      </c>
      <c r="CP73" s="316">
        <f>'ВМ СПО'!G73</f>
        <v>0</v>
      </c>
      <c r="CQ73" s="316">
        <f>'ВМ СПО'!K73</f>
        <v>0</v>
      </c>
      <c r="CR73" s="316">
        <f>'ВМ СПО'!O73</f>
        <v>0</v>
      </c>
      <c r="CS73" s="316">
        <f>'ВМ СПО'!S73</f>
        <v>0</v>
      </c>
      <c r="CT73" s="316">
        <f>'ВМ АСО'!G73</f>
        <v>0</v>
      </c>
      <c r="CU73" s="316">
        <f>'ВМ АСО'!K73</f>
        <v>0</v>
      </c>
      <c r="CV73" s="316" t="e">
        <f t="shared" si="62"/>
        <v>#REF!</v>
      </c>
      <c r="CW73" s="25">
        <f t="shared" si="63"/>
        <v>0</v>
      </c>
      <c r="CX73" s="25">
        <f t="shared" si="64"/>
        <v>0</v>
      </c>
      <c r="CY73" s="25">
        <f t="shared" si="65"/>
        <v>0</v>
      </c>
      <c r="CZ73" s="25">
        <f t="shared" si="66"/>
        <v>0</v>
      </c>
      <c r="DA73" s="25">
        <f t="shared" si="67"/>
        <v>0</v>
      </c>
      <c r="DB73" s="25">
        <f t="shared" si="68"/>
        <v>0</v>
      </c>
      <c r="DC73" s="25">
        <f t="shared" si="69"/>
        <v>0</v>
      </c>
      <c r="DD73" s="25">
        <f t="shared" si="70"/>
        <v>0</v>
      </c>
      <c r="DE73" s="25">
        <f t="shared" si="71"/>
        <v>0</v>
      </c>
      <c r="DF73" s="25">
        <f t="shared" si="72"/>
        <v>0</v>
      </c>
      <c r="DG73" s="25">
        <f t="shared" si="73"/>
        <v>0</v>
      </c>
      <c r="DH73" s="25">
        <f t="shared" si="74"/>
        <v>0</v>
      </c>
      <c r="DI73" s="25">
        <f t="shared" si="75"/>
        <v>0</v>
      </c>
      <c r="DJ73" s="25" t="e">
        <f t="shared" si="76"/>
        <v>#REF!</v>
      </c>
      <c r="DK73" s="25">
        <f t="shared" si="77"/>
        <v>0</v>
      </c>
      <c r="DL73" s="25">
        <f t="shared" si="78"/>
        <v>0</v>
      </c>
      <c r="DM73" s="25">
        <f t="shared" si="79"/>
        <v>0</v>
      </c>
      <c r="DN73" s="25">
        <f t="shared" si="80"/>
        <v>0</v>
      </c>
      <c r="DO73" s="25">
        <f t="shared" si="81"/>
        <v>0</v>
      </c>
      <c r="DP73" s="25">
        <f t="shared" si="82"/>
        <v>0</v>
      </c>
      <c r="DQ73" s="25">
        <f t="shared" si="83"/>
        <v>0</v>
      </c>
      <c r="DR73" s="25">
        <f t="shared" si="84"/>
        <v>0</v>
      </c>
      <c r="DS73" s="25">
        <f t="shared" si="85"/>
        <v>0</v>
      </c>
      <c r="DT73" s="25">
        <f t="shared" si="86"/>
        <v>0</v>
      </c>
      <c r="DU73" s="25">
        <f t="shared" si="87"/>
        <v>0</v>
      </c>
      <c r="DV73" s="21">
        <f t="shared" si="88"/>
        <v>0</v>
      </c>
      <c r="DW73" s="317">
        <f t="shared" si="89"/>
        <v>0</v>
      </c>
      <c r="DX73" s="317">
        <f t="shared" si="90"/>
        <v>0</v>
      </c>
      <c r="DY73" s="317">
        <f t="shared" si="91"/>
        <v>0</v>
      </c>
      <c r="DZ73" s="230">
        <f t="shared" si="92"/>
        <v>0</v>
      </c>
    </row>
    <row r="74" spans="1:130" ht="15.75" customHeight="1" x14ac:dyDescent="0.25">
      <c r="A74" s="1908"/>
      <c r="B74" s="1916"/>
      <c r="C74" s="103" t="s">
        <v>34</v>
      </c>
      <c r="D74" s="21"/>
      <c r="E74" s="316">
        <f>'АВЗ АСУТП'!G74</f>
        <v>0</v>
      </c>
      <c r="F74" s="316">
        <f>'АВЗ АСУТП'!K74</f>
        <v>0</v>
      </c>
      <c r="G74" s="316">
        <f>'АВЗ АСУТП'!O74</f>
        <v>0</v>
      </c>
      <c r="H74" s="230">
        <f>'АВЗ АСУТП'!S74</f>
        <v>0</v>
      </c>
      <c r="I74" s="316">
        <f>'АВЗ АСУТП'!W74</f>
        <v>0</v>
      </c>
      <c r="J74" s="230">
        <f>'АВЗ АСУТП'!AA74</f>
        <v>0</v>
      </c>
      <c r="K74" s="230">
        <f>'АВЗ АСУТП'!AE74</f>
        <v>0</v>
      </c>
      <c r="L74" s="230">
        <f>'АВЗ АСУТП'!AI74</f>
        <v>0</v>
      </c>
      <c r="M74" s="230">
        <f>'SIEM АСУТП'!G74</f>
        <v>0</v>
      </c>
      <c r="N74" s="230">
        <f>'SIEM АСУТП'!K74</f>
        <v>0</v>
      </c>
      <c r="O74" s="230">
        <f>'МСЭ АСУТП'!G74</f>
        <v>8</v>
      </c>
      <c r="P74" s="317">
        <f>'МСЭ АСУТП'!K74</f>
        <v>8</v>
      </c>
      <c r="Q74" s="230">
        <f>'МСЭ АСУТП'!O74</f>
        <v>8</v>
      </c>
      <c r="R74" s="230">
        <f>'МСЭ АСУТП'!S74</f>
        <v>8</v>
      </c>
      <c r="S74" s="230">
        <f>'PAM АСУТП'!G74</f>
        <v>8</v>
      </c>
      <c r="T74" s="230">
        <f>'PAM АСУТП'!K74</f>
        <v>8</v>
      </c>
      <c r="U74" s="230">
        <f>'PAM АСУТП'!O74</f>
        <v>8</v>
      </c>
      <c r="V74" s="230">
        <f>'СКЗИ АСУТП'!G74</f>
        <v>18</v>
      </c>
      <c r="W74" s="230">
        <f>'СКЗИ АСУТП'!K74</f>
        <v>18</v>
      </c>
      <c r="X74" s="230">
        <f>'СКЗИ АСУТП'!O74</f>
        <v>18</v>
      </c>
      <c r="Y74" s="230">
        <f>'СКЗИ АСУТП'!S74</f>
        <v>18</v>
      </c>
      <c r="Z74" s="230">
        <f>'СКЗИ АСУТП'!W74</f>
        <v>18</v>
      </c>
      <c r="AA74" s="230">
        <f>'АЗ АСУТП'!G74</f>
        <v>1</v>
      </c>
      <c r="AB74" s="230">
        <f>'АЗ АСУТП'!K74</f>
        <v>1</v>
      </c>
      <c r="AC74" s="230">
        <f>'АЗ АСУТП'!O74</f>
        <v>1</v>
      </c>
      <c r="AD74" s="230">
        <f>'АЗ АСУТП'!S74</f>
        <v>1</v>
      </c>
      <c r="AE74" s="230">
        <f>'АЗ АСУТП'!W74</f>
        <v>1</v>
      </c>
      <c r="AF74" s="230">
        <f>'РК АСУТП'!G74</f>
        <v>6</v>
      </c>
      <c r="AG74" s="230">
        <f>'РК АСУТП'!K74</f>
        <v>6</v>
      </c>
      <c r="AH74" s="230">
        <f>'IDS АСУТП'!G74</f>
        <v>0</v>
      </c>
      <c r="AI74" s="230">
        <f>'IDS АСУТП'!K74</f>
        <v>0</v>
      </c>
      <c r="AJ74" s="230">
        <f>'IDS АСУТП'!O74</f>
        <v>0</v>
      </c>
      <c r="AK74" s="230">
        <f>'АПМДЗ АСУТП'!G74</f>
        <v>0</v>
      </c>
      <c r="AL74" s="230">
        <f>'АПМДЗ АСУТП'!K74</f>
        <v>0</v>
      </c>
      <c r="AM74" s="230">
        <f>'НСД АСУТП'!G74</f>
        <v>0</v>
      </c>
      <c r="AN74" s="230">
        <f>'НСД АСУТП'!K74</f>
        <v>0</v>
      </c>
      <c r="AO74" s="230">
        <f>'НСД АСУТП'!O74</f>
        <v>0</v>
      </c>
      <c r="AP74" s="230">
        <f>'MFA АСУТП'!G74</f>
        <v>8</v>
      </c>
      <c r="AQ74" s="230">
        <f>'MFA АСУТП'!K74</f>
        <v>8</v>
      </c>
      <c r="AR74" s="230">
        <f>'MFA АСУТП'!O74</f>
        <v>8</v>
      </c>
      <c r="AS74" s="230">
        <f>'MFA АСУТП'!S74</f>
        <v>8</v>
      </c>
      <c r="AT74" s="230">
        <f>'ДИОД АСУТП'!G74</f>
        <v>4</v>
      </c>
      <c r="AU74" s="230">
        <f>'ДИОД АСУТП'!K74</f>
        <v>4</v>
      </c>
      <c r="AV74" s="230">
        <f>'ДИОД АСУТП'!O74</f>
        <v>4</v>
      </c>
      <c r="AW74" s="230">
        <f>'ДИОД АСУТП'!S74</f>
        <v>4</v>
      </c>
      <c r="AX74" s="230">
        <f>'СЗВ АСУТП'!G74</f>
        <v>4</v>
      </c>
      <c r="AY74" s="230">
        <f>'СЗВ АСУТП'!K74</f>
        <v>4</v>
      </c>
      <c r="AZ74" s="230">
        <f>'СЗВ АСУТП'!O74</f>
        <v>4</v>
      </c>
      <c r="BA74" s="230">
        <f>'SOAR АСУТП'!G74</f>
        <v>0</v>
      </c>
      <c r="BB74" s="230">
        <f>'SOAR АСУТП'!K74</f>
        <v>0</v>
      </c>
      <c r="BC74" s="230">
        <f>'SOAR АСУТП'!O74</f>
        <v>0</v>
      </c>
      <c r="BD74" s="230" t="e">
        <f>'SOAR АСУТП'!#REF!</f>
        <v>#REF!</v>
      </c>
      <c r="BE74" s="230">
        <f>'VDI АСУТП'!G74</f>
        <v>4</v>
      </c>
      <c r="BF74" s="230">
        <f>'VDI АСУТП'!K74</f>
        <v>4</v>
      </c>
      <c r="BG74" s="230">
        <f>'VDI АСУТП'!O74</f>
        <v>4</v>
      </c>
      <c r="BH74" s="230">
        <f>'VDI АСУТП'!S74</f>
        <v>4</v>
      </c>
      <c r="BI74" s="230">
        <f>'VDI АСУТП'!W74</f>
        <v>4</v>
      </c>
      <c r="BJ74" s="316">
        <f>'СУБД АСУТП'!G74</f>
        <v>0</v>
      </c>
      <c r="BK74" s="316">
        <f>'СУБД АСУТП'!K74</f>
        <v>0</v>
      </c>
      <c r="BL74" s="316">
        <f>'ГОССОПКА АСУТП'!G74</f>
        <v>10</v>
      </c>
      <c r="BM74" s="316">
        <f>'ГОССОПКА АСУТП'!K74</f>
        <v>10</v>
      </c>
      <c r="BN74" s="316">
        <f>'TLS АСУТП'!G74</f>
        <v>16</v>
      </c>
      <c r="BO74" s="316">
        <f>'TLS АСУТП'!K74</f>
        <v>16</v>
      </c>
      <c r="BP74" s="316">
        <f>'DCAP АСУТП'!G74</f>
        <v>24</v>
      </c>
      <c r="BQ74" s="316">
        <f>'DCAP АСУТП'!K74</f>
        <v>24</v>
      </c>
      <c r="BR74" s="316">
        <f>'DCAP АСУТП'!O74</f>
        <v>24</v>
      </c>
      <c r="BS74" s="316">
        <f>'DO АСУТП'!G74</f>
        <v>0</v>
      </c>
      <c r="BT74" s="316">
        <f>'NTA АСУТП'!G74</f>
        <v>0</v>
      </c>
      <c r="BU74" s="316">
        <f>'NTA АСУТП'!K74</f>
        <v>0</v>
      </c>
      <c r="BV74" s="316">
        <f>'NTA АСУТП'!O74</f>
        <v>0</v>
      </c>
      <c r="BW74" s="316">
        <f>'NTA АСУТП'!S74</f>
        <v>0</v>
      </c>
      <c r="BX74" s="316">
        <f>'SEG АСУТП'!G74</f>
        <v>24</v>
      </c>
      <c r="BY74" s="316">
        <f>'APT АСУТП'!G74</f>
        <v>0</v>
      </c>
      <c r="BZ74" s="316">
        <f>'APT АСУТП'!K74</f>
        <v>0</v>
      </c>
      <c r="CA74" s="316">
        <f>'APT АСУТП'!O74</f>
        <v>0</v>
      </c>
      <c r="CB74" s="316">
        <f>'NAC АСУТП'!G74</f>
        <v>8</v>
      </c>
      <c r="CC74" s="316">
        <f>'SANDBOX АСУТП'!G74</f>
        <v>8</v>
      </c>
      <c r="CD74" s="316">
        <f>'SANDBOX АСУТП'!K74</f>
        <v>8</v>
      </c>
      <c r="CE74" s="316">
        <f>'EDR АСУТП'!G74</f>
        <v>0</v>
      </c>
      <c r="CF74" s="316">
        <f>'EDR АСУТП'!K74</f>
        <v>0</v>
      </c>
      <c r="CG74" s="316">
        <f>'WAF АСУТП'!G74</f>
        <v>7</v>
      </c>
      <c r="CH74" s="316">
        <f>'WAF АСУТП'!K74</f>
        <v>7</v>
      </c>
      <c r="CI74" s="316">
        <f>'WAF АСУТП'!O74</f>
        <v>7</v>
      </c>
      <c r="CJ74" s="316">
        <f>'ВМ ЗСВ'!G74</f>
        <v>0</v>
      </c>
      <c r="CK74" s="316">
        <f>'ВМ ЗСВ'!K74</f>
        <v>0</v>
      </c>
      <c r="CL74" s="316">
        <f>'ВМ ЗСВ'!O74</f>
        <v>0</v>
      </c>
      <c r="CM74" s="316">
        <f>'ВМ ЗСВ'!S74</f>
        <v>0</v>
      </c>
      <c r="CN74" s="316">
        <f>'ВМ ЗСВ'!W74</f>
        <v>0</v>
      </c>
      <c r="CO74" s="316">
        <f>'ВМ ЗСВ'!AA74</f>
        <v>0</v>
      </c>
      <c r="CP74" s="316">
        <f>'ВМ СПО'!G74</f>
        <v>0</v>
      </c>
      <c r="CQ74" s="316">
        <f>'ВМ СПО'!K74</f>
        <v>0</v>
      </c>
      <c r="CR74" s="316">
        <f>'ВМ СПО'!O74</f>
        <v>0</v>
      </c>
      <c r="CS74" s="316">
        <f>'ВМ СПО'!S74</f>
        <v>0</v>
      </c>
      <c r="CT74" s="316">
        <f>'ВМ АСО'!G74</f>
        <v>0</v>
      </c>
      <c r="CU74" s="316">
        <f>'ВМ АСО'!K74</f>
        <v>0</v>
      </c>
      <c r="CV74" s="316" t="e">
        <f t="shared" si="62"/>
        <v>#REF!</v>
      </c>
      <c r="CW74" s="25">
        <f t="shared" si="63"/>
        <v>0</v>
      </c>
      <c r="CX74" s="25">
        <f t="shared" si="64"/>
        <v>0</v>
      </c>
      <c r="CY74" s="25">
        <f t="shared" si="65"/>
        <v>0</v>
      </c>
      <c r="CZ74" s="25">
        <f t="shared" si="66"/>
        <v>0</v>
      </c>
      <c r="DA74" s="25">
        <f t="shared" si="67"/>
        <v>0</v>
      </c>
      <c r="DB74" s="25">
        <f t="shared" si="68"/>
        <v>0</v>
      </c>
      <c r="DC74" s="25">
        <f t="shared" si="69"/>
        <v>0</v>
      </c>
      <c r="DD74" s="25">
        <f t="shared" si="70"/>
        <v>0</v>
      </c>
      <c r="DE74" s="25">
        <f t="shared" si="71"/>
        <v>0</v>
      </c>
      <c r="DF74" s="25">
        <f t="shared" si="72"/>
        <v>0</v>
      </c>
      <c r="DG74" s="25">
        <f t="shared" si="73"/>
        <v>0</v>
      </c>
      <c r="DH74" s="25">
        <f t="shared" si="74"/>
        <v>0</v>
      </c>
      <c r="DI74" s="25">
        <f t="shared" si="75"/>
        <v>0</v>
      </c>
      <c r="DJ74" s="25" t="e">
        <f t="shared" si="76"/>
        <v>#REF!</v>
      </c>
      <c r="DK74" s="25">
        <f t="shared" si="77"/>
        <v>0</v>
      </c>
      <c r="DL74" s="25">
        <f t="shared" si="78"/>
        <v>0</v>
      </c>
      <c r="DM74" s="25">
        <f t="shared" si="79"/>
        <v>0</v>
      </c>
      <c r="DN74" s="25">
        <f t="shared" si="80"/>
        <v>0</v>
      </c>
      <c r="DO74" s="25">
        <f t="shared" si="81"/>
        <v>0</v>
      </c>
      <c r="DP74" s="25">
        <f t="shared" si="82"/>
        <v>0</v>
      </c>
      <c r="DQ74" s="25">
        <f t="shared" si="83"/>
        <v>0</v>
      </c>
      <c r="DR74" s="25">
        <f t="shared" si="84"/>
        <v>0</v>
      </c>
      <c r="DS74" s="25">
        <f t="shared" si="85"/>
        <v>0</v>
      </c>
      <c r="DT74" s="25">
        <f t="shared" si="86"/>
        <v>0</v>
      </c>
      <c r="DU74" s="25">
        <f t="shared" si="87"/>
        <v>0</v>
      </c>
      <c r="DV74" s="21">
        <f t="shared" si="88"/>
        <v>0</v>
      </c>
      <c r="DW74" s="317">
        <f t="shared" si="89"/>
        <v>0</v>
      </c>
      <c r="DX74" s="317">
        <f t="shared" si="90"/>
        <v>0</v>
      </c>
      <c r="DY74" s="317">
        <f t="shared" si="91"/>
        <v>0</v>
      </c>
      <c r="DZ74" s="230">
        <f t="shared" si="92"/>
        <v>0</v>
      </c>
    </row>
    <row r="75" spans="1:130" ht="15" customHeight="1" x14ac:dyDescent="0.25">
      <c r="A75" s="1908" t="s">
        <v>21</v>
      </c>
      <c r="B75" s="1916">
        <f>IF('Тип разраб-ой док-ции'!F30=1,1,0)</f>
        <v>0</v>
      </c>
      <c r="C75" s="103" t="s">
        <v>32</v>
      </c>
      <c r="D75" s="21"/>
      <c r="E75" s="316">
        <f>'АВЗ АСУТП'!G75</f>
        <v>0</v>
      </c>
      <c r="F75" s="316">
        <f>'АВЗ АСУТП'!K75</f>
        <v>0</v>
      </c>
      <c r="G75" s="316">
        <f>'АВЗ АСУТП'!O75</f>
        <v>0</v>
      </c>
      <c r="H75" s="230">
        <f>'АВЗ АСУТП'!S75</f>
        <v>0</v>
      </c>
      <c r="I75" s="316">
        <f>'АВЗ АСУТП'!W75</f>
        <v>0</v>
      </c>
      <c r="J75" s="230">
        <f>'АВЗ АСУТП'!AA75</f>
        <v>0</v>
      </c>
      <c r="K75" s="230">
        <f>'АВЗ АСУТП'!AE75</f>
        <v>0</v>
      </c>
      <c r="L75" s="230">
        <f>'АВЗ АСУТП'!AI75</f>
        <v>0</v>
      </c>
      <c r="M75" s="230">
        <f>'SIEM АСУТП'!G75</f>
        <v>0</v>
      </c>
      <c r="N75" s="230">
        <f>'SIEM АСУТП'!K75</f>
        <v>0</v>
      </c>
      <c r="O75" s="230">
        <f>'МСЭ АСУТП'!G75</f>
        <v>0</v>
      </c>
      <c r="P75" s="317">
        <f>'МСЭ АСУТП'!K75</f>
        <v>0</v>
      </c>
      <c r="Q75" s="230">
        <f>'МСЭ АСУТП'!O75</f>
        <v>0</v>
      </c>
      <c r="R75" s="230">
        <f>'МСЭ АСУТП'!S75</f>
        <v>0</v>
      </c>
      <c r="S75" s="230">
        <f>'PAM АСУТП'!G75</f>
        <v>0</v>
      </c>
      <c r="T75" s="230">
        <f>'PAM АСУТП'!K75</f>
        <v>0</v>
      </c>
      <c r="U75" s="230">
        <f>'PAM АСУТП'!O75</f>
        <v>0</v>
      </c>
      <c r="V75" s="230">
        <f>'СКЗИ АСУТП'!G75</f>
        <v>0</v>
      </c>
      <c r="W75" s="230">
        <f>'СКЗИ АСУТП'!K75</f>
        <v>0</v>
      </c>
      <c r="X75" s="230">
        <f>'СКЗИ АСУТП'!O75</f>
        <v>0</v>
      </c>
      <c r="Y75" s="230">
        <f>'СКЗИ АСУТП'!S75</f>
        <v>0</v>
      </c>
      <c r="Z75" s="230">
        <f>'СКЗИ АСУТП'!W75</f>
        <v>0</v>
      </c>
      <c r="AA75" s="230">
        <f>'АЗ АСУТП'!G75</f>
        <v>0</v>
      </c>
      <c r="AB75" s="230">
        <f>'АЗ АСУТП'!K75</f>
        <v>0</v>
      </c>
      <c r="AC75" s="230">
        <f>'АЗ АСУТП'!O75</f>
        <v>0</v>
      </c>
      <c r="AD75" s="230">
        <f>'АЗ АСУТП'!S75</f>
        <v>0</v>
      </c>
      <c r="AE75" s="230">
        <f>'АЗ АСУТП'!W75</f>
        <v>0</v>
      </c>
      <c r="AF75" s="230">
        <f>'РК АСУТП'!G75</f>
        <v>0</v>
      </c>
      <c r="AG75" s="230">
        <f>'РК АСУТП'!K75</f>
        <v>0</v>
      </c>
      <c r="AH75" s="230">
        <f>'IDS АСУТП'!G75</f>
        <v>0</v>
      </c>
      <c r="AI75" s="230">
        <f>'IDS АСУТП'!K75</f>
        <v>0</v>
      </c>
      <c r="AJ75" s="230">
        <f>'IDS АСУТП'!O75</f>
        <v>0</v>
      </c>
      <c r="AK75" s="230">
        <f>'АПМДЗ АСУТП'!G75</f>
        <v>0</v>
      </c>
      <c r="AL75" s="230">
        <f>'АПМДЗ АСУТП'!K75</f>
        <v>0</v>
      </c>
      <c r="AM75" s="230">
        <f>'НСД АСУТП'!G75</f>
        <v>0</v>
      </c>
      <c r="AN75" s="230">
        <f>'НСД АСУТП'!K75</f>
        <v>0</v>
      </c>
      <c r="AO75" s="230">
        <f>'НСД АСУТП'!O75</f>
        <v>0</v>
      </c>
      <c r="AP75" s="230">
        <f>'MFA АСУТП'!G75</f>
        <v>0</v>
      </c>
      <c r="AQ75" s="230">
        <f>'MFA АСУТП'!K75</f>
        <v>0</v>
      </c>
      <c r="AR75" s="230">
        <f>'MFA АСУТП'!O75</f>
        <v>0</v>
      </c>
      <c r="AS75" s="230">
        <f>'MFA АСУТП'!S75</f>
        <v>0</v>
      </c>
      <c r="AT75" s="230">
        <f>'ДИОД АСУТП'!G75</f>
        <v>0</v>
      </c>
      <c r="AU75" s="230">
        <f>'ДИОД АСУТП'!K75</f>
        <v>0</v>
      </c>
      <c r="AV75" s="230">
        <f>'ДИОД АСУТП'!O75</f>
        <v>0</v>
      </c>
      <c r="AW75" s="230">
        <f>'ДИОД АСУТП'!S75</f>
        <v>0</v>
      </c>
      <c r="AX75" s="230">
        <f>'СЗВ АСУТП'!G75</f>
        <v>0</v>
      </c>
      <c r="AY75" s="230">
        <f>'СЗВ АСУТП'!K75</f>
        <v>0</v>
      </c>
      <c r="AZ75" s="230">
        <f>'СЗВ АСУТП'!O75</f>
        <v>0</v>
      </c>
      <c r="BA75" s="230">
        <f>'SOAR АСУТП'!G75</f>
        <v>0</v>
      </c>
      <c r="BB75" s="230">
        <f>'SOAR АСУТП'!K75</f>
        <v>0</v>
      </c>
      <c r="BC75" s="230">
        <f>'SOAR АСУТП'!O75</f>
        <v>0</v>
      </c>
      <c r="BD75" s="230" t="e">
        <f>'SOAR АСУТП'!#REF!</f>
        <v>#REF!</v>
      </c>
      <c r="BE75" s="230">
        <f>'VDI АСУТП'!G75</f>
        <v>0</v>
      </c>
      <c r="BF75" s="230">
        <f>'VDI АСУТП'!K75</f>
        <v>0</v>
      </c>
      <c r="BG75" s="230">
        <f>'VDI АСУТП'!O75</f>
        <v>0</v>
      </c>
      <c r="BH75" s="230">
        <f>'VDI АСУТП'!S75</f>
        <v>0</v>
      </c>
      <c r="BI75" s="230">
        <f>'VDI АСУТП'!W75</f>
        <v>0</v>
      </c>
      <c r="BJ75" s="316">
        <f>'СУБД АСУТП'!G75</f>
        <v>0</v>
      </c>
      <c r="BK75" s="316">
        <f>'СУБД АСУТП'!K75</f>
        <v>0</v>
      </c>
      <c r="BL75" s="316">
        <f>'ГОССОПКА АСУТП'!G75</f>
        <v>0</v>
      </c>
      <c r="BM75" s="316">
        <f>'ГОССОПКА АСУТП'!K75</f>
        <v>0</v>
      </c>
      <c r="BN75" s="316">
        <f>'TLS АСУТП'!G75</f>
        <v>0</v>
      </c>
      <c r="BO75" s="316">
        <f>'TLS АСУТП'!K75</f>
        <v>0</v>
      </c>
      <c r="BP75" s="316">
        <f>'DCAP АСУТП'!G75</f>
        <v>0</v>
      </c>
      <c r="BQ75" s="316">
        <f>'DCAP АСУТП'!K75</f>
        <v>0</v>
      </c>
      <c r="BR75" s="316">
        <f>'DCAP АСУТП'!O75</f>
        <v>0</v>
      </c>
      <c r="BS75" s="316">
        <f>'DO АСУТП'!G75</f>
        <v>0</v>
      </c>
      <c r="BT75" s="316">
        <f>'NTA АСУТП'!G75</f>
        <v>0</v>
      </c>
      <c r="BU75" s="316">
        <f>'NTA АСУТП'!K75</f>
        <v>0</v>
      </c>
      <c r="BV75" s="316">
        <f>'NTA АСУТП'!O75</f>
        <v>0</v>
      </c>
      <c r="BW75" s="316">
        <f>'NTA АСУТП'!S75</f>
        <v>0</v>
      </c>
      <c r="BX75" s="316">
        <f>'SEG АСУТП'!G75</f>
        <v>0</v>
      </c>
      <c r="BY75" s="316">
        <f>'APT АСУТП'!G75</f>
        <v>0</v>
      </c>
      <c r="BZ75" s="316">
        <f>'APT АСУТП'!K75</f>
        <v>0</v>
      </c>
      <c r="CA75" s="316">
        <f>'APT АСУТП'!O75</f>
        <v>0</v>
      </c>
      <c r="CB75" s="316">
        <f>'NAC АСУТП'!G75</f>
        <v>0</v>
      </c>
      <c r="CC75" s="316">
        <f>'SANDBOX АСУТП'!G75</f>
        <v>0</v>
      </c>
      <c r="CD75" s="316">
        <f>'SANDBOX АСУТП'!K75</f>
        <v>0</v>
      </c>
      <c r="CE75" s="316">
        <f>'EDR АСУТП'!G75</f>
        <v>0</v>
      </c>
      <c r="CF75" s="316">
        <f>'EDR АСУТП'!K75</f>
        <v>0</v>
      </c>
      <c r="CG75" s="316">
        <f>'WAF АСУТП'!G75</f>
        <v>0</v>
      </c>
      <c r="CH75" s="316">
        <f>'WAF АСУТП'!K75</f>
        <v>0</v>
      </c>
      <c r="CI75" s="316">
        <f>'WAF АСУТП'!O75</f>
        <v>0</v>
      </c>
      <c r="CJ75" s="316">
        <f>'ВМ ЗСВ'!G75</f>
        <v>0</v>
      </c>
      <c r="CK75" s="316">
        <f>'ВМ ЗСВ'!K75</f>
        <v>0</v>
      </c>
      <c r="CL75" s="316">
        <f>'ВМ ЗСВ'!O75</f>
        <v>0</v>
      </c>
      <c r="CM75" s="316">
        <f>'ВМ ЗСВ'!S75</f>
        <v>0</v>
      </c>
      <c r="CN75" s="316">
        <f>'ВМ ЗСВ'!W75</f>
        <v>0</v>
      </c>
      <c r="CO75" s="316">
        <f>'ВМ ЗСВ'!AA75</f>
        <v>0</v>
      </c>
      <c r="CP75" s="316">
        <f>'ВМ СПО'!G75</f>
        <v>0</v>
      </c>
      <c r="CQ75" s="316">
        <f>'ВМ СПО'!K75</f>
        <v>0</v>
      </c>
      <c r="CR75" s="316">
        <f>'ВМ СПО'!O75</f>
        <v>0</v>
      </c>
      <c r="CS75" s="316">
        <f>'ВМ СПО'!S75</f>
        <v>0</v>
      </c>
      <c r="CT75" s="316">
        <f>'ВМ АСО'!G75</f>
        <v>0</v>
      </c>
      <c r="CU75" s="316">
        <f>'ВМ АСО'!K75</f>
        <v>0</v>
      </c>
      <c r="CV75" s="316" t="e">
        <f t="shared" si="62"/>
        <v>#REF!</v>
      </c>
      <c r="CW75" s="25">
        <f t="shared" si="63"/>
        <v>0</v>
      </c>
      <c r="CX75" s="25">
        <f t="shared" si="64"/>
        <v>0</v>
      </c>
      <c r="CY75" s="25">
        <f t="shared" si="65"/>
        <v>0</v>
      </c>
      <c r="CZ75" s="25">
        <f t="shared" si="66"/>
        <v>0</v>
      </c>
      <c r="DA75" s="25">
        <f t="shared" si="67"/>
        <v>0</v>
      </c>
      <c r="DB75" s="25">
        <f t="shared" si="68"/>
        <v>0</v>
      </c>
      <c r="DC75" s="25">
        <f t="shared" si="69"/>
        <v>0</v>
      </c>
      <c r="DD75" s="25">
        <f t="shared" si="70"/>
        <v>0</v>
      </c>
      <c r="DE75" s="25">
        <f t="shared" si="71"/>
        <v>0</v>
      </c>
      <c r="DF75" s="25">
        <f t="shared" si="72"/>
        <v>0</v>
      </c>
      <c r="DG75" s="25">
        <f t="shared" si="73"/>
        <v>0</v>
      </c>
      <c r="DH75" s="25">
        <f t="shared" si="74"/>
        <v>0</v>
      </c>
      <c r="DI75" s="25">
        <f t="shared" si="75"/>
        <v>0</v>
      </c>
      <c r="DJ75" s="25" t="e">
        <f t="shared" si="76"/>
        <v>#REF!</v>
      </c>
      <c r="DK75" s="25">
        <f t="shared" si="77"/>
        <v>0</v>
      </c>
      <c r="DL75" s="25">
        <f t="shared" si="78"/>
        <v>0</v>
      </c>
      <c r="DM75" s="25">
        <f t="shared" si="79"/>
        <v>0</v>
      </c>
      <c r="DN75" s="25">
        <f t="shared" si="80"/>
        <v>0</v>
      </c>
      <c r="DO75" s="25">
        <f t="shared" si="81"/>
        <v>0</v>
      </c>
      <c r="DP75" s="25">
        <f t="shared" si="82"/>
        <v>0</v>
      </c>
      <c r="DQ75" s="25">
        <f t="shared" si="83"/>
        <v>0</v>
      </c>
      <c r="DR75" s="25">
        <f t="shared" si="84"/>
        <v>0</v>
      </c>
      <c r="DS75" s="25">
        <f t="shared" si="85"/>
        <v>0</v>
      </c>
      <c r="DT75" s="25">
        <f t="shared" si="86"/>
        <v>0</v>
      </c>
      <c r="DU75" s="25">
        <f t="shared" si="87"/>
        <v>0</v>
      </c>
      <c r="DV75" s="21">
        <f t="shared" si="88"/>
        <v>0</v>
      </c>
      <c r="DW75" s="317">
        <f t="shared" si="89"/>
        <v>0</v>
      </c>
      <c r="DX75" s="317">
        <f t="shared" si="90"/>
        <v>0</v>
      </c>
      <c r="DY75" s="317">
        <f t="shared" si="91"/>
        <v>0</v>
      </c>
      <c r="DZ75" s="230">
        <f t="shared" si="92"/>
        <v>0</v>
      </c>
    </row>
    <row r="76" spans="1:130" ht="15" customHeight="1" x14ac:dyDescent="0.25">
      <c r="A76" s="1908"/>
      <c r="B76" s="1916"/>
      <c r="C76" s="103" t="s">
        <v>33</v>
      </c>
      <c r="D76" s="21"/>
      <c r="E76" s="316">
        <f>'АВЗ АСУТП'!G76</f>
        <v>0</v>
      </c>
      <c r="F76" s="316">
        <f>'АВЗ АСУТП'!K76</f>
        <v>0</v>
      </c>
      <c r="G76" s="316">
        <f>'АВЗ АСУТП'!O76</f>
        <v>0</v>
      </c>
      <c r="H76" s="230">
        <f>'АВЗ АСУТП'!S76</f>
        <v>0</v>
      </c>
      <c r="I76" s="316">
        <f>'АВЗ АСУТП'!W76</f>
        <v>0</v>
      </c>
      <c r="J76" s="230">
        <f>'АВЗ АСУТП'!AA76</f>
        <v>0</v>
      </c>
      <c r="K76" s="230">
        <f>'АВЗ АСУТП'!AE76</f>
        <v>0</v>
      </c>
      <c r="L76" s="230">
        <f>'АВЗ АСУТП'!AI76</f>
        <v>0</v>
      </c>
      <c r="M76" s="230">
        <f>'SIEM АСУТП'!G76</f>
        <v>0</v>
      </c>
      <c r="N76" s="230">
        <f>'SIEM АСУТП'!K76</f>
        <v>0</v>
      </c>
      <c r="O76" s="230">
        <f>'МСЭ АСУТП'!G76</f>
        <v>0</v>
      </c>
      <c r="P76" s="317">
        <f>'МСЭ АСУТП'!K76</f>
        <v>0</v>
      </c>
      <c r="Q76" s="230">
        <f>'МСЭ АСУТП'!O76</f>
        <v>0</v>
      </c>
      <c r="R76" s="230">
        <f>'МСЭ АСУТП'!S76</f>
        <v>0</v>
      </c>
      <c r="S76" s="230">
        <f>'PAM АСУТП'!G76</f>
        <v>0</v>
      </c>
      <c r="T76" s="230">
        <f>'PAM АСУТП'!K76</f>
        <v>0</v>
      </c>
      <c r="U76" s="230">
        <f>'PAM АСУТП'!O76</f>
        <v>0</v>
      </c>
      <c r="V76" s="230">
        <f>'СКЗИ АСУТП'!G76</f>
        <v>0</v>
      </c>
      <c r="W76" s="230">
        <f>'СКЗИ АСУТП'!K76</f>
        <v>0</v>
      </c>
      <c r="X76" s="230">
        <f>'СКЗИ АСУТП'!O76</f>
        <v>0</v>
      </c>
      <c r="Y76" s="230">
        <f>'СКЗИ АСУТП'!S76</f>
        <v>0</v>
      </c>
      <c r="Z76" s="230">
        <f>'СКЗИ АСУТП'!W76</f>
        <v>0</v>
      </c>
      <c r="AA76" s="230">
        <f>'АЗ АСУТП'!G76</f>
        <v>0</v>
      </c>
      <c r="AB76" s="230">
        <f>'АЗ АСУТП'!K76</f>
        <v>0</v>
      </c>
      <c r="AC76" s="230">
        <f>'АЗ АСУТП'!O76</f>
        <v>0</v>
      </c>
      <c r="AD76" s="230">
        <f>'АЗ АСУТП'!S76</f>
        <v>0</v>
      </c>
      <c r="AE76" s="230">
        <f>'АЗ АСУТП'!W76</f>
        <v>0</v>
      </c>
      <c r="AF76" s="230">
        <f>'РК АСУТП'!G76</f>
        <v>0</v>
      </c>
      <c r="AG76" s="230">
        <f>'РК АСУТП'!K76</f>
        <v>0</v>
      </c>
      <c r="AH76" s="230">
        <f>'IDS АСУТП'!G76</f>
        <v>0</v>
      </c>
      <c r="AI76" s="230">
        <f>'IDS АСУТП'!K76</f>
        <v>0</v>
      </c>
      <c r="AJ76" s="230">
        <f>'IDS АСУТП'!O76</f>
        <v>0</v>
      </c>
      <c r="AK76" s="230">
        <f>'АПМДЗ АСУТП'!G76</f>
        <v>0</v>
      </c>
      <c r="AL76" s="230">
        <f>'АПМДЗ АСУТП'!K76</f>
        <v>0</v>
      </c>
      <c r="AM76" s="230">
        <f>'НСД АСУТП'!G76</f>
        <v>0</v>
      </c>
      <c r="AN76" s="230">
        <f>'НСД АСУТП'!K76</f>
        <v>0</v>
      </c>
      <c r="AO76" s="230">
        <f>'НСД АСУТП'!O76</f>
        <v>0</v>
      </c>
      <c r="AP76" s="230">
        <f>'MFA АСУТП'!G76</f>
        <v>0</v>
      </c>
      <c r="AQ76" s="230">
        <f>'MFA АСУТП'!K76</f>
        <v>0</v>
      </c>
      <c r="AR76" s="230">
        <f>'MFA АСУТП'!O76</f>
        <v>0</v>
      </c>
      <c r="AS76" s="230">
        <f>'MFA АСУТП'!S76</f>
        <v>0</v>
      </c>
      <c r="AT76" s="230">
        <f>'ДИОД АСУТП'!G76</f>
        <v>0</v>
      </c>
      <c r="AU76" s="230">
        <f>'ДИОД АСУТП'!K76</f>
        <v>0</v>
      </c>
      <c r="AV76" s="230">
        <f>'ДИОД АСУТП'!O76</f>
        <v>0</v>
      </c>
      <c r="AW76" s="230">
        <f>'ДИОД АСУТП'!S76</f>
        <v>0</v>
      </c>
      <c r="AX76" s="230">
        <f>'СЗВ АСУТП'!G76</f>
        <v>0</v>
      </c>
      <c r="AY76" s="230">
        <f>'СЗВ АСУТП'!K76</f>
        <v>0</v>
      </c>
      <c r="AZ76" s="230">
        <f>'СЗВ АСУТП'!O76</f>
        <v>0</v>
      </c>
      <c r="BA76" s="230">
        <f>'SOAR АСУТП'!G76</f>
        <v>0</v>
      </c>
      <c r="BB76" s="230">
        <f>'SOAR АСУТП'!K76</f>
        <v>0</v>
      </c>
      <c r="BC76" s="230">
        <f>'SOAR АСУТП'!O76</f>
        <v>0</v>
      </c>
      <c r="BD76" s="230" t="e">
        <f>'SOAR АСУТП'!#REF!</f>
        <v>#REF!</v>
      </c>
      <c r="BE76" s="230">
        <f>'VDI АСУТП'!G76</f>
        <v>0</v>
      </c>
      <c r="BF76" s="230">
        <f>'VDI АСУТП'!K76</f>
        <v>0</v>
      </c>
      <c r="BG76" s="230">
        <f>'VDI АСУТП'!O76</f>
        <v>0</v>
      </c>
      <c r="BH76" s="230">
        <f>'VDI АСУТП'!S76</f>
        <v>0</v>
      </c>
      <c r="BI76" s="230">
        <f>'VDI АСУТП'!W76</f>
        <v>0</v>
      </c>
      <c r="BJ76" s="316">
        <f>'СУБД АСУТП'!G76</f>
        <v>0</v>
      </c>
      <c r="BK76" s="316">
        <f>'СУБД АСУТП'!K76</f>
        <v>0</v>
      </c>
      <c r="BL76" s="316">
        <f>'ГОССОПКА АСУТП'!G76</f>
        <v>0</v>
      </c>
      <c r="BM76" s="316">
        <f>'ГОССОПКА АСУТП'!K76</f>
        <v>0</v>
      </c>
      <c r="BN76" s="316">
        <f>'TLS АСУТП'!G76</f>
        <v>0</v>
      </c>
      <c r="BO76" s="316">
        <f>'TLS АСУТП'!K76</f>
        <v>0</v>
      </c>
      <c r="BP76" s="316">
        <f>'DCAP АСУТП'!G76</f>
        <v>0</v>
      </c>
      <c r="BQ76" s="316">
        <f>'DCAP АСУТП'!K76</f>
        <v>0</v>
      </c>
      <c r="BR76" s="316">
        <f>'DCAP АСУТП'!O76</f>
        <v>0</v>
      </c>
      <c r="BS76" s="316">
        <f>'DO АСУТП'!G76</f>
        <v>0</v>
      </c>
      <c r="BT76" s="316">
        <f>'NTA АСУТП'!G76</f>
        <v>0</v>
      </c>
      <c r="BU76" s="316">
        <f>'NTA АСУТП'!K76</f>
        <v>0</v>
      </c>
      <c r="BV76" s="316">
        <f>'NTA АСУТП'!O76</f>
        <v>0</v>
      </c>
      <c r="BW76" s="316">
        <f>'NTA АСУТП'!S76</f>
        <v>0</v>
      </c>
      <c r="BX76" s="316">
        <f>'SEG АСУТП'!G76</f>
        <v>0</v>
      </c>
      <c r="BY76" s="316">
        <f>'APT АСУТП'!G76</f>
        <v>0</v>
      </c>
      <c r="BZ76" s="316">
        <f>'APT АСУТП'!K76</f>
        <v>0</v>
      </c>
      <c r="CA76" s="316">
        <f>'APT АСУТП'!O76</f>
        <v>0</v>
      </c>
      <c r="CB76" s="316">
        <f>'NAC АСУТП'!G76</f>
        <v>0</v>
      </c>
      <c r="CC76" s="316">
        <f>'SANDBOX АСУТП'!G76</f>
        <v>0</v>
      </c>
      <c r="CD76" s="316">
        <f>'SANDBOX АСУТП'!K76</f>
        <v>0</v>
      </c>
      <c r="CE76" s="316">
        <f>'EDR АСУТП'!G76</f>
        <v>0</v>
      </c>
      <c r="CF76" s="316">
        <f>'EDR АСУТП'!K76</f>
        <v>0</v>
      </c>
      <c r="CG76" s="316">
        <f>'WAF АСУТП'!G76</f>
        <v>0</v>
      </c>
      <c r="CH76" s="316">
        <f>'WAF АСУТП'!K76</f>
        <v>0</v>
      </c>
      <c r="CI76" s="316">
        <f>'WAF АСУТП'!O76</f>
        <v>0</v>
      </c>
      <c r="CJ76" s="316">
        <f>'ВМ ЗСВ'!G76</f>
        <v>0</v>
      </c>
      <c r="CK76" s="316">
        <f>'ВМ ЗСВ'!K76</f>
        <v>0</v>
      </c>
      <c r="CL76" s="316">
        <f>'ВМ ЗСВ'!O76</f>
        <v>0</v>
      </c>
      <c r="CM76" s="316">
        <f>'ВМ ЗСВ'!S76</f>
        <v>0</v>
      </c>
      <c r="CN76" s="316">
        <f>'ВМ ЗСВ'!W76</f>
        <v>0</v>
      </c>
      <c r="CO76" s="316">
        <f>'ВМ ЗСВ'!AA76</f>
        <v>0</v>
      </c>
      <c r="CP76" s="316">
        <f>'ВМ СПО'!G76</f>
        <v>0</v>
      </c>
      <c r="CQ76" s="316">
        <f>'ВМ СПО'!K76</f>
        <v>0</v>
      </c>
      <c r="CR76" s="316">
        <f>'ВМ СПО'!O76</f>
        <v>0</v>
      </c>
      <c r="CS76" s="316">
        <f>'ВМ СПО'!S76</f>
        <v>0</v>
      </c>
      <c r="CT76" s="316">
        <f>'ВМ АСО'!G76</f>
        <v>0</v>
      </c>
      <c r="CU76" s="316">
        <f>'ВМ АСО'!K76</f>
        <v>0</v>
      </c>
      <c r="CV76" s="316" t="e">
        <f t="shared" si="62"/>
        <v>#REF!</v>
      </c>
      <c r="CW76" s="25">
        <f t="shared" si="63"/>
        <v>0</v>
      </c>
      <c r="CX76" s="25">
        <f t="shared" si="64"/>
        <v>0</v>
      </c>
      <c r="CY76" s="25">
        <f t="shared" si="65"/>
        <v>0</v>
      </c>
      <c r="CZ76" s="25">
        <f t="shared" si="66"/>
        <v>0</v>
      </c>
      <c r="DA76" s="25">
        <f t="shared" si="67"/>
        <v>0</v>
      </c>
      <c r="DB76" s="25">
        <f t="shared" si="68"/>
        <v>0</v>
      </c>
      <c r="DC76" s="25">
        <f t="shared" si="69"/>
        <v>0</v>
      </c>
      <c r="DD76" s="25">
        <f t="shared" si="70"/>
        <v>0</v>
      </c>
      <c r="DE76" s="25">
        <f t="shared" si="71"/>
        <v>0</v>
      </c>
      <c r="DF76" s="25">
        <f t="shared" si="72"/>
        <v>0</v>
      </c>
      <c r="DG76" s="25">
        <f t="shared" si="73"/>
        <v>0</v>
      </c>
      <c r="DH76" s="25">
        <f t="shared" si="74"/>
        <v>0</v>
      </c>
      <c r="DI76" s="25">
        <f t="shared" si="75"/>
        <v>0</v>
      </c>
      <c r="DJ76" s="25" t="e">
        <f t="shared" si="76"/>
        <v>#REF!</v>
      </c>
      <c r="DK76" s="25">
        <f t="shared" si="77"/>
        <v>0</v>
      </c>
      <c r="DL76" s="25">
        <f t="shared" si="78"/>
        <v>0</v>
      </c>
      <c r="DM76" s="25">
        <f t="shared" si="79"/>
        <v>0</v>
      </c>
      <c r="DN76" s="25">
        <f t="shared" si="80"/>
        <v>0</v>
      </c>
      <c r="DO76" s="25">
        <f t="shared" si="81"/>
        <v>0</v>
      </c>
      <c r="DP76" s="25">
        <f t="shared" si="82"/>
        <v>0</v>
      </c>
      <c r="DQ76" s="25">
        <f t="shared" si="83"/>
        <v>0</v>
      </c>
      <c r="DR76" s="25">
        <f t="shared" si="84"/>
        <v>0</v>
      </c>
      <c r="DS76" s="25">
        <f t="shared" si="85"/>
        <v>0</v>
      </c>
      <c r="DT76" s="25">
        <f t="shared" si="86"/>
        <v>0</v>
      </c>
      <c r="DU76" s="25">
        <f t="shared" si="87"/>
        <v>0</v>
      </c>
      <c r="DV76" s="21">
        <f t="shared" si="88"/>
        <v>0</v>
      </c>
      <c r="DW76" s="317">
        <f t="shared" si="89"/>
        <v>0</v>
      </c>
      <c r="DX76" s="317">
        <f t="shared" si="90"/>
        <v>0</v>
      </c>
      <c r="DY76" s="317">
        <f t="shared" si="91"/>
        <v>0</v>
      </c>
      <c r="DZ76" s="230">
        <f t="shared" si="92"/>
        <v>0</v>
      </c>
    </row>
    <row r="77" spans="1:130" ht="15.75" customHeight="1" x14ac:dyDescent="0.25">
      <c r="A77" s="1908"/>
      <c r="B77" s="1916"/>
      <c r="C77" s="103" t="s">
        <v>34</v>
      </c>
      <c r="D77" s="21"/>
      <c r="E77" s="316">
        <f>'АВЗ АСУТП'!G77</f>
        <v>0</v>
      </c>
      <c r="F77" s="316">
        <f>'АВЗ АСУТП'!K77</f>
        <v>0</v>
      </c>
      <c r="G77" s="316">
        <f>'АВЗ АСУТП'!O77</f>
        <v>0</v>
      </c>
      <c r="H77" s="230">
        <f>'АВЗ АСУТП'!S77</f>
        <v>0</v>
      </c>
      <c r="I77" s="316">
        <f>'АВЗ АСУТП'!W77</f>
        <v>0</v>
      </c>
      <c r="J77" s="230">
        <f>'АВЗ АСУТП'!AA77</f>
        <v>0</v>
      </c>
      <c r="K77" s="230">
        <f>'АВЗ АСУТП'!AE77</f>
        <v>0</v>
      </c>
      <c r="L77" s="230">
        <f>'АВЗ АСУТП'!AI77</f>
        <v>0</v>
      </c>
      <c r="M77" s="230">
        <f>'SIEM АСУТП'!G77</f>
        <v>0</v>
      </c>
      <c r="N77" s="230">
        <f>'SIEM АСУТП'!K77</f>
        <v>0</v>
      </c>
      <c r="O77" s="230">
        <f>'МСЭ АСУТП'!G77</f>
        <v>0</v>
      </c>
      <c r="P77" s="317">
        <f>'МСЭ АСУТП'!K77</f>
        <v>0</v>
      </c>
      <c r="Q77" s="230">
        <f>'МСЭ АСУТП'!O77</f>
        <v>0</v>
      </c>
      <c r="R77" s="230">
        <f>'МСЭ АСУТП'!S77</f>
        <v>0</v>
      </c>
      <c r="S77" s="230">
        <f>'PAM АСУТП'!G77</f>
        <v>0</v>
      </c>
      <c r="T77" s="230">
        <f>'PAM АСУТП'!K77</f>
        <v>0</v>
      </c>
      <c r="U77" s="230">
        <f>'PAM АСУТП'!O77</f>
        <v>0</v>
      </c>
      <c r="V77" s="230">
        <f>'СКЗИ АСУТП'!G77</f>
        <v>0</v>
      </c>
      <c r="W77" s="230">
        <f>'СКЗИ АСУТП'!K77</f>
        <v>0</v>
      </c>
      <c r="X77" s="230">
        <f>'СКЗИ АСУТП'!O77</f>
        <v>0</v>
      </c>
      <c r="Y77" s="230">
        <f>'СКЗИ АСУТП'!S77</f>
        <v>0</v>
      </c>
      <c r="Z77" s="230">
        <f>'СКЗИ АСУТП'!W77</f>
        <v>0</v>
      </c>
      <c r="AA77" s="230">
        <f>'АЗ АСУТП'!G77</f>
        <v>0</v>
      </c>
      <c r="AB77" s="230">
        <f>'АЗ АСУТП'!K77</f>
        <v>0</v>
      </c>
      <c r="AC77" s="230">
        <f>'АЗ АСУТП'!O77</f>
        <v>0</v>
      </c>
      <c r="AD77" s="230">
        <f>'АЗ АСУТП'!S77</f>
        <v>0</v>
      </c>
      <c r="AE77" s="230">
        <f>'АЗ АСУТП'!W77</f>
        <v>0</v>
      </c>
      <c r="AF77" s="230">
        <f>'РК АСУТП'!G77</f>
        <v>0</v>
      </c>
      <c r="AG77" s="230">
        <f>'РК АСУТП'!K77</f>
        <v>0</v>
      </c>
      <c r="AH77" s="230">
        <f>'IDS АСУТП'!G77</f>
        <v>0</v>
      </c>
      <c r="AI77" s="230">
        <f>'IDS АСУТП'!K77</f>
        <v>0</v>
      </c>
      <c r="AJ77" s="230">
        <f>'IDS АСУТП'!O77</f>
        <v>0</v>
      </c>
      <c r="AK77" s="230">
        <f>'АПМДЗ АСУТП'!G77</f>
        <v>0</v>
      </c>
      <c r="AL77" s="230">
        <f>'АПМДЗ АСУТП'!K77</f>
        <v>0</v>
      </c>
      <c r="AM77" s="230">
        <f>'НСД АСУТП'!G77</f>
        <v>0</v>
      </c>
      <c r="AN77" s="230">
        <f>'НСД АСУТП'!K77</f>
        <v>0</v>
      </c>
      <c r="AO77" s="230">
        <f>'НСД АСУТП'!O77</f>
        <v>0</v>
      </c>
      <c r="AP77" s="230">
        <f>'MFA АСУТП'!G77</f>
        <v>0</v>
      </c>
      <c r="AQ77" s="230">
        <f>'MFA АСУТП'!K77</f>
        <v>0</v>
      </c>
      <c r="AR77" s="230">
        <f>'MFA АСУТП'!O77</f>
        <v>0</v>
      </c>
      <c r="AS77" s="230">
        <f>'MFA АСУТП'!S77</f>
        <v>0</v>
      </c>
      <c r="AT77" s="230">
        <f>'ДИОД АСУТП'!G77</f>
        <v>0</v>
      </c>
      <c r="AU77" s="230">
        <f>'ДИОД АСУТП'!K77</f>
        <v>0</v>
      </c>
      <c r="AV77" s="230">
        <f>'ДИОД АСУТП'!O77</f>
        <v>0</v>
      </c>
      <c r="AW77" s="230">
        <f>'ДИОД АСУТП'!S77</f>
        <v>0</v>
      </c>
      <c r="AX77" s="230">
        <f>'СЗВ АСУТП'!G77</f>
        <v>0</v>
      </c>
      <c r="AY77" s="230">
        <f>'СЗВ АСУТП'!K77</f>
        <v>0</v>
      </c>
      <c r="AZ77" s="230">
        <f>'СЗВ АСУТП'!O77</f>
        <v>0</v>
      </c>
      <c r="BA77" s="230">
        <f>'SOAR АСУТП'!G77</f>
        <v>0</v>
      </c>
      <c r="BB77" s="230">
        <f>'SOAR АСУТП'!K77</f>
        <v>0</v>
      </c>
      <c r="BC77" s="230">
        <f>'SOAR АСУТП'!O77</f>
        <v>0</v>
      </c>
      <c r="BD77" s="230" t="e">
        <f>'SOAR АСУТП'!#REF!</f>
        <v>#REF!</v>
      </c>
      <c r="BE77" s="230">
        <f>'VDI АСУТП'!G77</f>
        <v>0</v>
      </c>
      <c r="BF77" s="230">
        <f>'VDI АСУТП'!K77</f>
        <v>0</v>
      </c>
      <c r="BG77" s="230">
        <f>'VDI АСУТП'!O77</f>
        <v>0</v>
      </c>
      <c r="BH77" s="230">
        <f>'VDI АСУТП'!S77</f>
        <v>0</v>
      </c>
      <c r="BI77" s="230">
        <f>'VDI АСУТП'!W77</f>
        <v>0</v>
      </c>
      <c r="BJ77" s="316">
        <f>'СУБД АСУТП'!G77</f>
        <v>0</v>
      </c>
      <c r="BK77" s="316">
        <f>'СУБД АСУТП'!K77</f>
        <v>0</v>
      </c>
      <c r="BL77" s="316">
        <f>'ГОССОПКА АСУТП'!G77</f>
        <v>0</v>
      </c>
      <c r="BM77" s="316">
        <f>'ГОССОПКА АСУТП'!K77</f>
        <v>0</v>
      </c>
      <c r="BN77" s="316">
        <f>'TLS АСУТП'!G77</f>
        <v>0</v>
      </c>
      <c r="BO77" s="316">
        <f>'TLS АСУТП'!K77</f>
        <v>0</v>
      </c>
      <c r="BP77" s="316">
        <f>'DCAP АСУТП'!G77</f>
        <v>0</v>
      </c>
      <c r="BQ77" s="316">
        <f>'DCAP АСУТП'!K77</f>
        <v>0</v>
      </c>
      <c r="BR77" s="316">
        <f>'DCAP АСУТП'!O77</f>
        <v>0</v>
      </c>
      <c r="BS77" s="316">
        <f>'DO АСУТП'!G77</f>
        <v>0</v>
      </c>
      <c r="BT77" s="316">
        <f>'NTA АСУТП'!G77</f>
        <v>0</v>
      </c>
      <c r="BU77" s="316">
        <f>'NTA АСУТП'!K77</f>
        <v>0</v>
      </c>
      <c r="BV77" s="316">
        <f>'NTA АСУТП'!O77</f>
        <v>0</v>
      </c>
      <c r="BW77" s="316">
        <f>'NTA АСУТП'!S77</f>
        <v>0</v>
      </c>
      <c r="BX77" s="316">
        <f>'SEG АСУТП'!G77</f>
        <v>0</v>
      </c>
      <c r="BY77" s="316">
        <f>'APT АСУТП'!G77</f>
        <v>0</v>
      </c>
      <c r="BZ77" s="316">
        <f>'APT АСУТП'!K77</f>
        <v>0</v>
      </c>
      <c r="CA77" s="316">
        <f>'APT АСУТП'!O77</f>
        <v>0</v>
      </c>
      <c r="CB77" s="316">
        <f>'NAC АСУТП'!G77</f>
        <v>0</v>
      </c>
      <c r="CC77" s="316">
        <f>'SANDBOX АСУТП'!G77</f>
        <v>0</v>
      </c>
      <c r="CD77" s="316">
        <f>'SANDBOX АСУТП'!K77</f>
        <v>0</v>
      </c>
      <c r="CE77" s="316">
        <f>'EDR АСУТП'!G77</f>
        <v>0</v>
      </c>
      <c r="CF77" s="316">
        <f>'EDR АСУТП'!K77</f>
        <v>0</v>
      </c>
      <c r="CG77" s="316">
        <f>'WAF АСУТП'!G77</f>
        <v>0</v>
      </c>
      <c r="CH77" s="316">
        <f>'WAF АСУТП'!K77</f>
        <v>0</v>
      </c>
      <c r="CI77" s="316">
        <f>'WAF АСУТП'!O77</f>
        <v>0</v>
      </c>
      <c r="CJ77" s="316">
        <f>'ВМ ЗСВ'!G77</f>
        <v>0</v>
      </c>
      <c r="CK77" s="316">
        <f>'ВМ ЗСВ'!K77</f>
        <v>0</v>
      </c>
      <c r="CL77" s="316">
        <f>'ВМ ЗСВ'!O77</f>
        <v>0</v>
      </c>
      <c r="CM77" s="316">
        <f>'ВМ ЗСВ'!S77</f>
        <v>0</v>
      </c>
      <c r="CN77" s="316">
        <f>'ВМ ЗСВ'!W77</f>
        <v>0</v>
      </c>
      <c r="CO77" s="316">
        <f>'ВМ ЗСВ'!AA77</f>
        <v>0</v>
      </c>
      <c r="CP77" s="316">
        <f>'ВМ СПО'!G77</f>
        <v>0</v>
      </c>
      <c r="CQ77" s="316">
        <f>'ВМ СПО'!K77</f>
        <v>0</v>
      </c>
      <c r="CR77" s="316">
        <f>'ВМ СПО'!O77</f>
        <v>0</v>
      </c>
      <c r="CS77" s="316">
        <f>'ВМ СПО'!S77</f>
        <v>0</v>
      </c>
      <c r="CT77" s="316">
        <f>'ВМ АСО'!G77</f>
        <v>0</v>
      </c>
      <c r="CU77" s="316">
        <f>'ВМ АСО'!K77</f>
        <v>0</v>
      </c>
      <c r="CV77" s="316" t="e">
        <f t="shared" si="62"/>
        <v>#REF!</v>
      </c>
      <c r="CW77" s="25">
        <f t="shared" si="63"/>
        <v>0</v>
      </c>
      <c r="CX77" s="25">
        <f t="shared" si="64"/>
        <v>0</v>
      </c>
      <c r="CY77" s="25">
        <f t="shared" si="65"/>
        <v>0</v>
      </c>
      <c r="CZ77" s="25">
        <f t="shared" si="66"/>
        <v>0</v>
      </c>
      <c r="DA77" s="25">
        <f t="shared" si="67"/>
        <v>0</v>
      </c>
      <c r="DB77" s="25">
        <f t="shared" si="68"/>
        <v>0</v>
      </c>
      <c r="DC77" s="25">
        <f t="shared" si="69"/>
        <v>0</v>
      </c>
      <c r="DD77" s="25">
        <f t="shared" si="70"/>
        <v>0</v>
      </c>
      <c r="DE77" s="25">
        <f t="shared" si="71"/>
        <v>0</v>
      </c>
      <c r="DF77" s="25">
        <f t="shared" si="72"/>
        <v>0</v>
      </c>
      <c r="DG77" s="25">
        <f t="shared" si="73"/>
        <v>0</v>
      </c>
      <c r="DH77" s="25">
        <f t="shared" si="74"/>
        <v>0</v>
      </c>
      <c r="DI77" s="25">
        <f t="shared" si="75"/>
        <v>0</v>
      </c>
      <c r="DJ77" s="25" t="e">
        <f t="shared" si="76"/>
        <v>#REF!</v>
      </c>
      <c r="DK77" s="25">
        <f t="shared" si="77"/>
        <v>0</v>
      </c>
      <c r="DL77" s="25">
        <f t="shared" si="78"/>
        <v>0</v>
      </c>
      <c r="DM77" s="25">
        <f t="shared" si="79"/>
        <v>0</v>
      </c>
      <c r="DN77" s="25">
        <f t="shared" si="80"/>
        <v>0</v>
      </c>
      <c r="DO77" s="25">
        <f t="shared" si="81"/>
        <v>0</v>
      </c>
      <c r="DP77" s="25">
        <f t="shared" si="82"/>
        <v>0</v>
      </c>
      <c r="DQ77" s="25">
        <f t="shared" si="83"/>
        <v>0</v>
      </c>
      <c r="DR77" s="25">
        <f t="shared" si="84"/>
        <v>0</v>
      </c>
      <c r="DS77" s="25">
        <f t="shared" si="85"/>
        <v>0</v>
      </c>
      <c r="DT77" s="25">
        <f t="shared" si="86"/>
        <v>0</v>
      </c>
      <c r="DU77" s="25">
        <f t="shared" si="87"/>
        <v>0</v>
      </c>
      <c r="DV77" s="21">
        <f t="shared" si="88"/>
        <v>0</v>
      </c>
      <c r="DW77" s="317">
        <f t="shared" si="89"/>
        <v>0</v>
      </c>
      <c r="DX77" s="317">
        <f t="shared" si="90"/>
        <v>0</v>
      </c>
      <c r="DY77" s="317">
        <f t="shared" si="91"/>
        <v>0</v>
      </c>
      <c r="DZ77" s="230">
        <f t="shared" si="92"/>
        <v>0</v>
      </c>
    </row>
    <row r="78" spans="1:130" ht="15.75" customHeight="1" x14ac:dyDescent="0.25">
      <c r="A78" s="1908" t="s">
        <v>181</v>
      </c>
      <c r="B78" s="1916">
        <f>IF('Тип разраб-ой док-ции'!F31=1,1,0)</f>
        <v>0</v>
      </c>
      <c r="C78" s="103" t="s">
        <v>32</v>
      </c>
      <c r="D78" s="21"/>
      <c r="E78" s="316">
        <f>'АВЗ АСУТП'!G78</f>
        <v>0.5</v>
      </c>
      <c r="F78" s="316">
        <f>'АВЗ АСУТП'!K78</f>
        <v>0.5</v>
      </c>
      <c r="G78" s="316">
        <f>'АВЗ АСУТП'!O78</f>
        <v>0.5</v>
      </c>
      <c r="H78" s="230">
        <f>'АВЗ АСУТП'!S78</f>
        <v>0.5</v>
      </c>
      <c r="I78" s="316">
        <f>'АВЗ АСУТП'!W78</f>
        <v>0.5</v>
      </c>
      <c r="J78" s="230">
        <f>'АВЗ АСУТП'!AA78</f>
        <v>0.5</v>
      </c>
      <c r="K78" s="230">
        <f>'АВЗ АСУТП'!AE78</f>
        <v>0.5</v>
      </c>
      <c r="L78" s="230">
        <f>'АВЗ АСУТП'!AI78</f>
        <v>0.5</v>
      </c>
      <c r="M78" s="230">
        <f>'SIEM АСУТП'!G78</f>
        <v>0.25</v>
      </c>
      <c r="N78" s="230">
        <f>'SIEM АСУТП'!K78</f>
        <v>0.25</v>
      </c>
      <c r="O78" s="230">
        <f>'МСЭ АСУТП'!G78</f>
        <v>0</v>
      </c>
      <c r="P78" s="317">
        <f>'МСЭ АСУТП'!K78</f>
        <v>0</v>
      </c>
      <c r="Q78" s="230">
        <f>'МСЭ АСУТП'!O78</f>
        <v>0</v>
      </c>
      <c r="R78" s="230">
        <f>'МСЭ АСУТП'!S78</f>
        <v>0</v>
      </c>
      <c r="S78" s="230">
        <f>'PAM АСУТП'!G78</f>
        <v>1</v>
      </c>
      <c r="T78" s="230">
        <f>'PAM АСУТП'!K78</f>
        <v>1</v>
      </c>
      <c r="U78" s="230">
        <f>'PAM АСУТП'!O78</f>
        <v>1</v>
      </c>
      <c r="V78" s="230">
        <f>'СКЗИ АСУТП'!G78</f>
        <v>0</v>
      </c>
      <c r="W78" s="230">
        <f>'СКЗИ АСУТП'!K78</f>
        <v>0</v>
      </c>
      <c r="X78" s="230">
        <f>'СКЗИ АСУТП'!O78</f>
        <v>0</v>
      </c>
      <c r="Y78" s="230">
        <f>'СКЗИ АСУТП'!S78</f>
        <v>0</v>
      </c>
      <c r="Z78" s="230">
        <f>'СКЗИ АСУТП'!W78</f>
        <v>0</v>
      </c>
      <c r="AA78" s="230">
        <f>'АЗ АСУТП'!G78</f>
        <v>0</v>
      </c>
      <c r="AB78" s="230">
        <f>'АЗ АСУТП'!K78</f>
        <v>0</v>
      </c>
      <c r="AC78" s="230">
        <f>'АЗ АСУТП'!O78</f>
        <v>0</v>
      </c>
      <c r="AD78" s="230">
        <f>'АЗ АСУТП'!S78</f>
        <v>0</v>
      </c>
      <c r="AE78" s="230">
        <f>'АЗ АСУТП'!W78</f>
        <v>0</v>
      </c>
      <c r="AF78" s="230">
        <f>'РК АСУТП'!G78</f>
        <v>0.5</v>
      </c>
      <c r="AG78" s="230">
        <f>'РК АСУТП'!K78</f>
        <v>0.5</v>
      </c>
      <c r="AH78" s="230">
        <f>'IDS АСУТП'!G78</f>
        <v>0</v>
      </c>
      <c r="AI78" s="230">
        <f>'IDS АСУТП'!K78</f>
        <v>0</v>
      </c>
      <c r="AJ78" s="230">
        <f>'IDS АСУТП'!O78</f>
        <v>0</v>
      </c>
      <c r="AK78" s="230">
        <f>'АПМДЗ АСУТП'!G78</f>
        <v>0</v>
      </c>
      <c r="AL78" s="230">
        <f>'АПМДЗ АСУТП'!K78</f>
        <v>0</v>
      </c>
      <c r="AM78" s="230">
        <f>'НСД АСУТП'!G78</f>
        <v>0</v>
      </c>
      <c r="AN78" s="230">
        <f>'НСД АСУТП'!K78</f>
        <v>0</v>
      </c>
      <c r="AO78" s="230">
        <f>'НСД АСУТП'!O78</f>
        <v>0</v>
      </c>
      <c r="AP78" s="230">
        <f>'MFA АСУТП'!G78</f>
        <v>0</v>
      </c>
      <c r="AQ78" s="230">
        <f>'MFA АСУТП'!K78</f>
        <v>0</v>
      </c>
      <c r="AR78" s="230">
        <f>'MFA АСУТП'!O78</f>
        <v>0</v>
      </c>
      <c r="AS78" s="230">
        <f>'MFA АСУТП'!S78</f>
        <v>0</v>
      </c>
      <c r="AT78" s="230">
        <f>'ДИОД АСУТП'!G78</f>
        <v>0</v>
      </c>
      <c r="AU78" s="230">
        <f>'ДИОД АСУТП'!K78</f>
        <v>0</v>
      </c>
      <c r="AV78" s="230">
        <f>'ДИОД АСУТП'!O78</f>
        <v>0</v>
      </c>
      <c r="AW78" s="230">
        <f>'ДИОД АСУТП'!S78</f>
        <v>0</v>
      </c>
      <c r="AX78" s="230">
        <f>'СЗВ АСУТП'!G78</f>
        <v>0</v>
      </c>
      <c r="AY78" s="230">
        <f>'СЗВ АСУТП'!K78</f>
        <v>0</v>
      </c>
      <c r="AZ78" s="230">
        <f>'СЗВ АСУТП'!O78</f>
        <v>0</v>
      </c>
      <c r="BA78" s="230">
        <f>'SOAR АСУТП'!G78</f>
        <v>0</v>
      </c>
      <c r="BB78" s="230">
        <f>'SOAR АСУТП'!K78</f>
        <v>0</v>
      </c>
      <c r="BC78" s="230">
        <f>'SOAR АСУТП'!O78</f>
        <v>0</v>
      </c>
      <c r="BD78" s="230" t="e">
        <f>'SOAR АСУТП'!#REF!</f>
        <v>#REF!</v>
      </c>
      <c r="BE78" s="230">
        <f>'VDI АСУТП'!G78</f>
        <v>0</v>
      </c>
      <c r="BF78" s="230">
        <f>'VDI АСУТП'!K78</f>
        <v>0</v>
      </c>
      <c r="BG78" s="230">
        <f>'VDI АСУТП'!O78</f>
        <v>0</v>
      </c>
      <c r="BH78" s="230">
        <f>'VDI АСУТП'!S78</f>
        <v>0</v>
      </c>
      <c r="BI78" s="230">
        <f>'VDI АСУТП'!W78</f>
        <v>0</v>
      </c>
      <c r="BJ78" s="316">
        <f>'СУБД АСУТП'!G78</f>
        <v>0</v>
      </c>
      <c r="BK78" s="316">
        <f>'СУБД АСУТП'!K78</f>
        <v>0</v>
      </c>
      <c r="BL78" s="316">
        <f>'ГОССОПКА АСУТП'!G78</f>
        <v>0</v>
      </c>
      <c r="BM78" s="316">
        <f>'ГОССОПКА АСУТП'!K78</f>
        <v>0</v>
      </c>
      <c r="BN78" s="316">
        <f>'TLS АСУТП'!G78</f>
        <v>0</v>
      </c>
      <c r="BO78" s="316">
        <f>'TLS АСУТП'!K78</f>
        <v>0</v>
      </c>
      <c r="BP78" s="316">
        <f>'DCAP АСУТП'!G78</f>
        <v>0</v>
      </c>
      <c r="BQ78" s="316">
        <f>'DCAP АСУТП'!K78</f>
        <v>0</v>
      </c>
      <c r="BR78" s="316">
        <f>'DCAP АСУТП'!O78</f>
        <v>0</v>
      </c>
      <c r="BS78" s="316">
        <f>'DO АСУТП'!G78</f>
        <v>0</v>
      </c>
      <c r="BT78" s="316">
        <f>'NTA АСУТП'!G78</f>
        <v>0</v>
      </c>
      <c r="BU78" s="316">
        <f>'NTA АСУТП'!K78</f>
        <v>0</v>
      </c>
      <c r="BV78" s="316">
        <f>'NTA АСУТП'!O78</f>
        <v>0</v>
      </c>
      <c r="BW78" s="316">
        <f>'NTA АСУТП'!S78</f>
        <v>0</v>
      </c>
      <c r="BX78" s="316">
        <f>'SEG АСУТП'!G78</f>
        <v>0</v>
      </c>
      <c r="BY78" s="316">
        <f>'APT АСУТП'!G78</f>
        <v>0</v>
      </c>
      <c r="BZ78" s="316">
        <f>'APT АСУТП'!K78</f>
        <v>0</v>
      </c>
      <c r="CA78" s="316">
        <f>'APT АСУТП'!O78</f>
        <v>0</v>
      </c>
      <c r="CB78" s="316">
        <f>'NAC АСУТП'!G78</f>
        <v>0</v>
      </c>
      <c r="CC78" s="316">
        <f>'SANDBOX АСУТП'!G78</f>
        <v>0</v>
      </c>
      <c r="CD78" s="316">
        <f>'SANDBOX АСУТП'!K78</f>
        <v>0</v>
      </c>
      <c r="CE78" s="316">
        <f>'EDR АСУТП'!G78</f>
        <v>0</v>
      </c>
      <c r="CF78" s="316">
        <f>'EDR АСУТП'!K78</f>
        <v>0</v>
      </c>
      <c r="CG78" s="316">
        <f>'WAF АСУТП'!G78</f>
        <v>0</v>
      </c>
      <c r="CH78" s="316">
        <f>'WAF АСУТП'!K78</f>
        <v>0</v>
      </c>
      <c r="CI78" s="316">
        <f>'WAF АСУТП'!O78</f>
        <v>0</v>
      </c>
      <c r="CJ78" s="316">
        <f>'ВМ ЗСВ'!G78</f>
        <v>0</v>
      </c>
      <c r="CK78" s="316">
        <f>'ВМ ЗСВ'!K78</f>
        <v>0</v>
      </c>
      <c r="CL78" s="316">
        <f>'ВМ ЗСВ'!O78</f>
        <v>0</v>
      </c>
      <c r="CM78" s="316">
        <f>'ВМ ЗСВ'!S78</f>
        <v>0</v>
      </c>
      <c r="CN78" s="316">
        <f>'ВМ ЗСВ'!W78</f>
        <v>0</v>
      </c>
      <c r="CO78" s="316">
        <f>'ВМ ЗСВ'!AA78</f>
        <v>0</v>
      </c>
      <c r="CP78" s="316">
        <f>'ВМ СПО'!G78</f>
        <v>0</v>
      </c>
      <c r="CQ78" s="316">
        <f>'ВМ СПО'!K78</f>
        <v>0</v>
      </c>
      <c r="CR78" s="316">
        <f>'ВМ СПО'!O78</f>
        <v>0</v>
      </c>
      <c r="CS78" s="316">
        <f>'ВМ СПО'!S78</f>
        <v>0</v>
      </c>
      <c r="CT78" s="316">
        <f>'ВМ АСО'!G78</f>
        <v>0</v>
      </c>
      <c r="CU78" s="316">
        <f>'ВМ АСО'!K78</f>
        <v>0</v>
      </c>
      <c r="CV78" s="316" t="e">
        <f t="shared" si="62"/>
        <v>#REF!</v>
      </c>
      <c r="CW78" s="25">
        <f t="shared" si="63"/>
        <v>0.5</v>
      </c>
      <c r="CX78" s="25">
        <f t="shared" si="64"/>
        <v>0.25</v>
      </c>
      <c r="CY78" s="25">
        <f t="shared" si="65"/>
        <v>0</v>
      </c>
      <c r="CZ78" s="25">
        <f t="shared" si="66"/>
        <v>0</v>
      </c>
      <c r="DA78" s="25">
        <f t="shared" si="67"/>
        <v>0</v>
      </c>
      <c r="DB78" s="25">
        <f t="shared" si="68"/>
        <v>0</v>
      </c>
      <c r="DC78" s="25">
        <f t="shared" si="69"/>
        <v>0</v>
      </c>
      <c r="DD78" s="25">
        <f t="shared" si="70"/>
        <v>0</v>
      </c>
      <c r="DE78" s="25">
        <f t="shared" si="71"/>
        <v>0</v>
      </c>
      <c r="DF78" s="25">
        <f t="shared" si="72"/>
        <v>0</v>
      </c>
      <c r="DG78" s="25">
        <f t="shared" si="73"/>
        <v>0</v>
      </c>
      <c r="DH78" s="25">
        <f t="shared" si="74"/>
        <v>0</v>
      </c>
      <c r="DI78" s="25">
        <f t="shared" si="75"/>
        <v>0</v>
      </c>
      <c r="DJ78" s="25" t="e">
        <f t="shared" si="76"/>
        <v>#REF!</v>
      </c>
      <c r="DK78" s="25">
        <f t="shared" si="77"/>
        <v>0</v>
      </c>
      <c r="DL78" s="25">
        <f t="shared" si="78"/>
        <v>0</v>
      </c>
      <c r="DM78" s="25">
        <f t="shared" si="79"/>
        <v>0</v>
      </c>
      <c r="DN78" s="25">
        <f t="shared" si="80"/>
        <v>0</v>
      </c>
      <c r="DO78" s="25">
        <f t="shared" si="81"/>
        <v>0</v>
      </c>
      <c r="DP78" s="25">
        <f t="shared" si="82"/>
        <v>0</v>
      </c>
      <c r="DQ78" s="25">
        <f t="shared" si="83"/>
        <v>0</v>
      </c>
      <c r="DR78" s="25">
        <f t="shared" si="84"/>
        <v>0</v>
      </c>
      <c r="DS78" s="25">
        <f t="shared" si="85"/>
        <v>0</v>
      </c>
      <c r="DT78" s="25">
        <f t="shared" si="86"/>
        <v>0</v>
      </c>
      <c r="DU78" s="25">
        <f t="shared" si="87"/>
        <v>0</v>
      </c>
      <c r="DV78" s="21">
        <f t="shared" si="88"/>
        <v>0</v>
      </c>
      <c r="DW78" s="317">
        <f t="shared" si="89"/>
        <v>0</v>
      </c>
      <c r="DX78" s="317">
        <f t="shared" si="90"/>
        <v>0</v>
      </c>
      <c r="DY78" s="317">
        <f t="shared" si="91"/>
        <v>0</v>
      </c>
      <c r="DZ78" s="230">
        <f t="shared" si="92"/>
        <v>0</v>
      </c>
    </row>
    <row r="79" spans="1:130" ht="15.75" customHeight="1" x14ac:dyDescent="0.25">
      <c r="A79" s="1908"/>
      <c r="B79" s="1916"/>
      <c r="C79" s="103" t="s">
        <v>33</v>
      </c>
      <c r="D79" s="21"/>
      <c r="E79" s="316">
        <f>'АВЗ АСУТП'!G79</f>
        <v>0.5</v>
      </c>
      <c r="F79" s="316">
        <f>'АВЗ АСУТП'!K79</f>
        <v>0.5</v>
      </c>
      <c r="G79" s="316">
        <f>'АВЗ АСУТП'!O79</f>
        <v>0.5</v>
      </c>
      <c r="H79" s="230">
        <f>'АВЗ АСУТП'!S79</f>
        <v>0.5</v>
      </c>
      <c r="I79" s="316">
        <f>'АВЗ АСУТП'!W79</f>
        <v>0.5</v>
      </c>
      <c r="J79" s="230">
        <f>'АВЗ АСУТП'!AA79</f>
        <v>0.5</v>
      </c>
      <c r="K79" s="230">
        <f>'АВЗ АСУТП'!AE79</f>
        <v>0.5</v>
      </c>
      <c r="L79" s="230">
        <f>'АВЗ АСУТП'!AI79</f>
        <v>0.5</v>
      </c>
      <c r="M79" s="230">
        <f>'SIEM АСУТП'!G79</f>
        <v>1</v>
      </c>
      <c r="N79" s="230">
        <f>'SIEM АСУТП'!K79</f>
        <v>1</v>
      </c>
      <c r="O79" s="230">
        <f>'МСЭ АСУТП'!G79</f>
        <v>0</v>
      </c>
      <c r="P79" s="317">
        <f>'МСЭ АСУТП'!K79</f>
        <v>0</v>
      </c>
      <c r="Q79" s="230">
        <f>'МСЭ АСУТП'!O79</f>
        <v>0</v>
      </c>
      <c r="R79" s="230">
        <f>'МСЭ АСУТП'!S79</f>
        <v>0</v>
      </c>
      <c r="S79" s="230">
        <f>'PAM АСУТП'!G79</f>
        <v>1</v>
      </c>
      <c r="T79" s="230">
        <f>'PAM АСУТП'!K79</f>
        <v>1</v>
      </c>
      <c r="U79" s="230">
        <f>'PAM АСУТП'!O79</f>
        <v>1</v>
      </c>
      <c r="V79" s="230">
        <f>'СКЗИ АСУТП'!G79</f>
        <v>0</v>
      </c>
      <c r="W79" s="230">
        <f>'СКЗИ АСУТП'!K79</f>
        <v>0</v>
      </c>
      <c r="X79" s="230">
        <f>'СКЗИ АСУТП'!O79</f>
        <v>0</v>
      </c>
      <c r="Y79" s="230">
        <f>'СКЗИ АСУТП'!S79</f>
        <v>0</v>
      </c>
      <c r="Z79" s="230">
        <f>'СКЗИ АСУТП'!W79</f>
        <v>0</v>
      </c>
      <c r="AA79" s="230">
        <f>'АЗ АСУТП'!G79</f>
        <v>0</v>
      </c>
      <c r="AB79" s="230">
        <f>'АЗ АСУТП'!K79</f>
        <v>0</v>
      </c>
      <c r="AC79" s="230">
        <f>'АЗ АСУТП'!O79</f>
        <v>0</v>
      </c>
      <c r="AD79" s="230">
        <f>'АЗ АСУТП'!S79</f>
        <v>0</v>
      </c>
      <c r="AE79" s="230">
        <f>'АЗ АСУТП'!W79</f>
        <v>0</v>
      </c>
      <c r="AF79" s="230">
        <f>'РК АСУТП'!G79</f>
        <v>0.7</v>
      </c>
      <c r="AG79" s="230">
        <f>'РК АСУТП'!K79</f>
        <v>0.7</v>
      </c>
      <c r="AH79" s="230">
        <f>'IDS АСУТП'!G79</f>
        <v>0</v>
      </c>
      <c r="AI79" s="230">
        <f>'IDS АСУТП'!K79</f>
        <v>0</v>
      </c>
      <c r="AJ79" s="230">
        <f>'IDS АСУТП'!O79</f>
        <v>0</v>
      </c>
      <c r="AK79" s="230">
        <f>'АПМДЗ АСУТП'!G79</f>
        <v>0</v>
      </c>
      <c r="AL79" s="230">
        <f>'АПМДЗ АСУТП'!K79</f>
        <v>0</v>
      </c>
      <c r="AM79" s="230">
        <f>'НСД АСУТП'!G79</f>
        <v>0</v>
      </c>
      <c r="AN79" s="230">
        <f>'НСД АСУТП'!K79</f>
        <v>0</v>
      </c>
      <c r="AO79" s="230">
        <f>'НСД АСУТП'!O79</f>
        <v>0</v>
      </c>
      <c r="AP79" s="230">
        <f>'MFA АСУТП'!G79</f>
        <v>0</v>
      </c>
      <c r="AQ79" s="230">
        <f>'MFA АСУТП'!K79</f>
        <v>0</v>
      </c>
      <c r="AR79" s="230">
        <f>'MFA АСУТП'!O79</f>
        <v>0</v>
      </c>
      <c r="AS79" s="230">
        <f>'MFA АСУТП'!S79</f>
        <v>0</v>
      </c>
      <c r="AT79" s="230">
        <f>'ДИОД АСУТП'!G79</f>
        <v>0</v>
      </c>
      <c r="AU79" s="230">
        <f>'ДИОД АСУТП'!K79</f>
        <v>0</v>
      </c>
      <c r="AV79" s="230">
        <f>'ДИОД АСУТП'!O79</f>
        <v>0</v>
      </c>
      <c r="AW79" s="230">
        <f>'ДИОД АСУТП'!S79</f>
        <v>0</v>
      </c>
      <c r="AX79" s="230">
        <f>'СЗВ АСУТП'!G79</f>
        <v>0</v>
      </c>
      <c r="AY79" s="230">
        <f>'СЗВ АСУТП'!K79</f>
        <v>0</v>
      </c>
      <c r="AZ79" s="230">
        <f>'СЗВ АСУТП'!O79</f>
        <v>0</v>
      </c>
      <c r="BA79" s="230">
        <f>'SOAR АСУТП'!G79</f>
        <v>1.5</v>
      </c>
      <c r="BB79" s="230">
        <f>'SOAR АСУТП'!K79</f>
        <v>1.5</v>
      </c>
      <c r="BC79" s="230">
        <f>'SOAR АСУТП'!O79</f>
        <v>1.5</v>
      </c>
      <c r="BD79" s="230" t="e">
        <f>'SOAR АСУТП'!#REF!</f>
        <v>#REF!</v>
      </c>
      <c r="BE79" s="230">
        <f>'VDI АСУТП'!G79</f>
        <v>0</v>
      </c>
      <c r="BF79" s="230">
        <f>'VDI АСУТП'!K79</f>
        <v>0</v>
      </c>
      <c r="BG79" s="230">
        <f>'VDI АСУТП'!O79</f>
        <v>0</v>
      </c>
      <c r="BH79" s="230">
        <f>'VDI АСУТП'!S79</f>
        <v>0</v>
      </c>
      <c r="BI79" s="230">
        <f>'VDI АСУТП'!W79</f>
        <v>0</v>
      </c>
      <c r="BJ79" s="316">
        <f>'СУБД АСУТП'!G79</f>
        <v>0</v>
      </c>
      <c r="BK79" s="316">
        <f>'СУБД АСУТП'!K79</f>
        <v>0</v>
      </c>
      <c r="BL79" s="316">
        <f>'ГОССОПКА АСУТП'!G79</f>
        <v>0</v>
      </c>
      <c r="BM79" s="316">
        <f>'ГОССОПКА АСУТП'!K79</f>
        <v>0</v>
      </c>
      <c r="BN79" s="316">
        <f>'TLS АСУТП'!G79</f>
        <v>0</v>
      </c>
      <c r="BO79" s="316">
        <f>'TLS АСУТП'!K79</f>
        <v>0</v>
      </c>
      <c r="BP79" s="316">
        <f>'DCAP АСУТП'!G79</f>
        <v>0</v>
      </c>
      <c r="BQ79" s="316">
        <f>'DCAP АСУТП'!K79</f>
        <v>0</v>
      </c>
      <c r="BR79" s="316">
        <f>'DCAP АСУТП'!O79</f>
        <v>0</v>
      </c>
      <c r="BS79" s="316">
        <f>'DO АСУТП'!G79</f>
        <v>1.5</v>
      </c>
      <c r="BT79" s="316">
        <f>'NTA АСУТП'!G79</f>
        <v>0</v>
      </c>
      <c r="BU79" s="316">
        <f>'NTA АСУТП'!K79</f>
        <v>0</v>
      </c>
      <c r="BV79" s="316">
        <f>'NTA АСУТП'!O79</f>
        <v>0</v>
      </c>
      <c r="BW79" s="316">
        <f>'NTA АСУТП'!S79</f>
        <v>0</v>
      </c>
      <c r="BX79" s="316">
        <f>'SEG АСУТП'!G79</f>
        <v>0</v>
      </c>
      <c r="BY79" s="316">
        <f>'APT АСУТП'!G79</f>
        <v>0</v>
      </c>
      <c r="BZ79" s="316">
        <f>'APT АСУТП'!K79</f>
        <v>0</v>
      </c>
      <c r="CA79" s="316">
        <f>'APT АСУТП'!O79</f>
        <v>0</v>
      </c>
      <c r="CB79" s="316">
        <f>'NAC АСУТП'!G79</f>
        <v>0</v>
      </c>
      <c r="CC79" s="316">
        <f>'SANDBOX АСУТП'!G79</f>
        <v>0</v>
      </c>
      <c r="CD79" s="316">
        <f>'SANDBOX АСУТП'!K79</f>
        <v>0</v>
      </c>
      <c r="CE79" s="316">
        <f>'EDR АСУТП'!G79</f>
        <v>1</v>
      </c>
      <c r="CF79" s="316">
        <f>'EDR АСУТП'!K79</f>
        <v>1</v>
      </c>
      <c r="CG79" s="316">
        <f>'WAF АСУТП'!G79</f>
        <v>0</v>
      </c>
      <c r="CH79" s="316">
        <f>'WAF АСУТП'!K79</f>
        <v>0</v>
      </c>
      <c r="CI79" s="316">
        <f>'WAF АСУТП'!O79</f>
        <v>0</v>
      </c>
      <c r="CJ79" s="316">
        <f>'ВМ ЗСВ'!G79</f>
        <v>0</v>
      </c>
      <c r="CK79" s="316">
        <f>'ВМ ЗСВ'!K79</f>
        <v>0</v>
      </c>
      <c r="CL79" s="316">
        <f>'ВМ ЗСВ'!O79</f>
        <v>0</v>
      </c>
      <c r="CM79" s="316">
        <f>'ВМ ЗСВ'!S79</f>
        <v>0</v>
      </c>
      <c r="CN79" s="316">
        <f>'ВМ ЗСВ'!W79</f>
        <v>0</v>
      </c>
      <c r="CO79" s="316">
        <f>'ВМ ЗСВ'!AA79</f>
        <v>0</v>
      </c>
      <c r="CP79" s="316">
        <f>'ВМ СПО'!G79</f>
        <v>0</v>
      </c>
      <c r="CQ79" s="316">
        <f>'ВМ СПО'!K79</f>
        <v>0</v>
      </c>
      <c r="CR79" s="316">
        <f>'ВМ СПО'!O79</f>
        <v>0</v>
      </c>
      <c r="CS79" s="316">
        <f>'ВМ СПО'!S79</f>
        <v>0</v>
      </c>
      <c r="CT79" s="316">
        <f>'ВМ АСО'!G79</f>
        <v>0</v>
      </c>
      <c r="CU79" s="316">
        <f>'ВМ АСО'!K79</f>
        <v>0</v>
      </c>
      <c r="CV79" s="316" t="e">
        <f t="shared" si="62"/>
        <v>#REF!</v>
      </c>
      <c r="CW79" s="25">
        <f t="shared" si="63"/>
        <v>0.5</v>
      </c>
      <c r="CX79" s="25">
        <f t="shared" si="64"/>
        <v>1</v>
      </c>
      <c r="CY79" s="25">
        <f t="shared" si="65"/>
        <v>0</v>
      </c>
      <c r="CZ79" s="25">
        <f t="shared" si="66"/>
        <v>0</v>
      </c>
      <c r="DA79" s="25">
        <f t="shared" si="67"/>
        <v>0</v>
      </c>
      <c r="DB79" s="25">
        <f t="shared" si="68"/>
        <v>0</v>
      </c>
      <c r="DC79" s="25">
        <f t="shared" si="69"/>
        <v>0</v>
      </c>
      <c r="DD79" s="25">
        <f t="shared" si="70"/>
        <v>0</v>
      </c>
      <c r="DE79" s="25">
        <f t="shared" si="71"/>
        <v>0</v>
      </c>
      <c r="DF79" s="25">
        <f t="shared" si="72"/>
        <v>0</v>
      </c>
      <c r="DG79" s="25">
        <f t="shared" si="73"/>
        <v>0</v>
      </c>
      <c r="DH79" s="25">
        <f t="shared" si="74"/>
        <v>0</v>
      </c>
      <c r="DI79" s="25">
        <f t="shared" si="75"/>
        <v>0</v>
      </c>
      <c r="DJ79" s="25" t="e">
        <f t="shared" si="76"/>
        <v>#REF!</v>
      </c>
      <c r="DK79" s="25">
        <f t="shared" si="77"/>
        <v>0</v>
      </c>
      <c r="DL79" s="25">
        <f t="shared" si="78"/>
        <v>0</v>
      </c>
      <c r="DM79" s="25">
        <f t="shared" si="79"/>
        <v>0</v>
      </c>
      <c r="DN79" s="25">
        <f t="shared" si="80"/>
        <v>0</v>
      </c>
      <c r="DO79" s="25">
        <f t="shared" si="81"/>
        <v>0</v>
      </c>
      <c r="DP79" s="25">
        <f t="shared" si="82"/>
        <v>0</v>
      </c>
      <c r="DQ79" s="25">
        <f t="shared" si="83"/>
        <v>0</v>
      </c>
      <c r="DR79" s="25">
        <f t="shared" si="84"/>
        <v>0</v>
      </c>
      <c r="DS79" s="25">
        <f t="shared" si="85"/>
        <v>0</v>
      </c>
      <c r="DT79" s="25">
        <f t="shared" si="86"/>
        <v>0</v>
      </c>
      <c r="DU79" s="25">
        <f t="shared" si="87"/>
        <v>0</v>
      </c>
      <c r="DV79" s="21">
        <f t="shared" si="88"/>
        <v>0</v>
      </c>
      <c r="DW79" s="317">
        <f t="shared" si="89"/>
        <v>0</v>
      </c>
      <c r="DX79" s="317">
        <f t="shared" si="90"/>
        <v>0</v>
      </c>
      <c r="DY79" s="317">
        <f t="shared" si="91"/>
        <v>0</v>
      </c>
      <c r="DZ79" s="230">
        <f t="shared" si="92"/>
        <v>0</v>
      </c>
    </row>
    <row r="80" spans="1:130" ht="15.75" customHeight="1" x14ac:dyDescent="0.25">
      <c r="A80" s="1908"/>
      <c r="B80" s="1916"/>
      <c r="C80" s="103" t="s">
        <v>34</v>
      </c>
      <c r="D80" s="21"/>
      <c r="E80" s="316">
        <f>'АВЗ АСУТП'!G80</f>
        <v>0.5</v>
      </c>
      <c r="F80" s="316">
        <f>'АВЗ АСУТП'!K80</f>
        <v>0.5</v>
      </c>
      <c r="G80" s="316">
        <f>'АВЗ АСУТП'!O80</f>
        <v>0.5</v>
      </c>
      <c r="H80" s="230">
        <f>'АВЗ АСУТП'!S80</f>
        <v>0.5</v>
      </c>
      <c r="I80" s="316">
        <f>'АВЗ АСУТП'!W80</f>
        <v>0.5</v>
      </c>
      <c r="J80" s="230">
        <f>'АВЗ АСУТП'!AA80</f>
        <v>0.5</v>
      </c>
      <c r="K80" s="230">
        <f>'АВЗ АСУТП'!AE80</f>
        <v>0.5</v>
      </c>
      <c r="L80" s="230">
        <f>'АВЗ АСУТП'!AI80</f>
        <v>0.5</v>
      </c>
      <c r="M80" s="230">
        <f>'SIEM АСУТП'!G80</f>
        <v>1</v>
      </c>
      <c r="N80" s="230">
        <f>'SIEM АСУТП'!K80</f>
        <v>1</v>
      </c>
      <c r="O80" s="230">
        <f>'МСЭ АСУТП'!G80</f>
        <v>0</v>
      </c>
      <c r="P80" s="317">
        <f>'МСЭ АСУТП'!K80</f>
        <v>0</v>
      </c>
      <c r="Q80" s="230">
        <f>'МСЭ АСУТП'!O80</f>
        <v>0</v>
      </c>
      <c r="R80" s="230">
        <f>'МСЭ АСУТП'!S80</f>
        <v>0</v>
      </c>
      <c r="S80" s="230">
        <f>'PAM АСУТП'!G80</f>
        <v>1</v>
      </c>
      <c r="T80" s="230">
        <f>'PAM АСУТП'!K80</f>
        <v>1</v>
      </c>
      <c r="U80" s="230">
        <f>'PAM АСУТП'!O80</f>
        <v>1</v>
      </c>
      <c r="V80" s="230">
        <f>'СКЗИ АСУТП'!G80</f>
        <v>0</v>
      </c>
      <c r="W80" s="230">
        <f>'СКЗИ АСУТП'!K80</f>
        <v>0</v>
      </c>
      <c r="X80" s="230">
        <f>'СКЗИ АСУТП'!O80</f>
        <v>0</v>
      </c>
      <c r="Y80" s="230">
        <f>'СКЗИ АСУТП'!S80</f>
        <v>0</v>
      </c>
      <c r="Z80" s="230">
        <f>'СКЗИ АСУТП'!W80</f>
        <v>0</v>
      </c>
      <c r="AA80" s="230">
        <f>'АЗ АСУТП'!G80</f>
        <v>0</v>
      </c>
      <c r="AB80" s="230">
        <f>'АЗ АСУТП'!K80</f>
        <v>0</v>
      </c>
      <c r="AC80" s="230">
        <f>'АЗ АСУТП'!O80</f>
        <v>0</v>
      </c>
      <c r="AD80" s="230">
        <f>'АЗ АСУТП'!S80</f>
        <v>0</v>
      </c>
      <c r="AE80" s="230">
        <f>'АЗ АСУТП'!W80</f>
        <v>0</v>
      </c>
      <c r="AF80" s="230">
        <f>'РК АСУТП'!G80</f>
        <v>1</v>
      </c>
      <c r="AG80" s="230">
        <f>'РК АСУТП'!K80</f>
        <v>1</v>
      </c>
      <c r="AH80" s="230">
        <f>'IDS АСУТП'!G80</f>
        <v>0</v>
      </c>
      <c r="AI80" s="230">
        <f>'IDS АСУТП'!K80</f>
        <v>0</v>
      </c>
      <c r="AJ80" s="230">
        <f>'IDS АСУТП'!O80</f>
        <v>0</v>
      </c>
      <c r="AK80" s="230">
        <f>'АПМДЗ АСУТП'!G80</f>
        <v>0</v>
      </c>
      <c r="AL80" s="230">
        <f>'АПМДЗ АСУТП'!K80</f>
        <v>0</v>
      </c>
      <c r="AM80" s="230">
        <f>'НСД АСУТП'!G80</f>
        <v>0</v>
      </c>
      <c r="AN80" s="230">
        <f>'НСД АСУТП'!K80</f>
        <v>0</v>
      </c>
      <c r="AO80" s="230">
        <f>'НСД АСУТП'!O80</f>
        <v>0</v>
      </c>
      <c r="AP80" s="230">
        <f>'MFA АСУТП'!G80</f>
        <v>0</v>
      </c>
      <c r="AQ80" s="230">
        <f>'MFA АСУТП'!K80</f>
        <v>0</v>
      </c>
      <c r="AR80" s="230">
        <f>'MFA АСУТП'!O80</f>
        <v>0</v>
      </c>
      <c r="AS80" s="230">
        <f>'MFA АСУТП'!S80</f>
        <v>0</v>
      </c>
      <c r="AT80" s="230">
        <f>'ДИОД АСУТП'!G80</f>
        <v>0</v>
      </c>
      <c r="AU80" s="230">
        <f>'ДИОД АСУТП'!K80</f>
        <v>0</v>
      </c>
      <c r="AV80" s="230">
        <f>'ДИОД АСУТП'!O80</f>
        <v>0</v>
      </c>
      <c r="AW80" s="230">
        <f>'ДИОД АСУТП'!S80</f>
        <v>0</v>
      </c>
      <c r="AX80" s="230">
        <f>'СЗВ АСУТП'!G80</f>
        <v>0</v>
      </c>
      <c r="AY80" s="230">
        <f>'СЗВ АСУТП'!K80</f>
        <v>0</v>
      </c>
      <c r="AZ80" s="230">
        <f>'СЗВ АСУТП'!O80</f>
        <v>0</v>
      </c>
      <c r="BA80" s="230">
        <f>'SOAR АСУТП'!G80</f>
        <v>1.5</v>
      </c>
      <c r="BB80" s="230">
        <f>'SOAR АСУТП'!K80</f>
        <v>1.5</v>
      </c>
      <c r="BC80" s="230">
        <f>'SOAR АСУТП'!O80</f>
        <v>1.5</v>
      </c>
      <c r="BD80" s="230" t="e">
        <f>'SOAR АСУТП'!#REF!</f>
        <v>#REF!</v>
      </c>
      <c r="BE80" s="230">
        <f>'VDI АСУТП'!G80</f>
        <v>0</v>
      </c>
      <c r="BF80" s="230">
        <f>'VDI АСУТП'!K80</f>
        <v>0</v>
      </c>
      <c r="BG80" s="230">
        <f>'VDI АСУТП'!O80</f>
        <v>0</v>
      </c>
      <c r="BH80" s="230">
        <f>'VDI АСУТП'!S80</f>
        <v>0</v>
      </c>
      <c r="BI80" s="230">
        <f>'VDI АСУТП'!W80</f>
        <v>0</v>
      </c>
      <c r="BJ80" s="316">
        <f>'СУБД АСУТП'!G80</f>
        <v>0</v>
      </c>
      <c r="BK80" s="316">
        <f>'СУБД АСУТП'!K80</f>
        <v>0</v>
      </c>
      <c r="BL80" s="316">
        <f>'ГОССОПКА АСУТП'!G80</f>
        <v>0</v>
      </c>
      <c r="BM80" s="316">
        <f>'ГОССОПКА АСУТП'!K80</f>
        <v>0</v>
      </c>
      <c r="BN80" s="316">
        <f>'TLS АСУТП'!G80</f>
        <v>0</v>
      </c>
      <c r="BO80" s="316">
        <f>'TLS АСУТП'!K80</f>
        <v>0</v>
      </c>
      <c r="BP80" s="316">
        <f>'DCAP АСУТП'!G80</f>
        <v>0</v>
      </c>
      <c r="BQ80" s="316">
        <f>'DCAP АСУТП'!K80</f>
        <v>0</v>
      </c>
      <c r="BR80" s="316">
        <f>'DCAP АСУТП'!O80</f>
        <v>0</v>
      </c>
      <c r="BS80" s="316">
        <f>'DO АСУТП'!G80</f>
        <v>1.5</v>
      </c>
      <c r="BT80" s="316">
        <f>'NTA АСУТП'!G80</f>
        <v>0</v>
      </c>
      <c r="BU80" s="316">
        <f>'NTA АСУТП'!K80</f>
        <v>0</v>
      </c>
      <c r="BV80" s="316">
        <f>'NTA АСУТП'!O80</f>
        <v>0</v>
      </c>
      <c r="BW80" s="316">
        <f>'NTA АСУТП'!S80</f>
        <v>0</v>
      </c>
      <c r="BX80" s="316">
        <f>'SEG АСУТП'!G80</f>
        <v>0</v>
      </c>
      <c r="BY80" s="316">
        <f>'APT АСУТП'!G80</f>
        <v>0</v>
      </c>
      <c r="BZ80" s="316">
        <f>'APT АСУТП'!K80</f>
        <v>0</v>
      </c>
      <c r="CA80" s="316">
        <f>'APT АСУТП'!O80</f>
        <v>0</v>
      </c>
      <c r="CB80" s="316">
        <f>'NAC АСУТП'!G80</f>
        <v>0</v>
      </c>
      <c r="CC80" s="316">
        <f>'SANDBOX АСУТП'!G80</f>
        <v>0</v>
      </c>
      <c r="CD80" s="316">
        <f>'SANDBOX АСУТП'!K80</f>
        <v>0</v>
      </c>
      <c r="CE80" s="316">
        <f>'EDR АСУТП'!G80</f>
        <v>1</v>
      </c>
      <c r="CF80" s="316">
        <f>'EDR АСУТП'!K80</f>
        <v>1</v>
      </c>
      <c r="CG80" s="316">
        <f>'WAF АСУТП'!G80</f>
        <v>0</v>
      </c>
      <c r="CH80" s="316">
        <f>'WAF АСУТП'!K80</f>
        <v>0</v>
      </c>
      <c r="CI80" s="316">
        <f>'WAF АСУТП'!O80</f>
        <v>0</v>
      </c>
      <c r="CJ80" s="316">
        <f>'ВМ ЗСВ'!G80</f>
        <v>0</v>
      </c>
      <c r="CK80" s="316">
        <f>'ВМ ЗСВ'!K80</f>
        <v>0</v>
      </c>
      <c r="CL80" s="316">
        <f>'ВМ ЗСВ'!O80</f>
        <v>0</v>
      </c>
      <c r="CM80" s="316">
        <f>'ВМ ЗСВ'!S80</f>
        <v>0</v>
      </c>
      <c r="CN80" s="316">
        <f>'ВМ ЗСВ'!W80</f>
        <v>0</v>
      </c>
      <c r="CO80" s="316">
        <f>'ВМ ЗСВ'!AA80</f>
        <v>0</v>
      </c>
      <c r="CP80" s="316">
        <f>'ВМ СПО'!G80</f>
        <v>0</v>
      </c>
      <c r="CQ80" s="316">
        <f>'ВМ СПО'!K80</f>
        <v>0</v>
      </c>
      <c r="CR80" s="316">
        <f>'ВМ СПО'!O80</f>
        <v>0</v>
      </c>
      <c r="CS80" s="316">
        <f>'ВМ СПО'!S80</f>
        <v>0</v>
      </c>
      <c r="CT80" s="316">
        <f>'ВМ АСО'!G80</f>
        <v>0</v>
      </c>
      <c r="CU80" s="316">
        <f>'ВМ АСО'!K80</f>
        <v>0</v>
      </c>
      <c r="CV80" s="316" t="e">
        <f t="shared" si="62"/>
        <v>#REF!</v>
      </c>
      <c r="CW80" s="25">
        <f t="shared" si="63"/>
        <v>0.5</v>
      </c>
      <c r="CX80" s="25">
        <f t="shared" si="64"/>
        <v>1</v>
      </c>
      <c r="CY80" s="25">
        <f t="shared" si="65"/>
        <v>0</v>
      </c>
      <c r="CZ80" s="25">
        <f t="shared" si="66"/>
        <v>0</v>
      </c>
      <c r="DA80" s="25">
        <f t="shared" si="67"/>
        <v>0</v>
      </c>
      <c r="DB80" s="25">
        <f t="shared" si="68"/>
        <v>0</v>
      </c>
      <c r="DC80" s="25">
        <f t="shared" si="69"/>
        <v>0</v>
      </c>
      <c r="DD80" s="25">
        <f t="shared" si="70"/>
        <v>0</v>
      </c>
      <c r="DE80" s="25">
        <f t="shared" si="71"/>
        <v>0</v>
      </c>
      <c r="DF80" s="25">
        <f t="shared" si="72"/>
        <v>0</v>
      </c>
      <c r="DG80" s="25">
        <f t="shared" si="73"/>
        <v>0</v>
      </c>
      <c r="DH80" s="25">
        <f t="shared" si="74"/>
        <v>0</v>
      </c>
      <c r="DI80" s="25">
        <f t="shared" si="75"/>
        <v>0</v>
      </c>
      <c r="DJ80" s="25" t="e">
        <f t="shared" si="76"/>
        <v>#REF!</v>
      </c>
      <c r="DK80" s="25">
        <f t="shared" si="77"/>
        <v>0</v>
      </c>
      <c r="DL80" s="25">
        <f t="shared" si="78"/>
        <v>0</v>
      </c>
      <c r="DM80" s="25">
        <f t="shared" si="79"/>
        <v>0</v>
      </c>
      <c r="DN80" s="25">
        <f t="shared" si="80"/>
        <v>0</v>
      </c>
      <c r="DO80" s="25">
        <f t="shared" si="81"/>
        <v>0</v>
      </c>
      <c r="DP80" s="25">
        <f t="shared" si="82"/>
        <v>0</v>
      </c>
      <c r="DQ80" s="25">
        <f t="shared" si="83"/>
        <v>0</v>
      </c>
      <c r="DR80" s="25">
        <f t="shared" si="84"/>
        <v>0</v>
      </c>
      <c r="DS80" s="25">
        <f t="shared" si="85"/>
        <v>0</v>
      </c>
      <c r="DT80" s="25">
        <f t="shared" si="86"/>
        <v>0</v>
      </c>
      <c r="DU80" s="25">
        <f t="shared" si="87"/>
        <v>0</v>
      </c>
      <c r="DV80" s="21">
        <f t="shared" si="88"/>
        <v>0</v>
      </c>
      <c r="DW80" s="317">
        <f t="shared" si="89"/>
        <v>0</v>
      </c>
      <c r="DX80" s="317">
        <f t="shared" si="90"/>
        <v>0</v>
      </c>
      <c r="DY80" s="317">
        <f t="shared" si="91"/>
        <v>0</v>
      </c>
      <c r="DZ80" s="230">
        <f t="shared" si="92"/>
        <v>0</v>
      </c>
    </row>
    <row r="81" spans="1:130" ht="15.75" customHeight="1" x14ac:dyDescent="0.25">
      <c r="A81" s="1908" t="s">
        <v>182</v>
      </c>
      <c r="B81" s="1916">
        <f>IF('Тип разраб-ой док-ции'!F32=1,1,0)</f>
        <v>0</v>
      </c>
      <c r="C81" s="103" t="s">
        <v>32</v>
      </c>
      <c r="D81" s="21"/>
      <c r="E81" s="316">
        <f>'АВЗ АСУТП'!G81</f>
        <v>0.5</v>
      </c>
      <c r="F81" s="316">
        <f>'АВЗ АСУТП'!K81</f>
        <v>0.5</v>
      </c>
      <c r="G81" s="316">
        <f>'АВЗ АСУТП'!O81</f>
        <v>0.5</v>
      </c>
      <c r="H81" s="230">
        <f>'АВЗ АСУТП'!S81</f>
        <v>0.5</v>
      </c>
      <c r="I81" s="316">
        <f>'АВЗ АСУТП'!W81</f>
        <v>0.5</v>
      </c>
      <c r="J81" s="230">
        <f>'АВЗ АСУТП'!AA81</f>
        <v>0.5</v>
      </c>
      <c r="K81" s="230">
        <f>'АВЗ АСУТП'!AE81</f>
        <v>0.5</v>
      </c>
      <c r="L81" s="230">
        <f>'АВЗ АСУТП'!AI81</f>
        <v>0.5</v>
      </c>
      <c r="M81" s="230">
        <f>'SIEM АСУТП'!G81</f>
        <v>0.25</v>
      </c>
      <c r="N81" s="230">
        <f>'SIEM АСУТП'!K81</f>
        <v>0.25</v>
      </c>
      <c r="O81" s="230">
        <f>'МСЭ АСУТП'!G81</f>
        <v>0</v>
      </c>
      <c r="P81" s="317">
        <f>'МСЭ АСУТП'!K81</f>
        <v>0</v>
      </c>
      <c r="Q81" s="230">
        <f>'МСЭ АСУТП'!O81</f>
        <v>0</v>
      </c>
      <c r="R81" s="230">
        <f>'МСЭ АСУТП'!S81</f>
        <v>0</v>
      </c>
      <c r="S81" s="230">
        <f>'PAM АСУТП'!G81</f>
        <v>1</v>
      </c>
      <c r="T81" s="230">
        <f>'PAM АСУТП'!K81</f>
        <v>1</v>
      </c>
      <c r="U81" s="230">
        <f>'PAM АСУТП'!O81</f>
        <v>1</v>
      </c>
      <c r="V81" s="230">
        <f>'СКЗИ АСУТП'!G81</f>
        <v>0</v>
      </c>
      <c r="W81" s="230">
        <f>'СКЗИ АСУТП'!K81</f>
        <v>0</v>
      </c>
      <c r="X81" s="230">
        <f>'СКЗИ АСУТП'!O81</f>
        <v>0</v>
      </c>
      <c r="Y81" s="230">
        <f>'СКЗИ АСУТП'!S81</f>
        <v>0</v>
      </c>
      <c r="Z81" s="230">
        <f>'СКЗИ АСУТП'!W81</f>
        <v>0</v>
      </c>
      <c r="AA81" s="230">
        <f>'АЗ АСУТП'!G81</f>
        <v>0</v>
      </c>
      <c r="AB81" s="230">
        <f>'АЗ АСУТП'!K81</f>
        <v>0</v>
      </c>
      <c r="AC81" s="230">
        <f>'АЗ АСУТП'!O81</f>
        <v>0</v>
      </c>
      <c r="AD81" s="230">
        <f>'АЗ АСУТП'!S81</f>
        <v>0</v>
      </c>
      <c r="AE81" s="230">
        <f>'АЗ АСУТП'!W81</f>
        <v>0</v>
      </c>
      <c r="AF81" s="230">
        <f>'РК АСУТП'!G81</f>
        <v>0.5</v>
      </c>
      <c r="AG81" s="230">
        <f>'РК АСУТП'!K81</f>
        <v>0.5</v>
      </c>
      <c r="AH81" s="230">
        <f>'IDS АСУТП'!G81</f>
        <v>0</v>
      </c>
      <c r="AI81" s="230">
        <f>'IDS АСУТП'!K81</f>
        <v>0</v>
      </c>
      <c r="AJ81" s="230">
        <f>'IDS АСУТП'!O81</f>
        <v>0</v>
      </c>
      <c r="AK81" s="230">
        <f>'АПМДЗ АСУТП'!G81</f>
        <v>0</v>
      </c>
      <c r="AL81" s="230">
        <f>'АПМДЗ АСУТП'!K81</f>
        <v>0</v>
      </c>
      <c r="AM81" s="230">
        <f>'НСД АСУТП'!G81</f>
        <v>0</v>
      </c>
      <c r="AN81" s="230">
        <f>'НСД АСУТП'!K81</f>
        <v>0</v>
      </c>
      <c r="AO81" s="230">
        <f>'НСД АСУТП'!O81</f>
        <v>0</v>
      </c>
      <c r="AP81" s="230">
        <f>'MFA АСУТП'!G81</f>
        <v>0</v>
      </c>
      <c r="AQ81" s="230">
        <f>'MFA АСУТП'!K81</f>
        <v>0</v>
      </c>
      <c r="AR81" s="230">
        <f>'MFA АСУТП'!O81</f>
        <v>0</v>
      </c>
      <c r="AS81" s="230">
        <f>'MFA АСУТП'!S81</f>
        <v>0</v>
      </c>
      <c r="AT81" s="230">
        <f>'ДИОД АСУТП'!G81</f>
        <v>0</v>
      </c>
      <c r="AU81" s="230">
        <f>'ДИОД АСУТП'!K81</f>
        <v>0</v>
      </c>
      <c r="AV81" s="230">
        <f>'ДИОД АСУТП'!O81</f>
        <v>0</v>
      </c>
      <c r="AW81" s="230">
        <f>'ДИОД АСУТП'!S81</f>
        <v>0</v>
      </c>
      <c r="AX81" s="230">
        <f>'СЗВ АСУТП'!G81</f>
        <v>0</v>
      </c>
      <c r="AY81" s="230">
        <f>'СЗВ АСУТП'!K81</f>
        <v>0</v>
      </c>
      <c r="AZ81" s="230">
        <f>'СЗВ АСУТП'!O81</f>
        <v>0</v>
      </c>
      <c r="BA81" s="230">
        <f>'SOAR АСУТП'!G81</f>
        <v>0</v>
      </c>
      <c r="BB81" s="230">
        <f>'SOAR АСУТП'!K81</f>
        <v>0</v>
      </c>
      <c r="BC81" s="230">
        <f>'SOAR АСУТП'!O81</f>
        <v>0</v>
      </c>
      <c r="BD81" s="230" t="e">
        <f>'SOAR АСУТП'!#REF!</f>
        <v>#REF!</v>
      </c>
      <c r="BE81" s="230">
        <f>'VDI АСУТП'!G81</f>
        <v>0</v>
      </c>
      <c r="BF81" s="230">
        <f>'VDI АСУТП'!K81</f>
        <v>0</v>
      </c>
      <c r="BG81" s="230">
        <f>'VDI АСУТП'!O81</f>
        <v>0</v>
      </c>
      <c r="BH81" s="230">
        <f>'VDI АСУТП'!S81</f>
        <v>0</v>
      </c>
      <c r="BI81" s="230">
        <f>'VDI АСУТП'!W81</f>
        <v>0</v>
      </c>
      <c r="BJ81" s="316">
        <f>'СУБД АСУТП'!G81</f>
        <v>0</v>
      </c>
      <c r="BK81" s="316">
        <f>'СУБД АСУТП'!K81</f>
        <v>0</v>
      </c>
      <c r="BL81" s="316">
        <f>'ГОССОПКА АСУТП'!G81</f>
        <v>0</v>
      </c>
      <c r="BM81" s="316">
        <f>'ГОССОПКА АСУТП'!K81</f>
        <v>0</v>
      </c>
      <c r="BN81" s="316">
        <f>'TLS АСУТП'!G81</f>
        <v>0</v>
      </c>
      <c r="BO81" s="316">
        <f>'TLS АСУТП'!K81</f>
        <v>0</v>
      </c>
      <c r="BP81" s="316">
        <f>'DCAP АСУТП'!G81</f>
        <v>0</v>
      </c>
      <c r="BQ81" s="316">
        <f>'DCAP АСУТП'!K81</f>
        <v>0</v>
      </c>
      <c r="BR81" s="316">
        <f>'DCAP АСУТП'!O81</f>
        <v>0</v>
      </c>
      <c r="BS81" s="316">
        <f>'DO АСУТП'!G81</f>
        <v>0</v>
      </c>
      <c r="BT81" s="316">
        <f>'NTA АСУТП'!G81</f>
        <v>0</v>
      </c>
      <c r="BU81" s="316">
        <f>'NTA АСУТП'!K81</f>
        <v>0</v>
      </c>
      <c r="BV81" s="316">
        <f>'NTA АСУТП'!O81</f>
        <v>0</v>
      </c>
      <c r="BW81" s="316">
        <f>'NTA АСУТП'!S81</f>
        <v>0</v>
      </c>
      <c r="BX81" s="316">
        <f>'SEG АСУТП'!G81</f>
        <v>0</v>
      </c>
      <c r="BY81" s="316">
        <f>'APT АСУТП'!G81</f>
        <v>0</v>
      </c>
      <c r="BZ81" s="316">
        <f>'APT АСУТП'!K81</f>
        <v>0</v>
      </c>
      <c r="CA81" s="316">
        <f>'APT АСУТП'!O81</f>
        <v>0</v>
      </c>
      <c r="CB81" s="316">
        <f>'NAC АСУТП'!G81</f>
        <v>0</v>
      </c>
      <c r="CC81" s="316">
        <f>'SANDBOX АСУТП'!G81</f>
        <v>0</v>
      </c>
      <c r="CD81" s="316">
        <f>'SANDBOX АСУТП'!K81</f>
        <v>0</v>
      </c>
      <c r="CE81" s="316">
        <f>'EDR АСУТП'!G81</f>
        <v>0</v>
      </c>
      <c r="CF81" s="316">
        <f>'EDR АСУТП'!K81</f>
        <v>0</v>
      </c>
      <c r="CG81" s="316">
        <f>'WAF АСУТП'!G81</f>
        <v>0</v>
      </c>
      <c r="CH81" s="316">
        <f>'WAF АСУТП'!K81</f>
        <v>0</v>
      </c>
      <c r="CI81" s="316">
        <f>'WAF АСУТП'!O81</f>
        <v>0</v>
      </c>
      <c r="CJ81" s="316">
        <f>'ВМ ЗСВ'!G81</f>
        <v>0</v>
      </c>
      <c r="CK81" s="316">
        <f>'ВМ ЗСВ'!K81</f>
        <v>0</v>
      </c>
      <c r="CL81" s="316">
        <f>'ВМ ЗСВ'!O81</f>
        <v>0</v>
      </c>
      <c r="CM81" s="316">
        <f>'ВМ ЗСВ'!S81</f>
        <v>0</v>
      </c>
      <c r="CN81" s="316">
        <f>'ВМ ЗСВ'!W81</f>
        <v>0</v>
      </c>
      <c r="CO81" s="316">
        <f>'ВМ ЗСВ'!AA81</f>
        <v>0</v>
      </c>
      <c r="CP81" s="316">
        <f>'ВМ СПО'!G81</f>
        <v>0</v>
      </c>
      <c r="CQ81" s="316">
        <f>'ВМ СПО'!K81</f>
        <v>0</v>
      </c>
      <c r="CR81" s="316">
        <f>'ВМ СПО'!O81</f>
        <v>0</v>
      </c>
      <c r="CS81" s="316">
        <f>'ВМ СПО'!S81</f>
        <v>0</v>
      </c>
      <c r="CT81" s="316">
        <f>'ВМ АСО'!G81</f>
        <v>0</v>
      </c>
      <c r="CU81" s="316">
        <f>'ВМ АСО'!K81</f>
        <v>0</v>
      </c>
      <c r="CV81" s="316" t="e">
        <f t="shared" si="62"/>
        <v>#REF!</v>
      </c>
      <c r="CW81" s="25">
        <f t="shared" si="63"/>
        <v>0.5</v>
      </c>
      <c r="CX81" s="25">
        <f t="shared" si="64"/>
        <v>0.25</v>
      </c>
      <c r="CY81" s="25">
        <f t="shared" si="65"/>
        <v>0</v>
      </c>
      <c r="CZ81" s="25">
        <f t="shared" si="66"/>
        <v>0</v>
      </c>
      <c r="DA81" s="25">
        <f t="shared" si="67"/>
        <v>0</v>
      </c>
      <c r="DB81" s="25">
        <f t="shared" si="68"/>
        <v>0</v>
      </c>
      <c r="DC81" s="25">
        <f t="shared" si="69"/>
        <v>0</v>
      </c>
      <c r="DD81" s="25">
        <f t="shared" si="70"/>
        <v>0</v>
      </c>
      <c r="DE81" s="25">
        <f t="shared" si="71"/>
        <v>0</v>
      </c>
      <c r="DF81" s="25">
        <f t="shared" si="72"/>
        <v>0</v>
      </c>
      <c r="DG81" s="25">
        <f t="shared" si="73"/>
        <v>0</v>
      </c>
      <c r="DH81" s="25">
        <f t="shared" si="74"/>
        <v>0</v>
      </c>
      <c r="DI81" s="25">
        <f t="shared" si="75"/>
        <v>0</v>
      </c>
      <c r="DJ81" s="25" t="e">
        <f t="shared" si="76"/>
        <v>#REF!</v>
      </c>
      <c r="DK81" s="25">
        <f t="shared" si="77"/>
        <v>0</v>
      </c>
      <c r="DL81" s="25">
        <f t="shared" si="78"/>
        <v>0</v>
      </c>
      <c r="DM81" s="25">
        <f t="shared" si="79"/>
        <v>0</v>
      </c>
      <c r="DN81" s="25">
        <f t="shared" si="80"/>
        <v>0</v>
      </c>
      <c r="DO81" s="25">
        <f t="shared" si="81"/>
        <v>0</v>
      </c>
      <c r="DP81" s="25">
        <f t="shared" si="82"/>
        <v>0</v>
      </c>
      <c r="DQ81" s="25">
        <f t="shared" si="83"/>
        <v>0</v>
      </c>
      <c r="DR81" s="25">
        <f t="shared" si="84"/>
        <v>0</v>
      </c>
      <c r="DS81" s="25">
        <f t="shared" si="85"/>
        <v>0</v>
      </c>
      <c r="DT81" s="25">
        <f t="shared" si="86"/>
        <v>0</v>
      </c>
      <c r="DU81" s="25">
        <f t="shared" si="87"/>
        <v>0</v>
      </c>
      <c r="DV81" s="21">
        <f t="shared" si="88"/>
        <v>0</v>
      </c>
      <c r="DW81" s="317">
        <f t="shared" si="89"/>
        <v>0</v>
      </c>
      <c r="DX81" s="317">
        <f t="shared" si="90"/>
        <v>0</v>
      </c>
      <c r="DY81" s="317">
        <f t="shared" si="91"/>
        <v>0</v>
      </c>
      <c r="DZ81" s="230">
        <f t="shared" si="92"/>
        <v>0</v>
      </c>
    </row>
    <row r="82" spans="1:130" ht="15.75" customHeight="1" x14ac:dyDescent="0.25">
      <c r="A82" s="1908"/>
      <c r="B82" s="1916"/>
      <c r="C82" s="103" t="s">
        <v>33</v>
      </c>
      <c r="D82" s="21"/>
      <c r="E82" s="316">
        <f>'АВЗ АСУТП'!G82</f>
        <v>0.5</v>
      </c>
      <c r="F82" s="316">
        <f>'АВЗ АСУТП'!K82</f>
        <v>0.5</v>
      </c>
      <c r="G82" s="316">
        <f>'АВЗ АСУТП'!O82</f>
        <v>0.5</v>
      </c>
      <c r="H82" s="230">
        <f>'АВЗ АСУТП'!S82</f>
        <v>0.5</v>
      </c>
      <c r="I82" s="316">
        <f>'АВЗ АСУТП'!W82</f>
        <v>0.5</v>
      </c>
      <c r="J82" s="230">
        <f>'АВЗ АСУТП'!AA82</f>
        <v>0.5</v>
      </c>
      <c r="K82" s="230">
        <f>'АВЗ АСУТП'!AE82</f>
        <v>0.5</v>
      </c>
      <c r="L82" s="230">
        <f>'АВЗ АСУТП'!AI82</f>
        <v>0.5</v>
      </c>
      <c r="M82" s="230">
        <f>'SIEM АСУТП'!G82</f>
        <v>1</v>
      </c>
      <c r="N82" s="230">
        <f>'SIEM АСУТП'!K82</f>
        <v>1</v>
      </c>
      <c r="O82" s="230">
        <f>'МСЭ АСУТП'!G82</f>
        <v>0</v>
      </c>
      <c r="P82" s="317">
        <f>'МСЭ АСУТП'!K82</f>
        <v>0</v>
      </c>
      <c r="Q82" s="230">
        <f>'МСЭ АСУТП'!O82</f>
        <v>0</v>
      </c>
      <c r="R82" s="230">
        <f>'МСЭ АСУТП'!S82</f>
        <v>0</v>
      </c>
      <c r="S82" s="230">
        <f>'PAM АСУТП'!G82</f>
        <v>4</v>
      </c>
      <c r="T82" s="230">
        <f>'PAM АСУТП'!K82</f>
        <v>4</v>
      </c>
      <c r="U82" s="230">
        <f>'PAM АСУТП'!O82</f>
        <v>4</v>
      </c>
      <c r="V82" s="230">
        <f>'СКЗИ АСУТП'!G82</f>
        <v>0</v>
      </c>
      <c r="W82" s="230">
        <f>'СКЗИ АСУТП'!K82</f>
        <v>0</v>
      </c>
      <c r="X82" s="230">
        <f>'СКЗИ АСУТП'!O82</f>
        <v>0</v>
      </c>
      <c r="Y82" s="230">
        <f>'СКЗИ АСУТП'!S82</f>
        <v>0</v>
      </c>
      <c r="Z82" s="230">
        <f>'СКЗИ АСУТП'!W82</f>
        <v>0</v>
      </c>
      <c r="AA82" s="230">
        <f>'АЗ АСУТП'!G82</f>
        <v>0</v>
      </c>
      <c r="AB82" s="230">
        <f>'АЗ АСУТП'!K82</f>
        <v>0</v>
      </c>
      <c r="AC82" s="230">
        <f>'АЗ АСУТП'!O82</f>
        <v>0</v>
      </c>
      <c r="AD82" s="230">
        <f>'АЗ АСУТП'!S82</f>
        <v>0</v>
      </c>
      <c r="AE82" s="230">
        <f>'АЗ АСУТП'!W82</f>
        <v>0</v>
      </c>
      <c r="AF82" s="230">
        <f>'РК АСУТП'!G82</f>
        <v>0.7</v>
      </c>
      <c r="AG82" s="230">
        <f>'РК АСУТП'!K82</f>
        <v>0.7</v>
      </c>
      <c r="AH82" s="230">
        <f>'IDS АСУТП'!G82</f>
        <v>0</v>
      </c>
      <c r="AI82" s="230">
        <f>'IDS АСУТП'!K82</f>
        <v>0</v>
      </c>
      <c r="AJ82" s="230">
        <f>'IDS АСУТП'!O82</f>
        <v>0</v>
      </c>
      <c r="AK82" s="230">
        <f>'АПМДЗ АСУТП'!G82</f>
        <v>0</v>
      </c>
      <c r="AL82" s="230">
        <f>'АПМДЗ АСУТП'!K82</f>
        <v>0</v>
      </c>
      <c r="AM82" s="230">
        <f>'НСД АСУТП'!G82</f>
        <v>0</v>
      </c>
      <c r="AN82" s="230">
        <f>'НСД АСУТП'!K82</f>
        <v>0</v>
      </c>
      <c r="AO82" s="230">
        <f>'НСД АСУТП'!O82</f>
        <v>0</v>
      </c>
      <c r="AP82" s="230">
        <f>'MFA АСУТП'!G82</f>
        <v>0</v>
      </c>
      <c r="AQ82" s="230">
        <f>'MFA АСУТП'!K82</f>
        <v>0</v>
      </c>
      <c r="AR82" s="230">
        <f>'MFA АСУТП'!O82</f>
        <v>0</v>
      </c>
      <c r="AS82" s="230">
        <f>'MFA АСУТП'!S82</f>
        <v>0</v>
      </c>
      <c r="AT82" s="230">
        <f>'ДИОД АСУТП'!G82</f>
        <v>0</v>
      </c>
      <c r="AU82" s="230">
        <f>'ДИОД АСУТП'!K82</f>
        <v>0</v>
      </c>
      <c r="AV82" s="230">
        <f>'ДИОД АСУТП'!O82</f>
        <v>0</v>
      </c>
      <c r="AW82" s="230">
        <f>'ДИОД АСУТП'!S82</f>
        <v>0</v>
      </c>
      <c r="AX82" s="230">
        <f>'СЗВ АСУТП'!G82</f>
        <v>0</v>
      </c>
      <c r="AY82" s="230">
        <f>'СЗВ АСУТП'!K82</f>
        <v>0</v>
      </c>
      <c r="AZ82" s="230">
        <f>'СЗВ АСУТП'!O82</f>
        <v>0</v>
      </c>
      <c r="BA82" s="230">
        <f>'SOAR АСУТП'!G82</f>
        <v>0.75</v>
      </c>
      <c r="BB82" s="230">
        <f>'SOAR АСУТП'!K82</f>
        <v>0.75</v>
      </c>
      <c r="BC82" s="230">
        <f>'SOAR АСУТП'!O82</f>
        <v>0.75</v>
      </c>
      <c r="BD82" s="230" t="e">
        <f>'SOAR АСУТП'!#REF!</f>
        <v>#REF!</v>
      </c>
      <c r="BE82" s="230">
        <f>'VDI АСУТП'!G82</f>
        <v>0</v>
      </c>
      <c r="BF82" s="230">
        <f>'VDI АСУТП'!K82</f>
        <v>0</v>
      </c>
      <c r="BG82" s="230">
        <f>'VDI АСУТП'!O82</f>
        <v>0</v>
      </c>
      <c r="BH82" s="230">
        <f>'VDI АСУТП'!S82</f>
        <v>0</v>
      </c>
      <c r="BI82" s="230">
        <f>'VDI АСУТП'!W82</f>
        <v>0</v>
      </c>
      <c r="BJ82" s="316">
        <f>'СУБД АСУТП'!G82</f>
        <v>0</v>
      </c>
      <c r="BK82" s="316">
        <f>'СУБД АСУТП'!K82</f>
        <v>0</v>
      </c>
      <c r="BL82" s="316">
        <f>'ГОССОПКА АСУТП'!G82</f>
        <v>0</v>
      </c>
      <c r="BM82" s="316">
        <f>'ГОССОПКА АСУТП'!K82</f>
        <v>0</v>
      </c>
      <c r="BN82" s="316">
        <f>'TLS АСУТП'!G82</f>
        <v>0</v>
      </c>
      <c r="BO82" s="316">
        <f>'TLS АСУТП'!K82</f>
        <v>0</v>
      </c>
      <c r="BP82" s="316">
        <f>'DCAP АСУТП'!G82</f>
        <v>0</v>
      </c>
      <c r="BQ82" s="316">
        <f>'DCAP АСУТП'!K82</f>
        <v>0</v>
      </c>
      <c r="BR82" s="316">
        <f>'DCAP АСУТП'!O82</f>
        <v>0</v>
      </c>
      <c r="BS82" s="316">
        <f>'DO АСУТП'!G82</f>
        <v>0.5</v>
      </c>
      <c r="BT82" s="316">
        <f>'NTA АСУТП'!G82</f>
        <v>0</v>
      </c>
      <c r="BU82" s="316">
        <f>'NTA АСУТП'!K82</f>
        <v>0</v>
      </c>
      <c r="BV82" s="316">
        <f>'NTA АСУТП'!O82</f>
        <v>0</v>
      </c>
      <c r="BW82" s="316">
        <f>'NTA АСУТП'!S82</f>
        <v>0</v>
      </c>
      <c r="BX82" s="316">
        <f>'SEG АСУТП'!G82</f>
        <v>0</v>
      </c>
      <c r="BY82" s="316">
        <f>'APT АСУТП'!G82</f>
        <v>0</v>
      </c>
      <c r="BZ82" s="316">
        <f>'APT АСУТП'!K82</f>
        <v>0</v>
      </c>
      <c r="CA82" s="316">
        <f>'APT АСУТП'!O82</f>
        <v>0</v>
      </c>
      <c r="CB82" s="316">
        <f>'NAC АСУТП'!G82</f>
        <v>0</v>
      </c>
      <c r="CC82" s="316">
        <f>'SANDBOX АСУТП'!G82</f>
        <v>0</v>
      </c>
      <c r="CD82" s="316">
        <f>'SANDBOX АСУТП'!K82</f>
        <v>0</v>
      </c>
      <c r="CE82" s="316">
        <f>'EDR АСУТП'!G82</f>
        <v>0.5</v>
      </c>
      <c r="CF82" s="316">
        <f>'EDR АСУТП'!K82</f>
        <v>0.5</v>
      </c>
      <c r="CG82" s="316">
        <f>'WAF АСУТП'!G82</f>
        <v>0</v>
      </c>
      <c r="CH82" s="316">
        <f>'WAF АСУТП'!K82</f>
        <v>0</v>
      </c>
      <c r="CI82" s="316">
        <f>'WAF АСУТП'!O82</f>
        <v>0</v>
      </c>
      <c r="CJ82" s="316">
        <f>'ВМ ЗСВ'!G82</f>
        <v>0</v>
      </c>
      <c r="CK82" s="316">
        <f>'ВМ ЗСВ'!K82</f>
        <v>0</v>
      </c>
      <c r="CL82" s="316">
        <f>'ВМ ЗСВ'!O82</f>
        <v>0</v>
      </c>
      <c r="CM82" s="316">
        <f>'ВМ ЗСВ'!S82</f>
        <v>0</v>
      </c>
      <c r="CN82" s="316">
        <f>'ВМ ЗСВ'!W82</f>
        <v>0</v>
      </c>
      <c r="CO82" s="316">
        <f>'ВМ ЗСВ'!AA82</f>
        <v>0</v>
      </c>
      <c r="CP82" s="316">
        <f>'ВМ СПО'!G82</f>
        <v>0</v>
      </c>
      <c r="CQ82" s="316">
        <f>'ВМ СПО'!K82</f>
        <v>0</v>
      </c>
      <c r="CR82" s="316">
        <f>'ВМ СПО'!O82</f>
        <v>0</v>
      </c>
      <c r="CS82" s="316">
        <f>'ВМ СПО'!S82</f>
        <v>0</v>
      </c>
      <c r="CT82" s="316">
        <f>'ВМ АСО'!G82</f>
        <v>0</v>
      </c>
      <c r="CU82" s="316">
        <f>'ВМ АСО'!K82</f>
        <v>0</v>
      </c>
      <c r="CV82" s="316" t="e">
        <f t="shared" si="62"/>
        <v>#REF!</v>
      </c>
      <c r="CW82" s="25">
        <f t="shared" si="63"/>
        <v>0.5</v>
      </c>
      <c r="CX82" s="25">
        <f t="shared" si="64"/>
        <v>1</v>
      </c>
      <c r="CY82" s="25">
        <f t="shared" si="65"/>
        <v>0</v>
      </c>
      <c r="CZ82" s="25">
        <f t="shared" si="66"/>
        <v>0</v>
      </c>
      <c r="DA82" s="25">
        <f t="shared" si="67"/>
        <v>0</v>
      </c>
      <c r="DB82" s="25">
        <f t="shared" si="68"/>
        <v>0</v>
      </c>
      <c r="DC82" s="25">
        <f t="shared" si="69"/>
        <v>0</v>
      </c>
      <c r="DD82" s="25">
        <f t="shared" si="70"/>
        <v>0</v>
      </c>
      <c r="DE82" s="25">
        <f t="shared" si="71"/>
        <v>0</v>
      </c>
      <c r="DF82" s="25">
        <f t="shared" si="72"/>
        <v>0</v>
      </c>
      <c r="DG82" s="25">
        <f t="shared" si="73"/>
        <v>0</v>
      </c>
      <c r="DH82" s="25">
        <f t="shared" si="74"/>
        <v>0</v>
      </c>
      <c r="DI82" s="25">
        <f t="shared" si="75"/>
        <v>0</v>
      </c>
      <c r="DJ82" s="25" t="e">
        <f t="shared" si="76"/>
        <v>#REF!</v>
      </c>
      <c r="DK82" s="25">
        <f t="shared" si="77"/>
        <v>0</v>
      </c>
      <c r="DL82" s="25">
        <f t="shared" si="78"/>
        <v>0</v>
      </c>
      <c r="DM82" s="25">
        <f t="shared" si="79"/>
        <v>0</v>
      </c>
      <c r="DN82" s="25">
        <f t="shared" si="80"/>
        <v>0</v>
      </c>
      <c r="DO82" s="25">
        <f t="shared" si="81"/>
        <v>0</v>
      </c>
      <c r="DP82" s="25">
        <f t="shared" si="82"/>
        <v>0</v>
      </c>
      <c r="DQ82" s="25">
        <f t="shared" si="83"/>
        <v>0</v>
      </c>
      <c r="DR82" s="25">
        <f t="shared" si="84"/>
        <v>0</v>
      </c>
      <c r="DS82" s="25">
        <f t="shared" si="85"/>
        <v>0</v>
      </c>
      <c r="DT82" s="25">
        <f t="shared" si="86"/>
        <v>0</v>
      </c>
      <c r="DU82" s="25">
        <f t="shared" si="87"/>
        <v>0</v>
      </c>
      <c r="DV82" s="21">
        <f t="shared" si="88"/>
        <v>0</v>
      </c>
      <c r="DW82" s="317">
        <f t="shared" si="89"/>
        <v>0</v>
      </c>
      <c r="DX82" s="317">
        <f t="shared" si="90"/>
        <v>0</v>
      </c>
      <c r="DY82" s="317">
        <f t="shared" si="91"/>
        <v>0</v>
      </c>
      <c r="DZ82" s="230">
        <f t="shared" si="92"/>
        <v>0</v>
      </c>
    </row>
    <row r="83" spans="1:130" ht="15.75" customHeight="1" x14ac:dyDescent="0.25">
      <c r="A83" s="1908"/>
      <c r="B83" s="1916"/>
      <c r="C83" s="103" t="s">
        <v>34</v>
      </c>
      <c r="D83" s="21"/>
      <c r="E83" s="316">
        <f>'АВЗ АСУТП'!G83</f>
        <v>0.5</v>
      </c>
      <c r="F83" s="316">
        <f>'АВЗ АСУТП'!K83</f>
        <v>0.5</v>
      </c>
      <c r="G83" s="316">
        <f>'АВЗ АСУТП'!O83</f>
        <v>0.5</v>
      </c>
      <c r="H83" s="230">
        <f>'АВЗ АСУТП'!S83</f>
        <v>0.5</v>
      </c>
      <c r="I83" s="316">
        <f>'АВЗ АСУТП'!W83</f>
        <v>0.5</v>
      </c>
      <c r="J83" s="230">
        <f>'АВЗ АСУТП'!AA83</f>
        <v>0.5</v>
      </c>
      <c r="K83" s="230">
        <f>'АВЗ АСУТП'!AE83</f>
        <v>0.5</v>
      </c>
      <c r="L83" s="230">
        <f>'АВЗ АСУТП'!AI83</f>
        <v>0.5</v>
      </c>
      <c r="M83" s="230">
        <f>'SIEM АСУТП'!G83</f>
        <v>1</v>
      </c>
      <c r="N83" s="230">
        <f>'SIEM АСУТП'!K83</f>
        <v>1</v>
      </c>
      <c r="O83" s="230">
        <f>'МСЭ АСУТП'!G83</f>
        <v>0</v>
      </c>
      <c r="P83" s="317">
        <f>'МСЭ АСУТП'!K83</f>
        <v>0</v>
      </c>
      <c r="Q83" s="230">
        <f>'МСЭ АСУТП'!O83</f>
        <v>0</v>
      </c>
      <c r="R83" s="230">
        <f>'МСЭ АСУТП'!S83</f>
        <v>0</v>
      </c>
      <c r="S83" s="230">
        <f>'PAM АСУТП'!G83</f>
        <v>4</v>
      </c>
      <c r="T83" s="230">
        <f>'PAM АСУТП'!K83</f>
        <v>4</v>
      </c>
      <c r="U83" s="230">
        <f>'PAM АСУТП'!O83</f>
        <v>4</v>
      </c>
      <c r="V83" s="230">
        <f>'СКЗИ АСУТП'!G83</f>
        <v>0</v>
      </c>
      <c r="W83" s="230">
        <f>'СКЗИ АСУТП'!K83</f>
        <v>0</v>
      </c>
      <c r="X83" s="230">
        <f>'СКЗИ АСУТП'!O83</f>
        <v>0</v>
      </c>
      <c r="Y83" s="230">
        <f>'СКЗИ АСУТП'!S83</f>
        <v>0</v>
      </c>
      <c r="Z83" s="230">
        <f>'СКЗИ АСУТП'!W83</f>
        <v>0</v>
      </c>
      <c r="AA83" s="230">
        <f>'АЗ АСУТП'!G83</f>
        <v>0</v>
      </c>
      <c r="AB83" s="230">
        <f>'АЗ АСУТП'!K83</f>
        <v>0</v>
      </c>
      <c r="AC83" s="230">
        <f>'АЗ АСУТП'!O83</f>
        <v>0</v>
      </c>
      <c r="AD83" s="230">
        <f>'АЗ АСУТП'!S83</f>
        <v>0</v>
      </c>
      <c r="AE83" s="230">
        <f>'АЗ АСУТП'!W83</f>
        <v>0</v>
      </c>
      <c r="AF83" s="230">
        <f>'РК АСУТП'!G83</f>
        <v>1</v>
      </c>
      <c r="AG83" s="230">
        <f>'РК АСУТП'!K83</f>
        <v>1</v>
      </c>
      <c r="AH83" s="230">
        <f>'IDS АСУТП'!G83</f>
        <v>0</v>
      </c>
      <c r="AI83" s="230">
        <f>'IDS АСУТП'!K83</f>
        <v>0</v>
      </c>
      <c r="AJ83" s="230">
        <f>'IDS АСУТП'!O83</f>
        <v>0</v>
      </c>
      <c r="AK83" s="230">
        <f>'АПМДЗ АСУТП'!G83</f>
        <v>0</v>
      </c>
      <c r="AL83" s="230">
        <f>'АПМДЗ АСУТП'!K83</f>
        <v>0</v>
      </c>
      <c r="AM83" s="230">
        <f>'НСД АСУТП'!G83</f>
        <v>0</v>
      </c>
      <c r="AN83" s="230">
        <f>'НСД АСУТП'!K83</f>
        <v>0</v>
      </c>
      <c r="AO83" s="230">
        <f>'НСД АСУТП'!O83</f>
        <v>0</v>
      </c>
      <c r="AP83" s="230">
        <f>'MFA АСУТП'!G83</f>
        <v>0</v>
      </c>
      <c r="AQ83" s="230">
        <f>'MFA АСУТП'!K83</f>
        <v>0</v>
      </c>
      <c r="AR83" s="230">
        <f>'MFA АСУТП'!O83</f>
        <v>0</v>
      </c>
      <c r="AS83" s="230">
        <f>'MFA АСУТП'!S83</f>
        <v>0</v>
      </c>
      <c r="AT83" s="230">
        <f>'ДИОД АСУТП'!G83</f>
        <v>0</v>
      </c>
      <c r="AU83" s="230">
        <f>'ДИОД АСУТП'!K83</f>
        <v>0</v>
      </c>
      <c r="AV83" s="230">
        <f>'ДИОД АСУТП'!O83</f>
        <v>0</v>
      </c>
      <c r="AW83" s="230">
        <f>'ДИОД АСУТП'!S83</f>
        <v>0</v>
      </c>
      <c r="AX83" s="230">
        <f>'СЗВ АСУТП'!G83</f>
        <v>0</v>
      </c>
      <c r="AY83" s="230">
        <f>'СЗВ АСУТП'!K83</f>
        <v>0</v>
      </c>
      <c r="AZ83" s="230">
        <f>'СЗВ АСУТП'!O83</f>
        <v>0</v>
      </c>
      <c r="BA83" s="230">
        <f>'SOAR АСУТП'!G83</f>
        <v>0.75</v>
      </c>
      <c r="BB83" s="230">
        <f>'SOAR АСУТП'!K83</f>
        <v>0.75</v>
      </c>
      <c r="BC83" s="230">
        <f>'SOAR АСУТП'!O83</f>
        <v>0.75</v>
      </c>
      <c r="BD83" s="230" t="e">
        <f>'SOAR АСУТП'!#REF!</f>
        <v>#REF!</v>
      </c>
      <c r="BE83" s="230">
        <f>'VDI АСУТП'!G83</f>
        <v>0</v>
      </c>
      <c r="BF83" s="230">
        <f>'VDI АСУТП'!K83</f>
        <v>0</v>
      </c>
      <c r="BG83" s="230">
        <f>'VDI АСУТП'!O83</f>
        <v>0</v>
      </c>
      <c r="BH83" s="230">
        <f>'VDI АСУТП'!S83</f>
        <v>0</v>
      </c>
      <c r="BI83" s="230">
        <f>'VDI АСУТП'!W83</f>
        <v>0</v>
      </c>
      <c r="BJ83" s="316">
        <f>'СУБД АСУТП'!G83</f>
        <v>0</v>
      </c>
      <c r="BK83" s="316">
        <f>'СУБД АСУТП'!K83</f>
        <v>0</v>
      </c>
      <c r="BL83" s="316">
        <f>'ГОССОПКА АСУТП'!G83</f>
        <v>0</v>
      </c>
      <c r="BM83" s="316">
        <f>'ГОССОПКА АСУТП'!K83</f>
        <v>0</v>
      </c>
      <c r="BN83" s="316">
        <f>'TLS АСУТП'!G83</f>
        <v>0</v>
      </c>
      <c r="BO83" s="316">
        <f>'TLS АСУТП'!K83</f>
        <v>0</v>
      </c>
      <c r="BP83" s="316">
        <f>'DCAP АСУТП'!G83</f>
        <v>0</v>
      </c>
      <c r="BQ83" s="316">
        <f>'DCAP АСУТП'!K83</f>
        <v>0</v>
      </c>
      <c r="BR83" s="316">
        <f>'DCAP АСУТП'!O83</f>
        <v>0</v>
      </c>
      <c r="BS83" s="316">
        <f>'DO АСУТП'!G83</f>
        <v>0.5</v>
      </c>
      <c r="BT83" s="316">
        <f>'NTA АСУТП'!G83</f>
        <v>0</v>
      </c>
      <c r="BU83" s="316">
        <f>'NTA АСУТП'!K83</f>
        <v>0</v>
      </c>
      <c r="BV83" s="316">
        <f>'NTA АСУТП'!O83</f>
        <v>0</v>
      </c>
      <c r="BW83" s="316">
        <f>'NTA АСУТП'!S83</f>
        <v>0</v>
      </c>
      <c r="BX83" s="316">
        <f>'SEG АСУТП'!G83</f>
        <v>0</v>
      </c>
      <c r="BY83" s="316">
        <f>'APT АСУТП'!G83</f>
        <v>0</v>
      </c>
      <c r="BZ83" s="316">
        <f>'APT АСУТП'!K83</f>
        <v>0</v>
      </c>
      <c r="CA83" s="316">
        <f>'APT АСУТП'!O83</f>
        <v>0</v>
      </c>
      <c r="CB83" s="316">
        <f>'NAC АСУТП'!G83</f>
        <v>0</v>
      </c>
      <c r="CC83" s="316">
        <f>'SANDBOX АСУТП'!G83</f>
        <v>0</v>
      </c>
      <c r="CD83" s="316">
        <f>'SANDBOX АСУТП'!K83</f>
        <v>0</v>
      </c>
      <c r="CE83" s="316">
        <f>'EDR АСУТП'!G83</f>
        <v>0.5</v>
      </c>
      <c r="CF83" s="316">
        <f>'EDR АСУТП'!K83</f>
        <v>0.5</v>
      </c>
      <c r="CG83" s="316">
        <f>'WAF АСУТП'!G83</f>
        <v>0</v>
      </c>
      <c r="CH83" s="316">
        <f>'WAF АСУТП'!K83</f>
        <v>0</v>
      </c>
      <c r="CI83" s="316">
        <f>'WAF АСУТП'!O83</f>
        <v>0</v>
      </c>
      <c r="CJ83" s="316">
        <f>'ВМ ЗСВ'!G83</f>
        <v>0</v>
      </c>
      <c r="CK83" s="316">
        <f>'ВМ ЗСВ'!K83</f>
        <v>0</v>
      </c>
      <c r="CL83" s="316">
        <f>'ВМ ЗСВ'!O83</f>
        <v>0</v>
      </c>
      <c r="CM83" s="316">
        <f>'ВМ ЗСВ'!S83</f>
        <v>0</v>
      </c>
      <c r="CN83" s="316">
        <f>'ВМ ЗСВ'!W83</f>
        <v>0</v>
      </c>
      <c r="CO83" s="316">
        <f>'ВМ ЗСВ'!AA83</f>
        <v>0</v>
      </c>
      <c r="CP83" s="316">
        <f>'ВМ СПО'!G83</f>
        <v>0</v>
      </c>
      <c r="CQ83" s="316">
        <f>'ВМ СПО'!K83</f>
        <v>0</v>
      </c>
      <c r="CR83" s="316">
        <f>'ВМ СПО'!O83</f>
        <v>0</v>
      </c>
      <c r="CS83" s="316">
        <f>'ВМ СПО'!S83</f>
        <v>0</v>
      </c>
      <c r="CT83" s="316">
        <f>'ВМ АСО'!G83</f>
        <v>0</v>
      </c>
      <c r="CU83" s="316">
        <f>'ВМ АСО'!K83</f>
        <v>0</v>
      </c>
      <c r="CV83" s="316" t="e">
        <f t="shared" si="62"/>
        <v>#REF!</v>
      </c>
      <c r="CW83" s="25">
        <f t="shared" si="63"/>
        <v>0.5</v>
      </c>
      <c r="CX83" s="25">
        <f t="shared" si="64"/>
        <v>1</v>
      </c>
      <c r="CY83" s="25">
        <f t="shared" si="65"/>
        <v>0</v>
      </c>
      <c r="CZ83" s="25">
        <f t="shared" si="66"/>
        <v>0</v>
      </c>
      <c r="DA83" s="25">
        <f t="shared" si="67"/>
        <v>0</v>
      </c>
      <c r="DB83" s="25">
        <f t="shared" si="68"/>
        <v>0</v>
      </c>
      <c r="DC83" s="25">
        <f t="shared" si="69"/>
        <v>0</v>
      </c>
      <c r="DD83" s="25">
        <f t="shared" si="70"/>
        <v>0</v>
      </c>
      <c r="DE83" s="25">
        <f t="shared" si="71"/>
        <v>0</v>
      </c>
      <c r="DF83" s="25">
        <f t="shared" si="72"/>
        <v>0</v>
      </c>
      <c r="DG83" s="25">
        <f t="shared" si="73"/>
        <v>0</v>
      </c>
      <c r="DH83" s="25">
        <f t="shared" si="74"/>
        <v>0</v>
      </c>
      <c r="DI83" s="25">
        <f t="shared" si="75"/>
        <v>0</v>
      </c>
      <c r="DJ83" s="25" t="e">
        <f t="shared" si="76"/>
        <v>#REF!</v>
      </c>
      <c r="DK83" s="25">
        <f t="shared" si="77"/>
        <v>0</v>
      </c>
      <c r="DL83" s="25">
        <f t="shared" si="78"/>
        <v>0</v>
      </c>
      <c r="DM83" s="25">
        <f t="shared" si="79"/>
        <v>0</v>
      </c>
      <c r="DN83" s="25">
        <f t="shared" si="80"/>
        <v>0</v>
      </c>
      <c r="DO83" s="25">
        <f t="shared" si="81"/>
        <v>0</v>
      </c>
      <c r="DP83" s="25">
        <f t="shared" si="82"/>
        <v>0</v>
      </c>
      <c r="DQ83" s="25">
        <f t="shared" si="83"/>
        <v>0</v>
      </c>
      <c r="DR83" s="25">
        <f t="shared" si="84"/>
        <v>0</v>
      </c>
      <c r="DS83" s="25">
        <f t="shared" si="85"/>
        <v>0</v>
      </c>
      <c r="DT83" s="25">
        <f t="shared" si="86"/>
        <v>0</v>
      </c>
      <c r="DU83" s="25">
        <f t="shared" si="87"/>
        <v>0</v>
      </c>
      <c r="DV83" s="21">
        <f t="shared" si="88"/>
        <v>0</v>
      </c>
      <c r="DW83" s="317">
        <f t="shared" si="89"/>
        <v>0</v>
      </c>
      <c r="DX83" s="317">
        <f t="shared" si="90"/>
        <v>0</v>
      </c>
      <c r="DY83" s="317">
        <f t="shared" si="91"/>
        <v>0</v>
      </c>
      <c r="DZ83" s="230">
        <f t="shared" si="92"/>
        <v>0</v>
      </c>
    </row>
    <row r="84" spans="1:130" ht="15.75" customHeight="1" x14ac:dyDescent="0.25">
      <c r="A84" s="1907" t="s">
        <v>183</v>
      </c>
      <c r="B84" s="1909">
        <f>IF('Тип разраб-ой док-ции'!F33=1,1,0)</f>
        <v>0</v>
      </c>
      <c r="C84" s="103" t="s">
        <v>32</v>
      </c>
      <c r="D84" s="21"/>
      <c r="E84" s="316">
        <f>'АВЗ АСУТП'!G84</f>
        <v>0.5</v>
      </c>
      <c r="F84" s="316">
        <f>'АВЗ АСУТП'!K84</f>
        <v>0.5</v>
      </c>
      <c r="G84" s="316">
        <f>'АВЗ АСУТП'!O84</f>
        <v>0.5</v>
      </c>
      <c r="H84" s="230">
        <f>'АВЗ АСУТП'!S84</f>
        <v>0.5</v>
      </c>
      <c r="I84" s="316">
        <f>'АВЗ АСУТП'!W84</f>
        <v>0.5</v>
      </c>
      <c r="J84" s="230">
        <f>'АВЗ АСУТП'!AA84</f>
        <v>0.5</v>
      </c>
      <c r="K84" s="230">
        <f>'АВЗ АСУТП'!AE84</f>
        <v>0.5</v>
      </c>
      <c r="L84" s="230">
        <f>'АВЗ АСУТП'!AI84</f>
        <v>0.5</v>
      </c>
      <c r="M84" s="230">
        <f>'SIEM АСУТП'!G84</f>
        <v>0.25</v>
      </c>
      <c r="N84" s="230">
        <f>'SIEM АСУТП'!K84</f>
        <v>0.25</v>
      </c>
      <c r="O84" s="230">
        <f>'МСЭ АСУТП'!G84</f>
        <v>0</v>
      </c>
      <c r="P84" s="317">
        <f>'МСЭ АСУТП'!K84</f>
        <v>0</v>
      </c>
      <c r="Q84" s="230">
        <f>'МСЭ АСУТП'!O84</f>
        <v>0</v>
      </c>
      <c r="R84" s="230">
        <f>'МСЭ АСУТП'!S84</f>
        <v>0</v>
      </c>
      <c r="S84" s="230">
        <f>'PAM АСУТП'!G84</f>
        <v>2.5</v>
      </c>
      <c r="T84" s="230">
        <f>'PAM АСУТП'!K84</f>
        <v>2.5</v>
      </c>
      <c r="U84" s="230">
        <f>'PAM АСУТП'!O84</f>
        <v>2.5</v>
      </c>
      <c r="V84" s="230">
        <f>'СКЗИ АСУТП'!G84</f>
        <v>0</v>
      </c>
      <c r="W84" s="230">
        <f>'СКЗИ АСУТП'!K84</f>
        <v>0</v>
      </c>
      <c r="X84" s="230">
        <f>'СКЗИ АСУТП'!O84</f>
        <v>0</v>
      </c>
      <c r="Y84" s="230">
        <f>'СКЗИ АСУТП'!S84</f>
        <v>0</v>
      </c>
      <c r="Z84" s="230">
        <f>'СКЗИ АСУТП'!W84</f>
        <v>0</v>
      </c>
      <c r="AA84" s="230">
        <f>'АЗ АСУТП'!G84</f>
        <v>0</v>
      </c>
      <c r="AB84" s="230">
        <f>'АЗ АСУТП'!K84</f>
        <v>0</v>
      </c>
      <c r="AC84" s="230">
        <f>'АЗ АСУТП'!O84</f>
        <v>0</v>
      </c>
      <c r="AD84" s="230">
        <f>'АЗ АСУТП'!S84</f>
        <v>0</v>
      </c>
      <c r="AE84" s="230">
        <f>'АЗ АСУТП'!W84</f>
        <v>0</v>
      </c>
      <c r="AF84" s="230">
        <f>'РК АСУТП'!G84</f>
        <v>0.6</v>
      </c>
      <c r="AG84" s="230">
        <f>'РК АСУТП'!K84</f>
        <v>0.6</v>
      </c>
      <c r="AH84" s="230">
        <f>'IDS АСУТП'!G84</f>
        <v>0</v>
      </c>
      <c r="AI84" s="230">
        <f>'IDS АСУТП'!K84</f>
        <v>0</v>
      </c>
      <c r="AJ84" s="230">
        <f>'IDS АСУТП'!O84</f>
        <v>0</v>
      </c>
      <c r="AK84" s="230">
        <f>'АПМДЗ АСУТП'!G84</f>
        <v>0</v>
      </c>
      <c r="AL84" s="230">
        <f>'АПМДЗ АСУТП'!K84</f>
        <v>0</v>
      </c>
      <c r="AM84" s="230">
        <f>'НСД АСУТП'!G84</f>
        <v>0</v>
      </c>
      <c r="AN84" s="230">
        <f>'НСД АСУТП'!K84</f>
        <v>0</v>
      </c>
      <c r="AO84" s="230">
        <f>'НСД АСУТП'!O84</f>
        <v>0</v>
      </c>
      <c r="AP84" s="230">
        <f>'MFA АСУТП'!G84</f>
        <v>0</v>
      </c>
      <c r="AQ84" s="230">
        <f>'MFA АСУТП'!K84</f>
        <v>0</v>
      </c>
      <c r="AR84" s="230">
        <f>'MFA АСУТП'!O84</f>
        <v>0</v>
      </c>
      <c r="AS84" s="230">
        <f>'MFA АСУТП'!S84</f>
        <v>0</v>
      </c>
      <c r="AT84" s="230">
        <f>'ДИОД АСУТП'!G84</f>
        <v>0</v>
      </c>
      <c r="AU84" s="230">
        <f>'ДИОД АСУТП'!K84</f>
        <v>0</v>
      </c>
      <c r="AV84" s="230">
        <f>'ДИОД АСУТП'!O84</f>
        <v>0</v>
      </c>
      <c r="AW84" s="230">
        <f>'ДИОД АСУТП'!S84</f>
        <v>0</v>
      </c>
      <c r="AX84" s="230">
        <f>'СЗВ АСУТП'!G84</f>
        <v>0</v>
      </c>
      <c r="AY84" s="230">
        <f>'СЗВ АСУТП'!K84</f>
        <v>0</v>
      </c>
      <c r="AZ84" s="230">
        <f>'СЗВ АСУТП'!O84</f>
        <v>0</v>
      </c>
      <c r="BA84" s="230">
        <f>'SOAR АСУТП'!G84</f>
        <v>0</v>
      </c>
      <c r="BB84" s="230">
        <f>'SOAR АСУТП'!K84</f>
        <v>0</v>
      </c>
      <c r="BC84" s="230">
        <f>'SOAR АСУТП'!O84</f>
        <v>0</v>
      </c>
      <c r="BD84" s="230" t="e">
        <f>'SOAR АСУТП'!#REF!</f>
        <v>#REF!</v>
      </c>
      <c r="BE84" s="230">
        <f>'VDI АСУТП'!G84</f>
        <v>0</v>
      </c>
      <c r="BF84" s="230">
        <f>'VDI АСУТП'!K84</f>
        <v>0</v>
      </c>
      <c r="BG84" s="230">
        <f>'VDI АСУТП'!O84</f>
        <v>0</v>
      </c>
      <c r="BH84" s="230">
        <f>'VDI АСУТП'!S84</f>
        <v>0</v>
      </c>
      <c r="BI84" s="230">
        <f>'VDI АСУТП'!W84</f>
        <v>0</v>
      </c>
      <c r="BJ84" s="316">
        <f>'СУБД АСУТП'!G84</f>
        <v>0</v>
      </c>
      <c r="BK84" s="316">
        <f>'СУБД АСУТП'!K84</f>
        <v>0</v>
      </c>
      <c r="BL84" s="316">
        <f>'ГОССОПКА АСУТП'!G84</f>
        <v>0</v>
      </c>
      <c r="BM84" s="316">
        <f>'ГОССОПКА АСУТП'!K84</f>
        <v>0</v>
      </c>
      <c r="BN84" s="316">
        <f>'TLS АСУТП'!G84</f>
        <v>0</v>
      </c>
      <c r="BO84" s="316">
        <f>'TLS АСУТП'!K84</f>
        <v>0</v>
      </c>
      <c r="BP84" s="316">
        <f>'DCAP АСУТП'!G84</f>
        <v>0.1</v>
      </c>
      <c r="BQ84" s="316">
        <f>'DCAP АСУТП'!K84</f>
        <v>0.1</v>
      </c>
      <c r="BR84" s="316">
        <f>'DCAP АСУТП'!O84</f>
        <v>0.1</v>
      </c>
      <c r="BS84" s="316">
        <f>'DO АСУТП'!G84</f>
        <v>0</v>
      </c>
      <c r="BT84" s="316">
        <f>'NTA АСУТП'!G84</f>
        <v>0</v>
      </c>
      <c r="BU84" s="316">
        <f>'NTA АСУТП'!K84</f>
        <v>0</v>
      </c>
      <c r="BV84" s="316">
        <f>'NTA АСУТП'!O84</f>
        <v>0</v>
      </c>
      <c r="BW84" s="316">
        <f>'NTA АСУТП'!S84</f>
        <v>0</v>
      </c>
      <c r="BX84" s="316">
        <f>'SEG АСУТП'!G84</f>
        <v>0.1</v>
      </c>
      <c r="BY84" s="316">
        <f>'APT АСУТП'!G84</f>
        <v>0</v>
      </c>
      <c r="BZ84" s="316">
        <f>'APT АСУТП'!K84</f>
        <v>0</v>
      </c>
      <c r="CA84" s="316">
        <f>'APT АСУТП'!O84</f>
        <v>0</v>
      </c>
      <c r="CB84" s="316">
        <f>'NAC АСУТП'!G84</f>
        <v>0</v>
      </c>
      <c r="CC84" s="316">
        <f>'SANDBOX АСУТП'!G84</f>
        <v>0</v>
      </c>
      <c r="CD84" s="316">
        <f>'SANDBOX АСУТП'!K84</f>
        <v>0</v>
      </c>
      <c r="CE84" s="316">
        <f>'EDR АСУТП'!G84</f>
        <v>0</v>
      </c>
      <c r="CF84" s="316">
        <f>'EDR АСУТП'!K84</f>
        <v>0</v>
      </c>
      <c r="CG84" s="316">
        <f>'WAF АСУТП'!G84</f>
        <v>0</v>
      </c>
      <c r="CH84" s="316">
        <f>'WAF АСУТП'!K84</f>
        <v>0</v>
      </c>
      <c r="CI84" s="316">
        <f>'WAF АСУТП'!O84</f>
        <v>0</v>
      </c>
      <c r="CJ84" s="316">
        <f>'ВМ ЗСВ'!G84</f>
        <v>0</v>
      </c>
      <c r="CK84" s="316">
        <f>'ВМ ЗСВ'!K84</f>
        <v>0</v>
      </c>
      <c r="CL84" s="316">
        <f>'ВМ ЗСВ'!O84</f>
        <v>0</v>
      </c>
      <c r="CM84" s="316">
        <f>'ВМ ЗСВ'!S84</f>
        <v>0</v>
      </c>
      <c r="CN84" s="316">
        <f>'ВМ ЗСВ'!W84</f>
        <v>0</v>
      </c>
      <c r="CO84" s="316">
        <f>'ВМ ЗСВ'!AA84</f>
        <v>0</v>
      </c>
      <c r="CP84" s="316">
        <f>'ВМ СПО'!G84</f>
        <v>0</v>
      </c>
      <c r="CQ84" s="316">
        <f>'ВМ СПО'!K84</f>
        <v>0</v>
      </c>
      <c r="CR84" s="316">
        <f>'ВМ СПО'!O84</f>
        <v>0</v>
      </c>
      <c r="CS84" s="316">
        <f>'ВМ СПО'!S84</f>
        <v>0</v>
      </c>
      <c r="CT84" s="316">
        <f>'ВМ АСО'!G84</f>
        <v>0</v>
      </c>
      <c r="CU84" s="316">
        <f>'ВМ АСО'!K84</f>
        <v>0</v>
      </c>
      <c r="CV84" s="316" t="e">
        <f t="shared" si="62"/>
        <v>#REF!</v>
      </c>
      <c r="CW84" s="25">
        <f t="shared" si="63"/>
        <v>0.5</v>
      </c>
      <c r="CX84" s="25">
        <f t="shared" si="64"/>
        <v>0.25</v>
      </c>
      <c r="CY84" s="25">
        <f t="shared" si="65"/>
        <v>0</v>
      </c>
      <c r="CZ84" s="25">
        <f t="shared" si="66"/>
        <v>0</v>
      </c>
      <c r="DA84" s="25">
        <f t="shared" si="67"/>
        <v>0</v>
      </c>
      <c r="DB84" s="25">
        <f t="shared" si="68"/>
        <v>0</v>
      </c>
      <c r="DC84" s="25">
        <f t="shared" si="69"/>
        <v>0</v>
      </c>
      <c r="DD84" s="25">
        <f t="shared" si="70"/>
        <v>0</v>
      </c>
      <c r="DE84" s="25">
        <f t="shared" si="71"/>
        <v>0</v>
      </c>
      <c r="DF84" s="25">
        <f t="shared" si="72"/>
        <v>0</v>
      </c>
      <c r="DG84" s="25">
        <f t="shared" si="73"/>
        <v>0</v>
      </c>
      <c r="DH84" s="25">
        <f t="shared" si="74"/>
        <v>0</v>
      </c>
      <c r="DI84" s="25">
        <f t="shared" si="75"/>
        <v>0</v>
      </c>
      <c r="DJ84" s="25" t="e">
        <f t="shared" si="76"/>
        <v>#REF!</v>
      </c>
      <c r="DK84" s="25">
        <f t="shared" si="77"/>
        <v>0</v>
      </c>
      <c r="DL84" s="25">
        <f t="shared" si="78"/>
        <v>0</v>
      </c>
      <c r="DM84" s="25">
        <f t="shared" si="79"/>
        <v>0</v>
      </c>
      <c r="DN84" s="25">
        <f t="shared" si="80"/>
        <v>0</v>
      </c>
      <c r="DO84" s="25">
        <f t="shared" si="81"/>
        <v>0</v>
      </c>
      <c r="DP84" s="25">
        <f t="shared" si="82"/>
        <v>0</v>
      </c>
      <c r="DQ84" s="25">
        <f t="shared" si="83"/>
        <v>0</v>
      </c>
      <c r="DR84" s="25">
        <f t="shared" si="84"/>
        <v>0</v>
      </c>
      <c r="DS84" s="25">
        <f t="shared" si="85"/>
        <v>0</v>
      </c>
      <c r="DT84" s="25">
        <f t="shared" si="86"/>
        <v>0</v>
      </c>
      <c r="DU84" s="25">
        <f t="shared" si="87"/>
        <v>0</v>
      </c>
      <c r="DV84" s="21">
        <f t="shared" si="88"/>
        <v>0</v>
      </c>
      <c r="DW84" s="317">
        <f t="shared" si="89"/>
        <v>0</v>
      </c>
      <c r="DX84" s="317">
        <f t="shared" si="90"/>
        <v>0</v>
      </c>
      <c r="DY84" s="317">
        <f t="shared" si="91"/>
        <v>0</v>
      </c>
      <c r="DZ84" s="230">
        <f t="shared" si="92"/>
        <v>0</v>
      </c>
    </row>
    <row r="85" spans="1:130" ht="15.75" customHeight="1" x14ac:dyDescent="0.25">
      <c r="A85" s="1907"/>
      <c r="B85" s="1909"/>
      <c r="C85" s="103" t="s">
        <v>33</v>
      </c>
      <c r="D85" s="21"/>
      <c r="E85" s="316">
        <f>'АВЗ АСУТП'!G85</f>
        <v>0.5</v>
      </c>
      <c r="F85" s="316">
        <f>'АВЗ АСУТП'!K85</f>
        <v>0.5</v>
      </c>
      <c r="G85" s="316">
        <f>'АВЗ АСУТП'!O85</f>
        <v>0.5</v>
      </c>
      <c r="H85" s="230">
        <f>'АВЗ АСУТП'!S85</f>
        <v>0.5</v>
      </c>
      <c r="I85" s="316">
        <f>'АВЗ АСУТП'!W85</f>
        <v>0.5</v>
      </c>
      <c r="J85" s="230">
        <f>'АВЗ АСУТП'!AA85</f>
        <v>0.5</v>
      </c>
      <c r="K85" s="230">
        <f>'АВЗ АСУТП'!AE85</f>
        <v>0.5</v>
      </c>
      <c r="L85" s="230">
        <f>'АВЗ АСУТП'!AI85</f>
        <v>0.5</v>
      </c>
      <c r="M85" s="230">
        <f>'SIEM АСУТП'!G85</f>
        <v>0.5</v>
      </c>
      <c r="N85" s="230">
        <f>'SIEM АСУТП'!K85</f>
        <v>0.5</v>
      </c>
      <c r="O85" s="230">
        <f>'МСЭ АСУТП'!G85</f>
        <v>0</v>
      </c>
      <c r="P85" s="317">
        <f>'МСЭ АСУТП'!K85</f>
        <v>0</v>
      </c>
      <c r="Q85" s="230">
        <f>'МСЭ АСУТП'!O85</f>
        <v>0</v>
      </c>
      <c r="R85" s="230">
        <f>'МСЭ АСУТП'!S85</f>
        <v>0</v>
      </c>
      <c r="S85" s="230">
        <f>'PAM АСУТП'!G85</f>
        <v>0.5</v>
      </c>
      <c r="T85" s="230">
        <f>'PAM АСУТП'!K85</f>
        <v>0.5</v>
      </c>
      <c r="U85" s="230">
        <f>'PAM АСУТП'!O85</f>
        <v>0.5</v>
      </c>
      <c r="V85" s="230">
        <f>'СКЗИ АСУТП'!G85</f>
        <v>0</v>
      </c>
      <c r="W85" s="230">
        <f>'СКЗИ АСУТП'!K85</f>
        <v>0</v>
      </c>
      <c r="X85" s="230">
        <f>'СКЗИ АСУТП'!O85</f>
        <v>0</v>
      </c>
      <c r="Y85" s="230">
        <f>'СКЗИ АСУТП'!S85</f>
        <v>0</v>
      </c>
      <c r="Z85" s="230">
        <f>'СКЗИ АСУТП'!W85</f>
        <v>0</v>
      </c>
      <c r="AA85" s="230">
        <f>'АЗ АСУТП'!G85</f>
        <v>0</v>
      </c>
      <c r="AB85" s="230">
        <f>'АЗ АСУТП'!K85</f>
        <v>0</v>
      </c>
      <c r="AC85" s="230">
        <f>'АЗ АСУТП'!O85</f>
        <v>0</v>
      </c>
      <c r="AD85" s="230">
        <f>'АЗ АСУТП'!S85</f>
        <v>0</v>
      </c>
      <c r="AE85" s="230">
        <f>'АЗ АСУТП'!W85</f>
        <v>0</v>
      </c>
      <c r="AF85" s="230">
        <f>'РК АСУТП'!G85</f>
        <v>0.89999999999999991</v>
      </c>
      <c r="AG85" s="230">
        <f>'РК АСУТП'!K85</f>
        <v>0.89999999999999991</v>
      </c>
      <c r="AH85" s="230">
        <f>'IDS АСУТП'!G85</f>
        <v>0</v>
      </c>
      <c r="AI85" s="230">
        <f>'IDS АСУТП'!K85</f>
        <v>0</v>
      </c>
      <c r="AJ85" s="230">
        <f>'IDS АСУТП'!O85</f>
        <v>0</v>
      </c>
      <c r="AK85" s="230">
        <f>'АПМДЗ АСУТП'!G85</f>
        <v>0</v>
      </c>
      <c r="AL85" s="230">
        <f>'АПМДЗ АСУТП'!K85</f>
        <v>0</v>
      </c>
      <c r="AM85" s="230">
        <f>'НСД АСУТП'!G85</f>
        <v>0</v>
      </c>
      <c r="AN85" s="230">
        <f>'НСД АСУТП'!K85</f>
        <v>0</v>
      </c>
      <c r="AO85" s="230">
        <f>'НСД АСУТП'!O85</f>
        <v>0</v>
      </c>
      <c r="AP85" s="230">
        <f>'MFA АСУТП'!G85</f>
        <v>0</v>
      </c>
      <c r="AQ85" s="230">
        <f>'MFA АСУТП'!K85</f>
        <v>0</v>
      </c>
      <c r="AR85" s="230">
        <f>'MFA АСУТП'!O85</f>
        <v>0</v>
      </c>
      <c r="AS85" s="230">
        <f>'MFA АСУТП'!S85</f>
        <v>0</v>
      </c>
      <c r="AT85" s="230">
        <f>'ДИОД АСУТП'!G85</f>
        <v>0</v>
      </c>
      <c r="AU85" s="230">
        <f>'ДИОД АСУТП'!K85</f>
        <v>0</v>
      </c>
      <c r="AV85" s="230">
        <f>'ДИОД АСУТП'!O85</f>
        <v>0</v>
      </c>
      <c r="AW85" s="230">
        <f>'ДИОД АСУТП'!S85</f>
        <v>0</v>
      </c>
      <c r="AX85" s="230">
        <f>'СЗВ АСУТП'!G85</f>
        <v>0</v>
      </c>
      <c r="AY85" s="230">
        <f>'СЗВ АСУТП'!K85</f>
        <v>0</v>
      </c>
      <c r="AZ85" s="230">
        <f>'СЗВ АСУТП'!O85</f>
        <v>0</v>
      </c>
      <c r="BA85" s="230">
        <f>'SOAR АСУТП'!G85</f>
        <v>0.5</v>
      </c>
      <c r="BB85" s="230">
        <f>'SOAR АСУТП'!K85</f>
        <v>0.5</v>
      </c>
      <c r="BC85" s="230">
        <f>'SOAR АСУТП'!O85</f>
        <v>0.5</v>
      </c>
      <c r="BD85" s="230" t="e">
        <f>'SOAR АСУТП'!#REF!</f>
        <v>#REF!</v>
      </c>
      <c r="BE85" s="230">
        <f>'VDI АСУТП'!G85</f>
        <v>0</v>
      </c>
      <c r="BF85" s="230">
        <f>'VDI АСУТП'!K85</f>
        <v>0</v>
      </c>
      <c r="BG85" s="230">
        <f>'VDI АСУТП'!O85</f>
        <v>0</v>
      </c>
      <c r="BH85" s="230">
        <f>'VDI АСУТП'!S85</f>
        <v>0</v>
      </c>
      <c r="BI85" s="230">
        <f>'VDI АСУТП'!W85</f>
        <v>0</v>
      </c>
      <c r="BJ85" s="316">
        <f>'СУБД АСУТП'!G85</f>
        <v>0</v>
      </c>
      <c r="BK85" s="316">
        <f>'СУБД АСУТП'!K85</f>
        <v>0</v>
      </c>
      <c r="BL85" s="316">
        <f>'ГОССОПКА АСУТП'!G85</f>
        <v>0</v>
      </c>
      <c r="BM85" s="316">
        <f>'ГОССОПКА АСУТП'!K85</f>
        <v>0</v>
      </c>
      <c r="BN85" s="316">
        <f>'TLS АСУТП'!G85</f>
        <v>0</v>
      </c>
      <c r="BO85" s="316">
        <f>'TLS АСУТП'!K85</f>
        <v>0</v>
      </c>
      <c r="BP85" s="316">
        <f>'DCAP АСУТП'!G85</f>
        <v>0.19999999999999998</v>
      </c>
      <c r="BQ85" s="316">
        <f>'DCAP АСУТП'!K85</f>
        <v>0.19999999999999998</v>
      </c>
      <c r="BR85" s="316">
        <f>'DCAP АСУТП'!O85</f>
        <v>0.19999999999999998</v>
      </c>
      <c r="BS85" s="316">
        <f>'DO АСУТП'!G85</f>
        <v>0.25</v>
      </c>
      <c r="BT85" s="316">
        <f>'NTA АСУТП'!G85</f>
        <v>0</v>
      </c>
      <c r="BU85" s="316">
        <f>'NTA АСУТП'!K85</f>
        <v>0</v>
      </c>
      <c r="BV85" s="316">
        <f>'NTA АСУТП'!O85</f>
        <v>0</v>
      </c>
      <c r="BW85" s="316">
        <f>'NTA АСУТП'!S85</f>
        <v>0</v>
      </c>
      <c r="BX85" s="316">
        <f>'SEG АСУТП'!G85</f>
        <v>0.19999999999999998</v>
      </c>
      <c r="BY85" s="316">
        <f>'APT АСУТП'!G85</f>
        <v>0</v>
      </c>
      <c r="BZ85" s="316">
        <f>'APT АСУТП'!K85</f>
        <v>0</v>
      </c>
      <c r="CA85" s="316">
        <f>'APT АСУТП'!O85</f>
        <v>0</v>
      </c>
      <c r="CB85" s="316">
        <f>'NAC АСУТП'!G85</f>
        <v>0</v>
      </c>
      <c r="CC85" s="316">
        <f>'SANDBOX АСУТП'!G85</f>
        <v>0</v>
      </c>
      <c r="CD85" s="316">
        <f>'SANDBOX АСУТП'!K85</f>
        <v>0</v>
      </c>
      <c r="CE85" s="316">
        <f>'EDR АСУТП'!G85</f>
        <v>0.25</v>
      </c>
      <c r="CF85" s="316">
        <f>'EDR АСУТП'!K85</f>
        <v>0.25</v>
      </c>
      <c r="CG85" s="316">
        <f>'WAF АСУТП'!G85</f>
        <v>0</v>
      </c>
      <c r="CH85" s="316">
        <f>'WAF АСУТП'!K85</f>
        <v>0</v>
      </c>
      <c r="CI85" s="316">
        <f>'WAF АСУТП'!O85</f>
        <v>0</v>
      </c>
      <c r="CJ85" s="316">
        <f>'ВМ ЗСВ'!G85</f>
        <v>0</v>
      </c>
      <c r="CK85" s="316">
        <f>'ВМ ЗСВ'!K85</f>
        <v>0</v>
      </c>
      <c r="CL85" s="316">
        <f>'ВМ ЗСВ'!O85</f>
        <v>0</v>
      </c>
      <c r="CM85" s="316">
        <f>'ВМ ЗСВ'!S85</f>
        <v>0</v>
      </c>
      <c r="CN85" s="316">
        <f>'ВМ ЗСВ'!W85</f>
        <v>0</v>
      </c>
      <c r="CO85" s="316">
        <f>'ВМ ЗСВ'!AA85</f>
        <v>0</v>
      </c>
      <c r="CP85" s="316">
        <f>'ВМ СПО'!G85</f>
        <v>0</v>
      </c>
      <c r="CQ85" s="316">
        <f>'ВМ СПО'!K85</f>
        <v>0</v>
      </c>
      <c r="CR85" s="316">
        <f>'ВМ СПО'!O85</f>
        <v>0</v>
      </c>
      <c r="CS85" s="316">
        <f>'ВМ СПО'!S85</f>
        <v>0</v>
      </c>
      <c r="CT85" s="316">
        <f>'ВМ АСО'!G85</f>
        <v>0</v>
      </c>
      <c r="CU85" s="316">
        <f>'ВМ АСО'!K85</f>
        <v>0</v>
      </c>
      <c r="CV85" s="316" t="e">
        <f t="shared" si="62"/>
        <v>#REF!</v>
      </c>
      <c r="CW85" s="25">
        <f t="shared" si="63"/>
        <v>0.5</v>
      </c>
      <c r="CX85" s="25">
        <f t="shared" si="64"/>
        <v>0.5</v>
      </c>
      <c r="CY85" s="25">
        <f t="shared" si="65"/>
        <v>0</v>
      </c>
      <c r="CZ85" s="25">
        <f t="shared" si="66"/>
        <v>0</v>
      </c>
      <c r="DA85" s="25">
        <f t="shared" si="67"/>
        <v>0</v>
      </c>
      <c r="DB85" s="25">
        <f t="shared" si="68"/>
        <v>0</v>
      </c>
      <c r="DC85" s="25">
        <f t="shared" si="69"/>
        <v>0</v>
      </c>
      <c r="DD85" s="25">
        <f t="shared" si="70"/>
        <v>0</v>
      </c>
      <c r="DE85" s="25">
        <f t="shared" si="71"/>
        <v>0</v>
      </c>
      <c r="DF85" s="25">
        <f t="shared" si="72"/>
        <v>0</v>
      </c>
      <c r="DG85" s="25">
        <f t="shared" si="73"/>
        <v>0</v>
      </c>
      <c r="DH85" s="25">
        <f t="shared" si="74"/>
        <v>0</v>
      </c>
      <c r="DI85" s="25">
        <f t="shared" si="75"/>
        <v>0</v>
      </c>
      <c r="DJ85" s="25" t="e">
        <f t="shared" si="76"/>
        <v>#REF!</v>
      </c>
      <c r="DK85" s="25">
        <f t="shared" si="77"/>
        <v>0</v>
      </c>
      <c r="DL85" s="25">
        <f t="shared" si="78"/>
        <v>0</v>
      </c>
      <c r="DM85" s="25">
        <f t="shared" si="79"/>
        <v>0</v>
      </c>
      <c r="DN85" s="25">
        <f t="shared" si="80"/>
        <v>0</v>
      </c>
      <c r="DO85" s="25">
        <f t="shared" si="81"/>
        <v>0</v>
      </c>
      <c r="DP85" s="25">
        <f t="shared" si="82"/>
        <v>0</v>
      </c>
      <c r="DQ85" s="25">
        <f t="shared" si="83"/>
        <v>0</v>
      </c>
      <c r="DR85" s="25">
        <f t="shared" si="84"/>
        <v>0</v>
      </c>
      <c r="DS85" s="25">
        <f t="shared" si="85"/>
        <v>0</v>
      </c>
      <c r="DT85" s="25">
        <f t="shared" si="86"/>
        <v>0</v>
      </c>
      <c r="DU85" s="25">
        <f t="shared" si="87"/>
        <v>0</v>
      </c>
      <c r="DV85" s="21">
        <f t="shared" si="88"/>
        <v>0</v>
      </c>
      <c r="DW85" s="317">
        <f t="shared" si="89"/>
        <v>0</v>
      </c>
      <c r="DX85" s="317">
        <f t="shared" si="90"/>
        <v>0</v>
      </c>
      <c r="DY85" s="317">
        <f t="shared" si="91"/>
        <v>0</v>
      </c>
      <c r="DZ85" s="230">
        <f t="shared" si="92"/>
        <v>0</v>
      </c>
    </row>
    <row r="86" spans="1:130" ht="15.75" customHeight="1" thickBot="1" x14ac:dyDescent="0.3">
      <c r="A86" s="1907"/>
      <c r="B86" s="1917"/>
      <c r="C86" s="470" t="s">
        <v>34</v>
      </c>
      <c r="D86" s="77"/>
      <c r="E86" s="466">
        <f>'АВЗ АСУТП'!G86</f>
        <v>0.5</v>
      </c>
      <c r="F86" s="466">
        <f>'АВЗ АСУТП'!K86</f>
        <v>0.5</v>
      </c>
      <c r="G86" s="466">
        <f>'АВЗ АСУТП'!O86</f>
        <v>0.5</v>
      </c>
      <c r="H86" s="467">
        <f>'АВЗ АСУТП'!S86</f>
        <v>0.5</v>
      </c>
      <c r="I86" s="466">
        <f>'АВЗ АСУТП'!W86</f>
        <v>0.5</v>
      </c>
      <c r="J86" s="467">
        <f>'АВЗ АСУТП'!AA86</f>
        <v>0.5</v>
      </c>
      <c r="K86" s="467">
        <f>'АВЗ АСУТП'!AE86</f>
        <v>0.5</v>
      </c>
      <c r="L86" s="467">
        <f>'АВЗ АСУТП'!AI86</f>
        <v>0.5</v>
      </c>
      <c r="M86" s="467">
        <f>'SIEM АСУТП'!G86</f>
        <v>0.5</v>
      </c>
      <c r="N86" s="467">
        <f>'SIEM АСУТП'!K86</f>
        <v>0.5</v>
      </c>
      <c r="O86" s="467">
        <f>'МСЭ АСУТП'!G86</f>
        <v>0</v>
      </c>
      <c r="P86" s="468">
        <f>'МСЭ АСУТП'!K86</f>
        <v>0</v>
      </c>
      <c r="Q86" s="467">
        <f>'МСЭ АСУТП'!O86</f>
        <v>0</v>
      </c>
      <c r="R86" s="467">
        <f>'МСЭ АСУТП'!S86</f>
        <v>0</v>
      </c>
      <c r="S86" s="467">
        <f>'PAM АСУТП'!G86</f>
        <v>0.5</v>
      </c>
      <c r="T86" s="467">
        <f>'PAM АСУТП'!K86</f>
        <v>0.5</v>
      </c>
      <c r="U86" s="467">
        <f>'PAM АСУТП'!O86</f>
        <v>0.5</v>
      </c>
      <c r="V86" s="467">
        <f>'СКЗИ АСУТП'!G86</f>
        <v>0</v>
      </c>
      <c r="W86" s="467">
        <f>'СКЗИ АСУТП'!K86</f>
        <v>0</v>
      </c>
      <c r="X86" s="467">
        <f>'СКЗИ АСУТП'!O86</f>
        <v>0</v>
      </c>
      <c r="Y86" s="467">
        <f>'СКЗИ АСУТП'!S86</f>
        <v>0</v>
      </c>
      <c r="Z86" s="467">
        <f>'СКЗИ АСУТП'!W86</f>
        <v>0</v>
      </c>
      <c r="AA86" s="467">
        <f>'АЗ АСУТП'!G86</f>
        <v>0</v>
      </c>
      <c r="AB86" s="467">
        <f>'АЗ АСУТП'!K86</f>
        <v>0</v>
      </c>
      <c r="AC86" s="467">
        <f>'АЗ АСУТП'!O86</f>
        <v>0</v>
      </c>
      <c r="AD86" s="467">
        <f>'АЗ АСУТП'!S86</f>
        <v>0</v>
      </c>
      <c r="AE86" s="467">
        <f>'АЗ АСУТП'!W86</f>
        <v>0</v>
      </c>
      <c r="AF86" s="467">
        <f>'РК АСУТП'!G86</f>
        <v>1.2</v>
      </c>
      <c r="AG86" s="467">
        <f>'РК АСУТП'!K86</f>
        <v>1.2</v>
      </c>
      <c r="AH86" s="467">
        <f>'IDS АСУТП'!G86</f>
        <v>0</v>
      </c>
      <c r="AI86" s="467">
        <f>'IDS АСУТП'!K86</f>
        <v>0</v>
      </c>
      <c r="AJ86" s="467">
        <f>'IDS АСУТП'!O86</f>
        <v>0</v>
      </c>
      <c r="AK86" s="467">
        <f>'АПМДЗ АСУТП'!G86</f>
        <v>0</v>
      </c>
      <c r="AL86" s="467">
        <f>'АПМДЗ АСУТП'!K86</f>
        <v>0</v>
      </c>
      <c r="AM86" s="467">
        <f>'НСД АСУТП'!G86</f>
        <v>0</v>
      </c>
      <c r="AN86" s="467">
        <f>'НСД АСУТП'!K86</f>
        <v>0</v>
      </c>
      <c r="AO86" s="467">
        <f>'НСД АСУТП'!O86</f>
        <v>0</v>
      </c>
      <c r="AP86" s="467">
        <f>'MFA АСУТП'!G86</f>
        <v>0</v>
      </c>
      <c r="AQ86" s="467">
        <f>'MFA АСУТП'!K86</f>
        <v>0</v>
      </c>
      <c r="AR86" s="467">
        <f>'MFA АСУТП'!O86</f>
        <v>0</v>
      </c>
      <c r="AS86" s="467">
        <f>'MFA АСУТП'!S86</f>
        <v>0</v>
      </c>
      <c r="AT86" s="467">
        <f>'ДИОД АСУТП'!G86</f>
        <v>0</v>
      </c>
      <c r="AU86" s="467">
        <f>'ДИОД АСУТП'!K86</f>
        <v>0</v>
      </c>
      <c r="AV86" s="467">
        <f>'ДИОД АСУТП'!O86</f>
        <v>0</v>
      </c>
      <c r="AW86" s="467">
        <f>'ДИОД АСУТП'!S86</f>
        <v>0</v>
      </c>
      <c r="AX86" s="467">
        <f>'СЗВ АСУТП'!G86</f>
        <v>0</v>
      </c>
      <c r="AY86" s="467">
        <f>'СЗВ АСУТП'!K86</f>
        <v>0</v>
      </c>
      <c r="AZ86" s="467">
        <f>'СЗВ АСУТП'!O86</f>
        <v>0</v>
      </c>
      <c r="BA86" s="467">
        <f>'SOAR АСУТП'!G86</f>
        <v>0.5</v>
      </c>
      <c r="BB86" s="467">
        <f>'SOAR АСУТП'!K86</f>
        <v>0.5</v>
      </c>
      <c r="BC86" s="467">
        <f>'SOAR АСУТП'!O86</f>
        <v>0.5</v>
      </c>
      <c r="BD86" s="467" t="e">
        <f>'SOAR АСУТП'!#REF!</f>
        <v>#REF!</v>
      </c>
      <c r="BE86" s="467">
        <f>'VDI АСУТП'!G86</f>
        <v>0</v>
      </c>
      <c r="BF86" s="467">
        <f>'VDI АСУТП'!K86</f>
        <v>0</v>
      </c>
      <c r="BG86" s="467">
        <f>'VDI АСУТП'!O86</f>
        <v>0</v>
      </c>
      <c r="BH86" s="467">
        <f>'VDI АСУТП'!S86</f>
        <v>0</v>
      </c>
      <c r="BI86" s="467">
        <f>'VDI АСУТП'!W86</f>
        <v>0</v>
      </c>
      <c r="BJ86" s="466">
        <f>'СУБД АСУТП'!G86</f>
        <v>0</v>
      </c>
      <c r="BK86" s="466">
        <f>'СУБД АСУТП'!K86</f>
        <v>0</v>
      </c>
      <c r="BL86" s="466">
        <f>'ГОССОПКА АСУТП'!G86</f>
        <v>0</v>
      </c>
      <c r="BM86" s="466">
        <f>'ГОССОПКА АСУТП'!K86</f>
        <v>0</v>
      </c>
      <c r="BN86" s="466">
        <f>'TLS АСУТП'!G86</f>
        <v>0</v>
      </c>
      <c r="BO86" s="466">
        <f>'TLS АСУТП'!K86</f>
        <v>0</v>
      </c>
      <c r="BP86" s="466">
        <f>'DCAP АСУТП'!G86</f>
        <v>0.19999999999999998</v>
      </c>
      <c r="BQ86" s="466">
        <f>'DCAP АСУТП'!K86</f>
        <v>0.19999999999999998</v>
      </c>
      <c r="BR86" s="466">
        <f>'DCAP АСУТП'!O86</f>
        <v>0.19999999999999998</v>
      </c>
      <c r="BS86" s="466">
        <f>'DO АСУТП'!G86</f>
        <v>0.25</v>
      </c>
      <c r="BT86" s="466">
        <f>'NTA АСУТП'!G86</f>
        <v>0</v>
      </c>
      <c r="BU86" s="466">
        <f>'NTA АСУТП'!K86</f>
        <v>0</v>
      </c>
      <c r="BV86" s="466">
        <f>'NTA АСУТП'!O86</f>
        <v>0</v>
      </c>
      <c r="BW86" s="466">
        <f>'NTA АСУТП'!S86</f>
        <v>0</v>
      </c>
      <c r="BX86" s="466">
        <f>'SEG АСУТП'!G86</f>
        <v>0.19999999999999998</v>
      </c>
      <c r="BY86" s="466">
        <f>'APT АСУТП'!G86</f>
        <v>0</v>
      </c>
      <c r="BZ86" s="466">
        <f>'APT АСУТП'!K86</f>
        <v>0</v>
      </c>
      <c r="CA86" s="466">
        <f>'APT АСУТП'!O86</f>
        <v>0</v>
      </c>
      <c r="CB86" s="466">
        <f>'NAC АСУТП'!G86</f>
        <v>0</v>
      </c>
      <c r="CC86" s="466">
        <f>'SANDBOX АСУТП'!G86</f>
        <v>0</v>
      </c>
      <c r="CD86" s="466">
        <f>'SANDBOX АСУТП'!K86</f>
        <v>0</v>
      </c>
      <c r="CE86" s="466">
        <f>'EDR АСУТП'!G86</f>
        <v>0.25</v>
      </c>
      <c r="CF86" s="466">
        <f>'EDR АСУТП'!K86</f>
        <v>0.25</v>
      </c>
      <c r="CG86" s="466">
        <f>'WAF АСУТП'!G86</f>
        <v>0</v>
      </c>
      <c r="CH86" s="466">
        <f>'WAF АСУТП'!K86</f>
        <v>0</v>
      </c>
      <c r="CI86" s="466">
        <f>'WAF АСУТП'!O86</f>
        <v>0</v>
      </c>
      <c r="CJ86" s="622">
        <f>'ВМ ЗСВ'!G86</f>
        <v>0</v>
      </c>
      <c r="CK86" s="742">
        <f>'ВМ ЗСВ'!K86</f>
        <v>0</v>
      </c>
      <c r="CL86" s="742">
        <f>'ВМ ЗСВ'!O86</f>
        <v>0</v>
      </c>
      <c r="CM86" s="742">
        <f>'ВМ ЗСВ'!S86</f>
        <v>0</v>
      </c>
      <c r="CN86" s="742">
        <f>'ВМ ЗСВ'!W86</f>
        <v>0</v>
      </c>
      <c r="CO86" s="742">
        <f>'ВМ ЗСВ'!AA86</f>
        <v>0</v>
      </c>
      <c r="CP86" s="622">
        <f>'ВМ СПО'!G86</f>
        <v>0</v>
      </c>
      <c r="CQ86" s="742">
        <f>'ВМ СПО'!K86</f>
        <v>0</v>
      </c>
      <c r="CR86" s="742">
        <f>'ВМ СПО'!O86</f>
        <v>0</v>
      </c>
      <c r="CS86" s="742">
        <f>'ВМ СПО'!S86</f>
        <v>0</v>
      </c>
      <c r="CT86" s="742">
        <f>'ВМ АСО'!G86</f>
        <v>0</v>
      </c>
      <c r="CU86" s="742">
        <f>'ВМ АСО'!K86</f>
        <v>0</v>
      </c>
      <c r="CV86" s="316" t="e">
        <f t="shared" si="62"/>
        <v>#REF!</v>
      </c>
      <c r="CW86" s="392">
        <f t="shared" si="63"/>
        <v>0.5</v>
      </c>
      <c r="CX86" s="392">
        <f t="shared" si="64"/>
        <v>0.5</v>
      </c>
      <c r="CY86" s="392">
        <f t="shared" si="65"/>
        <v>0</v>
      </c>
      <c r="CZ86" s="392">
        <f t="shared" si="66"/>
        <v>0</v>
      </c>
      <c r="DA86" s="392">
        <f t="shared" si="67"/>
        <v>0</v>
      </c>
      <c r="DB86" s="392">
        <f t="shared" si="68"/>
        <v>0</v>
      </c>
      <c r="DC86" s="392">
        <f t="shared" si="69"/>
        <v>0</v>
      </c>
      <c r="DD86" s="392">
        <f t="shared" si="70"/>
        <v>0</v>
      </c>
      <c r="DE86" s="392">
        <f t="shared" si="71"/>
        <v>0</v>
      </c>
      <c r="DF86" s="392">
        <f t="shared" si="72"/>
        <v>0</v>
      </c>
      <c r="DG86" s="392">
        <f t="shared" si="73"/>
        <v>0</v>
      </c>
      <c r="DH86" s="392">
        <f t="shared" si="74"/>
        <v>0</v>
      </c>
      <c r="DI86" s="392">
        <f t="shared" si="75"/>
        <v>0</v>
      </c>
      <c r="DJ86" s="392" t="e">
        <f t="shared" si="76"/>
        <v>#REF!</v>
      </c>
      <c r="DK86" s="392">
        <f t="shared" si="77"/>
        <v>0</v>
      </c>
      <c r="DL86" s="392">
        <f t="shared" si="78"/>
        <v>0</v>
      </c>
      <c r="DM86" s="392">
        <f t="shared" si="79"/>
        <v>0</v>
      </c>
      <c r="DN86" s="392">
        <f t="shared" si="80"/>
        <v>0</v>
      </c>
      <c r="DO86" s="392">
        <f t="shared" si="81"/>
        <v>0</v>
      </c>
      <c r="DP86" s="392">
        <f t="shared" si="82"/>
        <v>0</v>
      </c>
      <c r="DQ86" s="392">
        <f t="shared" si="83"/>
        <v>0</v>
      </c>
      <c r="DR86" s="392">
        <f t="shared" si="84"/>
        <v>0</v>
      </c>
      <c r="DS86" s="392">
        <f t="shared" si="85"/>
        <v>0</v>
      </c>
      <c r="DT86" s="392">
        <f t="shared" si="86"/>
        <v>0</v>
      </c>
      <c r="DU86" s="392">
        <f t="shared" si="87"/>
        <v>0</v>
      </c>
      <c r="DV86" s="77">
        <f t="shared" si="88"/>
        <v>0</v>
      </c>
      <c r="DW86" s="468">
        <f t="shared" si="89"/>
        <v>0</v>
      </c>
      <c r="DX86" s="788">
        <f t="shared" si="90"/>
        <v>0</v>
      </c>
      <c r="DY86" s="788">
        <f t="shared" si="91"/>
        <v>0</v>
      </c>
      <c r="DZ86" s="622">
        <f t="shared" si="92"/>
        <v>0</v>
      </c>
    </row>
    <row r="87" spans="1:130" ht="16.5" thickBot="1" x14ac:dyDescent="0.3">
      <c r="A87" s="330" t="s">
        <v>22</v>
      </c>
      <c r="B87" s="329"/>
      <c r="C87" s="329"/>
      <c r="D87" s="329"/>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3"/>
      <c r="BK87" s="393"/>
      <c r="BL87" s="393"/>
      <c r="BM87" s="393"/>
      <c r="BN87" s="393"/>
      <c r="BO87" s="393"/>
      <c r="BP87" s="393"/>
      <c r="BQ87" s="393"/>
      <c r="BR87" s="393"/>
      <c r="BS87" s="393"/>
      <c r="BT87" s="393"/>
      <c r="BU87" s="393"/>
      <c r="BV87" s="393"/>
      <c r="BW87" s="393"/>
      <c r="BX87" s="393"/>
      <c r="BY87" s="393"/>
      <c r="BZ87" s="393"/>
      <c r="CA87" s="393"/>
      <c r="CB87" s="393"/>
      <c r="CC87" s="393"/>
      <c r="CD87" s="393"/>
      <c r="CE87" s="393"/>
      <c r="CF87" s="393"/>
      <c r="CG87" s="393"/>
      <c r="CH87" s="393"/>
      <c r="CI87" s="393"/>
      <c r="CJ87" s="783"/>
      <c r="CK87" s="783"/>
      <c r="CL87" s="783"/>
      <c r="CM87" s="783"/>
      <c r="CN87" s="783"/>
      <c r="CO87" s="783"/>
      <c r="CP87" s="783"/>
      <c r="CQ87" s="783"/>
      <c r="CR87" s="783"/>
      <c r="CS87" s="783"/>
      <c r="CT87" s="783"/>
      <c r="CU87" s="783"/>
      <c r="CV87" s="329"/>
      <c r="CW87" s="329"/>
      <c r="CX87" s="329"/>
      <c r="CY87" s="329"/>
      <c r="CZ87" s="329"/>
      <c r="DA87" s="329"/>
      <c r="DB87" s="329"/>
      <c r="DC87" s="329"/>
      <c r="DD87" s="329"/>
      <c r="DE87" s="329"/>
      <c r="DF87" s="329"/>
      <c r="DG87" s="329"/>
      <c r="DH87" s="329"/>
      <c r="DI87" s="329"/>
      <c r="DJ87" s="329"/>
      <c r="DK87" s="329"/>
      <c r="DL87" s="329"/>
      <c r="DM87" s="329"/>
      <c r="DN87" s="329"/>
      <c r="DO87" s="329"/>
      <c r="DP87" s="329"/>
      <c r="DQ87" s="329"/>
      <c r="DR87" s="329"/>
      <c r="DS87" s="329"/>
      <c r="DT87" s="329"/>
      <c r="DU87" s="329"/>
      <c r="DV87" s="329"/>
      <c r="DW87" s="329"/>
      <c r="DX87" s="783"/>
      <c r="DY87" s="783"/>
      <c r="DZ87" s="782"/>
    </row>
    <row r="88" spans="1:130" ht="15" customHeight="1" x14ac:dyDescent="0.25">
      <c r="A88" s="1907" t="s">
        <v>23</v>
      </c>
      <c r="B88" s="1918">
        <f>IF('Тип разраб-ой док-ции'!F35=1,1,0)</f>
        <v>0</v>
      </c>
      <c r="C88" s="325" t="s">
        <v>32</v>
      </c>
      <c r="D88" s="230"/>
      <c r="E88" s="316">
        <f>'АВЗ АСУТП'!G88</f>
        <v>0.25</v>
      </c>
      <c r="F88" s="316">
        <f>'АВЗ АСУТП'!K88</f>
        <v>0.25</v>
      </c>
      <c r="G88" s="316">
        <f>'АВЗ АСУТП'!O88</f>
        <v>0.25</v>
      </c>
      <c r="H88" s="230">
        <f>'АВЗ АСУТП'!S88</f>
        <v>0.25</v>
      </c>
      <c r="I88" s="316">
        <f>'АВЗ АСУТП'!W88</f>
        <v>0.25</v>
      </c>
      <c r="J88" s="230">
        <f>'АВЗ АСУТП'!AA88</f>
        <v>0.25</v>
      </c>
      <c r="K88" s="230">
        <f>'АВЗ АСУТП'!AE88</f>
        <v>0.25</v>
      </c>
      <c r="L88" s="230">
        <f>'АВЗ АСУТП'!AI88</f>
        <v>0.25</v>
      </c>
      <c r="M88" s="230">
        <f>'SIEM АСУТП'!G88</f>
        <v>0.25</v>
      </c>
      <c r="N88" s="230">
        <f>'SIEM АСУТП'!K88</f>
        <v>0.25</v>
      </c>
      <c r="O88" s="230">
        <f>'МСЭ АСУТП'!G94</f>
        <v>6</v>
      </c>
      <c r="P88" s="317">
        <f>'МСЭ АСУТП'!K94</f>
        <v>6</v>
      </c>
      <c r="Q88" s="230">
        <f>'МСЭ АСУТП'!O94</f>
        <v>6</v>
      </c>
      <c r="R88" s="230">
        <f>'МСЭ АСУТП'!S94</f>
        <v>6</v>
      </c>
      <c r="S88" s="230">
        <f>'PAM АСУТП'!G88</f>
        <v>0.25</v>
      </c>
      <c r="T88" s="230">
        <f>'PAM АСУТП'!K88</f>
        <v>0.25</v>
      </c>
      <c r="U88" s="230">
        <f>'PAM АСУТП'!O88</f>
        <v>0.25</v>
      </c>
      <c r="V88" s="230">
        <f>'СКЗИ АСУТП'!G88</f>
        <v>0.25</v>
      </c>
      <c r="W88" s="230">
        <f>'СКЗИ АСУТП'!K88</f>
        <v>0.25</v>
      </c>
      <c r="X88" s="230">
        <f>'СКЗИ АСУТП'!O88</f>
        <v>0.25</v>
      </c>
      <c r="Y88" s="230">
        <f>'СКЗИ АСУТП'!S88</f>
        <v>0.25</v>
      </c>
      <c r="Z88" s="230">
        <f>'СКЗИ АСУТП'!W88</f>
        <v>0.25</v>
      </c>
      <c r="AA88" s="230">
        <f>'АЗ АСУТП'!G88</f>
        <v>0.25</v>
      </c>
      <c r="AB88" s="230">
        <f>'АЗ АСУТП'!K88</f>
        <v>0.25</v>
      </c>
      <c r="AC88" s="230">
        <f>'АЗ АСУТП'!O88</f>
        <v>0.25</v>
      </c>
      <c r="AD88" s="230">
        <f>'АЗ АСУТП'!S88</f>
        <v>0.25</v>
      </c>
      <c r="AE88" s="230">
        <f>'АЗ АСУТП'!W88</f>
        <v>0.25</v>
      </c>
      <c r="AF88" s="230">
        <f>'РК АСУТП'!G88</f>
        <v>1</v>
      </c>
      <c r="AG88" s="230">
        <f>'РК АСУТП'!K88</f>
        <v>1</v>
      </c>
      <c r="AH88" s="230">
        <f>'IDS АСУТП'!G88</f>
        <v>0.25</v>
      </c>
      <c r="AI88" s="230">
        <f>'IDS АСУТП'!K88</f>
        <v>0.25</v>
      </c>
      <c r="AJ88" s="230">
        <f>'IDS АСУТП'!O88</f>
        <v>0.25</v>
      </c>
      <c r="AK88" s="230">
        <f>'АПМДЗ АСУТП'!G88</f>
        <v>0.25</v>
      </c>
      <c r="AL88" s="230">
        <f>'АПМДЗ АСУТП'!K88</f>
        <v>0.25</v>
      </c>
      <c r="AM88" s="230">
        <f>'НСД АСУТП'!G88</f>
        <v>0.25</v>
      </c>
      <c r="AN88" s="230">
        <f>'НСД АСУТП'!K88</f>
        <v>0.25</v>
      </c>
      <c r="AO88" s="230">
        <f>'НСД АСУТП'!O88</f>
        <v>1</v>
      </c>
      <c r="AP88" s="230">
        <f>'MFA АСУТП'!G88</f>
        <v>0.25</v>
      </c>
      <c r="AQ88" s="230">
        <f>'MFA АСУТП'!K88</f>
        <v>0.25</v>
      </c>
      <c r="AR88" s="230">
        <f>'MFA АСУТП'!O88</f>
        <v>0.25</v>
      </c>
      <c r="AS88" s="230">
        <f>'MFA АСУТП'!S88</f>
        <v>0.25</v>
      </c>
      <c r="AT88" s="230">
        <f>'ДИОД АСУТП'!G88</f>
        <v>0</v>
      </c>
      <c r="AU88" s="230">
        <f>'ДИОД АСУТП'!K88</f>
        <v>0</v>
      </c>
      <c r="AV88" s="230">
        <f>'ДИОД АСУТП'!O88</f>
        <v>0</v>
      </c>
      <c r="AW88" s="230">
        <f>'ДИОД АСУТП'!S88</f>
        <v>0</v>
      </c>
      <c r="AX88" s="230">
        <f>'СЗВ АСУТП'!G88</f>
        <v>0.25</v>
      </c>
      <c r="AY88" s="230">
        <f>'СЗВ АСУТП'!K88</f>
        <v>0.25</v>
      </c>
      <c r="AZ88" s="230">
        <f>'СЗВ АСУТП'!O88</f>
        <v>0.25</v>
      </c>
      <c r="BA88" s="230">
        <f>'SOAR АСУТП'!G88</f>
        <v>0.25</v>
      </c>
      <c r="BB88" s="230">
        <f>'SOAR АСУТП'!K88</f>
        <v>0.25</v>
      </c>
      <c r="BC88" s="230">
        <f>'SOAR АСУТП'!O88</f>
        <v>0.25</v>
      </c>
      <c r="BD88" s="230" t="e">
        <f>'SOAR АСУТП'!#REF!</f>
        <v>#REF!</v>
      </c>
      <c r="BE88" s="230">
        <f>'VDI АСУТП'!G88</f>
        <v>0.25</v>
      </c>
      <c r="BF88" s="230">
        <f>'VDI АСУТП'!K88</f>
        <v>0.25</v>
      </c>
      <c r="BG88" s="230">
        <f>'VDI АСУТП'!O88</f>
        <v>0.25</v>
      </c>
      <c r="BH88" s="230">
        <f>'VDI АСУТП'!S88</f>
        <v>0.25</v>
      </c>
      <c r="BI88" s="230">
        <f>'VDI АСУТП'!W88</f>
        <v>0.25</v>
      </c>
      <c r="BJ88" s="316">
        <f>'СУБД АСУТП'!G88</f>
        <v>0</v>
      </c>
      <c r="BK88" s="316">
        <f>'СУБД АСУТП'!K88</f>
        <v>0</v>
      </c>
      <c r="BL88" s="316">
        <f>'ГОССОПКА АСУТП'!G88</f>
        <v>0.25</v>
      </c>
      <c r="BM88" s="316">
        <f>'ГОССОПКА АСУТП'!K88</f>
        <v>0.25</v>
      </c>
      <c r="BN88" s="316">
        <f>'TLS АСУТП'!G88</f>
        <v>0.25</v>
      </c>
      <c r="BO88" s="316">
        <f>'TLS АСУТП'!K88</f>
        <v>0.25</v>
      </c>
      <c r="BP88" s="316">
        <f>'DCAP АСУТП'!G88</f>
        <v>0.25</v>
      </c>
      <c r="BQ88" s="316">
        <f>'DCAP АСУТП'!K88</f>
        <v>0.25</v>
      </c>
      <c r="BR88" s="316">
        <f>'DCAP АСУТП'!O88</f>
        <v>0.25</v>
      </c>
      <c r="BS88" s="316">
        <f>'DO АСУТП'!G88</f>
        <v>0.25</v>
      </c>
      <c r="BT88" s="316">
        <f>'NTA АСУТП'!G88</f>
        <v>0.25</v>
      </c>
      <c r="BU88" s="316">
        <f>'NTA АСУТП'!K88</f>
        <v>0.25</v>
      </c>
      <c r="BV88" s="316">
        <f>'NTA АСУТП'!O88</f>
        <v>1</v>
      </c>
      <c r="BW88" s="316">
        <f>'NTA АСУТП'!S88</f>
        <v>0.25</v>
      </c>
      <c r="BX88" s="316">
        <f>'SEG АСУТП'!G88</f>
        <v>0.25</v>
      </c>
      <c r="BY88" s="316">
        <f>'APT АСУТП'!G88</f>
        <v>0.25</v>
      </c>
      <c r="BZ88" s="316">
        <f>'APT АСУТП'!K88</f>
        <v>0.25</v>
      </c>
      <c r="CA88" s="316">
        <f>'APT АСУТП'!O88</f>
        <v>0.25</v>
      </c>
      <c r="CB88" s="316">
        <f>'NAC АСУТП'!G88</f>
        <v>0.25</v>
      </c>
      <c r="CC88" s="316">
        <f>'SANDBOX АСУТП'!G88</f>
        <v>0.25</v>
      </c>
      <c r="CD88" s="316">
        <f>'SANDBOX АСУТП'!K88</f>
        <v>0.25</v>
      </c>
      <c r="CE88" s="316">
        <f>'EDR АСУТП'!G88</f>
        <v>0.25</v>
      </c>
      <c r="CF88" s="316">
        <f>'EDR АСУТП'!K88</f>
        <v>0.25</v>
      </c>
      <c r="CG88" s="316">
        <f>'WAF АСУТП'!G88</f>
        <v>0.25</v>
      </c>
      <c r="CH88" s="316">
        <f>'WAF АСУТП'!K88</f>
        <v>0.25</v>
      </c>
      <c r="CI88" s="316">
        <f>'WAF АСУТП'!O88</f>
        <v>0.25</v>
      </c>
      <c r="CJ88" s="316">
        <f>'ВМ ЗСВ'!G88</f>
        <v>0.25</v>
      </c>
      <c r="CK88" s="316">
        <f>'ВМ ЗСВ'!K88</f>
        <v>0.25</v>
      </c>
      <c r="CL88" s="316">
        <f>'ВМ ЗСВ'!O88</f>
        <v>0.25</v>
      </c>
      <c r="CM88" s="316">
        <f>'ВМ ЗСВ'!S88</f>
        <v>0.25</v>
      </c>
      <c r="CN88" s="316">
        <f>'ВМ ЗСВ'!W88</f>
        <v>0.25</v>
      </c>
      <c r="CO88" s="316">
        <f>'ВМ ЗСВ'!AA88</f>
        <v>0.25</v>
      </c>
      <c r="CP88" s="316">
        <f>'ВМ СПО'!G88</f>
        <v>0</v>
      </c>
      <c r="CQ88" s="316">
        <f>'ВМ СПО'!K88</f>
        <v>0</v>
      </c>
      <c r="CR88" s="316">
        <f>'ВМ СПО'!O88</f>
        <v>0</v>
      </c>
      <c r="CS88" s="316">
        <f>'ВМ СПО'!S88</f>
        <v>0</v>
      </c>
      <c r="CT88" s="316">
        <f>'ВМ АСО'!G88</f>
        <v>0</v>
      </c>
      <c r="CU88" s="316">
        <f>'ВМ АСО'!K88</f>
        <v>0</v>
      </c>
      <c r="CV88" s="316" t="e">
        <f t="shared" ref="CV88:CV105" si="93">SUMPRODUCT(E88:CU88,$E$2:$CU$2) + D88</f>
        <v>#REF!</v>
      </c>
      <c r="CW88" s="317">
        <f t="shared" ref="CW88:CW105" si="94">SUMPRODUCT(E88:L88,$E$2:$L$2) + D88</f>
        <v>0.25</v>
      </c>
      <c r="CX88" s="317">
        <f t="shared" ref="CX88:CX105" si="95">SUMPRODUCT(M88:N88,$M$2:$N$2) + D88</f>
        <v>0.25</v>
      </c>
      <c r="CY88" s="317">
        <f t="shared" ref="CY88:CY105" si="96">SUMPRODUCT(O88:Q88,$O$2:$Q$2) + D88</f>
        <v>0</v>
      </c>
      <c r="CZ88" s="317">
        <f t="shared" ref="CZ88:CZ105" si="97">SUMPRODUCT(S88:U88,$S$2:$U$2) + $D88</f>
        <v>0</v>
      </c>
      <c r="DA88" s="317">
        <f t="shared" ref="DA88:DA105" si="98">SUMPRODUCT(V88:Z88,$V$2:$Z$2) + $D88</f>
        <v>0</v>
      </c>
      <c r="DB88" s="317">
        <f t="shared" ref="DB88:DB105" si="99">SUMPRODUCT(AA88:AE88,$AA$2:$AE$2) + $D88</f>
        <v>0</v>
      </c>
      <c r="DC88" s="317">
        <f t="shared" ref="DC88:DC105" si="100">SUMPRODUCT(AF88:AG88,$AF$2:$AG$2) + $D88</f>
        <v>0</v>
      </c>
      <c r="DD88" s="317">
        <f t="shared" ref="DD88:DD105" si="101">SUMPRODUCT(AH88:AJ88,$AH$2:$AJ$2) + $D88</f>
        <v>0</v>
      </c>
      <c r="DE88" s="317">
        <f t="shared" ref="DE88:DE105" si="102">SUMPRODUCT(AK88:AL88,$AK$2:$AL$2) + $D88</f>
        <v>0</v>
      </c>
      <c r="DF88" s="317">
        <f t="shared" ref="DF88:DF105" si="103">SUMPRODUCT(AM88:AO88,$AM$2:$AO$2) + $D88</f>
        <v>0</v>
      </c>
      <c r="DG88" s="317">
        <f t="shared" ref="DG88:DG105" si="104">SUMPRODUCT(AP88:AS88,$AP$2:$AS$2) + $D88</f>
        <v>0</v>
      </c>
      <c r="DH88" s="317">
        <f t="shared" ref="DH88:DH105" si="105">SUMPRODUCT(AT88:AW88,$AT$2:$AW$2) + $D88</f>
        <v>0</v>
      </c>
      <c r="DI88" s="317">
        <f t="shared" ref="DI88:DI105" si="106">SUMPRODUCT(AX88:AZ88,$AX$2:$AZ$2) + $D88</f>
        <v>0</v>
      </c>
      <c r="DJ88" s="317" t="e">
        <f t="shared" ref="DJ88:DJ105" si="107">SUMPRODUCT(BA88:BD88,$BA$2:$BD$2) + $D88</f>
        <v>#REF!</v>
      </c>
      <c r="DK88" s="317">
        <f t="shared" ref="DK88:DK105" si="108">SUMPRODUCT(BE88:BI88,$BE$2:$BI$2) + $D88</f>
        <v>0</v>
      </c>
      <c r="DL88" s="317">
        <f t="shared" ref="DL88:DL105" si="109">SUMPRODUCT(BJ88:BK88,$BJ$2:$BK$2) + $D88</f>
        <v>0</v>
      </c>
      <c r="DM88" s="317">
        <f t="shared" ref="DM88:DM105" si="110">SUMPRODUCT(BL88:BM88,$BL$2:$BM$2) + $D88</f>
        <v>0</v>
      </c>
      <c r="DN88" s="317">
        <f t="shared" ref="DN88:DN105" si="111">SUMPRODUCT(BN88:BO88,$BN$2:$BO$2) + $D88</f>
        <v>0</v>
      </c>
      <c r="DO88" s="317">
        <f t="shared" ref="DO88:DO105" si="112">SUMPRODUCT(BP88:BR88,$BP$2:$BR$2) + $D88</f>
        <v>0</v>
      </c>
      <c r="DP88" s="317">
        <f t="shared" ref="DP88:DP105" si="113">SUMPRODUCT(BS88:BS88,$BS$2:$BS$2) + $D88</f>
        <v>0</v>
      </c>
      <c r="DQ88" s="317">
        <f t="shared" ref="DQ88:DQ105" si="114">SUMPRODUCT(BT88:BW88,$BT$2:$BW$2) + $D88</f>
        <v>0</v>
      </c>
      <c r="DR88" s="317">
        <f t="shared" ref="DR88:DR105" si="115">SUMPRODUCT(BX88:BX88,$BX$2:$BX$2) + $D88</f>
        <v>0</v>
      </c>
      <c r="DS88" s="317">
        <f t="shared" ref="DS88:DS105" si="116">SUMPRODUCT(BY88:CA88,$BY$2:$CA$2) + $D88</f>
        <v>0</v>
      </c>
      <c r="DT88" s="317">
        <f t="shared" ref="DT88:DT105" si="117">SUMPRODUCT(CB88:CB88,$CB$2:$CB$2) + $D88</f>
        <v>0</v>
      </c>
      <c r="DU88" s="317">
        <f t="shared" ref="DU88:DU105" si="118">SUMPRODUCT(CC88:CD88,$CC$2:$CD$2) + $D88</f>
        <v>0</v>
      </c>
      <c r="DV88" s="230">
        <f t="shared" ref="DV88:DV105" si="119">SUMPRODUCT(CE88:CF88,$CE$2:$CF$2) + $D88</f>
        <v>0</v>
      </c>
      <c r="DW88" s="317">
        <f t="shared" ref="DW88:DW105" si="120">SUMPRODUCT(CG88:CI88,$CG$2:$CI$2) + $D88</f>
        <v>0</v>
      </c>
      <c r="DX88" s="317">
        <f t="shared" ref="DX88:DX105" si="121">SUMPRODUCT(CJ88:CO88,$CJ$2:$CO$2) + $D88</f>
        <v>0</v>
      </c>
      <c r="DY88" s="317">
        <f t="shared" ref="DY88:DY105" si="122">SUMPRODUCT(CP88:CS88,$CP$2:$CS$2) + $D88</f>
        <v>0</v>
      </c>
      <c r="DZ88" s="230">
        <f t="shared" ref="DZ88:DZ105" si="123">SUMPRODUCT(CT88:CU88,$CT$2:$CU$2) + $D88</f>
        <v>0</v>
      </c>
    </row>
    <row r="89" spans="1:130" ht="15" customHeight="1" x14ac:dyDescent="0.25">
      <c r="A89" s="1907"/>
      <c r="B89" s="1909"/>
      <c r="C89" s="18" t="s">
        <v>33</v>
      </c>
      <c r="D89" s="21"/>
      <c r="E89" s="316">
        <f>'АВЗ АСУТП'!G89</f>
        <v>0</v>
      </c>
      <c r="F89" s="316">
        <f>'АВЗ АСУТП'!K89</f>
        <v>0</v>
      </c>
      <c r="G89" s="316">
        <f>'АВЗ АСУТП'!O89</f>
        <v>0</v>
      </c>
      <c r="H89" s="230">
        <f>'АВЗ АСУТП'!S89</f>
        <v>0</v>
      </c>
      <c r="I89" s="316">
        <f>'АВЗ АСУТП'!W89</f>
        <v>0</v>
      </c>
      <c r="J89" s="230">
        <f>'АВЗ АСУТП'!AA89</f>
        <v>0</v>
      </c>
      <c r="K89" s="230">
        <f>'АВЗ АСУТП'!AE89</f>
        <v>0</v>
      </c>
      <c r="L89" s="230">
        <f>'АВЗ АСУТП'!AI89</f>
        <v>0</v>
      </c>
      <c r="M89" s="230">
        <f>'SIEM АСУТП'!G89</f>
        <v>0</v>
      </c>
      <c r="N89" s="230">
        <f>'SIEM АСУТП'!K89</f>
        <v>0</v>
      </c>
      <c r="O89" s="21">
        <f>'МСЭ АСУТП'!G95</f>
        <v>9.5</v>
      </c>
      <c r="P89" s="25">
        <f>'МСЭ АСУТП'!K95</f>
        <v>9.5</v>
      </c>
      <c r="Q89" s="21">
        <f>'МСЭ АСУТП'!O95</f>
        <v>9.5</v>
      </c>
      <c r="R89" s="21">
        <f>'МСЭ АСУТП'!S95</f>
        <v>9.5</v>
      </c>
      <c r="S89" s="230">
        <f>'PAM АСУТП'!G89</f>
        <v>0.25</v>
      </c>
      <c r="T89" s="230">
        <f>'PAM АСУТП'!K89</f>
        <v>0.25</v>
      </c>
      <c r="U89" s="230">
        <f>'PAM АСУТП'!O89</f>
        <v>0.25</v>
      </c>
      <c r="V89" s="230">
        <f>'СКЗИ АСУТП'!G89</f>
        <v>0.25</v>
      </c>
      <c r="W89" s="230">
        <f>'СКЗИ АСУТП'!K89</f>
        <v>0.25</v>
      </c>
      <c r="X89" s="230">
        <f>'СКЗИ АСУТП'!O89</f>
        <v>0.25</v>
      </c>
      <c r="Y89" s="230">
        <f>'СКЗИ АСУТП'!S89</f>
        <v>0.25</v>
      </c>
      <c r="Z89" s="230">
        <f>'СКЗИ АСУТП'!W89</f>
        <v>0.25</v>
      </c>
      <c r="AA89" s="230">
        <f>'АЗ АСУТП'!G89</f>
        <v>0.25</v>
      </c>
      <c r="AB89" s="230">
        <f>'АЗ АСУТП'!K89</f>
        <v>0.25</v>
      </c>
      <c r="AC89" s="230">
        <f>'АЗ АСУТП'!O89</f>
        <v>0.25</v>
      </c>
      <c r="AD89" s="230">
        <f>'АЗ АСУТП'!S89</f>
        <v>0.25</v>
      </c>
      <c r="AE89" s="230">
        <f>'АЗ АСУТП'!W89</f>
        <v>0.25</v>
      </c>
      <c r="AF89" s="230">
        <f>'РК АСУТП'!G89</f>
        <v>1</v>
      </c>
      <c r="AG89" s="230">
        <f>'РК АСУТП'!K89</f>
        <v>1</v>
      </c>
      <c r="AH89" s="230">
        <f>'IDS АСУТП'!G89</f>
        <v>0.25</v>
      </c>
      <c r="AI89" s="230">
        <f>'IDS АСУТП'!K89</f>
        <v>0.25</v>
      </c>
      <c r="AJ89" s="230">
        <f>'IDS АСУТП'!O89</f>
        <v>0.25</v>
      </c>
      <c r="AK89" s="230">
        <f>'АПМДЗ АСУТП'!G89</f>
        <v>0.25</v>
      </c>
      <c r="AL89" s="230">
        <f>'АПМДЗ АСУТП'!K89</f>
        <v>0.25</v>
      </c>
      <c r="AM89" s="230">
        <f>'НСД АСУТП'!G89</f>
        <v>0.25</v>
      </c>
      <c r="AN89" s="230">
        <f>'НСД АСУТП'!K89</f>
        <v>0.25</v>
      </c>
      <c r="AO89" s="230">
        <f>'НСД АСУТП'!O89</f>
        <v>1</v>
      </c>
      <c r="AP89" s="230">
        <f>'MFA АСУТП'!G89</f>
        <v>0.25</v>
      </c>
      <c r="AQ89" s="230">
        <f>'MFA АСУТП'!K89</f>
        <v>0.25</v>
      </c>
      <c r="AR89" s="230">
        <f>'MFA АСУТП'!O89</f>
        <v>0.25</v>
      </c>
      <c r="AS89" s="230">
        <f>'MFA АСУТП'!S89</f>
        <v>0.25</v>
      </c>
      <c r="AT89" s="230">
        <f>'ДИОД АСУТП'!G89</f>
        <v>0</v>
      </c>
      <c r="AU89" s="230">
        <f>'ДИОД АСУТП'!K89</f>
        <v>0</v>
      </c>
      <c r="AV89" s="230">
        <f>'ДИОД АСУТП'!O89</f>
        <v>0</v>
      </c>
      <c r="AW89" s="230">
        <f>'ДИОД АСУТП'!S89</f>
        <v>0</v>
      </c>
      <c r="AX89" s="230">
        <f>'СЗВ АСУТП'!G89</f>
        <v>0.25</v>
      </c>
      <c r="AY89" s="230">
        <f>'СЗВ АСУТП'!K89</f>
        <v>0.25</v>
      </c>
      <c r="AZ89" s="230">
        <f>'СЗВ АСУТП'!O89</f>
        <v>0.25</v>
      </c>
      <c r="BA89" s="230">
        <f>'SOAR АСУТП'!G89</f>
        <v>0</v>
      </c>
      <c r="BB89" s="230">
        <f>'SOAR АСУТП'!K89</f>
        <v>0</v>
      </c>
      <c r="BC89" s="230">
        <f>'SOAR АСУТП'!O89</f>
        <v>0</v>
      </c>
      <c r="BD89" s="230" t="e">
        <f>'SOAR АСУТП'!#REF!</f>
        <v>#REF!</v>
      </c>
      <c r="BE89" s="230">
        <f>'VDI АСУТП'!G89</f>
        <v>0.25</v>
      </c>
      <c r="BF89" s="230">
        <f>'VDI АСУТП'!K89</f>
        <v>0.25</v>
      </c>
      <c r="BG89" s="230">
        <f>'VDI АСУТП'!O89</f>
        <v>0.25</v>
      </c>
      <c r="BH89" s="230">
        <f>'VDI АСУТП'!S89</f>
        <v>0.25</v>
      </c>
      <c r="BI89" s="230">
        <f>'VDI АСУТП'!W89</f>
        <v>0.25</v>
      </c>
      <c r="BJ89" s="316">
        <f>'СУБД АСУТП'!G89</f>
        <v>0</v>
      </c>
      <c r="BK89" s="316">
        <f>'СУБД АСУТП'!K89</f>
        <v>0</v>
      </c>
      <c r="BL89" s="316">
        <f>'ГОССОПКА АСУТП'!G89</f>
        <v>0.25</v>
      </c>
      <c r="BM89" s="316">
        <f>'ГОССОПКА АСУТП'!K89</f>
        <v>0.25</v>
      </c>
      <c r="BN89" s="316">
        <f>'TLS АСУТП'!G89</f>
        <v>0.25</v>
      </c>
      <c r="BO89" s="316">
        <f>'TLS АСУТП'!K89</f>
        <v>0.25</v>
      </c>
      <c r="BP89" s="316">
        <f>'DCAP АСУТП'!G89</f>
        <v>0.25</v>
      </c>
      <c r="BQ89" s="316">
        <f>'DCAP АСУТП'!K89</f>
        <v>0.25</v>
      </c>
      <c r="BR89" s="316">
        <f>'DCAP АСУТП'!O89</f>
        <v>0.25</v>
      </c>
      <c r="BS89" s="316">
        <f>'DO АСУТП'!G89</f>
        <v>0</v>
      </c>
      <c r="BT89" s="316">
        <f>'NTA АСУТП'!G89</f>
        <v>0.25</v>
      </c>
      <c r="BU89" s="316">
        <f>'NTA АСУТП'!K89</f>
        <v>0.25</v>
      </c>
      <c r="BV89" s="316">
        <f>'NTA АСУТП'!O89</f>
        <v>1</v>
      </c>
      <c r="BW89" s="316">
        <f>'NTA АСУТП'!S89</f>
        <v>0.25</v>
      </c>
      <c r="BX89" s="316">
        <f>'SEG АСУТП'!G89</f>
        <v>0.25</v>
      </c>
      <c r="BY89" s="316">
        <f>'APT АСУТП'!G89</f>
        <v>0.25</v>
      </c>
      <c r="BZ89" s="316">
        <f>'APT АСУТП'!K89</f>
        <v>0.25</v>
      </c>
      <c r="CA89" s="316">
        <f>'APT АСУТП'!O89</f>
        <v>0.25</v>
      </c>
      <c r="CB89" s="316">
        <f>'NAC АСУТП'!G89</f>
        <v>0.25</v>
      </c>
      <c r="CC89" s="316">
        <f>'SANDBOX АСУТП'!G89</f>
        <v>0.25</v>
      </c>
      <c r="CD89" s="316">
        <f>'SANDBOX АСУТП'!K89</f>
        <v>0.25</v>
      </c>
      <c r="CE89" s="316">
        <f>'EDR АСУТП'!G89</f>
        <v>0</v>
      </c>
      <c r="CF89" s="316">
        <f>'EDR АСУТП'!K89</f>
        <v>0</v>
      </c>
      <c r="CG89" s="316">
        <f>'WAF АСУТП'!G89</f>
        <v>0.25</v>
      </c>
      <c r="CH89" s="316">
        <f>'WAF АСУТП'!K89</f>
        <v>0.25</v>
      </c>
      <c r="CI89" s="316">
        <f>'WAF АСУТП'!O89</f>
        <v>0.25</v>
      </c>
      <c r="CJ89" s="316">
        <f>'ВМ ЗСВ'!G89</f>
        <v>0.25</v>
      </c>
      <c r="CK89" s="316">
        <f>'ВМ ЗСВ'!K89</f>
        <v>0.25</v>
      </c>
      <c r="CL89" s="316">
        <f>'ВМ ЗСВ'!O89</f>
        <v>0.25</v>
      </c>
      <c r="CM89" s="316">
        <f>'ВМ ЗСВ'!S89</f>
        <v>0.25</v>
      </c>
      <c r="CN89" s="316">
        <f>'ВМ ЗСВ'!W89</f>
        <v>0.25</v>
      </c>
      <c r="CO89" s="316">
        <f>'ВМ ЗСВ'!AA89</f>
        <v>0.25</v>
      </c>
      <c r="CP89" s="316">
        <f>'ВМ СПО'!G89</f>
        <v>0</v>
      </c>
      <c r="CQ89" s="316">
        <f>'ВМ СПО'!K89</f>
        <v>0</v>
      </c>
      <c r="CR89" s="316">
        <f>'ВМ СПО'!O89</f>
        <v>0</v>
      </c>
      <c r="CS89" s="316">
        <f>'ВМ СПО'!S89</f>
        <v>0</v>
      </c>
      <c r="CT89" s="316">
        <f>'ВМ АСО'!G89</f>
        <v>0</v>
      </c>
      <c r="CU89" s="316">
        <f>'ВМ АСО'!K89</f>
        <v>0</v>
      </c>
      <c r="CV89" s="316" t="e">
        <f t="shared" si="93"/>
        <v>#REF!</v>
      </c>
      <c r="CW89" s="25">
        <f t="shared" si="94"/>
        <v>0</v>
      </c>
      <c r="CX89" s="25">
        <f t="shared" si="95"/>
        <v>0</v>
      </c>
      <c r="CY89" s="25">
        <f t="shared" si="96"/>
        <v>0</v>
      </c>
      <c r="CZ89" s="25">
        <f t="shared" si="97"/>
        <v>0</v>
      </c>
      <c r="DA89" s="25">
        <f t="shared" si="98"/>
        <v>0</v>
      </c>
      <c r="DB89" s="25">
        <f t="shared" si="99"/>
        <v>0</v>
      </c>
      <c r="DC89" s="25">
        <f t="shared" si="100"/>
        <v>0</v>
      </c>
      <c r="DD89" s="25">
        <f t="shared" si="101"/>
        <v>0</v>
      </c>
      <c r="DE89" s="25">
        <f t="shared" si="102"/>
        <v>0</v>
      </c>
      <c r="DF89" s="25">
        <f t="shared" si="103"/>
        <v>0</v>
      </c>
      <c r="DG89" s="25">
        <f t="shared" si="104"/>
        <v>0</v>
      </c>
      <c r="DH89" s="25">
        <f t="shared" si="105"/>
        <v>0</v>
      </c>
      <c r="DI89" s="25">
        <f t="shared" si="106"/>
        <v>0</v>
      </c>
      <c r="DJ89" s="25" t="e">
        <f t="shared" si="107"/>
        <v>#REF!</v>
      </c>
      <c r="DK89" s="25">
        <f t="shared" si="108"/>
        <v>0</v>
      </c>
      <c r="DL89" s="25">
        <f t="shared" si="109"/>
        <v>0</v>
      </c>
      <c r="DM89" s="25">
        <f t="shared" si="110"/>
        <v>0</v>
      </c>
      <c r="DN89" s="25">
        <f t="shared" si="111"/>
        <v>0</v>
      </c>
      <c r="DO89" s="25">
        <f t="shared" si="112"/>
        <v>0</v>
      </c>
      <c r="DP89" s="25">
        <f t="shared" si="113"/>
        <v>0</v>
      </c>
      <c r="DQ89" s="25">
        <f t="shared" si="114"/>
        <v>0</v>
      </c>
      <c r="DR89" s="25">
        <f t="shared" si="115"/>
        <v>0</v>
      </c>
      <c r="DS89" s="25">
        <f t="shared" si="116"/>
        <v>0</v>
      </c>
      <c r="DT89" s="25">
        <f t="shared" si="117"/>
        <v>0</v>
      </c>
      <c r="DU89" s="25">
        <f t="shared" si="118"/>
        <v>0</v>
      </c>
      <c r="DV89" s="21">
        <f t="shared" si="119"/>
        <v>0</v>
      </c>
      <c r="DW89" s="317">
        <f t="shared" si="120"/>
        <v>0</v>
      </c>
      <c r="DX89" s="317">
        <f t="shared" si="121"/>
        <v>0</v>
      </c>
      <c r="DY89" s="317">
        <f t="shared" si="122"/>
        <v>0</v>
      </c>
      <c r="DZ89" s="230">
        <f t="shared" si="123"/>
        <v>0</v>
      </c>
    </row>
    <row r="90" spans="1:130" ht="15" customHeight="1" x14ac:dyDescent="0.25">
      <c r="A90" s="1907"/>
      <c r="B90" s="1910"/>
      <c r="C90" s="18" t="s">
        <v>34</v>
      </c>
      <c r="D90" s="21"/>
      <c r="E90" s="316">
        <f>'АВЗ АСУТП'!G90</f>
        <v>0</v>
      </c>
      <c r="F90" s="316">
        <f>'АВЗ АСУТП'!K90</f>
        <v>0</v>
      </c>
      <c r="G90" s="316">
        <f>'АВЗ АСУТП'!O90</f>
        <v>0</v>
      </c>
      <c r="H90" s="230">
        <f>'АВЗ АСУТП'!S90</f>
        <v>0</v>
      </c>
      <c r="I90" s="316">
        <f>'АВЗ АСУТП'!W90</f>
        <v>0</v>
      </c>
      <c r="J90" s="230">
        <f>'АВЗ АСУТП'!AA90</f>
        <v>0</v>
      </c>
      <c r="K90" s="230">
        <f>'АВЗ АСУТП'!AE90</f>
        <v>0</v>
      </c>
      <c r="L90" s="230">
        <f>'АВЗ АСУТП'!AI90</f>
        <v>0</v>
      </c>
      <c r="M90" s="230">
        <f>'SIEM АСУТП'!G90</f>
        <v>0</v>
      </c>
      <c r="N90" s="230">
        <f>'SIEM АСУТП'!K90</f>
        <v>0</v>
      </c>
      <c r="O90" s="21">
        <f>'МСЭ АСУТП'!G96</f>
        <v>14</v>
      </c>
      <c r="P90" s="25">
        <f>'МСЭ АСУТП'!K96</f>
        <v>14</v>
      </c>
      <c r="Q90" s="21">
        <f>'МСЭ АСУТП'!O96</f>
        <v>14</v>
      </c>
      <c r="R90" s="21">
        <f>'МСЭ АСУТП'!S96</f>
        <v>14</v>
      </c>
      <c r="S90" s="230">
        <f>'PAM АСУТП'!G90</f>
        <v>0.25</v>
      </c>
      <c r="T90" s="230">
        <f>'PAM АСУТП'!K90</f>
        <v>0.25</v>
      </c>
      <c r="U90" s="230">
        <f>'PAM АСУТП'!O90</f>
        <v>0.25</v>
      </c>
      <c r="V90" s="230">
        <f>'СКЗИ АСУТП'!G90</f>
        <v>0.25</v>
      </c>
      <c r="W90" s="230">
        <f>'СКЗИ АСУТП'!K90</f>
        <v>0.25</v>
      </c>
      <c r="X90" s="230">
        <f>'СКЗИ АСУТП'!O90</f>
        <v>0.25</v>
      </c>
      <c r="Y90" s="230">
        <f>'СКЗИ АСУТП'!S90</f>
        <v>0.25</v>
      </c>
      <c r="Z90" s="230">
        <f>'СКЗИ АСУТП'!W90</f>
        <v>0.25</v>
      </c>
      <c r="AA90" s="230">
        <f>'АЗ АСУТП'!G90</f>
        <v>0.25</v>
      </c>
      <c r="AB90" s="230">
        <f>'АЗ АСУТП'!K90</f>
        <v>0.25</v>
      </c>
      <c r="AC90" s="230">
        <f>'АЗ АСУТП'!O90</f>
        <v>0.25</v>
      </c>
      <c r="AD90" s="230">
        <f>'АЗ АСУТП'!S90</f>
        <v>0.25</v>
      </c>
      <c r="AE90" s="230">
        <f>'АЗ АСУТП'!W90</f>
        <v>0.25</v>
      </c>
      <c r="AF90" s="230">
        <f>'РК АСУТП'!G90</f>
        <v>1</v>
      </c>
      <c r="AG90" s="230">
        <f>'РК АСУТП'!K90</f>
        <v>1</v>
      </c>
      <c r="AH90" s="230">
        <f>'IDS АСУТП'!G90</f>
        <v>0.25</v>
      </c>
      <c r="AI90" s="230">
        <f>'IDS АСУТП'!K90</f>
        <v>0.25</v>
      </c>
      <c r="AJ90" s="230">
        <f>'IDS АСУТП'!O90</f>
        <v>0.25</v>
      </c>
      <c r="AK90" s="230">
        <f>'АПМДЗ АСУТП'!G90</f>
        <v>0.25</v>
      </c>
      <c r="AL90" s="230">
        <f>'АПМДЗ АСУТП'!K90</f>
        <v>0.25</v>
      </c>
      <c r="AM90" s="230">
        <f>'НСД АСУТП'!G90</f>
        <v>0.25</v>
      </c>
      <c r="AN90" s="230">
        <f>'НСД АСУТП'!K90</f>
        <v>0.25</v>
      </c>
      <c r="AO90" s="230">
        <f>'НСД АСУТП'!O90</f>
        <v>1</v>
      </c>
      <c r="AP90" s="230">
        <f>'MFA АСУТП'!G90</f>
        <v>0.25</v>
      </c>
      <c r="AQ90" s="230">
        <f>'MFA АСУТП'!K90</f>
        <v>0.25</v>
      </c>
      <c r="AR90" s="230">
        <f>'MFA АСУТП'!O90</f>
        <v>0.25</v>
      </c>
      <c r="AS90" s="230">
        <f>'MFA АСУТП'!S90</f>
        <v>0.25</v>
      </c>
      <c r="AT90" s="230">
        <f>'ДИОД АСУТП'!G90</f>
        <v>0</v>
      </c>
      <c r="AU90" s="230">
        <f>'ДИОД АСУТП'!K90</f>
        <v>0</v>
      </c>
      <c r="AV90" s="230">
        <f>'ДИОД АСУТП'!O90</f>
        <v>0</v>
      </c>
      <c r="AW90" s="230">
        <f>'ДИОД АСУТП'!S90</f>
        <v>0</v>
      </c>
      <c r="AX90" s="230">
        <f>'СЗВ АСУТП'!G90</f>
        <v>0.25</v>
      </c>
      <c r="AY90" s="230">
        <f>'СЗВ АСУТП'!K90</f>
        <v>0.25</v>
      </c>
      <c r="AZ90" s="230">
        <f>'СЗВ АСУТП'!O90</f>
        <v>0.25</v>
      </c>
      <c r="BA90" s="230">
        <f>'SOAR АСУТП'!G90</f>
        <v>0</v>
      </c>
      <c r="BB90" s="230">
        <f>'SOAR АСУТП'!K90</f>
        <v>0</v>
      </c>
      <c r="BC90" s="230">
        <f>'SOAR АСУТП'!O90</f>
        <v>0</v>
      </c>
      <c r="BD90" s="230" t="e">
        <f>'SOAR АСУТП'!#REF!</f>
        <v>#REF!</v>
      </c>
      <c r="BE90" s="230">
        <f>'VDI АСУТП'!G90</f>
        <v>0.25</v>
      </c>
      <c r="BF90" s="230">
        <f>'VDI АСУТП'!K90</f>
        <v>0.25</v>
      </c>
      <c r="BG90" s="230">
        <f>'VDI АСУТП'!O90</f>
        <v>0.25</v>
      </c>
      <c r="BH90" s="230">
        <f>'VDI АСУТП'!S90</f>
        <v>0.25</v>
      </c>
      <c r="BI90" s="230">
        <f>'VDI АСУТП'!W90</f>
        <v>0.25</v>
      </c>
      <c r="BJ90" s="316">
        <f>'СУБД АСУТП'!G90</f>
        <v>0</v>
      </c>
      <c r="BK90" s="316">
        <f>'СУБД АСУТП'!K90</f>
        <v>0</v>
      </c>
      <c r="BL90" s="316">
        <f>'ГОССОПКА АСУТП'!G90</f>
        <v>0.25</v>
      </c>
      <c r="BM90" s="316">
        <f>'ГОССОПКА АСУТП'!K90</f>
        <v>0.25</v>
      </c>
      <c r="BN90" s="316">
        <f>'TLS АСУТП'!G90</f>
        <v>0.25</v>
      </c>
      <c r="BO90" s="316">
        <f>'TLS АСУТП'!K90</f>
        <v>0.25</v>
      </c>
      <c r="BP90" s="316">
        <f>'DCAP АСУТП'!G90</f>
        <v>0.25</v>
      </c>
      <c r="BQ90" s="316">
        <f>'DCAP АСУТП'!K90</f>
        <v>0.25</v>
      </c>
      <c r="BR90" s="316">
        <f>'DCAP АСУТП'!O90</f>
        <v>0.25</v>
      </c>
      <c r="BS90" s="316">
        <f>'DO АСУТП'!G90</f>
        <v>0</v>
      </c>
      <c r="BT90" s="316">
        <f>'NTA АСУТП'!G90</f>
        <v>0.25</v>
      </c>
      <c r="BU90" s="316">
        <f>'NTA АСУТП'!K90</f>
        <v>0.25</v>
      </c>
      <c r="BV90" s="316">
        <f>'NTA АСУТП'!O90</f>
        <v>1</v>
      </c>
      <c r="BW90" s="316">
        <f>'NTA АСУТП'!S90</f>
        <v>0.25</v>
      </c>
      <c r="BX90" s="316">
        <f>'SEG АСУТП'!G90</f>
        <v>0.25</v>
      </c>
      <c r="BY90" s="316">
        <f>'APT АСУТП'!G90</f>
        <v>0.25</v>
      </c>
      <c r="BZ90" s="316">
        <f>'APT АСУТП'!K90</f>
        <v>0.25</v>
      </c>
      <c r="CA90" s="316">
        <f>'APT АСУТП'!O90</f>
        <v>0.25</v>
      </c>
      <c r="CB90" s="316">
        <f>'NAC АСУТП'!G90</f>
        <v>0.25</v>
      </c>
      <c r="CC90" s="316">
        <f>'SANDBOX АСУТП'!G90</f>
        <v>0.25</v>
      </c>
      <c r="CD90" s="316">
        <f>'SANDBOX АСУТП'!K90</f>
        <v>0.25</v>
      </c>
      <c r="CE90" s="316">
        <f>'EDR АСУТП'!G90</f>
        <v>0</v>
      </c>
      <c r="CF90" s="316">
        <f>'EDR АСУТП'!K90</f>
        <v>0</v>
      </c>
      <c r="CG90" s="316">
        <f>'WAF АСУТП'!G90</f>
        <v>0.25</v>
      </c>
      <c r="CH90" s="316">
        <f>'WAF АСУТП'!K90</f>
        <v>0.25</v>
      </c>
      <c r="CI90" s="316">
        <f>'WAF АСУТП'!O90</f>
        <v>0.25</v>
      </c>
      <c r="CJ90" s="316">
        <f>'ВМ ЗСВ'!G90</f>
        <v>0.25</v>
      </c>
      <c r="CK90" s="316">
        <f>'ВМ ЗСВ'!K90</f>
        <v>0.25</v>
      </c>
      <c r="CL90" s="316">
        <f>'ВМ ЗСВ'!O90</f>
        <v>0.25</v>
      </c>
      <c r="CM90" s="316">
        <f>'ВМ ЗСВ'!S90</f>
        <v>0.25</v>
      </c>
      <c r="CN90" s="316">
        <f>'ВМ ЗСВ'!W90</f>
        <v>0.25</v>
      </c>
      <c r="CO90" s="316">
        <f>'ВМ ЗСВ'!AA90</f>
        <v>0.25</v>
      </c>
      <c r="CP90" s="316">
        <f>'ВМ СПО'!G90</f>
        <v>0</v>
      </c>
      <c r="CQ90" s="316">
        <f>'ВМ СПО'!K90</f>
        <v>0</v>
      </c>
      <c r="CR90" s="316">
        <f>'ВМ СПО'!O90</f>
        <v>0</v>
      </c>
      <c r="CS90" s="316">
        <f>'ВМ СПО'!S90</f>
        <v>0</v>
      </c>
      <c r="CT90" s="316">
        <f>'ВМ АСО'!G90</f>
        <v>0</v>
      </c>
      <c r="CU90" s="316">
        <f>'ВМ АСО'!K90</f>
        <v>0</v>
      </c>
      <c r="CV90" s="316" t="e">
        <f t="shared" si="93"/>
        <v>#REF!</v>
      </c>
      <c r="CW90" s="25">
        <f t="shared" si="94"/>
        <v>0</v>
      </c>
      <c r="CX90" s="25">
        <f t="shared" si="95"/>
        <v>0</v>
      </c>
      <c r="CY90" s="25">
        <f t="shared" si="96"/>
        <v>0</v>
      </c>
      <c r="CZ90" s="25">
        <f t="shared" si="97"/>
        <v>0</v>
      </c>
      <c r="DA90" s="25">
        <f t="shared" si="98"/>
        <v>0</v>
      </c>
      <c r="DB90" s="25">
        <f t="shared" si="99"/>
        <v>0</v>
      </c>
      <c r="DC90" s="25">
        <f t="shared" si="100"/>
        <v>0</v>
      </c>
      <c r="DD90" s="25">
        <f t="shared" si="101"/>
        <v>0</v>
      </c>
      <c r="DE90" s="25">
        <f t="shared" si="102"/>
        <v>0</v>
      </c>
      <c r="DF90" s="25">
        <f t="shared" si="103"/>
        <v>0</v>
      </c>
      <c r="DG90" s="25">
        <f t="shared" si="104"/>
        <v>0</v>
      </c>
      <c r="DH90" s="25">
        <f t="shared" si="105"/>
        <v>0</v>
      </c>
      <c r="DI90" s="25">
        <f t="shared" si="106"/>
        <v>0</v>
      </c>
      <c r="DJ90" s="25" t="e">
        <f t="shared" si="107"/>
        <v>#REF!</v>
      </c>
      <c r="DK90" s="25">
        <f t="shared" si="108"/>
        <v>0</v>
      </c>
      <c r="DL90" s="25">
        <f t="shared" si="109"/>
        <v>0</v>
      </c>
      <c r="DM90" s="25">
        <f t="shared" si="110"/>
        <v>0</v>
      </c>
      <c r="DN90" s="25">
        <f t="shared" si="111"/>
        <v>0</v>
      </c>
      <c r="DO90" s="25">
        <f t="shared" si="112"/>
        <v>0</v>
      </c>
      <c r="DP90" s="25">
        <f t="shared" si="113"/>
        <v>0</v>
      </c>
      <c r="DQ90" s="25">
        <f t="shared" si="114"/>
        <v>0</v>
      </c>
      <c r="DR90" s="25">
        <f t="shared" si="115"/>
        <v>0</v>
      </c>
      <c r="DS90" s="25">
        <f t="shared" si="116"/>
        <v>0</v>
      </c>
      <c r="DT90" s="25">
        <f t="shared" si="117"/>
        <v>0</v>
      </c>
      <c r="DU90" s="25">
        <f t="shared" si="118"/>
        <v>0</v>
      </c>
      <c r="DV90" s="21">
        <f t="shared" si="119"/>
        <v>0</v>
      </c>
      <c r="DW90" s="317">
        <f t="shared" si="120"/>
        <v>0</v>
      </c>
      <c r="DX90" s="317">
        <f t="shared" si="121"/>
        <v>0</v>
      </c>
      <c r="DY90" s="317">
        <f t="shared" si="122"/>
        <v>0</v>
      </c>
      <c r="DZ90" s="230">
        <f t="shared" si="123"/>
        <v>0</v>
      </c>
    </row>
    <row r="91" spans="1:130" ht="15" customHeight="1" x14ac:dyDescent="0.25">
      <c r="A91" s="1908" t="s">
        <v>24</v>
      </c>
      <c r="B91" s="1909">
        <f>IF('Тип разраб-ой док-ции'!F36=1,1,0)</f>
        <v>1</v>
      </c>
      <c r="C91" s="18" t="s">
        <v>32</v>
      </c>
      <c r="D91" s="21"/>
      <c r="E91" s="316">
        <f>'АВЗ АСУТП'!G91</f>
        <v>10</v>
      </c>
      <c r="F91" s="316">
        <f>'АВЗ АСУТП'!K91</f>
        <v>10</v>
      </c>
      <c r="G91" s="316">
        <f>'АВЗ АСУТП'!O91</f>
        <v>10</v>
      </c>
      <c r="H91" s="230">
        <f>'АВЗ АСУТП'!S91</f>
        <v>10</v>
      </c>
      <c r="I91" s="316">
        <f>'АВЗ АСУТП'!W91</f>
        <v>10</v>
      </c>
      <c r="J91" s="230">
        <f>'АВЗ АСУТП'!AA91</f>
        <v>10</v>
      </c>
      <c r="K91" s="230">
        <f>'АВЗ АСУТП'!AE91</f>
        <v>10</v>
      </c>
      <c r="L91" s="230">
        <f>'АВЗ АСУТП'!AI91</f>
        <v>10</v>
      </c>
      <c r="M91" s="230">
        <f>'SIEM АСУТП'!G91</f>
        <v>7</v>
      </c>
      <c r="N91" s="230">
        <f>'SIEM АСУТП'!K91</f>
        <v>7</v>
      </c>
      <c r="O91" s="21">
        <f>'МСЭ АСУТП'!G97</f>
        <v>7</v>
      </c>
      <c r="P91" s="25">
        <f>'МСЭ АСУТП'!K97</f>
        <v>7</v>
      </c>
      <c r="Q91" s="21">
        <f>'МСЭ АСУТП'!O97</f>
        <v>7</v>
      </c>
      <c r="R91" s="21">
        <f>'МСЭ АСУТП'!S97</f>
        <v>7</v>
      </c>
      <c r="S91" s="230">
        <f>'PAM АСУТП'!G91</f>
        <v>8</v>
      </c>
      <c r="T91" s="230">
        <f>'PAM АСУТП'!K91</f>
        <v>8</v>
      </c>
      <c r="U91" s="230">
        <f>'PAM АСУТП'!O91</f>
        <v>8</v>
      </c>
      <c r="V91" s="230">
        <f>'СКЗИ АСУТП'!G91</f>
        <v>4</v>
      </c>
      <c r="W91" s="230">
        <f>'СКЗИ АСУТП'!K91</f>
        <v>4</v>
      </c>
      <c r="X91" s="230">
        <f>'СКЗИ АСУТП'!O91</f>
        <v>4</v>
      </c>
      <c r="Y91" s="230">
        <f>'СКЗИ АСУТП'!S91</f>
        <v>4</v>
      </c>
      <c r="Z91" s="230">
        <f>'СКЗИ АСУТП'!W91</f>
        <v>4</v>
      </c>
      <c r="AA91" s="230">
        <f>'АЗ АСУТП'!G91</f>
        <v>4</v>
      </c>
      <c r="AB91" s="230">
        <f>'АЗ АСУТП'!K91</f>
        <v>4</v>
      </c>
      <c r="AC91" s="230">
        <f>'АЗ АСУТП'!O91</f>
        <v>4</v>
      </c>
      <c r="AD91" s="230">
        <f>'АЗ АСУТП'!S91</f>
        <v>4</v>
      </c>
      <c r="AE91" s="230">
        <f>'АЗ АСУТП'!W91</f>
        <v>4</v>
      </c>
      <c r="AF91" s="230">
        <f>'РК АСУТП'!G91</f>
        <v>4.5</v>
      </c>
      <c r="AG91" s="230">
        <f>'РК АСУТП'!K91</f>
        <v>4.5</v>
      </c>
      <c r="AH91" s="230">
        <f>'IDS АСУТП'!G91</f>
        <v>16</v>
      </c>
      <c r="AI91" s="230">
        <f>'IDS АСУТП'!K91</f>
        <v>16</v>
      </c>
      <c r="AJ91" s="230">
        <f>'IDS АСУТП'!O91</f>
        <v>16</v>
      </c>
      <c r="AK91" s="230">
        <f>'АПМДЗ АСУТП'!G91</f>
        <v>0.64000000000000012</v>
      </c>
      <c r="AL91" s="230">
        <f>'АПМДЗ АСУТП'!K91</f>
        <v>0.64000000000000012</v>
      </c>
      <c r="AM91" s="230">
        <f>'НСД АСУТП'!G91</f>
        <v>0.64000000000000012</v>
      </c>
      <c r="AN91" s="230">
        <f>'НСД АСУТП'!K91</f>
        <v>0.64000000000000012</v>
      </c>
      <c r="AO91" s="230">
        <f>'НСД АСУТП'!O91</f>
        <v>0.64000000000000012</v>
      </c>
      <c r="AP91" s="230">
        <f>'MFA АСУТП'!G91</f>
        <v>6</v>
      </c>
      <c r="AQ91" s="230">
        <f>'MFA АСУТП'!K91</f>
        <v>6</v>
      </c>
      <c r="AR91" s="230">
        <f>'MFA АСУТП'!O91</f>
        <v>6</v>
      </c>
      <c r="AS91" s="230">
        <f>'MFA АСУТП'!S91</f>
        <v>6</v>
      </c>
      <c r="AT91" s="230">
        <f>'ДИОД АСУТП'!G91</f>
        <v>4</v>
      </c>
      <c r="AU91" s="230">
        <f>'ДИОД АСУТП'!K91</f>
        <v>4</v>
      </c>
      <c r="AV91" s="230">
        <f>'ДИОД АСУТП'!O91</f>
        <v>4</v>
      </c>
      <c r="AW91" s="230">
        <f>'ДИОД АСУТП'!S91</f>
        <v>4</v>
      </c>
      <c r="AX91" s="230">
        <f>'СЗВ АСУТП'!G91</f>
        <v>8</v>
      </c>
      <c r="AY91" s="230">
        <f>'СЗВ АСУТП'!K91</f>
        <v>8</v>
      </c>
      <c r="AZ91" s="230">
        <f>'СЗВ АСУТП'!O91</f>
        <v>8</v>
      </c>
      <c r="BA91" s="230">
        <f>'SOAR АСУТП'!G91</f>
        <v>6</v>
      </c>
      <c r="BB91" s="230">
        <f>'SOAR АСУТП'!K91</f>
        <v>6</v>
      </c>
      <c r="BC91" s="230">
        <f>'SOAR АСУТП'!O91</f>
        <v>6</v>
      </c>
      <c r="BD91" s="230" t="e">
        <f>'SOAR АСУТП'!#REF!</f>
        <v>#REF!</v>
      </c>
      <c r="BE91" s="230">
        <f>'VDI АСУТП'!G91</f>
        <v>4</v>
      </c>
      <c r="BF91" s="230">
        <f>'VDI АСУТП'!K91</f>
        <v>4</v>
      </c>
      <c r="BG91" s="230">
        <f>'VDI АСУТП'!O91</f>
        <v>4</v>
      </c>
      <c r="BH91" s="230">
        <f>'VDI АСУТП'!S91</f>
        <v>4</v>
      </c>
      <c r="BI91" s="230">
        <f>'VDI АСУТП'!W91</f>
        <v>4</v>
      </c>
      <c r="BJ91" s="316">
        <f>'СУБД АСУТП'!G91</f>
        <v>4</v>
      </c>
      <c r="BK91" s="316">
        <f>'СУБД АСУТП'!K91</f>
        <v>4</v>
      </c>
      <c r="BL91" s="316">
        <f>'ГОССОПКА АСУТП'!G91</f>
        <v>8</v>
      </c>
      <c r="BM91" s="316">
        <f>'ГОССОПКА АСУТП'!K91</f>
        <v>8</v>
      </c>
      <c r="BN91" s="316">
        <f>'TLS АСУТП'!G91</f>
        <v>8</v>
      </c>
      <c r="BO91" s="316">
        <f>'TLS АСУТП'!K91</f>
        <v>8</v>
      </c>
      <c r="BP91" s="316">
        <f>'DCAP АСУТП'!G91</f>
        <v>8</v>
      </c>
      <c r="BQ91" s="316">
        <f>'DCAP АСУТП'!K91</f>
        <v>8</v>
      </c>
      <c r="BR91" s="316">
        <f>'DCAP АСУТП'!O91</f>
        <v>8</v>
      </c>
      <c r="BS91" s="316">
        <f>'DO АСУТП'!G91</f>
        <v>8</v>
      </c>
      <c r="BT91" s="316">
        <f>'NTA АСУТП'!G91</f>
        <v>8</v>
      </c>
      <c r="BU91" s="316">
        <f>'NTA АСУТП'!K91</f>
        <v>8</v>
      </c>
      <c r="BV91" s="316">
        <f>'NTA АСУТП'!O91</f>
        <v>24</v>
      </c>
      <c r="BW91" s="316">
        <f>'NTA АСУТП'!S91</f>
        <v>8</v>
      </c>
      <c r="BX91" s="316">
        <f>'SEG АСУТП'!G91</f>
        <v>8</v>
      </c>
      <c r="BY91" s="316">
        <f>'APT АСУТП'!G91</f>
        <v>16</v>
      </c>
      <c r="BZ91" s="316">
        <f>'APT АСУТП'!K91</f>
        <v>16</v>
      </c>
      <c r="CA91" s="316">
        <f>'APT АСУТП'!O91</f>
        <v>16</v>
      </c>
      <c r="CB91" s="316">
        <f>'NAC АСУТП'!G91</f>
        <v>8</v>
      </c>
      <c r="CC91" s="316">
        <f>'SANDBOX АСУТП'!G91</f>
        <v>8</v>
      </c>
      <c r="CD91" s="316">
        <f>'SANDBOX АСУТП'!K91</f>
        <v>8</v>
      </c>
      <c r="CE91" s="316">
        <f>'EDR АСУТП'!G91</f>
        <v>6</v>
      </c>
      <c r="CF91" s="316">
        <f>'EDR АСУТП'!K91</f>
        <v>6</v>
      </c>
      <c r="CG91" s="316">
        <f>'WAF АСУТП'!G91</f>
        <v>8</v>
      </c>
      <c r="CH91" s="316">
        <f>'WAF АСУТП'!K91</f>
        <v>8</v>
      </c>
      <c r="CI91" s="316">
        <f>'WAF АСУТП'!O91</f>
        <v>8</v>
      </c>
      <c r="CJ91" s="316">
        <f>'ВМ ЗСВ'!G91</f>
        <v>6</v>
      </c>
      <c r="CK91" s="316">
        <f>'ВМ ЗСВ'!K91</f>
        <v>8</v>
      </c>
      <c r="CL91" s="316">
        <f>'ВМ ЗСВ'!O91</f>
        <v>6</v>
      </c>
      <c r="CM91" s="316">
        <f>'ВМ ЗСВ'!S91</f>
        <v>6</v>
      </c>
      <c r="CN91" s="316">
        <f>'ВМ ЗСВ'!W91</f>
        <v>6</v>
      </c>
      <c r="CO91" s="316">
        <f>'ВМ ЗСВ'!AA91</f>
        <v>4</v>
      </c>
      <c r="CP91" s="316">
        <f>'ВМ СПО'!G91</f>
        <v>4</v>
      </c>
      <c r="CQ91" s="316">
        <f>'ВМ СПО'!K91</f>
        <v>4</v>
      </c>
      <c r="CR91" s="316">
        <f>'ВМ СПО'!O91</f>
        <v>6</v>
      </c>
      <c r="CS91" s="316">
        <f>'ВМ СПО'!S91</f>
        <v>6</v>
      </c>
      <c r="CT91" s="316">
        <f>'ВМ АСО'!G91</f>
        <v>0</v>
      </c>
      <c r="CU91" s="316">
        <f>'ВМ АСО'!K91</f>
        <v>0</v>
      </c>
      <c r="CV91" s="316" t="e">
        <f t="shared" si="93"/>
        <v>#REF!</v>
      </c>
      <c r="CW91" s="25">
        <f t="shared" si="94"/>
        <v>10</v>
      </c>
      <c r="CX91" s="25">
        <f t="shared" si="95"/>
        <v>7</v>
      </c>
      <c r="CY91" s="25">
        <f t="shared" si="96"/>
        <v>0</v>
      </c>
      <c r="CZ91" s="25">
        <f t="shared" si="97"/>
        <v>0</v>
      </c>
      <c r="DA91" s="25">
        <f t="shared" si="98"/>
        <v>0</v>
      </c>
      <c r="DB91" s="25">
        <f t="shared" si="99"/>
        <v>0</v>
      </c>
      <c r="DC91" s="25">
        <f t="shared" si="100"/>
        <v>0</v>
      </c>
      <c r="DD91" s="25">
        <f t="shared" si="101"/>
        <v>0</v>
      </c>
      <c r="DE91" s="25">
        <f t="shared" si="102"/>
        <v>0</v>
      </c>
      <c r="DF91" s="25">
        <f t="shared" si="103"/>
        <v>0</v>
      </c>
      <c r="DG91" s="25">
        <f t="shared" si="104"/>
        <v>0</v>
      </c>
      <c r="DH91" s="25">
        <f t="shared" si="105"/>
        <v>0</v>
      </c>
      <c r="DI91" s="25">
        <f t="shared" si="106"/>
        <v>0</v>
      </c>
      <c r="DJ91" s="25" t="e">
        <f t="shared" si="107"/>
        <v>#REF!</v>
      </c>
      <c r="DK91" s="25">
        <f t="shared" si="108"/>
        <v>0</v>
      </c>
      <c r="DL91" s="25">
        <f t="shared" si="109"/>
        <v>0</v>
      </c>
      <c r="DM91" s="25">
        <f t="shared" si="110"/>
        <v>0</v>
      </c>
      <c r="DN91" s="25">
        <f t="shared" si="111"/>
        <v>0</v>
      </c>
      <c r="DO91" s="25">
        <f t="shared" si="112"/>
        <v>0</v>
      </c>
      <c r="DP91" s="25">
        <f t="shared" si="113"/>
        <v>0</v>
      </c>
      <c r="DQ91" s="25">
        <f t="shared" si="114"/>
        <v>0</v>
      </c>
      <c r="DR91" s="25">
        <f t="shared" si="115"/>
        <v>0</v>
      </c>
      <c r="DS91" s="25">
        <f t="shared" si="116"/>
        <v>0</v>
      </c>
      <c r="DT91" s="25">
        <f t="shared" si="117"/>
        <v>0</v>
      </c>
      <c r="DU91" s="25">
        <f t="shared" si="118"/>
        <v>0</v>
      </c>
      <c r="DV91" s="21">
        <f t="shared" si="119"/>
        <v>0</v>
      </c>
      <c r="DW91" s="317">
        <f t="shared" si="120"/>
        <v>0</v>
      </c>
      <c r="DX91" s="317">
        <f t="shared" si="121"/>
        <v>0</v>
      </c>
      <c r="DY91" s="317">
        <f t="shared" si="122"/>
        <v>0</v>
      </c>
      <c r="DZ91" s="230">
        <f t="shared" si="123"/>
        <v>0</v>
      </c>
    </row>
    <row r="92" spans="1:130" ht="15" customHeight="1" x14ac:dyDescent="0.25">
      <c r="A92" s="1908"/>
      <c r="B92" s="1909"/>
      <c r="C92" s="18" t="s">
        <v>33</v>
      </c>
      <c r="D92" s="21"/>
      <c r="E92" s="316">
        <f>'АВЗ АСУТП'!G92</f>
        <v>1.5</v>
      </c>
      <c r="F92" s="316">
        <f>'АВЗ АСУТП'!K92</f>
        <v>1.5</v>
      </c>
      <c r="G92" s="316">
        <f>'АВЗ АСУТП'!O92</f>
        <v>1.5</v>
      </c>
      <c r="H92" s="230">
        <f>'АВЗ АСУТП'!S92</f>
        <v>1.5</v>
      </c>
      <c r="I92" s="316">
        <f>'АВЗ АСУТП'!W92</f>
        <v>1.5</v>
      </c>
      <c r="J92" s="230">
        <f>'АВЗ АСУТП'!AA92</f>
        <v>1.5</v>
      </c>
      <c r="K92" s="230">
        <f>'АВЗ АСУТП'!AE92</f>
        <v>1.5</v>
      </c>
      <c r="L92" s="230">
        <f>'АВЗ АСУТП'!AI92</f>
        <v>1.5</v>
      </c>
      <c r="M92" s="230">
        <f>'SIEM АСУТП'!G92</f>
        <v>3</v>
      </c>
      <c r="N92" s="230">
        <f>'SIEM АСУТП'!K92</f>
        <v>3</v>
      </c>
      <c r="O92" s="21">
        <f>'МСЭ АСУТП'!G98</f>
        <v>10.5</v>
      </c>
      <c r="P92" s="25">
        <f>'МСЭ АСУТП'!K98</f>
        <v>10.5</v>
      </c>
      <c r="Q92" s="21">
        <f>'МСЭ АСУТП'!O98</f>
        <v>10.5</v>
      </c>
      <c r="R92" s="21">
        <f>'МСЭ АСУТП'!S98</f>
        <v>10.5</v>
      </c>
      <c r="S92" s="230">
        <f>'PAM АСУТП'!G92</f>
        <v>10</v>
      </c>
      <c r="T92" s="230">
        <f>'PAM АСУТП'!K92</f>
        <v>10</v>
      </c>
      <c r="U92" s="230">
        <f>'PAM АСУТП'!O92</f>
        <v>10</v>
      </c>
      <c r="V92" s="230">
        <f>'СКЗИ АСУТП'!G92</f>
        <v>7</v>
      </c>
      <c r="W92" s="230">
        <f>'СКЗИ АСУТП'!K92</f>
        <v>7</v>
      </c>
      <c r="X92" s="230">
        <f>'СКЗИ АСУТП'!O92</f>
        <v>7</v>
      </c>
      <c r="Y92" s="230">
        <f>'СКЗИ АСУТП'!S92</f>
        <v>7</v>
      </c>
      <c r="Z92" s="230">
        <f>'СКЗИ АСУТП'!W92</f>
        <v>7</v>
      </c>
      <c r="AA92" s="230">
        <f>'АЗ АСУТП'!G92</f>
        <v>4</v>
      </c>
      <c r="AB92" s="230">
        <f>'АЗ АСУТП'!K92</f>
        <v>4</v>
      </c>
      <c r="AC92" s="230">
        <f>'АЗ АСУТП'!O92</f>
        <v>4</v>
      </c>
      <c r="AD92" s="230">
        <f>'АЗ АСУТП'!S92</f>
        <v>4</v>
      </c>
      <c r="AE92" s="230">
        <f>'АЗ АСУТП'!W92</f>
        <v>4</v>
      </c>
      <c r="AF92" s="230">
        <f>'РК АСУТП'!G92</f>
        <v>6</v>
      </c>
      <c r="AG92" s="230">
        <f>'РК АСУТП'!K92</f>
        <v>6</v>
      </c>
      <c r="AH92" s="230">
        <f>'IDS АСУТП'!G92</f>
        <v>16</v>
      </c>
      <c r="AI92" s="230">
        <f>'IDS АСУТП'!K92</f>
        <v>16</v>
      </c>
      <c r="AJ92" s="230">
        <f>'IDS АСУТП'!O92</f>
        <v>16</v>
      </c>
      <c r="AK92" s="230">
        <f>'АПМДЗ АСУТП'!G92</f>
        <v>0.8</v>
      </c>
      <c r="AL92" s="230">
        <f>'АПМДЗ АСУТП'!K92</f>
        <v>0.8</v>
      </c>
      <c r="AM92" s="230">
        <f>'НСД АСУТП'!G92</f>
        <v>0.8</v>
      </c>
      <c r="AN92" s="230">
        <f>'НСД АСУТП'!K92</f>
        <v>0.8</v>
      </c>
      <c r="AO92" s="230">
        <f>'НСД АСУТП'!O92</f>
        <v>0.8</v>
      </c>
      <c r="AP92" s="230">
        <f>'MFA АСУТП'!G92</f>
        <v>8</v>
      </c>
      <c r="AQ92" s="230">
        <f>'MFA АСУТП'!K92</f>
        <v>8</v>
      </c>
      <c r="AR92" s="230">
        <f>'MFA АСУТП'!O92</f>
        <v>8</v>
      </c>
      <c r="AS92" s="230">
        <f>'MFA АСУТП'!S92</f>
        <v>8</v>
      </c>
      <c r="AT92" s="230">
        <f>'ДИОД АСУТП'!G92</f>
        <v>4</v>
      </c>
      <c r="AU92" s="230">
        <f>'ДИОД АСУТП'!K92</f>
        <v>4</v>
      </c>
      <c r="AV92" s="230">
        <f>'ДИОД АСУТП'!O92</f>
        <v>4</v>
      </c>
      <c r="AW92" s="230">
        <f>'ДИОД АСУТП'!S92</f>
        <v>4</v>
      </c>
      <c r="AX92" s="230">
        <f>'СЗВ АСУТП'!G92</f>
        <v>8</v>
      </c>
      <c r="AY92" s="230">
        <f>'СЗВ АСУТП'!K92</f>
        <v>8</v>
      </c>
      <c r="AZ92" s="230">
        <f>'СЗВ АСУТП'!O92</f>
        <v>8</v>
      </c>
      <c r="BA92" s="230">
        <f>'SOAR АСУТП'!G92</f>
        <v>4</v>
      </c>
      <c r="BB92" s="230">
        <f>'SOAR АСУТП'!K92</f>
        <v>4</v>
      </c>
      <c r="BC92" s="230">
        <f>'SOAR АСУТП'!O92</f>
        <v>4</v>
      </c>
      <c r="BD92" s="230" t="e">
        <f>'SOAR АСУТП'!#REF!</f>
        <v>#REF!</v>
      </c>
      <c r="BE92" s="230">
        <f>'VDI АСУТП'!G92</f>
        <v>6</v>
      </c>
      <c r="BF92" s="230">
        <f>'VDI АСУТП'!K92</f>
        <v>6</v>
      </c>
      <c r="BG92" s="230">
        <f>'VDI АСУТП'!O92</f>
        <v>6</v>
      </c>
      <c r="BH92" s="230">
        <f>'VDI АСУТП'!S92</f>
        <v>6</v>
      </c>
      <c r="BI92" s="230">
        <f>'VDI АСУТП'!W92</f>
        <v>6</v>
      </c>
      <c r="BJ92" s="316">
        <f>'СУБД АСУТП'!G92</f>
        <v>1</v>
      </c>
      <c r="BK92" s="316">
        <f>'СУБД АСУТП'!K92</f>
        <v>1</v>
      </c>
      <c r="BL92" s="316">
        <f>'ГОССОПКА АСУТП'!G92</f>
        <v>12</v>
      </c>
      <c r="BM92" s="316">
        <f>'ГОССОПКА АСУТП'!K92</f>
        <v>12</v>
      </c>
      <c r="BN92" s="316">
        <f>'TLS АСУТП'!G92</f>
        <v>12</v>
      </c>
      <c r="BO92" s="316">
        <f>'TLS АСУТП'!K92</f>
        <v>12</v>
      </c>
      <c r="BP92" s="316">
        <f>'DCAP АСУТП'!G92</f>
        <v>8</v>
      </c>
      <c r="BQ92" s="316">
        <f>'DCAP АСУТП'!K92</f>
        <v>8</v>
      </c>
      <c r="BR92" s="316">
        <f>'DCAP АСУТП'!O92</f>
        <v>8</v>
      </c>
      <c r="BS92" s="316">
        <f>'DO АСУТП'!G92</f>
        <v>4.5</v>
      </c>
      <c r="BT92" s="316">
        <f>'NTA АСУТП'!G92</f>
        <v>8</v>
      </c>
      <c r="BU92" s="316">
        <f>'NTA АСУТП'!K92</f>
        <v>8</v>
      </c>
      <c r="BV92" s="316">
        <f>'NTA АСУТП'!O92</f>
        <v>24</v>
      </c>
      <c r="BW92" s="316">
        <f>'NTA АСУТП'!S92</f>
        <v>8</v>
      </c>
      <c r="BX92" s="316">
        <f>'SEG АСУТП'!G92</f>
        <v>8</v>
      </c>
      <c r="BY92" s="316">
        <f>'APT АСУТП'!G92</f>
        <v>24</v>
      </c>
      <c r="BZ92" s="316">
        <f>'APT АСУТП'!K92</f>
        <v>24</v>
      </c>
      <c r="CA92" s="316">
        <f>'APT АСУТП'!O92</f>
        <v>24</v>
      </c>
      <c r="CB92" s="316">
        <f>'NAC АСУТП'!G92</f>
        <v>12</v>
      </c>
      <c r="CC92" s="316">
        <f>'SANDBOX АСУТП'!G92</f>
        <v>8</v>
      </c>
      <c r="CD92" s="316">
        <f>'SANDBOX АСУТП'!K92</f>
        <v>8</v>
      </c>
      <c r="CE92" s="316">
        <f>'EDR АСУТП'!G92</f>
        <v>1</v>
      </c>
      <c r="CF92" s="316">
        <f>'EDR АСУТП'!K92</f>
        <v>1</v>
      </c>
      <c r="CG92" s="316">
        <f>'WAF АСУТП'!G92</f>
        <v>12</v>
      </c>
      <c r="CH92" s="316">
        <f>'WAF АСУТП'!K92</f>
        <v>12</v>
      </c>
      <c r="CI92" s="316">
        <f>'WAF АСУТП'!O92</f>
        <v>12</v>
      </c>
      <c r="CJ92" s="316">
        <f>'ВМ ЗСВ'!G92</f>
        <v>6</v>
      </c>
      <c r="CK92" s="316">
        <f>'ВМ ЗСВ'!K92</f>
        <v>8</v>
      </c>
      <c r="CL92" s="316">
        <f>'ВМ ЗСВ'!O92</f>
        <v>8</v>
      </c>
      <c r="CM92" s="316">
        <f>'ВМ ЗСВ'!S92</f>
        <v>8</v>
      </c>
      <c r="CN92" s="316">
        <f>'ВМ ЗСВ'!W92</f>
        <v>8</v>
      </c>
      <c r="CO92" s="316">
        <f>'ВМ ЗСВ'!AA92</f>
        <v>6</v>
      </c>
      <c r="CP92" s="316">
        <f>'ВМ СПО'!G92</f>
        <v>1</v>
      </c>
      <c r="CQ92" s="316">
        <f>'ВМ СПО'!K92</f>
        <v>1</v>
      </c>
      <c r="CR92" s="316">
        <f>'ВМ СПО'!O92</f>
        <v>2</v>
      </c>
      <c r="CS92" s="316">
        <f>'ВМ СПО'!S92</f>
        <v>2</v>
      </c>
      <c r="CT92" s="316">
        <f>'ВМ АСО'!G92</f>
        <v>0</v>
      </c>
      <c r="CU92" s="316">
        <f>'ВМ АСО'!K92</f>
        <v>0</v>
      </c>
      <c r="CV92" s="316" t="e">
        <f t="shared" si="93"/>
        <v>#REF!</v>
      </c>
      <c r="CW92" s="25">
        <f t="shared" si="94"/>
        <v>1.5</v>
      </c>
      <c r="CX92" s="25">
        <f t="shared" si="95"/>
        <v>3</v>
      </c>
      <c r="CY92" s="25">
        <f t="shared" si="96"/>
        <v>0</v>
      </c>
      <c r="CZ92" s="25">
        <f t="shared" si="97"/>
        <v>0</v>
      </c>
      <c r="DA92" s="25">
        <f t="shared" si="98"/>
        <v>0</v>
      </c>
      <c r="DB92" s="25">
        <f t="shared" si="99"/>
        <v>0</v>
      </c>
      <c r="DC92" s="25">
        <f t="shared" si="100"/>
        <v>0</v>
      </c>
      <c r="DD92" s="25">
        <f t="shared" si="101"/>
        <v>0</v>
      </c>
      <c r="DE92" s="25">
        <f t="shared" si="102"/>
        <v>0</v>
      </c>
      <c r="DF92" s="25">
        <f t="shared" si="103"/>
        <v>0</v>
      </c>
      <c r="DG92" s="25">
        <f t="shared" si="104"/>
        <v>0</v>
      </c>
      <c r="DH92" s="25">
        <f t="shared" si="105"/>
        <v>0</v>
      </c>
      <c r="DI92" s="25">
        <f t="shared" si="106"/>
        <v>0</v>
      </c>
      <c r="DJ92" s="25" t="e">
        <f t="shared" si="107"/>
        <v>#REF!</v>
      </c>
      <c r="DK92" s="25">
        <f t="shared" si="108"/>
        <v>0</v>
      </c>
      <c r="DL92" s="25">
        <f t="shared" si="109"/>
        <v>0</v>
      </c>
      <c r="DM92" s="25">
        <f t="shared" si="110"/>
        <v>0</v>
      </c>
      <c r="DN92" s="25">
        <f t="shared" si="111"/>
        <v>0</v>
      </c>
      <c r="DO92" s="25">
        <f t="shared" si="112"/>
        <v>0</v>
      </c>
      <c r="DP92" s="25">
        <f t="shared" si="113"/>
        <v>0</v>
      </c>
      <c r="DQ92" s="25">
        <f t="shared" si="114"/>
        <v>0</v>
      </c>
      <c r="DR92" s="25">
        <f t="shared" si="115"/>
        <v>0</v>
      </c>
      <c r="DS92" s="25">
        <f t="shared" si="116"/>
        <v>0</v>
      </c>
      <c r="DT92" s="25">
        <f t="shared" si="117"/>
        <v>0</v>
      </c>
      <c r="DU92" s="25">
        <f t="shared" si="118"/>
        <v>0</v>
      </c>
      <c r="DV92" s="21">
        <f t="shared" si="119"/>
        <v>0</v>
      </c>
      <c r="DW92" s="317">
        <f t="shared" si="120"/>
        <v>0</v>
      </c>
      <c r="DX92" s="317">
        <f t="shared" si="121"/>
        <v>0</v>
      </c>
      <c r="DY92" s="317">
        <f t="shared" si="122"/>
        <v>0</v>
      </c>
      <c r="DZ92" s="230">
        <f t="shared" si="123"/>
        <v>0</v>
      </c>
    </row>
    <row r="93" spans="1:130" ht="15" customHeight="1" x14ac:dyDescent="0.25">
      <c r="A93" s="1908"/>
      <c r="B93" s="1910"/>
      <c r="C93" s="18" t="s">
        <v>34</v>
      </c>
      <c r="D93" s="21"/>
      <c r="E93" s="316">
        <f>'АВЗ АСУТП'!G93</f>
        <v>2.5</v>
      </c>
      <c r="F93" s="316">
        <f>'АВЗ АСУТП'!K93</f>
        <v>2.5</v>
      </c>
      <c r="G93" s="316">
        <f>'АВЗ АСУТП'!O93</f>
        <v>2.5</v>
      </c>
      <c r="H93" s="230">
        <f>'АВЗ АСУТП'!S93</f>
        <v>2.5</v>
      </c>
      <c r="I93" s="316">
        <f>'АВЗ АСУТП'!W93</f>
        <v>2.5</v>
      </c>
      <c r="J93" s="230">
        <f>'АВЗ АСУТП'!AA93</f>
        <v>2.5</v>
      </c>
      <c r="K93" s="230">
        <f>'АВЗ АСУТП'!AE93</f>
        <v>2.5</v>
      </c>
      <c r="L93" s="230">
        <f>'АВЗ АСУТП'!AI93</f>
        <v>2.5</v>
      </c>
      <c r="M93" s="230">
        <f>'SIEM АСУТП'!G93</f>
        <v>5</v>
      </c>
      <c r="N93" s="230">
        <f>'SIEM АСУТП'!K93</f>
        <v>5</v>
      </c>
      <c r="O93" s="21">
        <f>'МСЭ АСУТП'!G99</f>
        <v>14</v>
      </c>
      <c r="P93" s="25">
        <f>'МСЭ АСУТП'!K99</f>
        <v>14</v>
      </c>
      <c r="Q93" s="21">
        <f>'МСЭ АСУТП'!O99</f>
        <v>14</v>
      </c>
      <c r="R93" s="21">
        <f>'МСЭ АСУТП'!S99</f>
        <v>14</v>
      </c>
      <c r="S93" s="230">
        <f>'PAM АСУТП'!G93</f>
        <v>12</v>
      </c>
      <c r="T93" s="230">
        <f>'PAM АСУТП'!K93</f>
        <v>12</v>
      </c>
      <c r="U93" s="230">
        <f>'PAM АСУТП'!O93</f>
        <v>12</v>
      </c>
      <c r="V93" s="230">
        <f>'СКЗИ АСУТП'!G93</f>
        <v>10</v>
      </c>
      <c r="W93" s="230">
        <f>'СКЗИ АСУТП'!K93</f>
        <v>10</v>
      </c>
      <c r="X93" s="230">
        <f>'СКЗИ АСУТП'!O93</f>
        <v>10</v>
      </c>
      <c r="Y93" s="230">
        <f>'СКЗИ АСУТП'!S93</f>
        <v>10</v>
      </c>
      <c r="Z93" s="230">
        <f>'СКЗИ АСУТП'!W93</f>
        <v>10</v>
      </c>
      <c r="AA93" s="230">
        <f>'АЗ АСУТП'!G93</f>
        <v>4</v>
      </c>
      <c r="AB93" s="230">
        <f>'АЗ АСУТП'!K93</f>
        <v>4</v>
      </c>
      <c r="AC93" s="230">
        <f>'АЗ АСУТП'!O93</f>
        <v>4</v>
      </c>
      <c r="AD93" s="230">
        <f>'АЗ АСУТП'!S93</f>
        <v>4</v>
      </c>
      <c r="AE93" s="230">
        <f>'АЗ АСУТП'!W93</f>
        <v>4</v>
      </c>
      <c r="AF93" s="230">
        <f>'РК АСУТП'!G93</f>
        <v>6.5</v>
      </c>
      <c r="AG93" s="230">
        <f>'РК АСУТП'!K93</f>
        <v>6.5</v>
      </c>
      <c r="AH93" s="230">
        <f>'IDS АСУТП'!G93</f>
        <v>16</v>
      </c>
      <c r="AI93" s="230">
        <f>'IDS АСУТП'!K93</f>
        <v>16</v>
      </c>
      <c r="AJ93" s="230">
        <f>'IDS АСУТП'!O93</f>
        <v>16</v>
      </c>
      <c r="AK93" s="230">
        <f>'АПМДЗ АСУТП'!G93</f>
        <v>1.2000000000000002</v>
      </c>
      <c r="AL93" s="230">
        <f>'АПМДЗ АСУТП'!K93</f>
        <v>1.2000000000000002</v>
      </c>
      <c r="AM93" s="230">
        <f>'НСД АСУТП'!G93</f>
        <v>1.2000000000000002</v>
      </c>
      <c r="AN93" s="230">
        <f>'НСД АСУТП'!K93</f>
        <v>1.2000000000000002</v>
      </c>
      <c r="AO93" s="230">
        <f>'НСД АСУТП'!O93</f>
        <v>1.2000000000000002</v>
      </c>
      <c r="AP93" s="230">
        <f>'MFA АСУТП'!G93</f>
        <v>12</v>
      </c>
      <c r="AQ93" s="230">
        <f>'MFA АСУТП'!K93</f>
        <v>12</v>
      </c>
      <c r="AR93" s="230">
        <f>'MFA АСУТП'!O93</f>
        <v>12</v>
      </c>
      <c r="AS93" s="230">
        <f>'MFA АСУТП'!S93</f>
        <v>12</v>
      </c>
      <c r="AT93" s="230">
        <f>'ДИОД АСУТП'!G93</f>
        <v>4</v>
      </c>
      <c r="AU93" s="230">
        <f>'ДИОД АСУТП'!K93</f>
        <v>4</v>
      </c>
      <c r="AV93" s="230">
        <f>'ДИОД АСУТП'!O93</f>
        <v>4</v>
      </c>
      <c r="AW93" s="230">
        <f>'ДИОД АСУТП'!S93</f>
        <v>4</v>
      </c>
      <c r="AX93" s="230">
        <f>'СЗВ АСУТП'!G93</f>
        <v>8</v>
      </c>
      <c r="AY93" s="230">
        <f>'СЗВ АСУТП'!K93</f>
        <v>8</v>
      </c>
      <c r="AZ93" s="230">
        <f>'СЗВ АСУТП'!O93</f>
        <v>8</v>
      </c>
      <c r="BA93" s="230">
        <f>'SOAR АСУТП'!G93</f>
        <v>6</v>
      </c>
      <c r="BB93" s="230">
        <f>'SOAR АСУТП'!K93</f>
        <v>6</v>
      </c>
      <c r="BC93" s="230">
        <f>'SOAR АСУТП'!O93</f>
        <v>6</v>
      </c>
      <c r="BD93" s="230" t="e">
        <f>'SOAR АСУТП'!#REF!</f>
        <v>#REF!</v>
      </c>
      <c r="BE93" s="230">
        <f>'VDI АСУТП'!G93</f>
        <v>8</v>
      </c>
      <c r="BF93" s="230">
        <f>'VDI АСУТП'!K93</f>
        <v>8</v>
      </c>
      <c r="BG93" s="230">
        <f>'VDI АСУТП'!O93</f>
        <v>8</v>
      </c>
      <c r="BH93" s="230">
        <f>'VDI АСУТП'!S93</f>
        <v>8</v>
      </c>
      <c r="BI93" s="230">
        <f>'VDI АСУТП'!W93</f>
        <v>8</v>
      </c>
      <c r="BJ93" s="316">
        <f>'СУБД АСУТП'!G93</f>
        <v>2</v>
      </c>
      <c r="BK93" s="316">
        <f>'СУБД АСУТП'!K93</f>
        <v>2</v>
      </c>
      <c r="BL93" s="316">
        <f>'ГОССОПКА АСУТП'!G93</f>
        <v>16</v>
      </c>
      <c r="BM93" s="316">
        <f>'ГОССОПКА АСУТП'!K93</f>
        <v>16</v>
      </c>
      <c r="BN93" s="316">
        <f>'TLS АСУТП'!G93</f>
        <v>16</v>
      </c>
      <c r="BO93" s="316">
        <f>'TLS АСУТП'!K93</f>
        <v>16</v>
      </c>
      <c r="BP93" s="316">
        <f>'DCAP АСУТП'!G93</f>
        <v>8</v>
      </c>
      <c r="BQ93" s="316">
        <f>'DCAP АСУТП'!K93</f>
        <v>8</v>
      </c>
      <c r="BR93" s="316">
        <f>'DCAP АСУТП'!O93</f>
        <v>8</v>
      </c>
      <c r="BS93" s="316">
        <f>'DO АСУТП'!G93</f>
        <v>6.5</v>
      </c>
      <c r="BT93" s="316">
        <f>'NTA АСУТП'!G93</f>
        <v>8</v>
      </c>
      <c r="BU93" s="316">
        <f>'NTA АСУТП'!K93</f>
        <v>8</v>
      </c>
      <c r="BV93" s="316">
        <f>'NTA АСУТП'!O93</f>
        <v>24</v>
      </c>
      <c r="BW93" s="316">
        <f>'NTA АСУТП'!S93</f>
        <v>8</v>
      </c>
      <c r="BX93" s="316">
        <f>'SEG АСУТП'!G93</f>
        <v>8</v>
      </c>
      <c r="BY93" s="316">
        <f>'APT АСУТП'!G93</f>
        <v>32</v>
      </c>
      <c r="BZ93" s="316">
        <f>'APT АСУТП'!K93</f>
        <v>32</v>
      </c>
      <c r="CA93" s="316">
        <f>'APT АСУТП'!O93</f>
        <v>32</v>
      </c>
      <c r="CB93" s="316">
        <f>'NAC АСУТП'!G93</f>
        <v>16</v>
      </c>
      <c r="CC93" s="316">
        <f>'SANDBOX АСУТП'!G93</f>
        <v>8</v>
      </c>
      <c r="CD93" s="316">
        <f>'SANDBOX АСУТП'!K93</f>
        <v>8</v>
      </c>
      <c r="CE93" s="316">
        <f>'EDR АСУТП'!G93</f>
        <v>2</v>
      </c>
      <c r="CF93" s="316">
        <f>'EDR АСУТП'!K93</f>
        <v>2</v>
      </c>
      <c r="CG93" s="316">
        <f>'WAF АСУТП'!G93</f>
        <v>16</v>
      </c>
      <c r="CH93" s="316">
        <f>'WAF АСУТП'!K93</f>
        <v>16</v>
      </c>
      <c r="CI93" s="316">
        <f>'WAF АСУТП'!O93</f>
        <v>16</v>
      </c>
      <c r="CJ93" s="316">
        <f>'ВМ ЗСВ'!G93</f>
        <v>8</v>
      </c>
      <c r="CK93" s="316">
        <f>'ВМ ЗСВ'!K93</f>
        <v>8</v>
      </c>
      <c r="CL93" s="316">
        <f>'ВМ ЗСВ'!O93</f>
        <v>10</v>
      </c>
      <c r="CM93" s="316">
        <f>'ВМ ЗСВ'!S93</f>
        <v>10</v>
      </c>
      <c r="CN93" s="316">
        <f>'ВМ ЗСВ'!W93</f>
        <v>10</v>
      </c>
      <c r="CO93" s="316">
        <f>'ВМ ЗСВ'!AA93</f>
        <v>8</v>
      </c>
      <c r="CP93" s="316">
        <f>'ВМ СПО'!G93</f>
        <v>2</v>
      </c>
      <c r="CQ93" s="316">
        <f>'ВМ СПО'!K93</f>
        <v>2</v>
      </c>
      <c r="CR93" s="316">
        <f>'ВМ СПО'!O93</f>
        <v>4</v>
      </c>
      <c r="CS93" s="316">
        <f>'ВМ СПО'!S93</f>
        <v>4</v>
      </c>
      <c r="CT93" s="316">
        <f>'ВМ АСО'!G93</f>
        <v>0</v>
      </c>
      <c r="CU93" s="316">
        <f>'ВМ АСО'!K93</f>
        <v>0</v>
      </c>
      <c r="CV93" s="316" t="e">
        <f t="shared" si="93"/>
        <v>#REF!</v>
      </c>
      <c r="CW93" s="25">
        <f t="shared" si="94"/>
        <v>2.5</v>
      </c>
      <c r="CX93" s="25">
        <f t="shared" si="95"/>
        <v>5</v>
      </c>
      <c r="CY93" s="25">
        <f t="shared" si="96"/>
        <v>0</v>
      </c>
      <c r="CZ93" s="25">
        <f t="shared" si="97"/>
        <v>0</v>
      </c>
      <c r="DA93" s="25">
        <f t="shared" si="98"/>
        <v>0</v>
      </c>
      <c r="DB93" s="25">
        <f t="shared" si="99"/>
        <v>0</v>
      </c>
      <c r="DC93" s="25">
        <f t="shared" si="100"/>
        <v>0</v>
      </c>
      <c r="DD93" s="25">
        <f t="shared" si="101"/>
        <v>0</v>
      </c>
      <c r="DE93" s="25">
        <f t="shared" si="102"/>
        <v>0</v>
      </c>
      <c r="DF93" s="25">
        <f t="shared" si="103"/>
        <v>0</v>
      </c>
      <c r="DG93" s="25">
        <f t="shared" si="104"/>
        <v>0</v>
      </c>
      <c r="DH93" s="25">
        <f t="shared" si="105"/>
        <v>0</v>
      </c>
      <c r="DI93" s="25">
        <f t="shared" si="106"/>
        <v>0</v>
      </c>
      <c r="DJ93" s="25" t="e">
        <f t="shared" si="107"/>
        <v>#REF!</v>
      </c>
      <c r="DK93" s="25">
        <f t="shared" si="108"/>
        <v>0</v>
      </c>
      <c r="DL93" s="25">
        <f t="shared" si="109"/>
        <v>0</v>
      </c>
      <c r="DM93" s="25">
        <f t="shared" si="110"/>
        <v>0</v>
      </c>
      <c r="DN93" s="25">
        <f t="shared" si="111"/>
        <v>0</v>
      </c>
      <c r="DO93" s="25">
        <f t="shared" si="112"/>
        <v>0</v>
      </c>
      <c r="DP93" s="25">
        <f t="shared" si="113"/>
        <v>0</v>
      </c>
      <c r="DQ93" s="25">
        <f t="shared" si="114"/>
        <v>0</v>
      </c>
      <c r="DR93" s="25">
        <f t="shared" si="115"/>
        <v>0</v>
      </c>
      <c r="DS93" s="25">
        <f t="shared" si="116"/>
        <v>0</v>
      </c>
      <c r="DT93" s="25">
        <f t="shared" si="117"/>
        <v>0</v>
      </c>
      <c r="DU93" s="25">
        <f t="shared" si="118"/>
        <v>0</v>
      </c>
      <c r="DV93" s="21">
        <f t="shared" si="119"/>
        <v>0</v>
      </c>
      <c r="DW93" s="317">
        <f t="shared" si="120"/>
        <v>0</v>
      </c>
      <c r="DX93" s="317">
        <f t="shared" si="121"/>
        <v>0</v>
      </c>
      <c r="DY93" s="317">
        <f t="shared" si="122"/>
        <v>0</v>
      </c>
      <c r="DZ93" s="230">
        <f t="shared" si="123"/>
        <v>0</v>
      </c>
    </row>
    <row r="94" spans="1:130" ht="15" customHeight="1" x14ac:dyDescent="0.25">
      <c r="A94" s="1908" t="s">
        <v>25</v>
      </c>
      <c r="B94" s="1909">
        <f>IF('Тип разраб-ой док-ции'!F37=1,1,0)</f>
        <v>1</v>
      </c>
      <c r="C94" s="18" t="s">
        <v>32</v>
      </c>
      <c r="D94" s="21"/>
      <c r="E94" s="316">
        <f>'АВЗ АСУТП'!G94</f>
        <v>6</v>
      </c>
      <c r="F94" s="316">
        <f>'АВЗ АСУТП'!K94</f>
        <v>6</v>
      </c>
      <c r="G94" s="316">
        <f>'АВЗ АСУТП'!O94</f>
        <v>6</v>
      </c>
      <c r="H94" s="230">
        <f>'АВЗ АСУТП'!S94</f>
        <v>6</v>
      </c>
      <c r="I94" s="316">
        <f>'АВЗ АСУТП'!W94</f>
        <v>6</v>
      </c>
      <c r="J94" s="230">
        <f>'АВЗ АСУТП'!AA94</f>
        <v>6</v>
      </c>
      <c r="K94" s="230">
        <f>'АВЗ АСУТП'!AE94</f>
        <v>6</v>
      </c>
      <c r="L94" s="230">
        <f>'АВЗ АСУТП'!AI94</f>
        <v>6</v>
      </c>
      <c r="M94" s="230">
        <f>'SIEM АСУТП'!G94</f>
        <v>2</v>
      </c>
      <c r="N94" s="230">
        <f>'SIEM АСУТП'!K94</f>
        <v>2</v>
      </c>
      <c r="O94" s="21">
        <f>'МСЭ АСУТП'!G100</f>
        <v>1</v>
      </c>
      <c r="P94" s="25">
        <f>'МСЭ АСУТП'!K100</f>
        <v>1</v>
      </c>
      <c r="Q94" s="21">
        <f>'МСЭ АСУТП'!O100</f>
        <v>1</v>
      </c>
      <c r="R94" s="21">
        <f>'МСЭ АСУТП'!S100</f>
        <v>1</v>
      </c>
      <c r="S94" s="230">
        <f>'PAM АСУТП'!G94</f>
        <v>9</v>
      </c>
      <c r="T94" s="230">
        <f>'PAM АСУТП'!K94</f>
        <v>9</v>
      </c>
      <c r="U94" s="230">
        <f>'PAM АСУТП'!O94</f>
        <v>9</v>
      </c>
      <c r="V94" s="230">
        <f>'СКЗИ АСУТП'!G94</f>
        <v>3</v>
      </c>
      <c r="W94" s="230">
        <f>'СКЗИ АСУТП'!K94</f>
        <v>3</v>
      </c>
      <c r="X94" s="230">
        <f>'СКЗИ АСУТП'!O94</f>
        <v>3</v>
      </c>
      <c r="Y94" s="230">
        <f>'СКЗИ АСУТП'!S94</f>
        <v>3</v>
      </c>
      <c r="Z94" s="230">
        <f>'СКЗИ АСУТП'!W94</f>
        <v>3</v>
      </c>
      <c r="AA94" s="230">
        <f>'АЗ АСУТП'!G94</f>
        <v>3</v>
      </c>
      <c r="AB94" s="230">
        <f>'АЗ АСУТП'!K94</f>
        <v>3</v>
      </c>
      <c r="AC94" s="230">
        <f>'АЗ АСУТП'!O94</f>
        <v>3</v>
      </c>
      <c r="AD94" s="230">
        <f>'АЗ АСУТП'!S94</f>
        <v>3</v>
      </c>
      <c r="AE94" s="230">
        <f>'АЗ АСУТП'!W94</f>
        <v>3</v>
      </c>
      <c r="AF94" s="230">
        <f>'РК АСУТП'!G94</f>
        <v>2.5</v>
      </c>
      <c r="AG94" s="230">
        <f>'РК АСУТП'!K94</f>
        <v>2.5</v>
      </c>
      <c r="AH94" s="230">
        <f>'IDS АСУТП'!G94</f>
        <v>8</v>
      </c>
      <c r="AI94" s="230">
        <f>'IDS АСУТП'!K94</f>
        <v>8</v>
      </c>
      <c r="AJ94" s="230">
        <f>'IDS АСУТП'!O94</f>
        <v>8</v>
      </c>
      <c r="AK94" s="230">
        <f>'АПМДЗ АСУТП'!G94</f>
        <v>0.64000000000000012</v>
      </c>
      <c r="AL94" s="230">
        <f>'АПМДЗ АСУТП'!K94</f>
        <v>0.64000000000000012</v>
      </c>
      <c r="AM94" s="230">
        <f>'НСД АСУТП'!G94</f>
        <v>0.64000000000000012</v>
      </c>
      <c r="AN94" s="230">
        <f>'НСД АСУТП'!K94</f>
        <v>0.64000000000000012</v>
      </c>
      <c r="AO94" s="230">
        <f>'НСД АСУТП'!O94</f>
        <v>0.64000000000000012</v>
      </c>
      <c r="AP94" s="230">
        <f>'MFA АСУТП'!G94</f>
        <v>6</v>
      </c>
      <c r="AQ94" s="230">
        <f>'MFA АСУТП'!K94</f>
        <v>6</v>
      </c>
      <c r="AR94" s="230">
        <f>'MFA АСУТП'!O94</f>
        <v>6</v>
      </c>
      <c r="AS94" s="230">
        <f>'MFA АСУТП'!S94</f>
        <v>6</v>
      </c>
      <c r="AT94" s="230">
        <f>'ДИОД АСУТП'!G94</f>
        <v>0</v>
      </c>
      <c r="AU94" s="230">
        <f>'ДИОД АСУТП'!K94</f>
        <v>0</v>
      </c>
      <c r="AV94" s="230">
        <f>'ДИОД АСУТП'!O94</f>
        <v>0</v>
      </c>
      <c r="AW94" s="230">
        <f>'ДИОД АСУТП'!S94</f>
        <v>0</v>
      </c>
      <c r="AX94" s="230">
        <f>'СЗВ АСУТП'!G94</f>
        <v>6</v>
      </c>
      <c r="AY94" s="230">
        <f>'СЗВ АСУТП'!K94</f>
        <v>6</v>
      </c>
      <c r="AZ94" s="230">
        <f>'СЗВ АСУТП'!O94</f>
        <v>6</v>
      </c>
      <c r="BA94" s="230">
        <f>'SOAR АСУТП'!G94</f>
        <v>2</v>
      </c>
      <c r="BB94" s="230">
        <f>'SOAR АСУТП'!K94</f>
        <v>2</v>
      </c>
      <c r="BC94" s="230">
        <f>'SOAR АСУТП'!O94</f>
        <v>2</v>
      </c>
      <c r="BD94" s="230" t="e">
        <f>'SOAR АСУТП'!#REF!</f>
        <v>#REF!</v>
      </c>
      <c r="BE94" s="230">
        <f>'VDI АСУТП'!G94</f>
        <v>4</v>
      </c>
      <c r="BF94" s="230">
        <f>'VDI АСУТП'!K94</f>
        <v>4</v>
      </c>
      <c r="BG94" s="230">
        <f>'VDI АСУТП'!O94</f>
        <v>4</v>
      </c>
      <c r="BH94" s="230">
        <f>'VDI АСУТП'!S94</f>
        <v>4</v>
      </c>
      <c r="BI94" s="230">
        <f>'VDI АСУТП'!W94</f>
        <v>4</v>
      </c>
      <c r="BJ94" s="316">
        <f>'СУБД АСУТП'!G94</f>
        <v>2</v>
      </c>
      <c r="BK94" s="316">
        <f>'СУБД АСУТП'!K94</f>
        <v>2</v>
      </c>
      <c r="BL94" s="316">
        <f>'ГОССОПКА АСУТП'!G94</f>
        <v>2</v>
      </c>
      <c r="BM94" s="316">
        <f>'ГОССОПКА АСУТП'!K94</f>
        <v>2</v>
      </c>
      <c r="BN94" s="316">
        <f>'TLS АСУТП'!G94</f>
        <v>2</v>
      </c>
      <c r="BO94" s="316">
        <f>'TLS АСУТП'!K94</f>
        <v>2</v>
      </c>
      <c r="BP94" s="316">
        <f>'DCAP АСУТП'!G94</f>
        <v>6</v>
      </c>
      <c r="BQ94" s="316">
        <f>'DCAP АСУТП'!K94</f>
        <v>6</v>
      </c>
      <c r="BR94" s="316">
        <f>'DCAP АСУТП'!O94</f>
        <v>6</v>
      </c>
      <c r="BS94" s="316">
        <f>'DO АСУТП'!G94</f>
        <v>6</v>
      </c>
      <c r="BT94" s="316">
        <f>'NTA АСУТП'!G94</f>
        <v>6</v>
      </c>
      <c r="BU94" s="316">
        <f>'NTA АСУТП'!K94</f>
        <v>6</v>
      </c>
      <c r="BV94" s="316">
        <f>'NTA АСУТП'!O94</f>
        <v>16</v>
      </c>
      <c r="BW94" s="316">
        <f>'NTA АСУТП'!S94</f>
        <v>6</v>
      </c>
      <c r="BX94" s="316">
        <f>'SEG АСУТП'!G94</f>
        <v>6</v>
      </c>
      <c r="BY94" s="316">
        <f>'APT АСУТП'!G94</f>
        <v>16</v>
      </c>
      <c r="BZ94" s="316">
        <f>'APT АСУТП'!K94</f>
        <v>16</v>
      </c>
      <c r="CA94" s="316">
        <f>'APT АСУТП'!O94</f>
        <v>16</v>
      </c>
      <c r="CB94" s="316">
        <f>'NAC АСУТП'!G94</f>
        <v>2</v>
      </c>
      <c r="CC94" s="316">
        <f>'SANDBOX АСУТП'!G94</f>
        <v>6</v>
      </c>
      <c r="CD94" s="316">
        <f>'SANDBOX АСУТП'!K94</f>
        <v>6</v>
      </c>
      <c r="CE94" s="316">
        <f>'EDR АСУТП'!G94</f>
        <v>2</v>
      </c>
      <c r="CF94" s="316">
        <f>'EDR АСУТП'!K94</f>
        <v>2</v>
      </c>
      <c r="CG94" s="316">
        <f>'WAF АСУТП'!G94</f>
        <v>2</v>
      </c>
      <c r="CH94" s="316">
        <f>'WAF АСУТП'!K94</f>
        <v>2</v>
      </c>
      <c r="CI94" s="316">
        <f>'WAF АСУТП'!O94</f>
        <v>2</v>
      </c>
      <c r="CJ94" s="316">
        <f>'ВМ ЗСВ'!G94</f>
        <v>4</v>
      </c>
      <c r="CK94" s="316">
        <f>'ВМ ЗСВ'!K94</f>
        <v>6</v>
      </c>
      <c r="CL94" s="316">
        <f>'ВМ ЗСВ'!O94</f>
        <v>6</v>
      </c>
      <c r="CM94" s="316">
        <f>'ВМ ЗСВ'!S94</f>
        <v>6</v>
      </c>
      <c r="CN94" s="316">
        <f>'ВМ ЗСВ'!W94</f>
        <v>6</v>
      </c>
      <c r="CO94" s="316">
        <f>'ВМ ЗСВ'!AA94</f>
        <v>4</v>
      </c>
      <c r="CP94" s="316">
        <f>'ВМ СПО'!G94</f>
        <v>2</v>
      </c>
      <c r="CQ94" s="316">
        <f>'ВМ СПО'!K94</f>
        <v>2</v>
      </c>
      <c r="CR94" s="316">
        <f>'ВМ СПО'!O94</f>
        <v>4</v>
      </c>
      <c r="CS94" s="316">
        <f>'ВМ СПО'!S94</f>
        <v>4</v>
      </c>
      <c r="CT94" s="316">
        <f>'ВМ АСО'!G94</f>
        <v>0</v>
      </c>
      <c r="CU94" s="316">
        <f>'ВМ АСО'!K94</f>
        <v>0</v>
      </c>
      <c r="CV94" s="316" t="e">
        <f t="shared" si="93"/>
        <v>#REF!</v>
      </c>
      <c r="CW94" s="25">
        <f t="shared" si="94"/>
        <v>6</v>
      </c>
      <c r="CX94" s="25">
        <f t="shared" si="95"/>
        <v>2</v>
      </c>
      <c r="CY94" s="25">
        <f t="shared" si="96"/>
        <v>0</v>
      </c>
      <c r="CZ94" s="25">
        <f t="shared" si="97"/>
        <v>0</v>
      </c>
      <c r="DA94" s="25">
        <f t="shared" si="98"/>
        <v>0</v>
      </c>
      <c r="DB94" s="25">
        <f t="shared" si="99"/>
        <v>0</v>
      </c>
      <c r="DC94" s="25">
        <f t="shared" si="100"/>
        <v>0</v>
      </c>
      <c r="DD94" s="25">
        <f t="shared" si="101"/>
        <v>0</v>
      </c>
      <c r="DE94" s="25">
        <f t="shared" si="102"/>
        <v>0</v>
      </c>
      <c r="DF94" s="25">
        <f t="shared" si="103"/>
        <v>0</v>
      </c>
      <c r="DG94" s="25">
        <f t="shared" si="104"/>
        <v>0</v>
      </c>
      <c r="DH94" s="25">
        <f t="shared" si="105"/>
        <v>0</v>
      </c>
      <c r="DI94" s="25">
        <f t="shared" si="106"/>
        <v>0</v>
      </c>
      <c r="DJ94" s="25" t="e">
        <f t="shared" si="107"/>
        <v>#REF!</v>
      </c>
      <c r="DK94" s="25">
        <f t="shared" si="108"/>
        <v>0</v>
      </c>
      <c r="DL94" s="25">
        <f t="shared" si="109"/>
        <v>0</v>
      </c>
      <c r="DM94" s="25">
        <f t="shared" si="110"/>
        <v>0</v>
      </c>
      <c r="DN94" s="25">
        <f t="shared" si="111"/>
        <v>0</v>
      </c>
      <c r="DO94" s="25">
        <f t="shared" si="112"/>
        <v>0</v>
      </c>
      <c r="DP94" s="25">
        <f t="shared" si="113"/>
        <v>0</v>
      </c>
      <c r="DQ94" s="25">
        <f t="shared" si="114"/>
        <v>0</v>
      </c>
      <c r="DR94" s="25">
        <f t="shared" si="115"/>
        <v>0</v>
      </c>
      <c r="DS94" s="25">
        <f t="shared" si="116"/>
        <v>0</v>
      </c>
      <c r="DT94" s="25">
        <f t="shared" si="117"/>
        <v>0</v>
      </c>
      <c r="DU94" s="25">
        <f t="shared" si="118"/>
        <v>0</v>
      </c>
      <c r="DV94" s="21">
        <f t="shared" si="119"/>
        <v>0</v>
      </c>
      <c r="DW94" s="317">
        <f t="shared" si="120"/>
        <v>0</v>
      </c>
      <c r="DX94" s="317">
        <f t="shared" si="121"/>
        <v>0</v>
      </c>
      <c r="DY94" s="317">
        <f t="shared" si="122"/>
        <v>0</v>
      </c>
      <c r="DZ94" s="230">
        <f t="shared" si="123"/>
        <v>0</v>
      </c>
    </row>
    <row r="95" spans="1:130" ht="15" customHeight="1" x14ac:dyDescent="0.25">
      <c r="A95" s="1908"/>
      <c r="B95" s="1909"/>
      <c r="C95" s="18" t="s">
        <v>33</v>
      </c>
      <c r="D95" s="21"/>
      <c r="E95" s="316">
        <f>'АВЗ АСУТП'!G95</f>
        <v>1.5</v>
      </c>
      <c r="F95" s="316">
        <f>'АВЗ АСУТП'!K95</f>
        <v>1.5</v>
      </c>
      <c r="G95" s="316">
        <f>'АВЗ АСУТП'!O95</f>
        <v>1.5</v>
      </c>
      <c r="H95" s="230">
        <f>'АВЗ АСУТП'!S95</f>
        <v>1.5</v>
      </c>
      <c r="I95" s="316">
        <f>'АВЗ АСУТП'!W95</f>
        <v>1.5</v>
      </c>
      <c r="J95" s="230">
        <f>'АВЗ АСУТП'!AA95</f>
        <v>1.5</v>
      </c>
      <c r="K95" s="230">
        <f>'АВЗ АСУТП'!AE95</f>
        <v>1.5</v>
      </c>
      <c r="L95" s="230">
        <f>'АВЗ АСУТП'!AI95</f>
        <v>1.5</v>
      </c>
      <c r="M95" s="230">
        <f>'SIEM АСУТП'!G95</f>
        <v>2</v>
      </c>
      <c r="N95" s="230">
        <f>'SIEM АСУТП'!K95</f>
        <v>2</v>
      </c>
      <c r="O95" s="21">
        <f>'МСЭ АСУТП'!G101</f>
        <v>2</v>
      </c>
      <c r="P95" s="25">
        <f>'МСЭ АСУТП'!K101</f>
        <v>2</v>
      </c>
      <c r="Q95" s="21">
        <f>'МСЭ АСУТП'!O101</f>
        <v>2</v>
      </c>
      <c r="R95" s="21">
        <f>'МСЭ АСУТП'!S101</f>
        <v>2</v>
      </c>
      <c r="S95" s="230">
        <f>'PAM АСУТП'!G95</f>
        <v>9</v>
      </c>
      <c r="T95" s="230">
        <f>'PAM АСУТП'!K95</f>
        <v>9</v>
      </c>
      <c r="U95" s="230">
        <f>'PAM АСУТП'!O95</f>
        <v>9</v>
      </c>
      <c r="V95" s="230">
        <f>'СКЗИ АСУТП'!G95</f>
        <v>5</v>
      </c>
      <c r="W95" s="230">
        <f>'СКЗИ АСУТП'!K95</f>
        <v>5</v>
      </c>
      <c r="X95" s="230">
        <f>'СКЗИ АСУТП'!O95</f>
        <v>5</v>
      </c>
      <c r="Y95" s="230">
        <f>'СКЗИ АСУТП'!S95</f>
        <v>5</v>
      </c>
      <c r="Z95" s="230">
        <f>'СКЗИ АСУТП'!W95</f>
        <v>5</v>
      </c>
      <c r="AA95" s="230">
        <f>'АЗ АСУТП'!G95</f>
        <v>3</v>
      </c>
      <c r="AB95" s="230">
        <f>'АЗ АСУТП'!K95</f>
        <v>3</v>
      </c>
      <c r="AC95" s="230">
        <f>'АЗ АСУТП'!O95</f>
        <v>3</v>
      </c>
      <c r="AD95" s="230">
        <f>'АЗ АСУТП'!S95</f>
        <v>3</v>
      </c>
      <c r="AE95" s="230">
        <f>'АЗ АСУТП'!W95</f>
        <v>3</v>
      </c>
      <c r="AF95" s="230">
        <f>'РК АСУТП'!G95</f>
        <v>3.5</v>
      </c>
      <c r="AG95" s="230">
        <f>'РК АСУТП'!K95</f>
        <v>3.5</v>
      </c>
      <c r="AH95" s="230">
        <f>'IDS АСУТП'!G95</f>
        <v>8</v>
      </c>
      <c r="AI95" s="230">
        <f>'IDS АСУТП'!K95</f>
        <v>8</v>
      </c>
      <c r="AJ95" s="230">
        <f>'IDS АСУТП'!O95</f>
        <v>8</v>
      </c>
      <c r="AK95" s="230">
        <f>'АПМДЗ АСУТП'!G95</f>
        <v>0.8</v>
      </c>
      <c r="AL95" s="230">
        <f>'АПМДЗ АСУТП'!K95</f>
        <v>0.8</v>
      </c>
      <c r="AM95" s="230">
        <f>'НСД АСУТП'!G95</f>
        <v>0.8</v>
      </c>
      <c r="AN95" s="230">
        <f>'НСД АСУТП'!K95</f>
        <v>0.8</v>
      </c>
      <c r="AO95" s="230">
        <f>'НСД АСУТП'!O95</f>
        <v>0.8</v>
      </c>
      <c r="AP95" s="230">
        <f>'MFA АСУТП'!G95</f>
        <v>6</v>
      </c>
      <c r="AQ95" s="230">
        <f>'MFA АСУТП'!K95</f>
        <v>6</v>
      </c>
      <c r="AR95" s="230">
        <f>'MFA АСУТП'!O95</f>
        <v>6</v>
      </c>
      <c r="AS95" s="230">
        <f>'MFA АСУТП'!S95</f>
        <v>6</v>
      </c>
      <c r="AT95" s="230">
        <f>'ДИОД АСУТП'!G95</f>
        <v>0</v>
      </c>
      <c r="AU95" s="230">
        <f>'ДИОД АСУТП'!K95</f>
        <v>0</v>
      </c>
      <c r="AV95" s="230">
        <f>'ДИОД АСУТП'!O95</f>
        <v>0</v>
      </c>
      <c r="AW95" s="230">
        <f>'ДИОД АСУТП'!S95</f>
        <v>0</v>
      </c>
      <c r="AX95" s="230">
        <f>'СЗВ АСУТП'!G95</f>
        <v>6</v>
      </c>
      <c r="AY95" s="230">
        <f>'СЗВ АСУТП'!K95</f>
        <v>6</v>
      </c>
      <c r="AZ95" s="230">
        <f>'СЗВ АСУТП'!O95</f>
        <v>6</v>
      </c>
      <c r="BA95" s="230">
        <f>'SOAR АСУТП'!G95</f>
        <v>4</v>
      </c>
      <c r="BB95" s="230">
        <f>'SOAR АСУТП'!K95</f>
        <v>4</v>
      </c>
      <c r="BC95" s="230">
        <f>'SOAR АСУТП'!O95</f>
        <v>4</v>
      </c>
      <c r="BD95" s="230" t="e">
        <f>'SOAR АСУТП'!#REF!</f>
        <v>#REF!</v>
      </c>
      <c r="BE95" s="230">
        <f>'VDI АСУТП'!G95</f>
        <v>4</v>
      </c>
      <c r="BF95" s="230">
        <f>'VDI АСУТП'!K95</f>
        <v>4</v>
      </c>
      <c r="BG95" s="230">
        <f>'VDI АСУТП'!O95</f>
        <v>4</v>
      </c>
      <c r="BH95" s="230">
        <f>'VDI АСУТП'!S95</f>
        <v>4</v>
      </c>
      <c r="BI95" s="230">
        <f>'VDI АСУТП'!W95</f>
        <v>4</v>
      </c>
      <c r="BJ95" s="316">
        <f>'СУБД АСУТП'!G95</f>
        <v>1</v>
      </c>
      <c r="BK95" s="316">
        <f>'СУБД АСУТП'!K95</f>
        <v>1</v>
      </c>
      <c r="BL95" s="316">
        <f>'ГОССОПКА АСУТП'!G95</f>
        <v>4</v>
      </c>
      <c r="BM95" s="316">
        <f>'ГОССОПКА АСУТП'!K95</f>
        <v>4</v>
      </c>
      <c r="BN95" s="316">
        <f>'TLS АСУТП'!G95</f>
        <v>4</v>
      </c>
      <c r="BO95" s="316">
        <f>'TLS АСУТП'!K95</f>
        <v>4</v>
      </c>
      <c r="BP95" s="316">
        <f>'DCAP АСУТП'!G95</f>
        <v>6</v>
      </c>
      <c r="BQ95" s="316">
        <f>'DCAP АСУТП'!K95</f>
        <v>6</v>
      </c>
      <c r="BR95" s="316">
        <f>'DCAP АСУТП'!O95</f>
        <v>6</v>
      </c>
      <c r="BS95" s="316">
        <f>'DO АСУТП'!G95</f>
        <v>4.5</v>
      </c>
      <c r="BT95" s="316">
        <f>'NTA АСУТП'!G95</f>
        <v>6</v>
      </c>
      <c r="BU95" s="316">
        <f>'NTA АСУТП'!K95</f>
        <v>6</v>
      </c>
      <c r="BV95" s="316">
        <f>'NTA АСУТП'!O95</f>
        <v>16</v>
      </c>
      <c r="BW95" s="316">
        <f>'NTA АСУТП'!S95</f>
        <v>6</v>
      </c>
      <c r="BX95" s="316">
        <f>'SEG АСУТП'!G95</f>
        <v>6</v>
      </c>
      <c r="BY95" s="316">
        <f>'APT АСУТП'!G95</f>
        <v>16</v>
      </c>
      <c r="BZ95" s="316">
        <f>'APT АСУТП'!K95</f>
        <v>16</v>
      </c>
      <c r="CA95" s="316">
        <f>'APT АСУТП'!O95</f>
        <v>16</v>
      </c>
      <c r="CB95" s="316">
        <f>'NAC АСУТП'!G95</f>
        <v>4</v>
      </c>
      <c r="CC95" s="316">
        <f>'SANDBOX АСУТП'!G95</f>
        <v>6</v>
      </c>
      <c r="CD95" s="316">
        <f>'SANDBOX АСУТП'!K95</f>
        <v>6</v>
      </c>
      <c r="CE95" s="316">
        <f>'EDR АСУТП'!G95</f>
        <v>2</v>
      </c>
      <c r="CF95" s="316">
        <f>'EDR АСУТП'!K95</f>
        <v>2</v>
      </c>
      <c r="CG95" s="316">
        <f>'WAF АСУТП'!G95</f>
        <v>4</v>
      </c>
      <c r="CH95" s="316">
        <f>'WAF АСУТП'!K95</f>
        <v>4</v>
      </c>
      <c r="CI95" s="316">
        <f>'WAF АСУТП'!O95</f>
        <v>4</v>
      </c>
      <c r="CJ95" s="316">
        <f>'ВМ ЗСВ'!G95</f>
        <v>5</v>
      </c>
      <c r="CK95" s="316">
        <f>'ВМ ЗСВ'!K95</f>
        <v>6</v>
      </c>
      <c r="CL95" s="316">
        <f>'ВМ ЗСВ'!O95</f>
        <v>6</v>
      </c>
      <c r="CM95" s="316">
        <f>'ВМ ЗСВ'!S95</f>
        <v>6</v>
      </c>
      <c r="CN95" s="316">
        <f>'ВМ ЗСВ'!W95</f>
        <v>6</v>
      </c>
      <c r="CO95" s="316">
        <f>'ВМ ЗСВ'!AA95</f>
        <v>4</v>
      </c>
      <c r="CP95" s="316">
        <f>'ВМ СПО'!G95</f>
        <v>1</v>
      </c>
      <c r="CQ95" s="316">
        <f>'ВМ СПО'!K95</f>
        <v>1</v>
      </c>
      <c r="CR95" s="316">
        <f>'ВМ СПО'!O95</f>
        <v>2</v>
      </c>
      <c r="CS95" s="316">
        <f>'ВМ СПО'!S95</f>
        <v>2</v>
      </c>
      <c r="CT95" s="316">
        <f>'ВМ АСО'!G95</f>
        <v>0</v>
      </c>
      <c r="CU95" s="316">
        <f>'ВМ АСО'!K95</f>
        <v>0</v>
      </c>
      <c r="CV95" s="316" t="e">
        <f t="shared" si="93"/>
        <v>#REF!</v>
      </c>
      <c r="CW95" s="25">
        <f t="shared" si="94"/>
        <v>1.5</v>
      </c>
      <c r="CX95" s="25">
        <f t="shared" si="95"/>
        <v>2</v>
      </c>
      <c r="CY95" s="25">
        <f t="shared" si="96"/>
        <v>0</v>
      </c>
      <c r="CZ95" s="25">
        <f t="shared" si="97"/>
        <v>0</v>
      </c>
      <c r="DA95" s="25">
        <f t="shared" si="98"/>
        <v>0</v>
      </c>
      <c r="DB95" s="25">
        <f t="shared" si="99"/>
        <v>0</v>
      </c>
      <c r="DC95" s="25">
        <f t="shared" si="100"/>
        <v>0</v>
      </c>
      <c r="DD95" s="25">
        <f t="shared" si="101"/>
        <v>0</v>
      </c>
      <c r="DE95" s="25">
        <f t="shared" si="102"/>
        <v>0</v>
      </c>
      <c r="DF95" s="25">
        <f t="shared" si="103"/>
        <v>0</v>
      </c>
      <c r="DG95" s="25">
        <f t="shared" si="104"/>
        <v>0</v>
      </c>
      <c r="DH95" s="25">
        <f t="shared" si="105"/>
        <v>0</v>
      </c>
      <c r="DI95" s="25">
        <f t="shared" si="106"/>
        <v>0</v>
      </c>
      <c r="DJ95" s="25" t="e">
        <f t="shared" si="107"/>
        <v>#REF!</v>
      </c>
      <c r="DK95" s="25">
        <f t="shared" si="108"/>
        <v>0</v>
      </c>
      <c r="DL95" s="25">
        <f t="shared" si="109"/>
        <v>0</v>
      </c>
      <c r="DM95" s="25">
        <f t="shared" si="110"/>
        <v>0</v>
      </c>
      <c r="DN95" s="25">
        <f t="shared" si="111"/>
        <v>0</v>
      </c>
      <c r="DO95" s="25">
        <f t="shared" si="112"/>
        <v>0</v>
      </c>
      <c r="DP95" s="25">
        <f t="shared" si="113"/>
        <v>0</v>
      </c>
      <c r="DQ95" s="25">
        <f t="shared" si="114"/>
        <v>0</v>
      </c>
      <c r="DR95" s="25">
        <f t="shared" si="115"/>
        <v>0</v>
      </c>
      <c r="DS95" s="25">
        <f t="shared" si="116"/>
        <v>0</v>
      </c>
      <c r="DT95" s="25">
        <f t="shared" si="117"/>
        <v>0</v>
      </c>
      <c r="DU95" s="25">
        <f t="shared" si="118"/>
        <v>0</v>
      </c>
      <c r="DV95" s="21">
        <f t="shared" si="119"/>
        <v>0</v>
      </c>
      <c r="DW95" s="317">
        <f t="shared" si="120"/>
        <v>0</v>
      </c>
      <c r="DX95" s="317">
        <f t="shared" si="121"/>
        <v>0</v>
      </c>
      <c r="DY95" s="317">
        <f t="shared" si="122"/>
        <v>0</v>
      </c>
      <c r="DZ95" s="230">
        <f t="shared" si="123"/>
        <v>0</v>
      </c>
    </row>
    <row r="96" spans="1:130" ht="15" customHeight="1" x14ac:dyDescent="0.25">
      <c r="A96" s="1908"/>
      <c r="B96" s="1910"/>
      <c r="C96" s="18" t="s">
        <v>34</v>
      </c>
      <c r="D96" s="21"/>
      <c r="E96" s="316">
        <f>'АВЗ АСУТП'!G96</f>
        <v>2.5</v>
      </c>
      <c r="F96" s="316">
        <f>'АВЗ АСУТП'!K96</f>
        <v>2.5</v>
      </c>
      <c r="G96" s="316">
        <f>'АВЗ АСУТП'!O96</f>
        <v>2.5</v>
      </c>
      <c r="H96" s="230">
        <f>'АВЗ АСУТП'!S96</f>
        <v>2.5</v>
      </c>
      <c r="I96" s="316">
        <f>'АВЗ АСУТП'!W96</f>
        <v>2.5</v>
      </c>
      <c r="J96" s="230">
        <f>'АВЗ АСУТП'!AA96</f>
        <v>2.5</v>
      </c>
      <c r="K96" s="230">
        <f>'АВЗ АСУТП'!AE96</f>
        <v>2.5</v>
      </c>
      <c r="L96" s="230">
        <f>'АВЗ АСУТП'!AI96</f>
        <v>2.5</v>
      </c>
      <c r="M96" s="230">
        <f>'SIEM АСУТП'!G96</f>
        <v>4</v>
      </c>
      <c r="N96" s="230">
        <f>'SIEM АСУТП'!K96</f>
        <v>4</v>
      </c>
      <c r="O96" s="21">
        <f>'МСЭ АСУТП'!G102</f>
        <v>3</v>
      </c>
      <c r="P96" s="25">
        <f>'МСЭ АСУТП'!K102</f>
        <v>3</v>
      </c>
      <c r="Q96" s="21">
        <f>'МСЭ АСУТП'!O102</f>
        <v>3</v>
      </c>
      <c r="R96" s="21">
        <f>'МСЭ АСУТП'!S102</f>
        <v>3</v>
      </c>
      <c r="S96" s="230">
        <f>'PAM АСУТП'!G96</f>
        <v>9</v>
      </c>
      <c r="T96" s="230">
        <f>'PAM АСУТП'!K96</f>
        <v>9</v>
      </c>
      <c r="U96" s="230">
        <f>'PAM АСУТП'!O96</f>
        <v>9</v>
      </c>
      <c r="V96" s="230">
        <f>'СКЗИ АСУТП'!G96</f>
        <v>8</v>
      </c>
      <c r="W96" s="230">
        <f>'СКЗИ АСУТП'!K96</f>
        <v>8</v>
      </c>
      <c r="X96" s="230">
        <f>'СКЗИ АСУТП'!O96</f>
        <v>8</v>
      </c>
      <c r="Y96" s="230">
        <f>'СКЗИ АСУТП'!S96</f>
        <v>8</v>
      </c>
      <c r="Z96" s="230">
        <f>'СКЗИ АСУТП'!W96</f>
        <v>8</v>
      </c>
      <c r="AA96" s="230">
        <f>'АЗ АСУТП'!G96</f>
        <v>3</v>
      </c>
      <c r="AB96" s="230">
        <f>'АЗ АСУТП'!K96</f>
        <v>3</v>
      </c>
      <c r="AC96" s="230">
        <f>'АЗ АСУТП'!O96</f>
        <v>3</v>
      </c>
      <c r="AD96" s="230">
        <f>'АЗ АСУТП'!S96</f>
        <v>3</v>
      </c>
      <c r="AE96" s="230">
        <f>'АЗ АСУТП'!W96</f>
        <v>3</v>
      </c>
      <c r="AF96" s="230">
        <f>'РК АСУТП'!G96</f>
        <v>4</v>
      </c>
      <c r="AG96" s="230">
        <f>'РК АСУТП'!K96</f>
        <v>4</v>
      </c>
      <c r="AH96" s="230">
        <f>'IDS АСУТП'!G96</f>
        <v>8</v>
      </c>
      <c r="AI96" s="230">
        <f>'IDS АСУТП'!K96</f>
        <v>8</v>
      </c>
      <c r="AJ96" s="230">
        <f>'IDS АСУТП'!O96</f>
        <v>8</v>
      </c>
      <c r="AK96" s="230">
        <f>'АПМДЗ АСУТП'!G96</f>
        <v>1.2000000000000002</v>
      </c>
      <c r="AL96" s="230">
        <f>'АПМДЗ АСУТП'!K96</f>
        <v>1.2000000000000002</v>
      </c>
      <c r="AM96" s="230">
        <f>'НСД АСУТП'!G96</f>
        <v>1.2000000000000002</v>
      </c>
      <c r="AN96" s="230">
        <f>'НСД АСУТП'!K96</f>
        <v>1.2000000000000002</v>
      </c>
      <c r="AO96" s="230">
        <f>'НСД АСУТП'!O96</f>
        <v>1.2000000000000002</v>
      </c>
      <c r="AP96" s="230">
        <f>'MFA АСУТП'!G96</f>
        <v>6</v>
      </c>
      <c r="AQ96" s="230">
        <f>'MFA АСУТП'!K96</f>
        <v>6</v>
      </c>
      <c r="AR96" s="230">
        <f>'MFA АСУТП'!O96</f>
        <v>6</v>
      </c>
      <c r="AS96" s="230">
        <f>'MFA АСУТП'!S96</f>
        <v>6</v>
      </c>
      <c r="AT96" s="230">
        <f>'ДИОД АСУТП'!G96</f>
        <v>0</v>
      </c>
      <c r="AU96" s="230">
        <f>'ДИОД АСУТП'!K96</f>
        <v>0</v>
      </c>
      <c r="AV96" s="230">
        <f>'ДИОД АСУТП'!O96</f>
        <v>0</v>
      </c>
      <c r="AW96" s="230">
        <f>'ДИОД АСУТП'!S96</f>
        <v>0</v>
      </c>
      <c r="AX96" s="230">
        <f>'СЗВ АСУТП'!G96</f>
        <v>6</v>
      </c>
      <c r="AY96" s="230">
        <f>'СЗВ АСУТП'!K96</f>
        <v>6</v>
      </c>
      <c r="AZ96" s="230">
        <f>'СЗВ АСУТП'!O96</f>
        <v>6</v>
      </c>
      <c r="BA96" s="230">
        <f>'SOAR АСУТП'!G96</f>
        <v>6</v>
      </c>
      <c r="BB96" s="230">
        <f>'SOAR АСУТП'!K96</f>
        <v>6</v>
      </c>
      <c r="BC96" s="230">
        <f>'SOAR АСУТП'!O96</f>
        <v>6</v>
      </c>
      <c r="BD96" s="230" t="e">
        <f>'SOAR АСУТП'!#REF!</f>
        <v>#REF!</v>
      </c>
      <c r="BE96" s="230">
        <f>'VDI АСУТП'!G96</f>
        <v>4</v>
      </c>
      <c r="BF96" s="230">
        <f>'VDI АСУТП'!K96</f>
        <v>4</v>
      </c>
      <c r="BG96" s="230">
        <f>'VDI АСУТП'!O96</f>
        <v>4</v>
      </c>
      <c r="BH96" s="230">
        <f>'VDI АСУТП'!S96</f>
        <v>4</v>
      </c>
      <c r="BI96" s="230">
        <f>'VDI АСУТП'!W96</f>
        <v>4</v>
      </c>
      <c r="BJ96" s="316">
        <f>'СУБД АСУТП'!G96</f>
        <v>2</v>
      </c>
      <c r="BK96" s="316">
        <f>'СУБД АСУТП'!K96</f>
        <v>2</v>
      </c>
      <c r="BL96" s="316">
        <f>'ГОССОПКА АСУТП'!G96</f>
        <v>6</v>
      </c>
      <c r="BM96" s="316">
        <f>'ГОССОПКА АСУТП'!K96</f>
        <v>6</v>
      </c>
      <c r="BN96" s="316">
        <f>'TLS АСУТП'!G96</f>
        <v>6</v>
      </c>
      <c r="BO96" s="316">
        <f>'TLS АСУТП'!K96</f>
        <v>6</v>
      </c>
      <c r="BP96" s="316">
        <f>'DCAP АСУТП'!G96</f>
        <v>6</v>
      </c>
      <c r="BQ96" s="316">
        <f>'DCAP АСУТП'!K96</f>
        <v>6</v>
      </c>
      <c r="BR96" s="316">
        <f>'DCAP АСУТП'!O96</f>
        <v>6</v>
      </c>
      <c r="BS96" s="316">
        <f>'DO АСУТП'!G96</f>
        <v>6.5</v>
      </c>
      <c r="BT96" s="316">
        <f>'NTA АСУТП'!G96</f>
        <v>6</v>
      </c>
      <c r="BU96" s="316">
        <f>'NTA АСУТП'!K96</f>
        <v>6</v>
      </c>
      <c r="BV96" s="316">
        <f>'NTA АСУТП'!O96</f>
        <v>16</v>
      </c>
      <c r="BW96" s="316">
        <f>'NTA АСУТП'!S96</f>
        <v>6</v>
      </c>
      <c r="BX96" s="316">
        <f>'SEG АСУТП'!G96</f>
        <v>6</v>
      </c>
      <c r="BY96" s="316">
        <f>'APT АСУТП'!G96</f>
        <v>16</v>
      </c>
      <c r="BZ96" s="316">
        <f>'APT АСУТП'!K96</f>
        <v>16</v>
      </c>
      <c r="CA96" s="316">
        <f>'APT АСУТП'!O96</f>
        <v>16</v>
      </c>
      <c r="CB96" s="316">
        <f>'NAC АСУТП'!G96</f>
        <v>6</v>
      </c>
      <c r="CC96" s="316">
        <f>'SANDBOX АСУТП'!G96</f>
        <v>6</v>
      </c>
      <c r="CD96" s="316">
        <f>'SANDBOX АСУТП'!K96</f>
        <v>6</v>
      </c>
      <c r="CE96" s="316">
        <f>'EDR АСУТП'!G96</f>
        <v>4</v>
      </c>
      <c r="CF96" s="316">
        <f>'EDR АСУТП'!K96</f>
        <v>4</v>
      </c>
      <c r="CG96" s="316">
        <f>'WAF АСУТП'!G96</f>
        <v>6</v>
      </c>
      <c r="CH96" s="316">
        <f>'WAF АСУТП'!K96</f>
        <v>6</v>
      </c>
      <c r="CI96" s="316">
        <f>'WAF АСУТП'!O96</f>
        <v>6</v>
      </c>
      <c r="CJ96" s="316">
        <f>'ВМ ЗСВ'!G96</f>
        <v>6</v>
      </c>
      <c r="CK96" s="316">
        <f>'ВМ ЗСВ'!K96</f>
        <v>6</v>
      </c>
      <c r="CL96" s="316">
        <f>'ВМ ЗСВ'!O96</f>
        <v>8</v>
      </c>
      <c r="CM96" s="316">
        <f>'ВМ ЗСВ'!S96</f>
        <v>8</v>
      </c>
      <c r="CN96" s="316">
        <f>'ВМ ЗСВ'!W96</f>
        <v>6</v>
      </c>
      <c r="CO96" s="316">
        <f>'ВМ ЗСВ'!AA96</f>
        <v>6</v>
      </c>
      <c r="CP96" s="316">
        <f>'ВМ СПО'!G96</f>
        <v>2</v>
      </c>
      <c r="CQ96" s="316">
        <f>'ВМ СПО'!K96</f>
        <v>2</v>
      </c>
      <c r="CR96" s="316">
        <f>'ВМ СПО'!O96</f>
        <v>4</v>
      </c>
      <c r="CS96" s="316">
        <f>'ВМ СПО'!S96</f>
        <v>4</v>
      </c>
      <c r="CT96" s="316">
        <f>'ВМ АСО'!G96</f>
        <v>0</v>
      </c>
      <c r="CU96" s="316">
        <f>'ВМ АСО'!K96</f>
        <v>0</v>
      </c>
      <c r="CV96" s="316" t="e">
        <f t="shared" si="93"/>
        <v>#REF!</v>
      </c>
      <c r="CW96" s="25">
        <f t="shared" si="94"/>
        <v>2.5</v>
      </c>
      <c r="CX96" s="25">
        <f t="shared" si="95"/>
        <v>4</v>
      </c>
      <c r="CY96" s="25">
        <f t="shared" si="96"/>
        <v>0</v>
      </c>
      <c r="CZ96" s="25">
        <f t="shared" si="97"/>
        <v>0</v>
      </c>
      <c r="DA96" s="25">
        <f t="shared" si="98"/>
        <v>0</v>
      </c>
      <c r="DB96" s="25">
        <f t="shared" si="99"/>
        <v>0</v>
      </c>
      <c r="DC96" s="25">
        <f t="shared" si="100"/>
        <v>0</v>
      </c>
      <c r="DD96" s="25">
        <f t="shared" si="101"/>
        <v>0</v>
      </c>
      <c r="DE96" s="25">
        <f t="shared" si="102"/>
        <v>0</v>
      </c>
      <c r="DF96" s="25">
        <f t="shared" si="103"/>
        <v>0</v>
      </c>
      <c r="DG96" s="25">
        <f t="shared" si="104"/>
        <v>0</v>
      </c>
      <c r="DH96" s="25">
        <f t="shared" si="105"/>
        <v>0</v>
      </c>
      <c r="DI96" s="25">
        <f t="shared" si="106"/>
        <v>0</v>
      </c>
      <c r="DJ96" s="25" t="e">
        <f t="shared" si="107"/>
        <v>#REF!</v>
      </c>
      <c r="DK96" s="25">
        <f t="shared" si="108"/>
        <v>0</v>
      </c>
      <c r="DL96" s="25">
        <f t="shared" si="109"/>
        <v>0</v>
      </c>
      <c r="DM96" s="25">
        <f t="shared" si="110"/>
        <v>0</v>
      </c>
      <c r="DN96" s="25">
        <f t="shared" si="111"/>
        <v>0</v>
      </c>
      <c r="DO96" s="25">
        <f t="shared" si="112"/>
        <v>0</v>
      </c>
      <c r="DP96" s="25">
        <f t="shared" si="113"/>
        <v>0</v>
      </c>
      <c r="DQ96" s="25">
        <f t="shared" si="114"/>
        <v>0</v>
      </c>
      <c r="DR96" s="25">
        <f t="shared" si="115"/>
        <v>0</v>
      </c>
      <c r="DS96" s="25">
        <f t="shared" si="116"/>
        <v>0</v>
      </c>
      <c r="DT96" s="25">
        <f t="shared" si="117"/>
        <v>0</v>
      </c>
      <c r="DU96" s="25">
        <f t="shared" si="118"/>
        <v>0</v>
      </c>
      <c r="DV96" s="21">
        <f t="shared" si="119"/>
        <v>0</v>
      </c>
      <c r="DW96" s="317">
        <f t="shared" si="120"/>
        <v>0</v>
      </c>
      <c r="DX96" s="317">
        <f t="shared" si="121"/>
        <v>0</v>
      </c>
      <c r="DY96" s="317">
        <f t="shared" si="122"/>
        <v>0</v>
      </c>
      <c r="DZ96" s="230">
        <f t="shared" si="123"/>
        <v>0</v>
      </c>
    </row>
    <row r="97" spans="1:130" ht="15" customHeight="1" x14ac:dyDescent="0.25">
      <c r="A97" s="1908" t="s">
        <v>26</v>
      </c>
      <c r="B97" s="1909">
        <f>IF('Тип разраб-ой док-ции'!F38=1,1,0)</f>
        <v>0</v>
      </c>
      <c r="C97" s="18" t="s">
        <v>32</v>
      </c>
      <c r="D97" s="21"/>
      <c r="E97" s="316">
        <f>'АВЗ АСУТП'!G97</f>
        <v>6</v>
      </c>
      <c r="F97" s="316">
        <f>'АВЗ АСУТП'!K97</f>
        <v>6</v>
      </c>
      <c r="G97" s="316">
        <f>'АВЗ АСУТП'!O97</f>
        <v>6</v>
      </c>
      <c r="H97" s="230">
        <f>'АВЗ АСУТП'!S97</f>
        <v>6</v>
      </c>
      <c r="I97" s="316">
        <f>'АВЗ АСУТП'!W97</f>
        <v>6</v>
      </c>
      <c r="J97" s="230">
        <f>'АВЗ АСУТП'!AA97</f>
        <v>6</v>
      </c>
      <c r="K97" s="230">
        <f>'АВЗ АСУТП'!AE97</f>
        <v>6</v>
      </c>
      <c r="L97" s="230">
        <f>'АВЗ АСУТП'!AI97</f>
        <v>6</v>
      </c>
      <c r="M97" s="230">
        <f>'SIEM АСУТП'!G97</f>
        <v>14</v>
      </c>
      <c r="N97" s="230">
        <f>'SIEM АСУТП'!K97</f>
        <v>14</v>
      </c>
      <c r="O97" s="21">
        <f>'МСЭ АСУТП'!G103</f>
        <v>4</v>
      </c>
      <c r="P97" s="25">
        <f>'МСЭ АСУТП'!K103</f>
        <v>4</v>
      </c>
      <c r="Q97" s="21">
        <f>'МСЭ АСУТП'!O103</f>
        <v>4</v>
      </c>
      <c r="R97" s="21">
        <f>'МСЭ АСУТП'!S103</f>
        <v>4</v>
      </c>
      <c r="S97" s="230">
        <f>'PAM АСУТП'!G97</f>
        <v>6</v>
      </c>
      <c r="T97" s="230">
        <f>'PAM АСУТП'!K97</f>
        <v>6</v>
      </c>
      <c r="U97" s="230">
        <f>'PAM АСУТП'!O97</f>
        <v>6</v>
      </c>
      <c r="V97" s="230">
        <f>'СКЗИ АСУТП'!G97</f>
        <v>4</v>
      </c>
      <c r="W97" s="230">
        <f>'СКЗИ АСУТП'!K97</f>
        <v>4</v>
      </c>
      <c r="X97" s="230">
        <f>'СКЗИ АСУТП'!O97</f>
        <v>4</v>
      </c>
      <c r="Y97" s="230">
        <f>'СКЗИ АСУТП'!S97</f>
        <v>4</v>
      </c>
      <c r="Z97" s="230">
        <f>'СКЗИ АСУТП'!W97</f>
        <v>4</v>
      </c>
      <c r="AA97" s="230">
        <f>'АЗ АСУТП'!G97</f>
        <v>2</v>
      </c>
      <c r="AB97" s="230">
        <f>'АЗ АСУТП'!K97</f>
        <v>2</v>
      </c>
      <c r="AC97" s="230">
        <f>'АЗ АСУТП'!O97</f>
        <v>2</v>
      </c>
      <c r="AD97" s="230">
        <f>'АЗ АСУТП'!S97</f>
        <v>2</v>
      </c>
      <c r="AE97" s="230">
        <f>'АЗ АСУТП'!W97</f>
        <v>2</v>
      </c>
      <c r="AF97" s="230">
        <f>'РК АСУТП'!G97</f>
        <v>1.5</v>
      </c>
      <c r="AG97" s="230">
        <f>'РК АСУТП'!K97</f>
        <v>1.5</v>
      </c>
      <c r="AH97" s="230">
        <f>'IDS АСУТП'!G97</f>
        <v>8</v>
      </c>
      <c r="AI97" s="230">
        <f>'IDS АСУТП'!K97</f>
        <v>8</v>
      </c>
      <c r="AJ97" s="230">
        <f>'IDS АСУТП'!O97</f>
        <v>8</v>
      </c>
      <c r="AK97" s="230">
        <f>'АПМДЗ АСУТП'!G97</f>
        <v>4</v>
      </c>
      <c r="AL97" s="230">
        <f>'АПМДЗ АСУТП'!K97</f>
        <v>4</v>
      </c>
      <c r="AM97" s="230">
        <f>'НСД АСУТП'!G97</f>
        <v>4</v>
      </c>
      <c r="AN97" s="230">
        <f>'НСД АСУТП'!K97</f>
        <v>4</v>
      </c>
      <c r="AO97" s="230">
        <f>'НСД АСУТП'!O97</f>
        <v>4</v>
      </c>
      <c r="AP97" s="230">
        <f>'MFA АСУТП'!G97</f>
        <v>8</v>
      </c>
      <c r="AQ97" s="230">
        <f>'MFA АСУТП'!K97</f>
        <v>8</v>
      </c>
      <c r="AR97" s="230">
        <f>'MFA АСУТП'!O97</f>
        <v>8</v>
      </c>
      <c r="AS97" s="230">
        <f>'MFA АСУТП'!S97</f>
        <v>8</v>
      </c>
      <c r="AT97" s="230">
        <f>'ДИОД АСУТП'!G97</f>
        <v>4</v>
      </c>
      <c r="AU97" s="230">
        <f>'ДИОД АСУТП'!K97</f>
        <v>4</v>
      </c>
      <c r="AV97" s="230">
        <f>'ДИОД АСУТП'!O97</f>
        <v>4</v>
      </c>
      <c r="AW97" s="230">
        <f>'ДИОД АСУТП'!S97</f>
        <v>4</v>
      </c>
      <c r="AX97" s="230">
        <f>'СЗВ АСУТП'!G97</f>
        <v>4</v>
      </c>
      <c r="AY97" s="230">
        <f>'СЗВ АСУТП'!K97</f>
        <v>4</v>
      </c>
      <c r="AZ97" s="230">
        <f>'СЗВ АСУТП'!O97</f>
        <v>4</v>
      </c>
      <c r="BA97" s="230">
        <f>'SOAR АСУТП'!G97</f>
        <v>12</v>
      </c>
      <c r="BB97" s="230">
        <f>'SOAR АСУТП'!K97</f>
        <v>12</v>
      </c>
      <c r="BC97" s="230">
        <f>'SOAR АСУТП'!O97</f>
        <v>12</v>
      </c>
      <c r="BD97" s="230" t="e">
        <f>'SOAR АСУТП'!#REF!</f>
        <v>#REF!</v>
      </c>
      <c r="BE97" s="230">
        <f>'VDI АСУТП'!G97</f>
        <v>2</v>
      </c>
      <c r="BF97" s="230">
        <f>'VDI АСУТП'!K97</f>
        <v>2</v>
      </c>
      <c r="BG97" s="230">
        <f>'VDI АСУТП'!O97</f>
        <v>2</v>
      </c>
      <c r="BH97" s="230">
        <f>'VDI АСУТП'!S97</f>
        <v>2</v>
      </c>
      <c r="BI97" s="230">
        <f>'VDI АСУТП'!W97</f>
        <v>2</v>
      </c>
      <c r="BJ97" s="316">
        <f>'СУБД АСУТП'!G97</f>
        <v>6</v>
      </c>
      <c r="BK97" s="316">
        <f>'СУБД АСУТП'!K97</f>
        <v>6</v>
      </c>
      <c r="BL97" s="316">
        <f>'ГОССОПКА АСУТП'!G97</f>
        <v>14</v>
      </c>
      <c r="BM97" s="316">
        <f>'ГОССОПКА АСУТП'!K97</f>
        <v>14</v>
      </c>
      <c r="BN97" s="316">
        <f>'TLS АСУТП'!G97</f>
        <v>14</v>
      </c>
      <c r="BO97" s="316">
        <f>'TLS АСУТП'!K97</f>
        <v>14</v>
      </c>
      <c r="BP97" s="316">
        <f>'DCAP АСУТП'!G97</f>
        <v>4</v>
      </c>
      <c r="BQ97" s="316">
        <f>'DCAP АСУТП'!K97</f>
        <v>4</v>
      </c>
      <c r="BR97" s="316">
        <f>'DCAP АСУТП'!O97</f>
        <v>4</v>
      </c>
      <c r="BS97" s="316">
        <f>'DO АСУТП'!G97</f>
        <v>4</v>
      </c>
      <c r="BT97" s="316">
        <f>'NTA АСУТП'!G97</f>
        <v>4</v>
      </c>
      <c r="BU97" s="316">
        <f>'NTA АСУТП'!K97</f>
        <v>4</v>
      </c>
      <c r="BV97" s="316">
        <f>'NTA АСУТП'!O97</f>
        <v>8</v>
      </c>
      <c r="BW97" s="316">
        <f>'NTA АСУТП'!S97</f>
        <v>4</v>
      </c>
      <c r="BX97" s="316">
        <f>'SEG АСУТП'!G97</f>
        <v>4</v>
      </c>
      <c r="BY97" s="316">
        <f>'APT АСУТП'!G97</f>
        <v>8</v>
      </c>
      <c r="BZ97" s="316">
        <f>'APT АСУТП'!K97</f>
        <v>8</v>
      </c>
      <c r="CA97" s="316">
        <f>'APT АСУТП'!O97</f>
        <v>8</v>
      </c>
      <c r="CB97" s="316">
        <f>'NAC АСУТП'!G97</f>
        <v>14</v>
      </c>
      <c r="CC97" s="316">
        <f>'SANDBOX АСУТП'!G97</f>
        <v>4</v>
      </c>
      <c r="CD97" s="316">
        <f>'SANDBOX АСУТП'!K97</f>
        <v>4</v>
      </c>
      <c r="CE97" s="316">
        <f>'EDR АСУТП'!G97</f>
        <v>12</v>
      </c>
      <c r="CF97" s="316">
        <f>'EDR АСУТП'!K97</f>
        <v>12</v>
      </c>
      <c r="CG97" s="316">
        <f>'WAF АСУТП'!G97</f>
        <v>14</v>
      </c>
      <c r="CH97" s="316">
        <f>'WAF АСУТП'!K97</f>
        <v>14</v>
      </c>
      <c r="CI97" s="316">
        <f>'WAF АСУТП'!O97</f>
        <v>14</v>
      </c>
      <c r="CJ97" s="316">
        <f>'ВМ ЗСВ'!G97</f>
        <v>4</v>
      </c>
      <c r="CK97" s="316">
        <f>'ВМ ЗСВ'!K97</f>
        <v>4</v>
      </c>
      <c r="CL97" s="316">
        <f>'ВМ ЗСВ'!O97</f>
        <v>4</v>
      </c>
      <c r="CM97" s="316">
        <f>'ВМ ЗСВ'!S97</f>
        <v>4</v>
      </c>
      <c r="CN97" s="316">
        <f>'ВМ ЗСВ'!W97</f>
        <v>4</v>
      </c>
      <c r="CO97" s="316">
        <f>'ВМ ЗСВ'!AA97</f>
        <v>4</v>
      </c>
      <c r="CP97" s="316">
        <f>'ВМ СПО'!G97</f>
        <v>6</v>
      </c>
      <c r="CQ97" s="316">
        <f>'ВМ СПО'!K97</f>
        <v>6</v>
      </c>
      <c r="CR97" s="316">
        <f>'ВМ СПО'!O97</f>
        <v>8</v>
      </c>
      <c r="CS97" s="316">
        <f>'ВМ СПО'!S97</f>
        <v>8</v>
      </c>
      <c r="CT97" s="316">
        <f>'ВМ АСО'!G97</f>
        <v>0</v>
      </c>
      <c r="CU97" s="316">
        <f>'ВМ АСО'!K97</f>
        <v>0</v>
      </c>
      <c r="CV97" s="316" t="e">
        <f t="shared" si="93"/>
        <v>#REF!</v>
      </c>
      <c r="CW97" s="25">
        <f t="shared" si="94"/>
        <v>6</v>
      </c>
      <c r="CX97" s="25">
        <f t="shared" si="95"/>
        <v>14</v>
      </c>
      <c r="CY97" s="25">
        <f t="shared" si="96"/>
        <v>0</v>
      </c>
      <c r="CZ97" s="25">
        <f t="shared" si="97"/>
        <v>0</v>
      </c>
      <c r="DA97" s="25">
        <f t="shared" si="98"/>
        <v>0</v>
      </c>
      <c r="DB97" s="25">
        <f t="shared" si="99"/>
        <v>0</v>
      </c>
      <c r="DC97" s="25">
        <f t="shared" si="100"/>
        <v>0</v>
      </c>
      <c r="DD97" s="25">
        <f t="shared" si="101"/>
        <v>0</v>
      </c>
      <c r="DE97" s="25">
        <f t="shared" si="102"/>
        <v>0</v>
      </c>
      <c r="DF97" s="25">
        <f t="shared" si="103"/>
        <v>0</v>
      </c>
      <c r="DG97" s="25">
        <f t="shared" si="104"/>
        <v>0</v>
      </c>
      <c r="DH97" s="25">
        <f t="shared" si="105"/>
        <v>0</v>
      </c>
      <c r="DI97" s="25">
        <f t="shared" si="106"/>
        <v>0</v>
      </c>
      <c r="DJ97" s="25" t="e">
        <f t="shared" si="107"/>
        <v>#REF!</v>
      </c>
      <c r="DK97" s="25">
        <f t="shared" si="108"/>
        <v>0</v>
      </c>
      <c r="DL97" s="25">
        <f t="shared" si="109"/>
        <v>0</v>
      </c>
      <c r="DM97" s="25">
        <f t="shared" si="110"/>
        <v>0</v>
      </c>
      <c r="DN97" s="25">
        <f t="shared" si="111"/>
        <v>0</v>
      </c>
      <c r="DO97" s="25">
        <f t="shared" si="112"/>
        <v>0</v>
      </c>
      <c r="DP97" s="25">
        <f t="shared" si="113"/>
        <v>0</v>
      </c>
      <c r="DQ97" s="25">
        <f t="shared" si="114"/>
        <v>0</v>
      </c>
      <c r="DR97" s="25">
        <f t="shared" si="115"/>
        <v>0</v>
      </c>
      <c r="DS97" s="25">
        <f t="shared" si="116"/>
        <v>0</v>
      </c>
      <c r="DT97" s="25">
        <f t="shared" si="117"/>
        <v>0</v>
      </c>
      <c r="DU97" s="25">
        <f t="shared" si="118"/>
        <v>0</v>
      </c>
      <c r="DV97" s="21">
        <f t="shared" si="119"/>
        <v>0</v>
      </c>
      <c r="DW97" s="317">
        <f t="shared" si="120"/>
        <v>0</v>
      </c>
      <c r="DX97" s="317">
        <f t="shared" si="121"/>
        <v>0</v>
      </c>
      <c r="DY97" s="317">
        <f t="shared" si="122"/>
        <v>0</v>
      </c>
      <c r="DZ97" s="230">
        <f t="shared" si="123"/>
        <v>0</v>
      </c>
    </row>
    <row r="98" spans="1:130" ht="15" customHeight="1" x14ac:dyDescent="0.25">
      <c r="A98" s="1908"/>
      <c r="B98" s="1909"/>
      <c r="C98" s="18" t="s">
        <v>33</v>
      </c>
      <c r="D98" s="21"/>
      <c r="E98" s="316">
        <f>'АВЗ АСУТП'!G98</f>
        <v>1</v>
      </c>
      <c r="F98" s="316">
        <f>'АВЗ АСУТП'!K98</f>
        <v>1</v>
      </c>
      <c r="G98" s="316">
        <f>'АВЗ АСУТП'!O98</f>
        <v>1</v>
      </c>
      <c r="H98" s="230">
        <f>'АВЗ АСУТП'!S98</f>
        <v>1</v>
      </c>
      <c r="I98" s="316">
        <f>'АВЗ АСУТП'!W98</f>
        <v>1</v>
      </c>
      <c r="J98" s="230">
        <f>'АВЗ АСУТП'!AA98</f>
        <v>1</v>
      </c>
      <c r="K98" s="230">
        <f>'АВЗ АСУТП'!AE98</f>
        <v>1</v>
      </c>
      <c r="L98" s="230">
        <f>'АВЗ АСУТП'!AI98</f>
        <v>1</v>
      </c>
      <c r="M98" s="230">
        <f>'SIEM АСУТП'!G98</f>
        <v>2</v>
      </c>
      <c r="N98" s="230">
        <f>'SIEM АСУТП'!K98</f>
        <v>2</v>
      </c>
      <c r="O98" s="21">
        <f>'МСЭ АСУТП'!G104</f>
        <v>4.5</v>
      </c>
      <c r="P98" s="25">
        <f>'МСЭ АСУТП'!K104</f>
        <v>4.5</v>
      </c>
      <c r="Q98" s="21">
        <f>'МСЭ АСУТП'!O104</f>
        <v>4.5</v>
      </c>
      <c r="R98" s="21">
        <f>'МСЭ АСУТП'!S104</f>
        <v>4.5</v>
      </c>
      <c r="S98" s="230">
        <f>'PAM АСУТП'!G98</f>
        <v>6</v>
      </c>
      <c r="T98" s="230">
        <f>'PAM АСУТП'!K98</f>
        <v>6</v>
      </c>
      <c r="U98" s="230">
        <f>'PAM АСУТП'!O98</f>
        <v>6</v>
      </c>
      <c r="V98" s="230">
        <f>'СКЗИ АСУТП'!G98</f>
        <v>6</v>
      </c>
      <c r="W98" s="230">
        <f>'СКЗИ АСУТП'!K98</f>
        <v>6</v>
      </c>
      <c r="X98" s="230">
        <f>'СКЗИ АСУТП'!O98</f>
        <v>6</v>
      </c>
      <c r="Y98" s="230">
        <f>'СКЗИ АСУТП'!S98</f>
        <v>6</v>
      </c>
      <c r="Z98" s="230">
        <f>'СКЗИ АСУТП'!W98</f>
        <v>6</v>
      </c>
      <c r="AA98" s="230">
        <f>'АЗ АСУТП'!G98</f>
        <v>2</v>
      </c>
      <c r="AB98" s="230">
        <f>'АЗ АСУТП'!K98</f>
        <v>2</v>
      </c>
      <c r="AC98" s="230">
        <f>'АЗ АСУТП'!O98</f>
        <v>2</v>
      </c>
      <c r="AD98" s="230">
        <f>'АЗ АСУТП'!S98</f>
        <v>2</v>
      </c>
      <c r="AE98" s="230">
        <f>'АЗ АСУТП'!W98</f>
        <v>2</v>
      </c>
      <c r="AF98" s="230">
        <f>'РК АСУТП'!G98</f>
        <v>2</v>
      </c>
      <c r="AG98" s="230">
        <f>'РК АСУТП'!K98</f>
        <v>2</v>
      </c>
      <c r="AH98" s="230">
        <f>'IDS АСУТП'!G98</f>
        <v>8</v>
      </c>
      <c r="AI98" s="230">
        <f>'IDS АСУТП'!K98</f>
        <v>8</v>
      </c>
      <c r="AJ98" s="230">
        <f>'IDS АСУТП'!O98</f>
        <v>8</v>
      </c>
      <c r="AK98" s="230">
        <f>'АПМДЗ АСУТП'!G98</f>
        <v>4</v>
      </c>
      <c r="AL98" s="230">
        <f>'АПМДЗ АСУТП'!K98</f>
        <v>4</v>
      </c>
      <c r="AM98" s="230">
        <f>'НСД АСУТП'!G98</f>
        <v>4</v>
      </c>
      <c r="AN98" s="230">
        <f>'НСД АСУТП'!K98</f>
        <v>4</v>
      </c>
      <c r="AO98" s="230">
        <f>'НСД АСУТП'!O98</f>
        <v>4</v>
      </c>
      <c r="AP98" s="230">
        <f>'MFA АСУТП'!G98</f>
        <v>8</v>
      </c>
      <c r="AQ98" s="230">
        <f>'MFA АСУТП'!K98</f>
        <v>8</v>
      </c>
      <c r="AR98" s="230">
        <f>'MFA АСУТП'!O98</f>
        <v>8</v>
      </c>
      <c r="AS98" s="230">
        <f>'MFA АСУТП'!S98</f>
        <v>8</v>
      </c>
      <c r="AT98" s="230">
        <f>'ДИОД АСУТП'!G98</f>
        <v>6</v>
      </c>
      <c r="AU98" s="230">
        <f>'ДИОД АСУТП'!K98</f>
        <v>6</v>
      </c>
      <c r="AV98" s="230">
        <f>'ДИОД АСУТП'!O98</f>
        <v>6</v>
      </c>
      <c r="AW98" s="230">
        <f>'ДИОД АСУТП'!S98</f>
        <v>6</v>
      </c>
      <c r="AX98" s="230">
        <f>'СЗВ АСУТП'!G98</f>
        <v>4</v>
      </c>
      <c r="AY98" s="230">
        <f>'СЗВ АСУТП'!K98</f>
        <v>4</v>
      </c>
      <c r="AZ98" s="230">
        <f>'СЗВ АСУТП'!O98</f>
        <v>4</v>
      </c>
      <c r="BA98" s="230">
        <f>'SOAR АСУТП'!G98</f>
        <v>2</v>
      </c>
      <c r="BB98" s="230">
        <f>'SOAR АСУТП'!K98</f>
        <v>2</v>
      </c>
      <c r="BC98" s="230">
        <f>'SOAR АСУТП'!O98</f>
        <v>2</v>
      </c>
      <c r="BD98" s="230" t="e">
        <f>'SOAR АСУТП'!#REF!</f>
        <v>#REF!</v>
      </c>
      <c r="BE98" s="230">
        <f>'VDI АСУТП'!G98</f>
        <v>2</v>
      </c>
      <c r="BF98" s="230">
        <f>'VDI АСУТП'!K98</f>
        <v>2</v>
      </c>
      <c r="BG98" s="230">
        <f>'VDI АСУТП'!O98</f>
        <v>2</v>
      </c>
      <c r="BH98" s="230">
        <f>'VDI АСУТП'!S98</f>
        <v>2</v>
      </c>
      <c r="BI98" s="230">
        <f>'VDI АСУТП'!W98</f>
        <v>2</v>
      </c>
      <c r="BJ98" s="316">
        <f>'СУБД АСУТП'!G98</f>
        <v>2</v>
      </c>
      <c r="BK98" s="316">
        <f>'СУБД АСУТП'!K98</f>
        <v>2</v>
      </c>
      <c r="BL98" s="316">
        <f>'ГОССОПКА АСУТП'!G98</f>
        <v>26</v>
      </c>
      <c r="BM98" s="316">
        <f>'ГОССОПКА АСУТП'!K98</f>
        <v>26</v>
      </c>
      <c r="BN98" s="316">
        <f>'TLS АСУТП'!G98</f>
        <v>26</v>
      </c>
      <c r="BO98" s="316">
        <f>'TLS АСУТП'!K98</f>
        <v>26</v>
      </c>
      <c r="BP98" s="316">
        <f>'DCAP АСУТП'!G98</f>
        <v>4</v>
      </c>
      <c r="BQ98" s="316">
        <f>'DCAP АСУТП'!K98</f>
        <v>4</v>
      </c>
      <c r="BR98" s="316">
        <f>'DCAP АСУТП'!O98</f>
        <v>4</v>
      </c>
      <c r="BS98" s="316">
        <f>'DO АСУТП'!G98</f>
        <v>2</v>
      </c>
      <c r="BT98" s="316">
        <f>'NTA АСУТП'!G98</f>
        <v>4</v>
      </c>
      <c r="BU98" s="316">
        <f>'NTA АСУТП'!K98</f>
        <v>4</v>
      </c>
      <c r="BV98" s="316">
        <f>'NTA АСУТП'!O98</f>
        <v>8</v>
      </c>
      <c r="BW98" s="316">
        <f>'NTA АСУТП'!S98</f>
        <v>4</v>
      </c>
      <c r="BX98" s="316">
        <f>'SEG АСУТП'!G98</f>
        <v>4</v>
      </c>
      <c r="BY98" s="316">
        <f>'APT АСУТП'!G98</f>
        <v>8</v>
      </c>
      <c r="BZ98" s="316">
        <f>'APT АСУТП'!K98</f>
        <v>8</v>
      </c>
      <c r="CA98" s="316">
        <f>'APT АСУТП'!O98</f>
        <v>8</v>
      </c>
      <c r="CB98" s="316">
        <f>'NAC АСУТП'!G98</f>
        <v>26</v>
      </c>
      <c r="CC98" s="316">
        <f>'SANDBOX АСУТП'!G98</f>
        <v>4</v>
      </c>
      <c r="CD98" s="316">
        <f>'SANDBOX АСУТП'!K98</f>
        <v>4</v>
      </c>
      <c r="CE98" s="316">
        <f>'EDR АСУТП'!G98</f>
        <v>1</v>
      </c>
      <c r="CF98" s="316">
        <f>'EDR АСУТП'!K98</f>
        <v>1</v>
      </c>
      <c r="CG98" s="316">
        <f>'WAF АСУТП'!G98</f>
        <v>26</v>
      </c>
      <c r="CH98" s="316">
        <f>'WAF АСУТП'!K98</f>
        <v>26</v>
      </c>
      <c r="CI98" s="316">
        <f>'WAF АСУТП'!O98</f>
        <v>26</v>
      </c>
      <c r="CJ98" s="316">
        <f>'ВМ ЗСВ'!G98</f>
        <v>4</v>
      </c>
      <c r="CK98" s="316">
        <f>'ВМ ЗСВ'!K98</f>
        <v>4</v>
      </c>
      <c r="CL98" s="316">
        <f>'ВМ ЗСВ'!O98</f>
        <v>4</v>
      </c>
      <c r="CM98" s="316">
        <f>'ВМ ЗСВ'!S98</f>
        <v>4</v>
      </c>
      <c r="CN98" s="316">
        <f>'ВМ ЗСВ'!W98</f>
        <v>4</v>
      </c>
      <c r="CO98" s="316">
        <f>'ВМ ЗСВ'!AA98</f>
        <v>4</v>
      </c>
      <c r="CP98" s="316">
        <f>'ВМ СПО'!G98</f>
        <v>2</v>
      </c>
      <c r="CQ98" s="316">
        <f>'ВМ СПО'!K98</f>
        <v>2</v>
      </c>
      <c r="CR98" s="316">
        <f>'ВМ СПО'!O98</f>
        <v>2</v>
      </c>
      <c r="CS98" s="316">
        <f>'ВМ СПО'!S98</f>
        <v>2</v>
      </c>
      <c r="CT98" s="316">
        <f>'ВМ АСО'!G98</f>
        <v>0</v>
      </c>
      <c r="CU98" s="316">
        <f>'ВМ АСО'!K98</f>
        <v>0</v>
      </c>
      <c r="CV98" s="316" t="e">
        <f t="shared" si="93"/>
        <v>#REF!</v>
      </c>
      <c r="CW98" s="25">
        <f t="shared" si="94"/>
        <v>1</v>
      </c>
      <c r="CX98" s="25">
        <f t="shared" si="95"/>
        <v>2</v>
      </c>
      <c r="CY98" s="25">
        <f t="shared" si="96"/>
        <v>0</v>
      </c>
      <c r="CZ98" s="25">
        <f t="shared" si="97"/>
        <v>0</v>
      </c>
      <c r="DA98" s="25">
        <f t="shared" si="98"/>
        <v>0</v>
      </c>
      <c r="DB98" s="25">
        <f t="shared" si="99"/>
        <v>0</v>
      </c>
      <c r="DC98" s="25">
        <f t="shared" si="100"/>
        <v>0</v>
      </c>
      <c r="DD98" s="25">
        <f t="shared" si="101"/>
        <v>0</v>
      </c>
      <c r="DE98" s="25">
        <f t="shared" si="102"/>
        <v>0</v>
      </c>
      <c r="DF98" s="25">
        <f t="shared" si="103"/>
        <v>0</v>
      </c>
      <c r="DG98" s="25">
        <f t="shared" si="104"/>
        <v>0</v>
      </c>
      <c r="DH98" s="25">
        <f t="shared" si="105"/>
        <v>0</v>
      </c>
      <c r="DI98" s="25">
        <f t="shared" si="106"/>
        <v>0</v>
      </c>
      <c r="DJ98" s="25" t="e">
        <f t="shared" si="107"/>
        <v>#REF!</v>
      </c>
      <c r="DK98" s="25">
        <f t="shared" si="108"/>
        <v>0</v>
      </c>
      <c r="DL98" s="25">
        <f t="shared" si="109"/>
        <v>0</v>
      </c>
      <c r="DM98" s="25">
        <f t="shared" si="110"/>
        <v>0</v>
      </c>
      <c r="DN98" s="25">
        <f t="shared" si="111"/>
        <v>0</v>
      </c>
      <c r="DO98" s="25">
        <f t="shared" si="112"/>
        <v>0</v>
      </c>
      <c r="DP98" s="25">
        <f t="shared" si="113"/>
        <v>0</v>
      </c>
      <c r="DQ98" s="25">
        <f t="shared" si="114"/>
        <v>0</v>
      </c>
      <c r="DR98" s="25">
        <f t="shared" si="115"/>
        <v>0</v>
      </c>
      <c r="DS98" s="25">
        <f t="shared" si="116"/>
        <v>0</v>
      </c>
      <c r="DT98" s="25">
        <f t="shared" si="117"/>
        <v>0</v>
      </c>
      <c r="DU98" s="25">
        <f t="shared" si="118"/>
        <v>0</v>
      </c>
      <c r="DV98" s="21">
        <f t="shared" si="119"/>
        <v>0</v>
      </c>
      <c r="DW98" s="317">
        <f t="shared" si="120"/>
        <v>0</v>
      </c>
      <c r="DX98" s="317">
        <f t="shared" si="121"/>
        <v>0</v>
      </c>
      <c r="DY98" s="317">
        <f t="shared" si="122"/>
        <v>0</v>
      </c>
      <c r="DZ98" s="230">
        <f t="shared" si="123"/>
        <v>0</v>
      </c>
    </row>
    <row r="99" spans="1:130" ht="15" customHeight="1" x14ac:dyDescent="0.25">
      <c r="A99" s="1908"/>
      <c r="B99" s="1910"/>
      <c r="C99" s="18" t="s">
        <v>34</v>
      </c>
      <c r="D99" s="21"/>
      <c r="E99" s="316">
        <f>'АВЗ АСУТП'!G99</f>
        <v>2</v>
      </c>
      <c r="F99" s="316">
        <f>'АВЗ АСУТП'!K99</f>
        <v>2</v>
      </c>
      <c r="G99" s="316">
        <f>'АВЗ АСУТП'!O99</f>
        <v>2</v>
      </c>
      <c r="H99" s="230">
        <f>'АВЗ АСУТП'!S99</f>
        <v>2</v>
      </c>
      <c r="I99" s="316">
        <f>'АВЗ АСУТП'!W99</f>
        <v>2</v>
      </c>
      <c r="J99" s="230">
        <f>'АВЗ АСУТП'!AA99</f>
        <v>2</v>
      </c>
      <c r="K99" s="230">
        <f>'АВЗ АСУТП'!AE99</f>
        <v>2</v>
      </c>
      <c r="L99" s="230">
        <f>'АВЗ АСУТП'!AI99</f>
        <v>2</v>
      </c>
      <c r="M99" s="230">
        <f>'SIEM АСУТП'!G99</f>
        <v>4</v>
      </c>
      <c r="N99" s="230">
        <f>'SIEM АСУТП'!K99</f>
        <v>4</v>
      </c>
      <c r="O99" s="21">
        <f>'МСЭ АСУТП'!G105</f>
        <v>6</v>
      </c>
      <c r="P99" s="25">
        <f>'МСЭ АСУТП'!K105</f>
        <v>6</v>
      </c>
      <c r="Q99" s="21">
        <f>'МСЭ АСУТП'!O105</f>
        <v>6</v>
      </c>
      <c r="R99" s="21">
        <f>'МСЭ АСУТП'!S105</f>
        <v>6</v>
      </c>
      <c r="S99" s="230">
        <f>'PAM АСУТП'!G99</f>
        <v>6</v>
      </c>
      <c r="T99" s="230">
        <f>'PAM АСУТП'!K99</f>
        <v>6</v>
      </c>
      <c r="U99" s="230">
        <f>'PAM АСУТП'!O99</f>
        <v>6</v>
      </c>
      <c r="V99" s="230">
        <f>'СКЗИ АСУТП'!G99</f>
        <v>8</v>
      </c>
      <c r="W99" s="230">
        <f>'СКЗИ АСУТП'!K99</f>
        <v>8</v>
      </c>
      <c r="X99" s="230">
        <f>'СКЗИ АСУТП'!O99</f>
        <v>8</v>
      </c>
      <c r="Y99" s="230">
        <f>'СКЗИ АСУТП'!S99</f>
        <v>8</v>
      </c>
      <c r="Z99" s="230">
        <f>'СКЗИ АСУТП'!W99</f>
        <v>8</v>
      </c>
      <c r="AA99" s="230">
        <f>'АЗ АСУТП'!G99</f>
        <v>2</v>
      </c>
      <c r="AB99" s="230">
        <f>'АЗ АСУТП'!K99</f>
        <v>2</v>
      </c>
      <c r="AC99" s="230">
        <f>'АЗ АСУТП'!O99</f>
        <v>2</v>
      </c>
      <c r="AD99" s="230">
        <f>'АЗ АСУТП'!S99</f>
        <v>2</v>
      </c>
      <c r="AE99" s="230">
        <f>'АЗ АСУТП'!W99</f>
        <v>2</v>
      </c>
      <c r="AF99" s="230">
        <f>'РК АСУТП'!G99</f>
        <v>2</v>
      </c>
      <c r="AG99" s="230">
        <f>'РК АСУТП'!K99</f>
        <v>2</v>
      </c>
      <c r="AH99" s="230">
        <f>'IDS АСУТП'!G99</f>
        <v>8</v>
      </c>
      <c r="AI99" s="230">
        <f>'IDS АСУТП'!K99</f>
        <v>8</v>
      </c>
      <c r="AJ99" s="230">
        <f>'IDS АСУТП'!O99</f>
        <v>8</v>
      </c>
      <c r="AK99" s="230">
        <f>'АПМДЗ АСУТП'!G99</f>
        <v>4</v>
      </c>
      <c r="AL99" s="230">
        <f>'АПМДЗ АСУТП'!K99</f>
        <v>4</v>
      </c>
      <c r="AM99" s="230">
        <f>'НСД АСУТП'!G99</f>
        <v>4</v>
      </c>
      <c r="AN99" s="230">
        <f>'НСД АСУТП'!K99</f>
        <v>4</v>
      </c>
      <c r="AO99" s="230">
        <f>'НСД АСУТП'!O99</f>
        <v>4</v>
      </c>
      <c r="AP99" s="230">
        <f>'MFA АСУТП'!G99</f>
        <v>8</v>
      </c>
      <c r="AQ99" s="230">
        <f>'MFA АСУТП'!K99</f>
        <v>8</v>
      </c>
      <c r="AR99" s="230">
        <f>'MFA АСУТП'!O99</f>
        <v>8</v>
      </c>
      <c r="AS99" s="230">
        <f>'MFA АСУТП'!S99</f>
        <v>8</v>
      </c>
      <c r="AT99" s="230">
        <f>'ДИОД АСУТП'!G99</f>
        <v>8</v>
      </c>
      <c r="AU99" s="230">
        <f>'ДИОД АСУТП'!K99</f>
        <v>8</v>
      </c>
      <c r="AV99" s="230">
        <f>'ДИОД АСУТП'!O99</f>
        <v>8</v>
      </c>
      <c r="AW99" s="230">
        <f>'ДИОД АСУТП'!S99</f>
        <v>8</v>
      </c>
      <c r="AX99" s="230">
        <f>'СЗВ АСУТП'!G99</f>
        <v>4</v>
      </c>
      <c r="AY99" s="230">
        <f>'СЗВ АСУТП'!K99</f>
        <v>4</v>
      </c>
      <c r="AZ99" s="230">
        <f>'СЗВ АСУТП'!O99</f>
        <v>4</v>
      </c>
      <c r="BA99" s="230">
        <f>'SOAR АСУТП'!G99</f>
        <v>4</v>
      </c>
      <c r="BB99" s="230">
        <f>'SOAR АСУТП'!K99</f>
        <v>4</v>
      </c>
      <c r="BC99" s="230">
        <f>'SOAR АСУТП'!O99</f>
        <v>4</v>
      </c>
      <c r="BD99" s="230" t="e">
        <f>'SOAR АСУТП'!#REF!</f>
        <v>#REF!</v>
      </c>
      <c r="BE99" s="230">
        <f>'VDI АСУТП'!G99</f>
        <v>2</v>
      </c>
      <c r="BF99" s="230">
        <f>'VDI АСУТП'!K99</f>
        <v>2</v>
      </c>
      <c r="BG99" s="230">
        <f>'VDI АСУТП'!O99</f>
        <v>2</v>
      </c>
      <c r="BH99" s="230">
        <f>'VDI АСУТП'!S99</f>
        <v>2</v>
      </c>
      <c r="BI99" s="230">
        <f>'VDI АСУТП'!W99</f>
        <v>2</v>
      </c>
      <c r="BJ99" s="316">
        <f>'СУБД АСУТП'!G99</f>
        <v>4</v>
      </c>
      <c r="BK99" s="316">
        <f>'СУБД АСУТП'!K99</f>
        <v>4</v>
      </c>
      <c r="BL99" s="316">
        <f>'ГОССОПКА АСУТП'!G99</f>
        <v>34</v>
      </c>
      <c r="BM99" s="316">
        <f>'ГОССОПКА АСУТП'!K99</f>
        <v>34</v>
      </c>
      <c r="BN99" s="316">
        <f>'TLS АСУТП'!G99</f>
        <v>34</v>
      </c>
      <c r="BO99" s="316">
        <f>'TLS АСУТП'!K99</f>
        <v>34</v>
      </c>
      <c r="BP99" s="316">
        <f>'DCAP АСУТП'!G99</f>
        <v>4</v>
      </c>
      <c r="BQ99" s="316">
        <f>'DCAP АСУТП'!K99</f>
        <v>4</v>
      </c>
      <c r="BR99" s="316">
        <f>'DCAP АСУТП'!O99</f>
        <v>4</v>
      </c>
      <c r="BS99" s="316">
        <f>'DO АСУТП'!G99</f>
        <v>4</v>
      </c>
      <c r="BT99" s="316">
        <f>'NTA АСУТП'!G99</f>
        <v>4</v>
      </c>
      <c r="BU99" s="316">
        <f>'NTA АСУТП'!K99</f>
        <v>4</v>
      </c>
      <c r="BV99" s="316">
        <f>'NTA АСУТП'!O99</f>
        <v>8</v>
      </c>
      <c r="BW99" s="316">
        <f>'NTA АСУТП'!S99</f>
        <v>4</v>
      </c>
      <c r="BX99" s="316">
        <f>'SEG АСУТП'!G99</f>
        <v>4</v>
      </c>
      <c r="BY99" s="316">
        <f>'APT АСУТП'!G99</f>
        <v>8</v>
      </c>
      <c r="BZ99" s="316">
        <f>'APT АСУТП'!K99</f>
        <v>8</v>
      </c>
      <c r="CA99" s="316">
        <f>'APT АСУТП'!O99</f>
        <v>8</v>
      </c>
      <c r="CB99" s="316">
        <f>'NAC АСУТП'!G99</f>
        <v>34</v>
      </c>
      <c r="CC99" s="316">
        <f>'SANDBOX АСУТП'!G99</f>
        <v>4</v>
      </c>
      <c r="CD99" s="316">
        <f>'SANDBOX АСУТП'!K99</f>
        <v>4</v>
      </c>
      <c r="CE99" s="316">
        <f>'EDR АСУТП'!G99</f>
        <v>2</v>
      </c>
      <c r="CF99" s="316">
        <f>'EDR АСУТП'!K99</f>
        <v>2</v>
      </c>
      <c r="CG99" s="316">
        <f>'WAF АСУТП'!G99</f>
        <v>34</v>
      </c>
      <c r="CH99" s="316">
        <f>'WAF АСУТП'!K99</f>
        <v>34</v>
      </c>
      <c r="CI99" s="316">
        <f>'WAF АСУТП'!O99</f>
        <v>34</v>
      </c>
      <c r="CJ99" s="316">
        <f>'ВМ ЗСВ'!G99</f>
        <v>4</v>
      </c>
      <c r="CK99" s="316">
        <f>'ВМ ЗСВ'!K99</f>
        <v>4</v>
      </c>
      <c r="CL99" s="316">
        <f>'ВМ ЗСВ'!O99</f>
        <v>4</v>
      </c>
      <c r="CM99" s="316">
        <f>'ВМ ЗСВ'!S99</f>
        <v>4</v>
      </c>
      <c r="CN99" s="316">
        <f>'ВМ ЗСВ'!W99</f>
        <v>4</v>
      </c>
      <c r="CO99" s="316">
        <f>'ВМ ЗСВ'!AA99</f>
        <v>4</v>
      </c>
      <c r="CP99" s="316">
        <f>'ВМ СПО'!G99</f>
        <v>4</v>
      </c>
      <c r="CQ99" s="316">
        <f>'ВМ СПО'!K99</f>
        <v>4</v>
      </c>
      <c r="CR99" s="316">
        <f>'ВМ СПО'!O99</f>
        <v>4</v>
      </c>
      <c r="CS99" s="316">
        <f>'ВМ СПО'!S99</f>
        <v>4</v>
      </c>
      <c r="CT99" s="316">
        <f>'ВМ АСО'!G99</f>
        <v>0</v>
      </c>
      <c r="CU99" s="316">
        <f>'ВМ АСО'!K99</f>
        <v>0</v>
      </c>
      <c r="CV99" s="316" t="e">
        <f t="shared" si="93"/>
        <v>#REF!</v>
      </c>
      <c r="CW99" s="25">
        <f t="shared" si="94"/>
        <v>2</v>
      </c>
      <c r="CX99" s="25">
        <f t="shared" si="95"/>
        <v>4</v>
      </c>
      <c r="CY99" s="25">
        <f t="shared" si="96"/>
        <v>0</v>
      </c>
      <c r="CZ99" s="25">
        <f t="shared" si="97"/>
        <v>0</v>
      </c>
      <c r="DA99" s="25">
        <f t="shared" si="98"/>
        <v>0</v>
      </c>
      <c r="DB99" s="25">
        <f t="shared" si="99"/>
        <v>0</v>
      </c>
      <c r="DC99" s="25">
        <f t="shared" si="100"/>
        <v>0</v>
      </c>
      <c r="DD99" s="25">
        <f t="shared" si="101"/>
        <v>0</v>
      </c>
      <c r="DE99" s="25">
        <f t="shared" si="102"/>
        <v>0</v>
      </c>
      <c r="DF99" s="25">
        <f t="shared" si="103"/>
        <v>0</v>
      </c>
      <c r="DG99" s="25">
        <f t="shared" si="104"/>
        <v>0</v>
      </c>
      <c r="DH99" s="25">
        <f t="shared" si="105"/>
        <v>0</v>
      </c>
      <c r="DI99" s="25">
        <f t="shared" si="106"/>
        <v>0</v>
      </c>
      <c r="DJ99" s="25" t="e">
        <f t="shared" si="107"/>
        <v>#REF!</v>
      </c>
      <c r="DK99" s="25">
        <f t="shared" si="108"/>
        <v>0</v>
      </c>
      <c r="DL99" s="25">
        <f t="shared" si="109"/>
        <v>0</v>
      </c>
      <c r="DM99" s="25">
        <f t="shared" si="110"/>
        <v>0</v>
      </c>
      <c r="DN99" s="25">
        <f t="shared" si="111"/>
        <v>0</v>
      </c>
      <c r="DO99" s="25">
        <f t="shared" si="112"/>
        <v>0</v>
      </c>
      <c r="DP99" s="25">
        <f t="shared" si="113"/>
        <v>0</v>
      </c>
      <c r="DQ99" s="25">
        <f t="shared" si="114"/>
        <v>0</v>
      </c>
      <c r="DR99" s="25">
        <f t="shared" si="115"/>
        <v>0</v>
      </c>
      <c r="DS99" s="25">
        <f t="shared" si="116"/>
        <v>0</v>
      </c>
      <c r="DT99" s="25">
        <f t="shared" si="117"/>
        <v>0</v>
      </c>
      <c r="DU99" s="25">
        <f t="shared" si="118"/>
        <v>0</v>
      </c>
      <c r="DV99" s="21">
        <f t="shared" si="119"/>
        <v>0</v>
      </c>
      <c r="DW99" s="317">
        <f t="shared" si="120"/>
        <v>0</v>
      </c>
      <c r="DX99" s="317">
        <f t="shared" si="121"/>
        <v>0</v>
      </c>
      <c r="DY99" s="317">
        <f t="shared" si="122"/>
        <v>0</v>
      </c>
      <c r="DZ99" s="230">
        <f t="shared" si="123"/>
        <v>0</v>
      </c>
    </row>
    <row r="100" spans="1:130" ht="15" customHeight="1" x14ac:dyDescent="0.25">
      <c r="A100" s="1908" t="s">
        <v>27</v>
      </c>
      <c r="B100" s="1909">
        <f>IF('Тип разраб-ой док-ции'!F39=1,1,0)</f>
        <v>0</v>
      </c>
      <c r="C100" s="18" t="s">
        <v>32</v>
      </c>
      <c r="D100" s="21"/>
      <c r="E100" s="316">
        <f>'АВЗ АСУТП'!G100</f>
        <v>4</v>
      </c>
      <c r="F100" s="316">
        <f>'АВЗ АСУТП'!K100</f>
        <v>4</v>
      </c>
      <c r="G100" s="316">
        <f>'АВЗ АСУТП'!O100</f>
        <v>4</v>
      </c>
      <c r="H100" s="230">
        <f>'АВЗ АСУТП'!S100</f>
        <v>4</v>
      </c>
      <c r="I100" s="316">
        <f>'АВЗ АСУТП'!W100</f>
        <v>4</v>
      </c>
      <c r="J100" s="230">
        <f>'АВЗ АСУТП'!AA100</f>
        <v>4</v>
      </c>
      <c r="K100" s="230">
        <f>'АВЗ АСУТП'!AE100</f>
        <v>4</v>
      </c>
      <c r="L100" s="230">
        <f>'АВЗ АСУТП'!AI100</f>
        <v>4</v>
      </c>
      <c r="M100" s="230">
        <f>'SIEM АСУТП'!G100</f>
        <v>8</v>
      </c>
      <c r="N100" s="230">
        <f>'SIEM АСУТП'!K100</f>
        <v>8</v>
      </c>
      <c r="O100" s="21">
        <f>'МСЭ АСУТП'!G106</f>
        <v>0</v>
      </c>
      <c r="P100" s="25">
        <f>'МСЭ АСУТП'!K106</f>
        <v>0</v>
      </c>
      <c r="Q100" s="21">
        <f>'МСЭ АСУТП'!O106</f>
        <v>0</v>
      </c>
      <c r="R100" s="21">
        <f>'МСЭ АСУТП'!S106</f>
        <v>0</v>
      </c>
      <c r="S100" s="230">
        <f>'PAM АСУТП'!G100</f>
        <v>4</v>
      </c>
      <c r="T100" s="230">
        <f>'PAM АСУТП'!K100</f>
        <v>4</v>
      </c>
      <c r="U100" s="230">
        <f>'PAM АСУТП'!O100</f>
        <v>4</v>
      </c>
      <c r="V100" s="230">
        <f>'СКЗИ АСУТП'!G100</f>
        <v>1</v>
      </c>
      <c r="W100" s="230">
        <f>'СКЗИ АСУТП'!K100</f>
        <v>1</v>
      </c>
      <c r="X100" s="230">
        <f>'СКЗИ АСУТП'!O100</f>
        <v>1</v>
      </c>
      <c r="Y100" s="230">
        <f>'СКЗИ АСУТП'!S100</f>
        <v>1</v>
      </c>
      <c r="Z100" s="230">
        <f>'СКЗИ АСУТП'!W100</f>
        <v>1</v>
      </c>
      <c r="AA100" s="230">
        <f>'АЗ АСУТП'!G100</f>
        <v>2</v>
      </c>
      <c r="AB100" s="230">
        <f>'АЗ АСУТП'!K100</f>
        <v>2</v>
      </c>
      <c r="AC100" s="230">
        <f>'АЗ АСУТП'!O100</f>
        <v>2</v>
      </c>
      <c r="AD100" s="230">
        <f>'АЗ АСУТП'!S100</f>
        <v>2</v>
      </c>
      <c r="AE100" s="230">
        <f>'АЗ АСУТП'!W100</f>
        <v>2</v>
      </c>
      <c r="AF100" s="230">
        <f>'РК АСУТП'!G100</f>
        <v>0</v>
      </c>
      <c r="AG100" s="230">
        <f>'РК АСУТП'!K100</f>
        <v>0</v>
      </c>
      <c r="AH100" s="230">
        <f>'IDS АСУТП'!G100</f>
        <v>4</v>
      </c>
      <c r="AI100" s="230">
        <f>'IDS АСУТП'!K100</f>
        <v>4</v>
      </c>
      <c r="AJ100" s="230">
        <f>'IDS АСУТП'!O100</f>
        <v>4</v>
      </c>
      <c r="AK100" s="230">
        <f>'АПМДЗ АСУТП'!G100</f>
        <v>2</v>
      </c>
      <c r="AL100" s="230">
        <f>'АПМДЗ АСУТП'!K100</f>
        <v>2</v>
      </c>
      <c r="AM100" s="230">
        <f>'НСД АСУТП'!G100</f>
        <v>2</v>
      </c>
      <c r="AN100" s="230">
        <f>'НСД АСУТП'!K100</f>
        <v>2</v>
      </c>
      <c r="AO100" s="230">
        <f>'НСД АСУТП'!O100</f>
        <v>2</v>
      </c>
      <c r="AP100" s="230">
        <f>'MFA АСУТП'!G100</f>
        <v>2</v>
      </c>
      <c r="AQ100" s="230">
        <f>'MFA АСУТП'!K100</f>
        <v>2</v>
      </c>
      <c r="AR100" s="230">
        <f>'MFA АСУТП'!O100</f>
        <v>2</v>
      </c>
      <c r="AS100" s="230">
        <f>'MFA АСУТП'!S100</f>
        <v>2</v>
      </c>
      <c r="AT100" s="230">
        <f>'ДИОД АСУТП'!G100</f>
        <v>0</v>
      </c>
      <c r="AU100" s="230">
        <f>'ДИОД АСУТП'!K100</f>
        <v>0</v>
      </c>
      <c r="AV100" s="230">
        <f>'ДИОД АСУТП'!O100</f>
        <v>0</v>
      </c>
      <c r="AW100" s="230">
        <f>'ДИОД АСУТП'!S100</f>
        <v>0</v>
      </c>
      <c r="AX100" s="230">
        <f>'СЗВ АСУТП'!G100</f>
        <v>2</v>
      </c>
      <c r="AY100" s="230">
        <f>'СЗВ АСУТП'!K100</f>
        <v>2</v>
      </c>
      <c r="AZ100" s="230">
        <f>'СЗВ АСУТП'!O100</f>
        <v>2</v>
      </c>
      <c r="BA100" s="230">
        <f>'SOAR АСУТП'!G100</f>
        <v>6</v>
      </c>
      <c r="BB100" s="230">
        <f>'SOAR АСУТП'!K100</f>
        <v>6</v>
      </c>
      <c r="BC100" s="230">
        <f>'SOAR АСУТП'!O100</f>
        <v>6</v>
      </c>
      <c r="BD100" s="230" t="e">
        <f>'SOAR АСУТП'!#REF!</f>
        <v>#REF!</v>
      </c>
      <c r="BE100" s="230">
        <f>'VDI АСУТП'!G100</f>
        <v>2</v>
      </c>
      <c r="BF100" s="230">
        <f>'VDI АСУТП'!K100</f>
        <v>2</v>
      </c>
      <c r="BG100" s="230">
        <f>'VDI АСУТП'!O100</f>
        <v>2</v>
      </c>
      <c r="BH100" s="230">
        <f>'VDI АСУТП'!S100</f>
        <v>2</v>
      </c>
      <c r="BI100" s="230">
        <f>'VDI АСУТП'!W100</f>
        <v>2</v>
      </c>
      <c r="BJ100" s="316">
        <f>'СУБД АСУТП'!G100</f>
        <v>4</v>
      </c>
      <c r="BK100" s="316">
        <f>'СУБД АСУТП'!K100</f>
        <v>4</v>
      </c>
      <c r="BL100" s="316">
        <f>'ГОССОПКА АСУТП'!G100</f>
        <v>8</v>
      </c>
      <c r="BM100" s="316">
        <f>'ГОССОПКА АСУТП'!K100</f>
        <v>8</v>
      </c>
      <c r="BN100" s="316">
        <f>'TLS АСУТП'!G100</f>
        <v>8</v>
      </c>
      <c r="BO100" s="316">
        <f>'TLS АСУТП'!K100</f>
        <v>8</v>
      </c>
      <c r="BP100" s="316">
        <f>'DCAP АСУТП'!G100</f>
        <v>2</v>
      </c>
      <c r="BQ100" s="316">
        <f>'DCAP АСУТП'!K100</f>
        <v>2</v>
      </c>
      <c r="BR100" s="316">
        <f>'DCAP АСУТП'!O100</f>
        <v>2</v>
      </c>
      <c r="BS100" s="316">
        <f>'DO АСУТП'!G100</f>
        <v>2</v>
      </c>
      <c r="BT100" s="316">
        <f>'NTA АСУТП'!G100</f>
        <v>2</v>
      </c>
      <c r="BU100" s="316">
        <f>'NTA АСУТП'!K100</f>
        <v>2</v>
      </c>
      <c r="BV100" s="316">
        <f>'NTA АСУТП'!O100</f>
        <v>4</v>
      </c>
      <c r="BW100" s="316">
        <f>'NTA АСУТП'!S100</f>
        <v>2</v>
      </c>
      <c r="BX100" s="316">
        <f>'SEG АСУТП'!G100</f>
        <v>2</v>
      </c>
      <c r="BY100" s="316">
        <f>'APT АСУТП'!G100</f>
        <v>4</v>
      </c>
      <c r="BZ100" s="316">
        <f>'APT АСУТП'!K100</f>
        <v>4</v>
      </c>
      <c r="CA100" s="316">
        <f>'APT АСУТП'!O100</f>
        <v>4</v>
      </c>
      <c r="CB100" s="316">
        <f>'NAC АСУТП'!G100</f>
        <v>8</v>
      </c>
      <c r="CC100" s="316">
        <f>'SANDBOX АСУТП'!G100</f>
        <v>2</v>
      </c>
      <c r="CD100" s="316">
        <f>'SANDBOX АСУТП'!K100</f>
        <v>2</v>
      </c>
      <c r="CE100" s="316">
        <f>'EDR АСУТП'!G100</f>
        <v>6</v>
      </c>
      <c r="CF100" s="316">
        <f>'EDR АСУТП'!K100</f>
        <v>6</v>
      </c>
      <c r="CG100" s="316">
        <f>'WAF АСУТП'!G100</f>
        <v>8</v>
      </c>
      <c r="CH100" s="316">
        <f>'WAF АСУТП'!K100</f>
        <v>8</v>
      </c>
      <c r="CI100" s="316">
        <f>'WAF АСУТП'!O100</f>
        <v>8</v>
      </c>
      <c r="CJ100" s="316">
        <f>'ВМ ЗСВ'!G100</f>
        <v>2</v>
      </c>
      <c r="CK100" s="316">
        <f>'ВМ ЗСВ'!K100</f>
        <v>2</v>
      </c>
      <c r="CL100" s="316">
        <f>'ВМ ЗСВ'!O100</f>
        <v>2</v>
      </c>
      <c r="CM100" s="316">
        <f>'ВМ ЗСВ'!S100</f>
        <v>2</v>
      </c>
      <c r="CN100" s="316">
        <f>'ВМ ЗСВ'!W100</f>
        <v>2</v>
      </c>
      <c r="CO100" s="316">
        <f>'ВМ ЗСВ'!AA100</f>
        <v>2</v>
      </c>
      <c r="CP100" s="316">
        <f>'ВМ СПО'!G100</f>
        <v>4</v>
      </c>
      <c r="CQ100" s="316">
        <f>'ВМ СПО'!K100</f>
        <v>4</v>
      </c>
      <c r="CR100" s="316">
        <f>'ВМ СПО'!O100</f>
        <v>4</v>
      </c>
      <c r="CS100" s="316">
        <f>'ВМ СПО'!S100</f>
        <v>4</v>
      </c>
      <c r="CT100" s="316">
        <f>'ВМ АСО'!G100</f>
        <v>0</v>
      </c>
      <c r="CU100" s="316">
        <f>'ВМ АСО'!K100</f>
        <v>0</v>
      </c>
      <c r="CV100" s="316" t="e">
        <f t="shared" si="93"/>
        <v>#REF!</v>
      </c>
      <c r="CW100" s="25">
        <f t="shared" si="94"/>
        <v>4</v>
      </c>
      <c r="CX100" s="25">
        <f t="shared" si="95"/>
        <v>8</v>
      </c>
      <c r="CY100" s="25">
        <f t="shared" si="96"/>
        <v>0</v>
      </c>
      <c r="CZ100" s="25">
        <f t="shared" si="97"/>
        <v>0</v>
      </c>
      <c r="DA100" s="25">
        <f t="shared" si="98"/>
        <v>0</v>
      </c>
      <c r="DB100" s="25">
        <f t="shared" si="99"/>
        <v>0</v>
      </c>
      <c r="DC100" s="25">
        <f t="shared" si="100"/>
        <v>0</v>
      </c>
      <c r="DD100" s="25">
        <f t="shared" si="101"/>
        <v>0</v>
      </c>
      <c r="DE100" s="25">
        <f t="shared" si="102"/>
        <v>0</v>
      </c>
      <c r="DF100" s="25">
        <f t="shared" si="103"/>
        <v>0</v>
      </c>
      <c r="DG100" s="25">
        <f t="shared" si="104"/>
        <v>0</v>
      </c>
      <c r="DH100" s="25">
        <f t="shared" si="105"/>
        <v>0</v>
      </c>
      <c r="DI100" s="25">
        <f t="shared" si="106"/>
        <v>0</v>
      </c>
      <c r="DJ100" s="25" t="e">
        <f t="shared" si="107"/>
        <v>#REF!</v>
      </c>
      <c r="DK100" s="25">
        <f t="shared" si="108"/>
        <v>0</v>
      </c>
      <c r="DL100" s="25">
        <f t="shared" si="109"/>
        <v>0</v>
      </c>
      <c r="DM100" s="25">
        <f t="shared" si="110"/>
        <v>0</v>
      </c>
      <c r="DN100" s="25">
        <f t="shared" si="111"/>
        <v>0</v>
      </c>
      <c r="DO100" s="25">
        <f t="shared" si="112"/>
        <v>0</v>
      </c>
      <c r="DP100" s="25">
        <f t="shared" si="113"/>
        <v>0</v>
      </c>
      <c r="DQ100" s="25">
        <f t="shared" si="114"/>
        <v>0</v>
      </c>
      <c r="DR100" s="25">
        <f t="shared" si="115"/>
        <v>0</v>
      </c>
      <c r="DS100" s="25">
        <f t="shared" si="116"/>
        <v>0</v>
      </c>
      <c r="DT100" s="25">
        <f t="shared" si="117"/>
        <v>0</v>
      </c>
      <c r="DU100" s="25">
        <f t="shared" si="118"/>
        <v>0</v>
      </c>
      <c r="DV100" s="21">
        <f t="shared" si="119"/>
        <v>0</v>
      </c>
      <c r="DW100" s="317">
        <f t="shared" si="120"/>
        <v>0</v>
      </c>
      <c r="DX100" s="317">
        <f t="shared" si="121"/>
        <v>0</v>
      </c>
      <c r="DY100" s="317">
        <f t="shared" si="122"/>
        <v>0</v>
      </c>
      <c r="DZ100" s="230">
        <f t="shared" si="123"/>
        <v>0</v>
      </c>
    </row>
    <row r="101" spans="1:130" ht="15" customHeight="1" x14ac:dyDescent="0.25">
      <c r="A101" s="1908"/>
      <c r="B101" s="1909"/>
      <c r="C101" s="18" t="s">
        <v>33</v>
      </c>
      <c r="D101" s="21"/>
      <c r="E101" s="316">
        <f>'АВЗ АСУТП'!G101</f>
        <v>1.5</v>
      </c>
      <c r="F101" s="316">
        <f>'АВЗ АСУТП'!K101</f>
        <v>1.5</v>
      </c>
      <c r="G101" s="316">
        <f>'АВЗ АСУТП'!O101</f>
        <v>1.5</v>
      </c>
      <c r="H101" s="230">
        <f>'АВЗ АСУТП'!S101</f>
        <v>1.5</v>
      </c>
      <c r="I101" s="316">
        <f>'АВЗ АСУТП'!W101</f>
        <v>1.5</v>
      </c>
      <c r="J101" s="230">
        <f>'АВЗ АСУТП'!AA101</f>
        <v>1.5</v>
      </c>
      <c r="K101" s="230">
        <f>'АВЗ АСУТП'!AE101</f>
        <v>1.5</v>
      </c>
      <c r="L101" s="230">
        <f>'АВЗ АСУТП'!AI101</f>
        <v>1.5</v>
      </c>
      <c r="M101" s="230">
        <f>'SIEM АСУТП'!G101</f>
        <v>2</v>
      </c>
      <c r="N101" s="230">
        <f>'SIEM АСУТП'!K101</f>
        <v>2</v>
      </c>
      <c r="O101" s="21">
        <f>'МСЭ АСУТП'!G107</f>
        <v>0</v>
      </c>
      <c r="P101" s="25">
        <f>'МСЭ АСУТП'!K107</f>
        <v>0</v>
      </c>
      <c r="Q101" s="21">
        <f>'МСЭ АСУТП'!O107</f>
        <v>0</v>
      </c>
      <c r="R101" s="21">
        <f>'МСЭ АСУТП'!S107</f>
        <v>0</v>
      </c>
      <c r="S101" s="230">
        <f>'PAM АСУТП'!G101</f>
        <v>4</v>
      </c>
      <c r="T101" s="230">
        <f>'PAM АСУТП'!K101</f>
        <v>4</v>
      </c>
      <c r="U101" s="230">
        <f>'PAM АСУТП'!O101</f>
        <v>4</v>
      </c>
      <c r="V101" s="230">
        <f>'СКЗИ АСУТП'!G101</f>
        <v>2</v>
      </c>
      <c r="W101" s="230">
        <f>'СКЗИ АСУТП'!K101</f>
        <v>2</v>
      </c>
      <c r="X101" s="230">
        <f>'СКЗИ АСУТП'!O101</f>
        <v>2</v>
      </c>
      <c r="Y101" s="230">
        <f>'СКЗИ АСУТП'!S101</f>
        <v>2</v>
      </c>
      <c r="Z101" s="230">
        <f>'СКЗИ АСУТП'!W101</f>
        <v>2</v>
      </c>
      <c r="AA101" s="230">
        <f>'АЗ АСУТП'!G101</f>
        <v>2</v>
      </c>
      <c r="AB101" s="230">
        <f>'АЗ АСУТП'!K101</f>
        <v>2</v>
      </c>
      <c r="AC101" s="230">
        <f>'АЗ АСУТП'!O101</f>
        <v>2</v>
      </c>
      <c r="AD101" s="230">
        <f>'АЗ АСУТП'!S101</f>
        <v>2</v>
      </c>
      <c r="AE101" s="230">
        <f>'АЗ АСУТП'!W101</f>
        <v>2</v>
      </c>
      <c r="AF101" s="230">
        <f>'РК АСУТП'!G101</f>
        <v>0</v>
      </c>
      <c r="AG101" s="230">
        <f>'РК АСУТП'!K101</f>
        <v>0</v>
      </c>
      <c r="AH101" s="230">
        <f>'IDS АСУТП'!G101</f>
        <v>4</v>
      </c>
      <c r="AI101" s="230">
        <f>'IDS АСУТП'!K101</f>
        <v>4</v>
      </c>
      <c r="AJ101" s="230">
        <f>'IDS АСУТП'!O101</f>
        <v>4</v>
      </c>
      <c r="AK101" s="230">
        <f>'АПМДЗ АСУТП'!G101</f>
        <v>2</v>
      </c>
      <c r="AL101" s="230">
        <f>'АПМДЗ АСУТП'!K101</f>
        <v>2</v>
      </c>
      <c r="AM101" s="230">
        <f>'НСД АСУТП'!G101</f>
        <v>2</v>
      </c>
      <c r="AN101" s="230">
        <f>'НСД АСУТП'!K101</f>
        <v>2</v>
      </c>
      <c r="AO101" s="230">
        <f>'НСД АСУТП'!O101</f>
        <v>2</v>
      </c>
      <c r="AP101" s="230">
        <f>'MFA АСУТП'!G101</f>
        <v>3</v>
      </c>
      <c r="AQ101" s="230">
        <f>'MFA АСУТП'!K101</f>
        <v>3</v>
      </c>
      <c r="AR101" s="230">
        <f>'MFA АСУТП'!O101</f>
        <v>3</v>
      </c>
      <c r="AS101" s="230">
        <f>'MFA АСУТП'!S101</f>
        <v>3</v>
      </c>
      <c r="AT101" s="230">
        <f>'ДИОД АСУТП'!G101</f>
        <v>0</v>
      </c>
      <c r="AU101" s="230">
        <f>'ДИОД АСУТП'!K101</f>
        <v>0</v>
      </c>
      <c r="AV101" s="230">
        <f>'ДИОД АСУТП'!O101</f>
        <v>0</v>
      </c>
      <c r="AW101" s="230">
        <f>'ДИОД АСУТП'!S101</f>
        <v>0</v>
      </c>
      <c r="AX101" s="230">
        <f>'СЗВ АСУТП'!G101</f>
        <v>3</v>
      </c>
      <c r="AY101" s="230">
        <f>'СЗВ АСУТП'!K101</f>
        <v>3</v>
      </c>
      <c r="AZ101" s="230">
        <f>'СЗВ АСУТП'!O101</f>
        <v>3</v>
      </c>
      <c r="BA101" s="230">
        <f>'SOAR АСУТП'!G101</f>
        <v>2.25</v>
      </c>
      <c r="BB101" s="230">
        <f>'SOAR АСУТП'!K101</f>
        <v>2.25</v>
      </c>
      <c r="BC101" s="230">
        <f>'SOAR АСУТП'!O101</f>
        <v>2.25</v>
      </c>
      <c r="BD101" s="230" t="e">
        <f>'SOAR АСУТП'!#REF!</f>
        <v>#REF!</v>
      </c>
      <c r="BE101" s="230">
        <f>'VDI АСУТП'!G101</f>
        <v>2</v>
      </c>
      <c r="BF101" s="230">
        <f>'VDI АСУТП'!K101</f>
        <v>2</v>
      </c>
      <c r="BG101" s="230">
        <f>'VDI АСУТП'!O101</f>
        <v>2</v>
      </c>
      <c r="BH101" s="230">
        <f>'VDI АСУТП'!S101</f>
        <v>2</v>
      </c>
      <c r="BI101" s="230">
        <f>'VDI АСУТП'!W101</f>
        <v>2</v>
      </c>
      <c r="BJ101" s="316">
        <f>'СУБД АСУТП'!G101</f>
        <v>2</v>
      </c>
      <c r="BK101" s="316">
        <f>'СУБД АСУТП'!K101</f>
        <v>2</v>
      </c>
      <c r="BL101" s="316">
        <f>'ГОССОПКА АСУТП'!G101</f>
        <v>10</v>
      </c>
      <c r="BM101" s="316">
        <f>'ГОССОПКА АСУТП'!K101</f>
        <v>10</v>
      </c>
      <c r="BN101" s="316">
        <f>'TLS АСУТП'!G101</f>
        <v>10</v>
      </c>
      <c r="BO101" s="316">
        <f>'TLS АСУТП'!K101</f>
        <v>10</v>
      </c>
      <c r="BP101" s="316">
        <f>'DCAP АСУТП'!G101</f>
        <v>3</v>
      </c>
      <c r="BQ101" s="316">
        <f>'DCAP АСУТП'!K101</f>
        <v>3</v>
      </c>
      <c r="BR101" s="316">
        <f>'DCAP АСУТП'!O101</f>
        <v>3</v>
      </c>
      <c r="BS101" s="316">
        <f>'DO АСУТП'!G101</f>
        <v>2.25</v>
      </c>
      <c r="BT101" s="316">
        <f>'NTA АСУТП'!G101</f>
        <v>3</v>
      </c>
      <c r="BU101" s="316">
        <f>'NTA АСУТП'!K101</f>
        <v>3</v>
      </c>
      <c r="BV101" s="316">
        <f>'NTA АСУТП'!O101</f>
        <v>4</v>
      </c>
      <c r="BW101" s="316">
        <f>'NTA АСУТП'!S101</f>
        <v>3</v>
      </c>
      <c r="BX101" s="316">
        <f>'SEG АСУТП'!G101</f>
        <v>3</v>
      </c>
      <c r="BY101" s="316">
        <f>'APT АСУТП'!G101</f>
        <v>4</v>
      </c>
      <c r="BZ101" s="316">
        <f>'APT АСУТП'!K101</f>
        <v>4</v>
      </c>
      <c r="CA101" s="316">
        <f>'APT АСУТП'!O101</f>
        <v>4</v>
      </c>
      <c r="CB101" s="316">
        <f>'NAC АСУТП'!G101</f>
        <v>10</v>
      </c>
      <c r="CC101" s="316">
        <f>'SANDBOX АСУТП'!G101</f>
        <v>3</v>
      </c>
      <c r="CD101" s="316">
        <f>'SANDBOX АСУТП'!K101</f>
        <v>3</v>
      </c>
      <c r="CE101" s="316">
        <f>'EDR АСУТП'!G101</f>
        <v>1</v>
      </c>
      <c r="CF101" s="316">
        <f>'EDR АСУТП'!K101</f>
        <v>1</v>
      </c>
      <c r="CG101" s="316">
        <f>'WAF АСУТП'!G101</f>
        <v>10</v>
      </c>
      <c r="CH101" s="316">
        <f>'WAF АСУТП'!K101</f>
        <v>10</v>
      </c>
      <c r="CI101" s="316">
        <f>'WAF АСУТП'!O101</f>
        <v>10</v>
      </c>
      <c r="CJ101" s="316">
        <f>'ВМ ЗСВ'!G101</f>
        <v>3</v>
      </c>
      <c r="CK101" s="316">
        <f>'ВМ ЗСВ'!K101</f>
        <v>3</v>
      </c>
      <c r="CL101" s="316">
        <f>'ВМ ЗСВ'!O101</f>
        <v>3</v>
      </c>
      <c r="CM101" s="316">
        <f>'ВМ ЗСВ'!S101</f>
        <v>3</v>
      </c>
      <c r="CN101" s="316">
        <f>'ВМ ЗСВ'!W101</f>
        <v>3</v>
      </c>
      <c r="CO101" s="316">
        <f>'ВМ ЗСВ'!AA101</f>
        <v>3</v>
      </c>
      <c r="CP101" s="316">
        <f>'ВМ СПО'!G101</f>
        <v>0</v>
      </c>
      <c r="CQ101" s="316">
        <f>'ВМ СПО'!K101</f>
        <v>0</v>
      </c>
      <c r="CR101" s="316">
        <f>'ВМ СПО'!O101</f>
        <v>0</v>
      </c>
      <c r="CS101" s="316">
        <f>'ВМ СПО'!S101</f>
        <v>0</v>
      </c>
      <c r="CT101" s="316">
        <f>'ВМ АСО'!G101</f>
        <v>0</v>
      </c>
      <c r="CU101" s="316">
        <f>'ВМ АСО'!K101</f>
        <v>0</v>
      </c>
      <c r="CV101" s="316" t="e">
        <f t="shared" si="93"/>
        <v>#REF!</v>
      </c>
      <c r="CW101" s="25">
        <f t="shared" si="94"/>
        <v>1.5</v>
      </c>
      <c r="CX101" s="25">
        <f t="shared" si="95"/>
        <v>2</v>
      </c>
      <c r="CY101" s="25">
        <f t="shared" si="96"/>
        <v>0</v>
      </c>
      <c r="CZ101" s="25">
        <f t="shared" si="97"/>
        <v>0</v>
      </c>
      <c r="DA101" s="25">
        <f t="shared" si="98"/>
        <v>0</v>
      </c>
      <c r="DB101" s="25">
        <f t="shared" si="99"/>
        <v>0</v>
      </c>
      <c r="DC101" s="25">
        <f t="shared" si="100"/>
        <v>0</v>
      </c>
      <c r="DD101" s="25">
        <f t="shared" si="101"/>
        <v>0</v>
      </c>
      <c r="DE101" s="25">
        <f t="shared" si="102"/>
        <v>0</v>
      </c>
      <c r="DF101" s="25">
        <f t="shared" si="103"/>
        <v>0</v>
      </c>
      <c r="DG101" s="25">
        <f t="shared" si="104"/>
        <v>0</v>
      </c>
      <c r="DH101" s="25">
        <f t="shared" si="105"/>
        <v>0</v>
      </c>
      <c r="DI101" s="25">
        <f t="shared" si="106"/>
        <v>0</v>
      </c>
      <c r="DJ101" s="25" t="e">
        <f t="shared" si="107"/>
        <v>#REF!</v>
      </c>
      <c r="DK101" s="25">
        <f t="shared" si="108"/>
        <v>0</v>
      </c>
      <c r="DL101" s="25">
        <f t="shared" si="109"/>
        <v>0</v>
      </c>
      <c r="DM101" s="25">
        <f t="shared" si="110"/>
        <v>0</v>
      </c>
      <c r="DN101" s="25">
        <f t="shared" si="111"/>
        <v>0</v>
      </c>
      <c r="DO101" s="25">
        <f t="shared" si="112"/>
        <v>0</v>
      </c>
      <c r="DP101" s="25">
        <f t="shared" si="113"/>
        <v>0</v>
      </c>
      <c r="DQ101" s="25">
        <f t="shared" si="114"/>
        <v>0</v>
      </c>
      <c r="DR101" s="25">
        <f t="shared" si="115"/>
        <v>0</v>
      </c>
      <c r="DS101" s="25">
        <f t="shared" si="116"/>
        <v>0</v>
      </c>
      <c r="DT101" s="25">
        <f t="shared" si="117"/>
        <v>0</v>
      </c>
      <c r="DU101" s="25">
        <f t="shared" si="118"/>
        <v>0</v>
      </c>
      <c r="DV101" s="21">
        <f t="shared" si="119"/>
        <v>0</v>
      </c>
      <c r="DW101" s="317">
        <f t="shared" si="120"/>
        <v>0</v>
      </c>
      <c r="DX101" s="317">
        <f t="shared" si="121"/>
        <v>0</v>
      </c>
      <c r="DY101" s="317">
        <f t="shared" si="122"/>
        <v>0</v>
      </c>
      <c r="DZ101" s="230">
        <f t="shared" si="123"/>
        <v>0</v>
      </c>
    </row>
    <row r="102" spans="1:130" ht="15" customHeight="1" x14ac:dyDescent="0.25">
      <c r="A102" s="1908"/>
      <c r="B102" s="1910"/>
      <c r="C102" s="18" t="s">
        <v>34</v>
      </c>
      <c r="D102" s="21"/>
      <c r="E102" s="316">
        <f>'АВЗ АСУТП'!G102</f>
        <v>2.5</v>
      </c>
      <c r="F102" s="316">
        <f>'АВЗ АСУТП'!K102</f>
        <v>2.5</v>
      </c>
      <c r="G102" s="316">
        <f>'АВЗ АСУТП'!O102</f>
        <v>2.5</v>
      </c>
      <c r="H102" s="230">
        <f>'АВЗ АСУТП'!S102</f>
        <v>2.5</v>
      </c>
      <c r="I102" s="316">
        <f>'АВЗ АСУТП'!W102</f>
        <v>2.5</v>
      </c>
      <c r="J102" s="230">
        <f>'АВЗ АСУТП'!AA102</f>
        <v>2.5</v>
      </c>
      <c r="K102" s="230">
        <f>'АВЗ АСУТП'!AE102</f>
        <v>2.5</v>
      </c>
      <c r="L102" s="230">
        <f>'АВЗ АСУТП'!AI102</f>
        <v>2.5</v>
      </c>
      <c r="M102" s="230">
        <f>'SIEM АСУТП'!G102</f>
        <v>4</v>
      </c>
      <c r="N102" s="230">
        <f>'SIEM АСУТП'!K102</f>
        <v>4</v>
      </c>
      <c r="O102" s="21">
        <f>'МСЭ АСУТП'!G108</f>
        <v>0</v>
      </c>
      <c r="P102" s="25">
        <f>'МСЭ АСУТП'!K108</f>
        <v>0</v>
      </c>
      <c r="Q102" s="21">
        <f>'МСЭ АСУТП'!O108</f>
        <v>0</v>
      </c>
      <c r="R102" s="21">
        <f>'МСЭ АСУТП'!S108</f>
        <v>0</v>
      </c>
      <c r="S102" s="230">
        <f>'PAM АСУТП'!G102</f>
        <v>4</v>
      </c>
      <c r="T102" s="230">
        <f>'PAM АСУТП'!K102</f>
        <v>4</v>
      </c>
      <c r="U102" s="230">
        <f>'PAM АСУТП'!O102</f>
        <v>4</v>
      </c>
      <c r="V102" s="230">
        <f>'СКЗИ АСУТП'!G102</f>
        <v>3</v>
      </c>
      <c r="W102" s="230">
        <f>'СКЗИ АСУТП'!K102</f>
        <v>3</v>
      </c>
      <c r="X102" s="230">
        <f>'СКЗИ АСУТП'!O102</f>
        <v>3</v>
      </c>
      <c r="Y102" s="230">
        <f>'СКЗИ АСУТП'!S102</f>
        <v>3</v>
      </c>
      <c r="Z102" s="230">
        <f>'СКЗИ АСУТП'!W102</f>
        <v>3</v>
      </c>
      <c r="AA102" s="230">
        <f>'АЗ АСУТП'!G102</f>
        <v>2</v>
      </c>
      <c r="AB102" s="230">
        <f>'АЗ АСУТП'!K102</f>
        <v>2</v>
      </c>
      <c r="AC102" s="230">
        <f>'АЗ АСУТП'!O102</f>
        <v>2</v>
      </c>
      <c r="AD102" s="230">
        <f>'АЗ АСУТП'!S102</f>
        <v>2</v>
      </c>
      <c r="AE102" s="230">
        <f>'АЗ АСУТП'!W102</f>
        <v>2</v>
      </c>
      <c r="AF102" s="230">
        <f>'РК АСУТП'!G102</f>
        <v>0</v>
      </c>
      <c r="AG102" s="230">
        <f>'РК АСУТП'!K102</f>
        <v>0</v>
      </c>
      <c r="AH102" s="230">
        <f>'IDS АСУТП'!G102</f>
        <v>4</v>
      </c>
      <c r="AI102" s="230">
        <f>'IDS АСУТП'!K102</f>
        <v>4</v>
      </c>
      <c r="AJ102" s="230">
        <f>'IDS АСУТП'!O102</f>
        <v>4</v>
      </c>
      <c r="AK102" s="230">
        <f>'АПМДЗ АСУТП'!G102</f>
        <v>2</v>
      </c>
      <c r="AL102" s="230">
        <f>'АПМДЗ АСУТП'!K102</f>
        <v>2</v>
      </c>
      <c r="AM102" s="230">
        <f>'НСД АСУТП'!G102</f>
        <v>2</v>
      </c>
      <c r="AN102" s="230">
        <f>'НСД АСУТП'!K102</f>
        <v>2</v>
      </c>
      <c r="AO102" s="230">
        <f>'НСД АСУТП'!O102</f>
        <v>2</v>
      </c>
      <c r="AP102" s="230">
        <f>'MFA АСУТП'!G102</f>
        <v>5</v>
      </c>
      <c r="AQ102" s="230">
        <f>'MFA АСУТП'!K102</f>
        <v>5</v>
      </c>
      <c r="AR102" s="230">
        <f>'MFA АСУТП'!O102</f>
        <v>5</v>
      </c>
      <c r="AS102" s="230">
        <f>'MFA АСУТП'!S102</f>
        <v>5</v>
      </c>
      <c r="AT102" s="230">
        <f>'ДИОД АСУТП'!G102</f>
        <v>0</v>
      </c>
      <c r="AU102" s="230">
        <f>'ДИОД АСУТП'!K102</f>
        <v>0</v>
      </c>
      <c r="AV102" s="230">
        <f>'ДИОД АСУТП'!O102</f>
        <v>0</v>
      </c>
      <c r="AW102" s="230">
        <f>'ДИОД АСУТП'!S102</f>
        <v>0</v>
      </c>
      <c r="AX102" s="230">
        <f>'СЗВ АСУТП'!G102</f>
        <v>5</v>
      </c>
      <c r="AY102" s="230">
        <f>'СЗВ АСУТП'!K102</f>
        <v>5</v>
      </c>
      <c r="AZ102" s="230">
        <f>'СЗВ АСУТП'!O102</f>
        <v>5</v>
      </c>
      <c r="BA102" s="230">
        <f>'SOAR АСУТП'!G102</f>
        <v>4.25</v>
      </c>
      <c r="BB102" s="230">
        <f>'SOAR АСУТП'!K102</f>
        <v>4.25</v>
      </c>
      <c r="BC102" s="230">
        <f>'SOAR АСУТП'!O102</f>
        <v>4.25</v>
      </c>
      <c r="BD102" s="230" t="e">
        <f>'SOAR АСУТП'!#REF!</f>
        <v>#REF!</v>
      </c>
      <c r="BE102" s="230">
        <f>'VDI АСУТП'!G102</f>
        <v>2</v>
      </c>
      <c r="BF102" s="230">
        <f>'VDI АСУТП'!K102</f>
        <v>2</v>
      </c>
      <c r="BG102" s="230">
        <f>'VDI АСУТП'!O102</f>
        <v>2</v>
      </c>
      <c r="BH102" s="230">
        <f>'VDI АСУТП'!S102</f>
        <v>2</v>
      </c>
      <c r="BI102" s="230">
        <f>'VDI АСУТП'!W102</f>
        <v>2</v>
      </c>
      <c r="BJ102" s="316">
        <f>'СУБД АСУТП'!G102</f>
        <v>4</v>
      </c>
      <c r="BK102" s="316">
        <f>'СУБД АСУТП'!K102</f>
        <v>4</v>
      </c>
      <c r="BL102" s="316">
        <f>'ГОССОПКА АСУТП'!G102</f>
        <v>14</v>
      </c>
      <c r="BM102" s="316">
        <f>'ГОССОПКА АСУТП'!K102</f>
        <v>14</v>
      </c>
      <c r="BN102" s="316">
        <f>'TLS АСУТП'!G102</f>
        <v>14</v>
      </c>
      <c r="BO102" s="316">
        <f>'TLS АСУТП'!K102</f>
        <v>14</v>
      </c>
      <c r="BP102" s="316">
        <f>'DCAP АСУТП'!G102</f>
        <v>5</v>
      </c>
      <c r="BQ102" s="316">
        <f>'DCAP АСУТП'!K102</f>
        <v>5</v>
      </c>
      <c r="BR102" s="316">
        <f>'DCAP АСУТП'!O102</f>
        <v>5</v>
      </c>
      <c r="BS102" s="316">
        <f>'DO АСУТП'!G102</f>
        <v>4.25</v>
      </c>
      <c r="BT102" s="316">
        <f>'NTA АСУТП'!G102</f>
        <v>5</v>
      </c>
      <c r="BU102" s="316">
        <f>'NTA АСУТП'!K102</f>
        <v>5</v>
      </c>
      <c r="BV102" s="316">
        <f>'NTA АСУТП'!O102</f>
        <v>4</v>
      </c>
      <c r="BW102" s="316">
        <f>'NTA АСУТП'!S102</f>
        <v>5</v>
      </c>
      <c r="BX102" s="316">
        <f>'SEG АСУТП'!G102</f>
        <v>5</v>
      </c>
      <c r="BY102" s="316">
        <f>'APT АСУТП'!G102</f>
        <v>4</v>
      </c>
      <c r="BZ102" s="316">
        <f>'APT АСУТП'!K102</f>
        <v>4</v>
      </c>
      <c r="CA102" s="316">
        <f>'APT АСУТП'!O102</f>
        <v>4</v>
      </c>
      <c r="CB102" s="316">
        <f>'NAC АСУТП'!G102</f>
        <v>14</v>
      </c>
      <c r="CC102" s="316">
        <f>'SANDBOX АСУТП'!G102</f>
        <v>5</v>
      </c>
      <c r="CD102" s="316">
        <f>'SANDBOX АСУТП'!K102</f>
        <v>5</v>
      </c>
      <c r="CE102" s="316">
        <f>'EDR АСУТП'!G102</f>
        <v>2</v>
      </c>
      <c r="CF102" s="316">
        <f>'EDR АСУТП'!K102</f>
        <v>2</v>
      </c>
      <c r="CG102" s="316">
        <f>'WAF АСУТП'!G102</f>
        <v>14</v>
      </c>
      <c r="CH102" s="316">
        <f>'WAF АСУТП'!K102</f>
        <v>14</v>
      </c>
      <c r="CI102" s="316">
        <f>'WAF АСУТП'!O102</f>
        <v>14</v>
      </c>
      <c r="CJ102" s="316">
        <f>'ВМ ЗСВ'!G102</f>
        <v>5</v>
      </c>
      <c r="CK102" s="316">
        <f>'ВМ ЗСВ'!K102</f>
        <v>5</v>
      </c>
      <c r="CL102" s="316">
        <f>'ВМ ЗСВ'!O102</f>
        <v>5</v>
      </c>
      <c r="CM102" s="316">
        <f>'ВМ ЗСВ'!S102</f>
        <v>5</v>
      </c>
      <c r="CN102" s="316">
        <f>'ВМ ЗСВ'!W102</f>
        <v>5</v>
      </c>
      <c r="CO102" s="316">
        <f>'ВМ ЗСВ'!AA102</f>
        <v>5</v>
      </c>
      <c r="CP102" s="316">
        <f>'ВМ СПО'!G102</f>
        <v>0</v>
      </c>
      <c r="CQ102" s="316">
        <f>'ВМ СПО'!K102</f>
        <v>0</v>
      </c>
      <c r="CR102" s="316">
        <f>'ВМ СПО'!O102</f>
        <v>0</v>
      </c>
      <c r="CS102" s="316">
        <f>'ВМ СПО'!S102</f>
        <v>0</v>
      </c>
      <c r="CT102" s="316">
        <f>'ВМ АСО'!G102</f>
        <v>0</v>
      </c>
      <c r="CU102" s="316">
        <f>'ВМ АСО'!K102</f>
        <v>0</v>
      </c>
      <c r="CV102" s="316" t="e">
        <f t="shared" si="93"/>
        <v>#REF!</v>
      </c>
      <c r="CW102" s="25">
        <f t="shared" si="94"/>
        <v>2.5</v>
      </c>
      <c r="CX102" s="25">
        <f t="shared" si="95"/>
        <v>4</v>
      </c>
      <c r="CY102" s="25">
        <f t="shared" si="96"/>
        <v>0</v>
      </c>
      <c r="CZ102" s="25">
        <f t="shared" si="97"/>
        <v>0</v>
      </c>
      <c r="DA102" s="25">
        <f t="shared" si="98"/>
        <v>0</v>
      </c>
      <c r="DB102" s="25">
        <f t="shared" si="99"/>
        <v>0</v>
      </c>
      <c r="DC102" s="25">
        <f t="shared" si="100"/>
        <v>0</v>
      </c>
      <c r="DD102" s="25">
        <f t="shared" si="101"/>
        <v>0</v>
      </c>
      <c r="DE102" s="25">
        <f t="shared" si="102"/>
        <v>0</v>
      </c>
      <c r="DF102" s="25">
        <f t="shared" si="103"/>
        <v>0</v>
      </c>
      <c r="DG102" s="25">
        <f t="shared" si="104"/>
        <v>0</v>
      </c>
      <c r="DH102" s="25">
        <f t="shared" si="105"/>
        <v>0</v>
      </c>
      <c r="DI102" s="25">
        <f t="shared" si="106"/>
        <v>0</v>
      </c>
      <c r="DJ102" s="25" t="e">
        <f t="shared" si="107"/>
        <v>#REF!</v>
      </c>
      <c r="DK102" s="25">
        <f t="shared" si="108"/>
        <v>0</v>
      </c>
      <c r="DL102" s="25">
        <f t="shared" si="109"/>
        <v>0</v>
      </c>
      <c r="DM102" s="25">
        <f t="shared" si="110"/>
        <v>0</v>
      </c>
      <c r="DN102" s="25">
        <f t="shared" si="111"/>
        <v>0</v>
      </c>
      <c r="DO102" s="25">
        <f t="shared" si="112"/>
        <v>0</v>
      </c>
      <c r="DP102" s="25">
        <f t="shared" si="113"/>
        <v>0</v>
      </c>
      <c r="DQ102" s="25">
        <f t="shared" si="114"/>
        <v>0</v>
      </c>
      <c r="DR102" s="25">
        <f t="shared" si="115"/>
        <v>0</v>
      </c>
      <c r="DS102" s="25">
        <f t="shared" si="116"/>
        <v>0</v>
      </c>
      <c r="DT102" s="25">
        <f t="shared" si="117"/>
        <v>0</v>
      </c>
      <c r="DU102" s="25">
        <f t="shared" si="118"/>
        <v>0</v>
      </c>
      <c r="DV102" s="21">
        <f t="shared" si="119"/>
        <v>0</v>
      </c>
      <c r="DW102" s="317">
        <f t="shared" si="120"/>
        <v>0</v>
      </c>
      <c r="DX102" s="317">
        <f t="shared" si="121"/>
        <v>0</v>
      </c>
      <c r="DY102" s="317">
        <f t="shared" si="122"/>
        <v>0</v>
      </c>
      <c r="DZ102" s="230">
        <f t="shared" si="123"/>
        <v>0</v>
      </c>
    </row>
    <row r="103" spans="1:130" ht="15" customHeight="1" x14ac:dyDescent="0.25">
      <c r="A103" s="1907" t="s">
        <v>28</v>
      </c>
      <c r="B103" s="1909">
        <f>IF('Тип разраб-ой док-ции'!F40=1,1,0)</f>
        <v>0</v>
      </c>
      <c r="C103" s="18" t="s">
        <v>32</v>
      </c>
      <c r="D103" s="21"/>
      <c r="E103" s="316">
        <f>'АВЗ АСУТП'!G103</f>
        <v>3</v>
      </c>
      <c r="F103" s="316">
        <f>'АВЗ АСУТП'!K103</f>
        <v>3</v>
      </c>
      <c r="G103" s="316">
        <f>'АВЗ АСУТП'!O103</f>
        <v>3</v>
      </c>
      <c r="H103" s="230">
        <f>'АВЗ АСУТП'!S103</f>
        <v>3</v>
      </c>
      <c r="I103" s="316">
        <f>'АВЗ АСУТП'!W103</f>
        <v>3</v>
      </c>
      <c r="J103" s="230">
        <f>'АВЗ АСУТП'!AA103</f>
        <v>3</v>
      </c>
      <c r="K103" s="230">
        <f>'АВЗ АСУТП'!AE103</f>
        <v>3</v>
      </c>
      <c r="L103" s="230">
        <f>'АВЗ АСУТП'!AI103</f>
        <v>3</v>
      </c>
      <c r="M103" s="230">
        <f>'SIEM АСУТП'!G103</f>
        <v>2.5</v>
      </c>
      <c r="N103" s="230">
        <f>'SIEM АСУТП'!K103</f>
        <v>2.5</v>
      </c>
      <c r="O103" s="21">
        <f>'МСЭ АСУТП'!G109</f>
        <v>0</v>
      </c>
      <c r="P103" s="25">
        <f>'МСЭ АСУТП'!K109</f>
        <v>0</v>
      </c>
      <c r="Q103" s="21">
        <f>'МСЭ АСУТП'!O109</f>
        <v>0</v>
      </c>
      <c r="R103" s="21">
        <f>'МСЭ АСУТП'!S109</f>
        <v>0</v>
      </c>
      <c r="S103" s="230">
        <f>'PAM АСУТП'!G103</f>
        <v>3</v>
      </c>
      <c r="T103" s="230">
        <f>'PAM АСУТП'!K103</f>
        <v>3</v>
      </c>
      <c r="U103" s="230">
        <f>'PAM АСУТП'!O103</f>
        <v>3</v>
      </c>
      <c r="V103" s="230">
        <f>'СКЗИ АСУТП'!G103</f>
        <v>4</v>
      </c>
      <c r="W103" s="230">
        <f>'СКЗИ АСУТП'!K103</f>
        <v>4</v>
      </c>
      <c r="X103" s="230">
        <f>'СКЗИ АСУТП'!O103</f>
        <v>4</v>
      </c>
      <c r="Y103" s="230">
        <f>'СКЗИ АСУТП'!S103</f>
        <v>4</v>
      </c>
      <c r="Z103" s="230">
        <f>'СКЗИ АСУТП'!W103</f>
        <v>4</v>
      </c>
      <c r="AA103" s="230">
        <f>'АЗ АСУТП'!G103</f>
        <v>1</v>
      </c>
      <c r="AB103" s="230">
        <f>'АЗ АСУТП'!K103</f>
        <v>1</v>
      </c>
      <c r="AC103" s="230">
        <f>'АЗ АСУТП'!O103</f>
        <v>1</v>
      </c>
      <c r="AD103" s="230">
        <f>'АЗ АСУТП'!S103</f>
        <v>1</v>
      </c>
      <c r="AE103" s="230">
        <f>'АЗ АСУТП'!W103</f>
        <v>1</v>
      </c>
      <c r="AF103" s="230">
        <f>'РК АСУТП'!G103</f>
        <v>0.5</v>
      </c>
      <c r="AG103" s="230">
        <f>'РК АСУТП'!K103</f>
        <v>0.5</v>
      </c>
      <c r="AH103" s="230">
        <f>'IDS АСУТП'!G103</f>
        <v>4</v>
      </c>
      <c r="AI103" s="230">
        <f>'IDS АСУТП'!K103</f>
        <v>4</v>
      </c>
      <c r="AJ103" s="230">
        <f>'IDS АСУТП'!O103</f>
        <v>4</v>
      </c>
      <c r="AK103" s="230">
        <f>'АПМДЗ АСУТП'!G103</f>
        <v>0.48000000000000009</v>
      </c>
      <c r="AL103" s="230">
        <f>'АПМДЗ АСУТП'!K103</f>
        <v>0.48000000000000009</v>
      </c>
      <c r="AM103" s="230">
        <f>'НСД АСУТП'!G103</f>
        <v>0.48000000000000009</v>
      </c>
      <c r="AN103" s="230">
        <f>'НСД АСУТП'!K103</f>
        <v>0.48000000000000009</v>
      </c>
      <c r="AO103" s="230">
        <f>'НСД АСУТП'!O103</f>
        <v>0.48000000000000009</v>
      </c>
      <c r="AP103" s="230">
        <f>'MFA АСУТП'!G103</f>
        <v>2</v>
      </c>
      <c r="AQ103" s="230">
        <f>'MFA АСУТП'!K103</f>
        <v>2</v>
      </c>
      <c r="AR103" s="230">
        <f>'MFA АСУТП'!O103</f>
        <v>2</v>
      </c>
      <c r="AS103" s="230">
        <f>'MFA АСУТП'!S103</f>
        <v>2</v>
      </c>
      <c r="AT103" s="230">
        <f>'ДИОД АСУТП'!G103</f>
        <v>2</v>
      </c>
      <c r="AU103" s="230">
        <f>'ДИОД АСУТП'!K103</f>
        <v>2</v>
      </c>
      <c r="AV103" s="230">
        <f>'ДИОД АСУТП'!O103</f>
        <v>2</v>
      </c>
      <c r="AW103" s="230">
        <f>'ДИОД АСУТП'!S103</f>
        <v>2</v>
      </c>
      <c r="AX103" s="230">
        <f>'СЗВ АСУТП'!G103</f>
        <v>2</v>
      </c>
      <c r="AY103" s="230">
        <f>'СЗВ АСУТП'!K103</f>
        <v>2</v>
      </c>
      <c r="AZ103" s="230">
        <f>'СЗВ АСУТП'!O103</f>
        <v>2</v>
      </c>
      <c r="BA103" s="230">
        <f>'SOAR АСУТП'!G103</f>
        <v>2</v>
      </c>
      <c r="BB103" s="230">
        <f>'SOAR АСУТП'!K103</f>
        <v>2</v>
      </c>
      <c r="BC103" s="230">
        <f>'SOAR АСУТП'!O103</f>
        <v>2</v>
      </c>
      <c r="BD103" s="230" t="e">
        <f>'SOAR АСУТП'!#REF!</f>
        <v>#REF!</v>
      </c>
      <c r="BE103" s="230">
        <f>'VDI АСУТП'!G103</f>
        <v>2</v>
      </c>
      <c r="BF103" s="230">
        <f>'VDI АСУТП'!K103</f>
        <v>2</v>
      </c>
      <c r="BG103" s="230">
        <f>'VDI АСУТП'!O103</f>
        <v>2</v>
      </c>
      <c r="BH103" s="230">
        <f>'VDI АСУТП'!S103</f>
        <v>2</v>
      </c>
      <c r="BI103" s="230">
        <f>'VDI АСУТП'!W103</f>
        <v>2</v>
      </c>
      <c r="BJ103" s="316">
        <f>'СУБД АСУТП'!G103</f>
        <v>2</v>
      </c>
      <c r="BK103" s="316">
        <f>'СУБД АСУТП'!K103</f>
        <v>2</v>
      </c>
      <c r="BL103" s="316">
        <f>'ГОССОПКА АСУТП'!G103</f>
        <v>4</v>
      </c>
      <c r="BM103" s="316">
        <f>'ГОССОПКА АСУТП'!K103</f>
        <v>4</v>
      </c>
      <c r="BN103" s="316">
        <f>'TLS АСУТП'!G103</f>
        <v>4</v>
      </c>
      <c r="BO103" s="316">
        <f>'TLS АСУТП'!K103</f>
        <v>4</v>
      </c>
      <c r="BP103" s="316">
        <f>'DCAP АСУТП'!G103</f>
        <v>2</v>
      </c>
      <c r="BQ103" s="316">
        <f>'DCAP АСУТП'!K103</f>
        <v>2</v>
      </c>
      <c r="BR103" s="316">
        <f>'DCAP АСУТП'!O103</f>
        <v>2</v>
      </c>
      <c r="BS103" s="316">
        <f>'DO АСУТП'!G103</f>
        <v>2</v>
      </c>
      <c r="BT103" s="316">
        <f>'NTA АСУТП'!G103</f>
        <v>2</v>
      </c>
      <c r="BU103" s="316">
        <f>'NTA АСУТП'!K103</f>
        <v>2</v>
      </c>
      <c r="BV103" s="316">
        <f>'NTA АСУТП'!O103</f>
        <v>4</v>
      </c>
      <c r="BW103" s="316">
        <f>'NTA АСУТП'!S103</f>
        <v>2</v>
      </c>
      <c r="BX103" s="316">
        <f>'SEG АСУТП'!G103</f>
        <v>2</v>
      </c>
      <c r="BY103" s="316">
        <f>'APT АСУТП'!G103</f>
        <v>4</v>
      </c>
      <c r="BZ103" s="316">
        <f>'APT АСУТП'!K103</f>
        <v>4</v>
      </c>
      <c r="CA103" s="316">
        <f>'APT АСУТП'!O103</f>
        <v>4</v>
      </c>
      <c r="CB103" s="316">
        <f>'NAC АСУТП'!G103</f>
        <v>4</v>
      </c>
      <c r="CC103" s="316">
        <f>'SANDBOX АСУТП'!G103</f>
        <v>2</v>
      </c>
      <c r="CD103" s="316">
        <f>'SANDBOX АСУТП'!K103</f>
        <v>2</v>
      </c>
      <c r="CE103" s="316">
        <f>'EDR АСУТП'!G103</f>
        <v>2</v>
      </c>
      <c r="CF103" s="316">
        <f>'EDR АСУТП'!K103</f>
        <v>2</v>
      </c>
      <c r="CG103" s="316">
        <f>'WAF АСУТП'!G103</f>
        <v>4</v>
      </c>
      <c r="CH103" s="316">
        <f>'WAF АСУТП'!K103</f>
        <v>4</v>
      </c>
      <c r="CI103" s="316">
        <f>'WAF АСУТП'!O103</f>
        <v>4</v>
      </c>
      <c r="CJ103" s="316">
        <f>'ВМ ЗСВ'!G103</f>
        <v>2</v>
      </c>
      <c r="CK103" s="316">
        <f>'ВМ ЗСВ'!K103</f>
        <v>2</v>
      </c>
      <c r="CL103" s="316">
        <f>'ВМ ЗСВ'!O103</f>
        <v>2</v>
      </c>
      <c r="CM103" s="316">
        <f>'ВМ ЗСВ'!S103</f>
        <v>2</v>
      </c>
      <c r="CN103" s="316">
        <f>'ВМ ЗСВ'!W103</f>
        <v>2</v>
      </c>
      <c r="CO103" s="316">
        <f>'ВМ ЗСВ'!AA103</f>
        <v>2</v>
      </c>
      <c r="CP103" s="316">
        <f>'ВМ СПО'!G103</f>
        <v>2</v>
      </c>
      <c r="CQ103" s="316">
        <f>'ВМ СПО'!K103</f>
        <v>2</v>
      </c>
      <c r="CR103" s="316">
        <f>'ВМ СПО'!O103</f>
        <v>4</v>
      </c>
      <c r="CS103" s="316">
        <f>'ВМ СПО'!S103</f>
        <v>4</v>
      </c>
      <c r="CT103" s="316">
        <f>'ВМ АСО'!G103</f>
        <v>0</v>
      </c>
      <c r="CU103" s="316">
        <f>'ВМ АСО'!K103</f>
        <v>0</v>
      </c>
      <c r="CV103" s="316" t="e">
        <f t="shared" si="93"/>
        <v>#REF!</v>
      </c>
      <c r="CW103" s="25">
        <f t="shared" si="94"/>
        <v>3</v>
      </c>
      <c r="CX103" s="25">
        <f t="shared" si="95"/>
        <v>2.5</v>
      </c>
      <c r="CY103" s="25">
        <f t="shared" si="96"/>
        <v>0</v>
      </c>
      <c r="CZ103" s="25">
        <f t="shared" si="97"/>
        <v>0</v>
      </c>
      <c r="DA103" s="25">
        <f t="shared" si="98"/>
        <v>0</v>
      </c>
      <c r="DB103" s="25">
        <f t="shared" si="99"/>
        <v>0</v>
      </c>
      <c r="DC103" s="25">
        <f t="shared" si="100"/>
        <v>0</v>
      </c>
      <c r="DD103" s="25">
        <f t="shared" si="101"/>
        <v>0</v>
      </c>
      <c r="DE103" s="25">
        <f t="shared" si="102"/>
        <v>0</v>
      </c>
      <c r="DF103" s="25">
        <f t="shared" si="103"/>
        <v>0</v>
      </c>
      <c r="DG103" s="25">
        <f t="shared" si="104"/>
        <v>0</v>
      </c>
      <c r="DH103" s="25">
        <f t="shared" si="105"/>
        <v>0</v>
      </c>
      <c r="DI103" s="25">
        <f t="shared" si="106"/>
        <v>0</v>
      </c>
      <c r="DJ103" s="25" t="e">
        <f t="shared" si="107"/>
        <v>#REF!</v>
      </c>
      <c r="DK103" s="25">
        <f t="shared" si="108"/>
        <v>0</v>
      </c>
      <c r="DL103" s="25">
        <f t="shared" si="109"/>
        <v>0</v>
      </c>
      <c r="DM103" s="25">
        <f t="shared" si="110"/>
        <v>0</v>
      </c>
      <c r="DN103" s="25">
        <f t="shared" si="111"/>
        <v>0</v>
      </c>
      <c r="DO103" s="25">
        <f t="shared" si="112"/>
        <v>0</v>
      </c>
      <c r="DP103" s="25">
        <f t="shared" si="113"/>
        <v>0</v>
      </c>
      <c r="DQ103" s="25">
        <f t="shared" si="114"/>
        <v>0</v>
      </c>
      <c r="DR103" s="25">
        <f t="shared" si="115"/>
        <v>0</v>
      </c>
      <c r="DS103" s="25">
        <f t="shared" si="116"/>
        <v>0</v>
      </c>
      <c r="DT103" s="25">
        <f t="shared" si="117"/>
        <v>0</v>
      </c>
      <c r="DU103" s="25">
        <f t="shared" si="118"/>
        <v>0</v>
      </c>
      <c r="DV103" s="21">
        <f t="shared" si="119"/>
        <v>0</v>
      </c>
      <c r="DW103" s="317">
        <f t="shared" si="120"/>
        <v>0</v>
      </c>
      <c r="DX103" s="317">
        <f t="shared" si="121"/>
        <v>0</v>
      </c>
      <c r="DY103" s="317">
        <f t="shared" si="122"/>
        <v>0</v>
      </c>
      <c r="DZ103" s="230">
        <f t="shared" si="123"/>
        <v>0</v>
      </c>
    </row>
    <row r="104" spans="1:130" ht="15" customHeight="1" x14ac:dyDescent="0.25">
      <c r="A104" s="1907"/>
      <c r="B104" s="1909"/>
      <c r="C104" s="18" t="s">
        <v>33</v>
      </c>
      <c r="D104" s="21"/>
      <c r="E104" s="316">
        <f>'АВЗ АСУТП'!G104</f>
        <v>1</v>
      </c>
      <c r="F104" s="316">
        <f>'АВЗ АСУТП'!K104</f>
        <v>1</v>
      </c>
      <c r="G104" s="316">
        <f>'АВЗ АСУТП'!O104</f>
        <v>1</v>
      </c>
      <c r="H104" s="230">
        <f>'АВЗ АСУТП'!S104</f>
        <v>1</v>
      </c>
      <c r="I104" s="316">
        <f>'АВЗ АСУТП'!W104</f>
        <v>1</v>
      </c>
      <c r="J104" s="230">
        <f>'АВЗ АСУТП'!AA104</f>
        <v>1</v>
      </c>
      <c r="K104" s="230">
        <f>'АВЗ АСУТП'!AE104</f>
        <v>1</v>
      </c>
      <c r="L104" s="230">
        <f>'АВЗ АСУТП'!AI104</f>
        <v>1</v>
      </c>
      <c r="M104" s="230">
        <f>'SIEM АСУТП'!G104</f>
        <v>2</v>
      </c>
      <c r="N104" s="230">
        <f>'SIEM АСУТП'!K104</f>
        <v>2</v>
      </c>
      <c r="O104" s="21">
        <f>'МСЭ АСУТП'!G110</f>
        <v>0</v>
      </c>
      <c r="P104" s="25">
        <f>'МСЭ АСУТП'!K110</f>
        <v>0</v>
      </c>
      <c r="Q104" s="21">
        <f>'МСЭ АСУТП'!O110</f>
        <v>0</v>
      </c>
      <c r="R104" s="21">
        <f>'МСЭ АСУТП'!S110</f>
        <v>0</v>
      </c>
      <c r="S104" s="230">
        <f>'PAM АСУТП'!G104</f>
        <v>4</v>
      </c>
      <c r="T104" s="230">
        <f>'PAM АСУТП'!K104</f>
        <v>4</v>
      </c>
      <c r="U104" s="230">
        <f>'PAM АСУТП'!O104</f>
        <v>4</v>
      </c>
      <c r="V104" s="230">
        <f>'СКЗИ АСУТП'!G104</f>
        <v>5</v>
      </c>
      <c r="W104" s="230">
        <f>'СКЗИ АСУТП'!K104</f>
        <v>5</v>
      </c>
      <c r="X104" s="230">
        <f>'СКЗИ АСУТП'!O104</f>
        <v>5</v>
      </c>
      <c r="Y104" s="230">
        <f>'СКЗИ АСУТП'!S104</f>
        <v>5</v>
      </c>
      <c r="Z104" s="230">
        <f>'СКЗИ АСУТП'!W104</f>
        <v>5</v>
      </c>
      <c r="AA104" s="230">
        <f>'АЗ АСУТП'!G104</f>
        <v>2</v>
      </c>
      <c r="AB104" s="230">
        <f>'АЗ АСУТП'!K104</f>
        <v>2</v>
      </c>
      <c r="AC104" s="230">
        <f>'АЗ АСУТП'!O104</f>
        <v>2</v>
      </c>
      <c r="AD104" s="230">
        <f>'АЗ АСУТП'!S104</f>
        <v>2</v>
      </c>
      <c r="AE104" s="230">
        <f>'АЗ АСУТП'!W104</f>
        <v>2</v>
      </c>
      <c r="AF104" s="230">
        <f>'РК АСУТП'!G104</f>
        <v>1</v>
      </c>
      <c r="AG104" s="230">
        <f>'РК АСУТП'!K104</f>
        <v>1</v>
      </c>
      <c r="AH104" s="230">
        <f>'IDS АСУТП'!G104</f>
        <v>5</v>
      </c>
      <c r="AI104" s="230">
        <f>'IDS АСУТП'!K104</f>
        <v>5</v>
      </c>
      <c r="AJ104" s="230">
        <f>'IDS АСУТП'!O104</f>
        <v>5</v>
      </c>
      <c r="AK104" s="230">
        <f>'АПМДЗ АСУТП'!G104</f>
        <v>0.60000000000000009</v>
      </c>
      <c r="AL104" s="230">
        <f>'АПМДЗ АСУТП'!K104</f>
        <v>0.60000000000000009</v>
      </c>
      <c r="AM104" s="230">
        <f>'НСД АСУТП'!G104</f>
        <v>0.60000000000000009</v>
      </c>
      <c r="AN104" s="230">
        <f>'НСД АСУТП'!K104</f>
        <v>0.60000000000000009</v>
      </c>
      <c r="AO104" s="230">
        <f>'НСД АСУТП'!O104</f>
        <v>0.60000000000000009</v>
      </c>
      <c r="AP104" s="230">
        <f>'MFA АСУТП'!G104</f>
        <v>3</v>
      </c>
      <c r="AQ104" s="230">
        <f>'MFA АСУТП'!K104</f>
        <v>3</v>
      </c>
      <c r="AR104" s="230">
        <f>'MFA АСУТП'!O104</f>
        <v>3</v>
      </c>
      <c r="AS104" s="230">
        <f>'MFA АСУТП'!S104</f>
        <v>3</v>
      </c>
      <c r="AT104" s="230">
        <f>'ДИОД АСУТП'!G104</f>
        <v>3</v>
      </c>
      <c r="AU104" s="230">
        <f>'ДИОД АСУТП'!K104</f>
        <v>3</v>
      </c>
      <c r="AV104" s="230">
        <f>'ДИОД АСУТП'!O104</f>
        <v>3</v>
      </c>
      <c r="AW104" s="230">
        <f>'ДИОД АСУТП'!S104</f>
        <v>3</v>
      </c>
      <c r="AX104" s="230">
        <f>'СЗВ АСУТП'!G104</f>
        <v>3</v>
      </c>
      <c r="AY104" s="230">
        <f>'СЗВ АСУТП'!K104</f>
        <v>3</v>
      </c>
      <c r="AZ104" s="230">
        <f>'СЗВ АСУТП'!O104</f>
        <v>3</v>
      </c>
      <c r="BA104" s="230">
        <f>'SOAR АСУТП'!G104</f>
        <v>2</v>
      </c>
      <c r="BB104" s="230">
        <f>'SOAR АСУТП'!K104</f>
        <v>2</v>
      </c>
      <c r="BC104" s="230">
        <f>'SOAR АСУТП'!O104</f>
        <v>2</v>
      </c>
      <c r="BD104" s="230" t="e">
        <f>'SOAR АСУТП'!#REF!</f>
        <v>#REF!</v>
      </c>
      <c r="BE104" s="230">
        <f>'VDI АСУТП'!G104</f>
        <v>3</v>
      </c>
      <c r="BF104" s="230">
        <f>'VDI АСУТП'!K104</f>
        <v>3</v>
      </c>
      <c r="BG104" s="230">
        <f>'VDI АСУТП'!O104</f>
        <v>3</v>
      </c>
      <c r="BH104" s="230">
        <f>'VDI АСУТП'!S104</f>
        <v>3</v>
      </c>
      <c r="BI104" s="230">
        <f>'VDI АСУТП'!W104</f>
        <v>3</v>
      </c>
      <c r="BJ104" s="316">
        <f>'СУБД АСУТП'!G104</f>
        <v>0.5</v>
      </c>
      <c r="BK104" s="316">
        <f>'СУБД АСУТП'!K104</f>
        <v>0.5</v>
      </c>
      <c r="BL104" s="316">
        <f>'ГОССОПКА АСУТП'!G104</f>
        <v>6</v>
      </c>
      <c r="BM104" s="316">
        <f>'ГОССОПКА АСУТП'!K104</f>
        <v>6</v>
      </c>
      <c r="BN104" s="316">
        <f>'TLS АСУТП'!G104</f>
        <v>6</v>
      </c>
      <c r="BO104" s="316">
        <f>'TLS АСУТП'!K104</f>
        <v>6</v>
      </c>
      <c r="BP104" s="316">
        <f>'DCAP АСУТП'!G104</f>
        <v>3</v>
      </c>
      <c r="BQ104" s="316">
        <f>'DCAP АСУТП'!K104</f>
        <v>3</v>
      </c>
      <c r="BR104" s="316">
        <f>'DCAP АСУТП'!O104</f>
        <v>3</v>
      </c>
      <c r="BS104" s="316">
        <f>'DO АСУТП'!G104</f>
        <v>2</v>
      </c>
      <c r="BT104" s="316">
        <f>'NTA АСУТП'!G104</f>
        <v>3</v>
      </c>
      <c r="BU104" s="316">
        <f>'NTA АСУТП'!K104</f>
        <v>3</v>
      </c>
      <c r="BV104" s="316">
        <f>'NTA АСУТП'!O104</f>
        <v>5</v>
      </c>
      <c r="BW104" s="316">
        <f>'NTA АСУТП'!S104</f>
        <v>3</v>
      </c>
      <c r="BX104" s="316">
        <f>'SEG АСУТП'!G104</f>
        <v>3</v>
      </c>
      <c r="BY104" s="316">
        <f>'APT АСУТП'!G104</f>
        <v>5</v>
      </c>
      <c r="BZ104" s="316">
        <f>'APT АСУТП'!K104</f>
        <v>5</v>
      </c>
      <c r="CA104" s="316">
        <f>'APT АСУТП'!O104</f>
        <v>5</v>
      </c>
      <c r="CB104" s="316">
        <f>'NAC АСУТП'!G104</f>
        <v>6</v>
      </c>
      <c r="CC104" s="316">
        <f>'SANDBOX АСУТП'!G104</f>
        <v>3</v>
      </c>
      <c r="CD104" s="316">
        <f>'SANDBOX АСУТП'!K104</f>
        <v>3</v>
      </c>
      <c r="CE104" s="316">
        <f>'EDR АСУТП'!G104</f>
        <v>1</v>
      </c>
      <c r="CF104" s="316">
        <f>'EDR АСУТП'!K104</f>
        <v>1</v>
      </c>
      <c r="CG104" s="316">
        <f>'WAF АСУТП'!G104</f>
        <v>6</v>
      </c>
      <c r="CH104" s="316">
        <f>'WAF АСУТП'!K104</f>
        <v>6</v>
      </c>
      <c r="CI104" s="316">
        <f>'WAF АСУТП'!O104</f>
        <v>6</v>
      </c>
      <c r="CJ104" s="316">
        <f>'ВМ ЗСВ'!G104</f>
        <v>3</v>
      </c>
      <c r="CK104" s="316">
        <f>'ВМ ЗСВ'!K104</f>
        <v>3</v>
      </c>
      <c r="CL104" s="316">
        <f>'ВМ ЗСВ'!O104</f>
        <v>3</v>
      </c>
      <c r="CM104" s="316">
        <f>'ВМ ЗСВ'!S104</f>
        <v>3</v>
      </c>
      <c r="CN104" s="316">
        <f>'ВМ ЗСВ'!W104</f>
        <v>3</v>
      </c>
      <c r="CO104" s="316">
        <f>'ВМ ЗСВ'!AA104</f>
        <v>3</v>
      </c>
      <c r="CP104" s="316">
        <f>'ВМ СПО'!G104</f>
        <v>0</v>
      </c>
      <c r="CQ104" s="316">
        <f>'ВМ СПО'!K104</f>
        <v>0</v>
      </c>
      <c r="CR104" s="316">
        <f>'ВМ СПО'!O104</f>
        <v>0</v>
      </c>
      <c r="CS104" s="316">
        <f>'ВМ СПО'!S104</f>
        <v>0</v>
      </c>
      <c r="CT104" s="316">
        <f>'ВМ АСО'!G104</f>
        <v>0</v>
      </c>
      <c r="CU104" s="316">
        <f>'ВМ АСО'!K104</f>
        <v>0</v>
      </c>
      <c r="CV104" s="316" t="e">
        <f t="shared" si="93"/>
        <v>#REF!</v>
      </c>
      <c r="CW104" s="25">
        <f t="shared" si="94"/>
        <v>1</v>
      </c>
      <c r="CX104" s="25">
        <f t="shared" si="95"/>
        <v>2</v>
      </c>
      <c r="CY104" s="25">
        <f t="shared" si="96"/>
        <v>0</v>
      </c>
      <c r="CZ104" s="25">
        <f t="shared" si="97"/>
        <v>0</v>
      </c>
      <c r="DA104" s="25">
        <f t="shared" si="98"/>
        <v>0</v>
      </c>
      <c r="DB104" s="25">
        <f t="shared" si="99"/>
        <v>0</v>
      </c>
      <c r="DC104" s="25">
        <f t="shared" si="100"/>
        <v>0</v>
      </c>
      <c r="DD104" s="25">
        <f t="shared" si="101"/>
        <v>0</v>
      </c>
      <c r="DE104" s="25">
        <f t="shared" si="102"/>
        <v>0</v>
      </c>
      <c r="DF104" s="25">
        <f t="shared" si="103"/>
        <v>0</v>
      </c>
      <c r="DG104" s="25">
        <f t="shared" si="104"/>
        <v>0</v>
      </c>
      <c r="DH104" s="25">
        <f t="shared" si="105"/>
        <v>0</v>
      </c>
      <c r="DI104" s="25">
        <f t="shared" si="106"/>
        <v>0</v>
      </c>
      <c r="DJ104" s="25" t="e">
        <f t="shared" si="107"/>
        <v>#REF!</v>
      </c>
      <c r="DK104" s="25">
        <f t="shared" si="108"/>
        <v>0</v>
      </c>
      <c r="DL104" s="25">
        <f t="shared" si="109"/>
        <v>0</v>
      </c>
      <c r="DM104" s="25">
        <f t="shared" si="110"/>
        <v>0</v>
      </c>
      <c r="DN104" s="25">
        <f t="shared" si="111"/>
        <v>0</v>
      </c>
      <c r="DO104" s="25">
        <f t="shared" si="112"/>
        <v>0</v>
      </c>
      <c r="DP104" s="25">
        <f t="shared" si="113"/>
        <v>0</v>
      </c>
      <c r="DQ104" s="25">
        <f t="shared" si="114"/>
        <v>0</v>
      </c>
      <c r="DR104" s="25">
        <f t="shared" si="115"/>
        <v>0</v>
      </c>
      <c r="DS104" s="25">
        <f t="shared" si="116"/>
        <v>0</v>
      </c>
      <c r="DT104" s="25">
        <f t="shared" si="117"/>
        <v>0</v>
      </c>
      <c r="DU104" s="25">
        <f t="shared" si="118"/>
        <v>0</v>
      </c>
      <c r="DV104" s="21">
        <f t="shared" si="119"/>
        <v>0</v>
      </c>
      <c r="DW104" s="317">
        <f t="shared" si="120"/>
        <v>0</v>
      </c>
      <c r="DX104" s="317">
        <f t="shared" si="121"/>
        <v>0</v>
      </c>
      <c r="DY104" s="317">
        <f t="shared" si="122"/>
        <v>0</v>
      </c>
      <c r="DZ104" s="230">
        <f t="shared" si="123"/>
        <v>0</v>
      </c>
    </row>
    <row r="105" spans="1:130" ht="15.75" customHeight="1" thickBot="1" x14ac:dyDescent="0.3">
      <c r="A105" s="1907"/>
      <c r="B105" s="1917"/>
      <c r="C105" s="81" t="s">
        <v>34</v>
      </c>
      <c r="D105" s="77"/>
      <c r="E105" s="466">
        <f>'АВЗ АСУТП'!G105</f>
        <v>2</v>
      </c>
      <c r="F105" s="466">
        <f>'АВЗ АСУТП'!K105</f>
        <v>2</v>
      </c>
      <c r="G105" s="466">
        <f>'АВЗ АСУТП'!O105</f>
        <v>2</v>
      </c>
      <c r="H105" s="467">
        <f>'АВЗ АСУТП'!S105</f>
        <v>2</v>
      </c>
      <c r="I105" s="466">
        <f>'АВЗ АСУТП'!W105</f>
        <v>2</v>
      </c>
      <c r="J105" s="467">
        <f>'АВЗ АСУТП'!AA105</f>
        <v>2</v>
      </c>
      <c r="K105" s="467">
        <f>'АВЗ АСУТП'!AE105</f>
        <v>2</v>
      </c>
      <c r="L105" s="467">
        <f>'АВЗ АСУТП'!AI105</f>
        <v>2</v>
      </c>
      <c r="M105" s="467">
        <f>'SIEM АСУТП'!G105</f>
        <v>4</v>
      </c>
      <c r="N105" s="467">
        <f>'SIEM АСУТП'!K105</f>
        <v>4</v>
      </c>
      <c r="O105" s="77">
        <f>'МСЭ АСУТП'!G111</f>
        <v>0</v>
      </c>
      <c r="P105" s="392">
        <f>'МСЭ АСУТП'!K111</f>
        <v>0</v>
      </c>
      <c r="Q105" s="77">
        <f>'МСЭ АСУТП'!O111</f>
        <v>0</v>
      </c>
      <c r="R105" s="77">
        <f>'МСЭ АСУТП'!S111</f>
        <v>0</v>
      </c>
      <c r="S105" s="467">
        <f>'PAM АСУТП'!G105</f>
        <v>5</v>
      </c>
      <c r="T105" s="467">
        <f>'PAM АСУТП'!K105</f>
        <v>5</v>
      </c>
      <c r="U105" s="467">
        <f>'PAM АСУТП'!O105</f>
        <v>5</v>
      </c>
      <c r="V105" s="467">
        <f>'СКЗИ АСУТП'!G105</f>
        <v>6</v>
      </c>
      <c r="W105" s="467">
        <f>'СКЗИ АСУТП'!K105</f>
        <v>6</v>
      </c>
      <c r="X105" s="467">
        <f>'СКЗИ АСУТП'!O105</f>
        <v>6</v>
      </c>
      <c r="Y105" s="467">
        <f>'СКЗИ АСУТП'!S105</f>
        <v>6</v>
      </c>
      <c r="Z105" s="467">
        <f>'СКЗИ АСУТП'!W105</f>
        <v>6</v>
      </c>
      <c r="AA105" s="467">
        <f>'АЗ АСУТП'!G105</f>
        <v>3</v>
      </c>
      <c r="AB105" s="467">
        <f>'АЗ АСУТП'!K105</f>
        <v>3</v>
      </c>
      <c r="AC105" s="467">
        <f>'АЗ АСУТП'!O105</f>
        <v>3</v>
      </c>
      <c r="AD105" s="467">
        <f>'АЗ АСУТП'!S105</f>
        <v>3</v>
      </c>
      <c r="AE105" s="467">
        <f>'АЗ АСУТП'!W105</f>
        <v>3</v>
      </c>
      <c r="AF105" s="467">
        <f>'РК АСУТП'!G105</f>
        <v>2</v>
      </c>
      <c r="AG105" s="467">
        <f>'РК АСУТП'!K105</f>
        <v>2</v>
      </c>
      <c r="AH105" s="467">
        <f>'IDS АСУТП'!G105</f>
        <v>6</v>
      </c>
      <c r="AI105" s="467">
        <f>'IDS АСУТП'!K105</f>
        <v>6</v>
      </c>
      <c r="AJ105" s="467">
        <f>'IDS АСУТП'!O105</f>
        <v>6</v>
      </c>
      <c r="AK105" s="467">
        <f>'АПМДЗ АСУТП'!G105</f>
        <v>0.90000000000000013</v>
      </c>
      <c r="AL105" s="467">
        <f>'АПМДЗ АСУТП'!K105</f>
        <v>0.90000000000000013</v>
      </c>
      <c r="AM105" s="467">
        <f>'НСД АСУТП'!G105</f>
        <v>0.90000000000000013</v>
      </c>
      <c r="AN105" s="467">
        <f>'НСД АСУТП'!K105</f>
        <v>0.90000000000000013</v>
      </c>
      <c r="AO105" s="467">
        <f>'НСД АСУТП'!O105</f>
        <v>0.90000000000000013</v>
      </c>
      <c r="AP105" s="467">
        <f>'MFA АСУТП'!G105</f>
        <v>4</v>
      </c>
      <c r="AQ105" s="467">
        <f>'MFA АСУТП'!K105</f>
        <v>4</v>
      </c>
      <c r="AR105" s="467">
        <f>'MFA АСУТП'!O105</f>
        <v>4</v>
      </c>
      <c r="AS105" s="467">
        <f>'MFA АСУТП'!S105</f>
        <v>4</v>
      </c>
      <c r="AT105" s="467">
        <f>'ДИОД АСУТП'!G105</f>
        <v>4</v>
      </c>
      <c r="AU105" s="467">
        <f>'ДИОД АСУТП'!K105</f>
        <v>4</v>
      </c>
      <c r="AV105" s="467">
        <f>'ДИОД АСУТП'!O105</f>
        <v>4</v>
      </c>
      <c r="AW105" s="467">
        <f>'ДИОД АСУТП'!S105</f>
        <v>4</v>
      </c>
      <c r="AX105" s="467">
        <f>'СЗВ АСУТП'!G105</f>
        <v>4</v>
      </c>
      <c r="AY105" s="467">
        <f>'СЗВ АСУТП'!K105</f>
        <v>4</v>
      </c>
      <c r="AZ105" s="467">
        <f>'СЗВ АСУТП'!O105</f>
        <v>4</v>
      </c>
      <c r="BA105" s="467">
        <f>'SOAR АСУТП'!G105</f>
        <v>4</v>
      </c>
      <c r="BB105" s="467">
        <f>'SOAR АСУТП'!K105</f>
        <v>4</v>
      </c>
      <c r="BC105" s="467">
        <f>'SOAR АСУТП'!O105</f>
        <v>4</v>
      </c>
      <c r="BD105" s="467" t="e">
        <f>'SOAR АСУТП'!#REF!</f>
        <v>#REF!</v>
      </c>
      <c r="BE105" s="467">
        <f>'VDI АСУТП'!G105</f>
        <v>4</v>
      </c>
      <c r="BF105" s="467">
        <f>'VDI АСУТП'!K105</f>
        <v>4</v>
      </c>
      <c r="BG105" s="467">
        <f>'VDI АСУТП'!O105</f>
        <v>4</v>
      </c>
      <c r="BH105" s="467">
        <f>'VDI АСУТП'!S105</f>
        <v>4</v>
      </c>
      <c r="BI105" s="467">
        <f>'VDI АСУТП'!W105</f>
        <v>4</v>
      </c>
      <c r="BJ105" s="466">
        <f>'СУБД АСУТП'!G105</f>
        <v>1</v>
      </c>
      <c r="BK105" s="466">
        <f>'СУБД АСУТП'!K105</f>
        <v>1</v>
      </c>
      <c r="BL105" s="466">
        <f>'ГОССОПКА АСУТП'!G105</f>
        <v>8</v>
      </c>
      <c r="BM105" s="466">
        <f>'ГОССОПКА АСУТП'!K105</f>
        <v>8</v>
      </c>
      <c r="BN105" s="466">
        <f>'TLS АСУТП'!G105</f>
        <v>8</v>
      </c>
      <c r="BO105" s="466">
        <f>'TLS АСУТП'!K105</f>
        <v>8</v>
      </c>
      <c r="BP105" s="466">
        <f>'DCAP АСУТП'!G105</f>
        <v>4</v>
      </c>
      <c r="BQ105" s="466">
        <f>'DCAP АСУТП'!K105</f>
        <v>4</v>
      </c>
      <c r="BR105" s="466">
        <f>'DCAP АСУТП'!O105</f>
        <v>4</v>
      </c>
      <c r="BS105" s="466">
        <f>'DO АСУТП'!G105</f>
        <v>4</v>
      </c>
      <c r="BT105" s="466">
        <f>'NTA АСУТП'!G105</f>
        <v>4</v>
      </c>
      <c r="BU105" s="466">
        <f>'NTA АСУТП'!K105</f>
        <v>4</v>
      </c>
      <c r="BV105" s="466">
        <f>'NTA АСУТП'!O105</f>
        <v>6</v>
      </c>
      <c r="BW105" s="466">
        <f>'NTA АСУТП'!S105</f>
        <v>4</v>
      </c>
      <c r="BX105" s="466">
        <f>'SEG АСУТП'!G105</f>
        <v>4</v>
      </c>
      <c r="BY105" s="466">
        <f>'APT АСУТП'!G105</f>
        <v>6</v>
      </c>
      <c r="BZ105" s="466">
        <f>'APT АСУТП'!K105</f>
        <v>6</v>
      </c>
      <c r="CA105" s="466">
        <f>'APT АСУТП'!O105</f>
        <v>6</v>
      </c>
      <c r="CB105" s="466">
        <f>'NAC АСУТП'!G105</f>
        <v>8</v>
      </c>
      <c r="CC105" s="466">
        <f>'SANDBOX АСУТП'!G105</f>
        <v>4</v>
      </c>
      <c r="CD105" s="466">
        <f>'SANDBOX АСУТП'!K105</f>
        <v>4</v>
      </c>
      <c r="CE105" s="466">
        <f>'EDR АСУТП'!G105</f>
        <v>2</v>
      </c>
      <c r="CF105" s="466">
        <f>'EDR АСУТП'!K105</f>
        <v>2</v>
      </c>
      <c r="CG105" s="466">
        <f>'WAF АСУТП'!G105</f>
        <v>8</v>
      </c>
      <c r="CH105" s="466">
        <f>'WAF АСУТП'!K105</f>
        <v>8</v>
      </c>
      <c r="CI105" s="466">
        <f>'WAF АСУТП'!O105</f>
        <v>8</v>
      </c>
      <c r="CJ105" s="316">
        <f>'ВМ ЗСВ'!G105</f>
        <v>4</v>
      </c>
      <c r="CK105" s="316">
        <f>'ВМ ЗСВ'!K105</f>
        <v>4</v>
      </c>
      <c r="CL105" s="316">
        <f>'ВМ ЗСВ'!O105</f>
        <v>4</v>
      </c>
      <c r="CM105" s="316">
        <f>'ВМ ЗСВ'!S105</f>
        <v>4</v>
      </c>
      <c r="CN105" s="316">
        <f>'ВМ ЗСВ'!W105</f>
        <v>4</v>
      </c>
      <c r="CO105" s="316">
        <f>'ВМ ЗСВ'!AA105</f>
        <v>4</v>
      </c>
      <c r="CP105" s="316">
        <f>'ВМ СПО'!G105</f>
        <v>0</v>
      </c>
      <c r="CQ105" s="316">
        <f>'ВМ СПО'!K105</f>
        <v>0</v>
      </c>
      <c r="CR105" s="316">
        <f>'ВМ СПО'!O105</f>
        <v>0</v>
      </c>
      <c r="CS105" s="316">
        <f>'ВМ СПО'!S105</f>
        <v>0</v>
      </c>
      <c r="CT105" s="316">
        <f>'ВМ АСО'!G105</f>
        <v>0</v>
      </c>
      <c r="CU105" s="316">
        <f>'ВМ АСО'!K105</f>
        <v>0</v>
      </c>
      <c r="CV105" s="316" t="e">
        <f t="shared" si="93"/>
        <v>#REF!</v>
      </c>
      <c r="CW105" s="392">
        <f t="shared" si="94"/>
        <v>2</v>
      </c>
      <c r="CX105" s="392">
        <f t="shared" si="95"/>
        <v>4</v>
      </c>
      <c r="CY105" s="392">
        <f t="shared" si="96"/>
        <v>0</v>
      </c>
      <c r="CZ105" s="392">
        <f t="shared" si="97"/>
        <v>0</v>
      </c>
      <c r="DA105" s="392">
        <f t="shared" si="98"/>
        <v>0</v>
      </c>
      <c r="DB105" s="392">
        <f t="shared" si="99"/>
        <v>0</v>
      </c>
      <c r="DC105" s="392">
        <f t="shared" si="100"/>
        <v>0</v>
      </c>
      <c r="DD105" s="392">
        <f t="shared" si="101"/>
        <v>0</v>
      </c>
      <c r="DE105" s="392">
        <f t="shared" si="102"/>
        <v>0</v>
      </c>
      <c r="DF105" s="392">
        <f t="shared" si="103"/>
        <v>0</v>
      </c>
      <c r="DG105" s="392">
        <f t="shared" si="104"/>
        <v>0</v>
      </c>
      <c r="DH105" s="392">
        <f t="shared" si="105"/>
        <v>0</v>
      </c>
      <c r="DI105" s="392">
        <f t="shared" si="106"/>
        <v>0</v>
      </c>
      <c r="DJ105" s="392" t="e">
        <f t="shared" si="107"/>
        <v>#REF!</v>
      </c>
      <c r="DK105" s="392">
        <f t="shared" si="108"/>
        <v>0</v>
      </c>
      <c r="DL105" s="392">
        <f t="shared" si="109"/>
        <v>0</v>
      </c>
      <c r="DM105" s="392">
        <f t="shared" si="110"/>
        <v>0</v>
      </c>
      <c r="DN105" s="392">
        <f t="shared" si="111"/>
        <v>0</v>
      </c>
      <c r="DO105" s="392">
        <f t="shared" si="112"/>
        <v>0</v>
      </c>
      <c r="DP105" s="392">
        <f t="shared" si="113"/>
        <v>0</v>
      </c>
      <c r="DQ105" s="392">
        <f t="shared" si="114"/>
        <v>0</v>
      </c>
      <c r="DR105" s="392">
        <f t="shared" si="115"/>
        <v>0</v>
      </c>
      <c r="DS105" s="392">
        <f t="shared" si="116"/>
        <v>0</v>
      </c>
      <c r="DT105" s="392">
        <f t="shared" si="117"/>
        <v>0</v>
      </c>
      <c r="DU105" s="392">
        <f t="shared" si="118"/>
        <v>0</v>
      </c>
      <c r="DV105" s="77">
        <f t="shared" si="119"/>
        <v>0</v>
      </c>
      <c r="DW105" s="468">
        <f t="shared" si="120"/>
        <v>0</v>
      </c>
      <c r="DX105" s="788">
        <f t="shared" si="121"/>
        <v>0</v>
      </c>
      <c r="DY105" s="788">
        <f t="shared" si="122"/>
        <v>0</v>
      </c>
      <c r="DZ105" s="622">
        <f t="shared" si="123"/>
        <v>0</v>
      </c>
    </row>
    <row r="106" spans="1:130" ht="15" customHeight="1" thickBot="1" x14ac:dyDescent="0.3">
      <c r="A106" s="330" t="s">
        <v>72</v>
      </c>
      <c r="B106" s="329"/>
      <c r="C106" s="329"/>
      <c r="D106" s="329"/>
      <c r="E106" s="329"/>
      <c r="F106" s="329"/>
      <c r="G106" s="329"/>
      <c r="H106" s="329"/>
      <c r="I106" s="329"/>
      <c r="J106" s="329"/>
      <c r="K106" s="329"/>
      <c r="L106" s="329"/>
      <c r="M106" s="329"/>
      <c r="N106" s="329"/>
      <c r="O106" s="329"/>
      <c r="P106" s="329"/>
      <c r="Q106" s="329"/>
      <c r="R106" s="329"/>
      <c r="S106" s="329"/>
      <c r="T106" s="329"/>
      <c r="U106" s="329"/>
      <c r="V106" s="329"/>
      <c r="W106" s="329"/>
      <c r="X106" s="329"/>
      <c r="Y106" s="329"/>
      <c r="Z106" s="329"/>
      <c r="AA106" s="329"/>
      <c r="AB106" s="329"/>
      <c r="AC106" s="329"/>
      <c r="AD106" s="329"/>
      <c r="AE106" s="329"/>
      <c r="AF106" s="329"/>
      <c r="AG106" s="329"/>
      <c r="AH106" s="329"/>
      <c r="AI106" s="329"/>
      <c r="AJ106" s="329"/>
      <c r="AK106" s="329"/>
      <c r="AL106" s="329"/>
      <c r="AM106" s="329"/>
      <c r="AN106" s="329"/>
      <c r="AO106" s="329"/>
      <c r="AP106" s="329"/>
      <c r="AQ106" s="329"/>
      <c r="AR106" s="329"/>
      <c r="AS106" s="329"/>
      <c r="AT106" s="329"/>
      <c r="AU106" s="329"/>
      <c r="AV106" s="329"/>
      <c r="AW106" s="329"/>
      <c r="AX106" s="329"/>
      <c r="AY106" s="329"/>
      <c r="AZ106" s="329"/>
      <c r="BA106" s="329"/>
      <c r="BB106" s="329"/>
      <c r="BC106" s="329"/>
      <c r="BD106" s="329"/>
      <c r="BE106" s="329"/>
      <c r="BF106" s="329"/>
      <c r="BG106" s="329"/>
      <c r="BH106" s="329"/>
      <c r="BI106" s="329"/>
      <c r="BJ106" s="329"/>
      <c r="BK106" s="329"/>
      <c r="BL106" s="329"/>
      <c r="BM106" s="329"/>
      <c r="BN106" s="329"/>
      <c r="BO106" s="329"/>
      <c r="BP106" s="329"/>
      <c r="BQ106" s="329"/>
      <c r="BR106" s="329"/>
      <c r="BS106" s="329"/>
      <c r="BT106" s="329"/>
      <c r="BU106" s="329"/>
      <c r="BV106" s="329"/>
      <c r="BW106" s="329"/>
      <c r="BX106" s="329"/>
      <c r="BY106" s="329"/>
      <c r="BZ106" s="329"/>
      <c r="CA106" s="329"/>
      <c r="CB106" s="329"/>
      <c r="CC106" s="329"/>
      <c r="CD106" s="329"/>
      <c r="CE106" s="329"/>
      <c r="CF106" s="329"/>
      <c r="CG106" s="329"/>
      <c r="CH106" s="329"/>
      <c r="CI106" s="329"/>
      <c r="CJ106" s="329"/>
      <c r="CK106" s="329"/>
      <c r="CL106" s="329"/>
      <c r="CM106" s="329"/>
      <c r="CN106" s="329"/>
      <c r="CO106" s="329"/>
      <c r="CP106" s="329"/>
      <c r="CQ106" s="329"/>
      <c r="CR106" s="329"/>
      <c r="CS106" s="329"/>
      <c r="CT106" s="329"/>
      <c r="CU106" s="329"/>
      <c r="CV106" s="397"/>
      <c r="CW106" s="397"/>
      <c r="CX106" s="397"/>
      <c r="CY106" s="397"/>
      <c r="CZ106" s="397"/>
      <c r="DA106" s="397"/>
      <c r="DB106" s="397"/>
      <c r="DC106" s="397"/>
      <c r="DD106" s="397"/>
      <c r="DE106" s="397"/>
      <c r="DF106" s="397"/>
      <c r="DG106" s="397"/>
      <c r="DH106" s="397"/>
      <c r="DI106" s="397"/>
      <c r="DJ106" s="397"/>
      <c r="DK106" s="397"/>
      <c r="DL106" s="397"/>
      <c r="DM106" s="397"/>
      <c r="DN106" s="397"/>
      <c r="DO106" s="397"/>
      <c r="DP106" s="397"/>
      <c r="DQ106" s="397"/>
      <c r="DR106" s="397"/>
      <c r="DS106" s="397"/>
      <c r="DT106" s="397"/>
      <c r="DU106" s="397"/>
      <c r="DV106" s="329"/>
      <c r="DW106" s="397"/>
      <c r="DX106" s="397"/>
      <c r="DY106" s="397"/>
      <c r="DZ106" s="398"/>
    </row>
    <row r="107" spans="1:130" ht="15" customHeight="1" x14ac:dyDescent="0.25">
      <c r="A107" s="1921" t="s">
        <v>447</v>
      </c>
      <c r="B107" s="1920" t="s">
        <v>75</v>
      </c>
      <c r="C107" s="471" t="s">
        <v>32</v>
      </c>
      <c r="D107" s="106"/>
      <c r="E107" s="683">
        <f>$B$8*E8+$B$31*E31+$B$42*E42</f>
        <v>5</v>
      </c>
      <c r="F107" s="854">
        <f t="shared" ref="F107:BK107" si="124">$B$8*F8+$B$31*F31+$B$42*F42</f>
        <v>5</v>
      </c>
      <c r="G107" s="683">
        <f t="shared" si="124"/>
        <v>5</v>
      </c>
      <c r="H107" s="854">
        <f t="shared" si="124"/>
        <v>5</v>
      </c>
      <c r="I107" s="683">
        <f t="shared" si="124"/>
        <v>5</v>
      </c>
      <c r="J107" s="854">
        <f t="shared" si="124"/>
        <v>5</v>
      </c>
      <c r="K107" s="683">
        <f t="shared" si="124"/>
        <v>5</v>
      </c>
      <c r="L107" s="854">
        <f t="shared" si="124"/>
        <v>5</v>
      </c>
      <c r="M107" s="683">
        <f t="shared" si="124"/>
        <v>3</v>
      </c>
      <c r="N107" s="854">
        <f t="shared" si="124"/>
        <v>3</v>
      </c>
      <c r="O107" s="683">
        <f t="shared" si="124"/>
        <v>1.5</v>
      </c>
      <c r="P107" s="854">
        <f t="shared" si="124"/>
        <v>1.5</v>
      </c>
      <c r="Q107" s="683">
        <f t="shared" si="124"/>
        <v>1.5</v>
      </c>
      <c r="R107" s="854">
        <f t="shared" si="124"/>
        <v>1.5</v>
      </c>
      <c r="S107" s="683">
        <f t="shared" si="124"/>
        <v>3</v>
      </c>
      <c r="T107" s="854">
        <f t="shared" si="124"/>
        <v>3</v>
      </c>
      <c r="U107" s="683">
        <f t="shared" si="124"/>
        <v>3</v>
      </c>
      <c r="V107" s="854">
        <f t="shared" si="124"/>
        <v>6</v>
      </c>
      <c r="W107" s="683">
        <f t="shared" si="124"/>
        <v>6</v>
      </c>
      <c r="X107" s="854">
        <f t="shared" si="124"/>
        <v>6</v>
      </c>
      <c r="Y107" s="683">
        <f t="shared" si="124"/>
        <v>6</v>
      </c>
      <c r="Z107" s="854">
        <f t="shared" si="124"/>
        <v>6</v>
      </c>
      <c r="AA107" s="683">
        <f t="shared" si="124"/>
        <v>1.5</v>
      </c>
      <c r="AB107" s="854">
        <f t="shared" si="124"/>
        <v>1.5</v>
      </c>
      <c r="AC107" s="683">
        <f t="shared" si="124"/>
        <v>1.5</v>
      </c>
      <c r="AD107" s="854">
        <f t="shared" si="124"/>
        <v>1.5</v>
      </c>
      <c r="AE107" s="683">
        <f t="shared" si="124"/>
        <v>1.5</v>
      </c>
      <c r="AF107" s="854">
        <f t="shared" si="124"/>
        <v>1</v>
      </c>
      <c r="AG107" s="683">
        <f t="shared" si="124"/>
        <v>1</v>
      </c>
      <c r="AH107" s="854">
        <f t="shared" si="124"/>
        <v>3</v>
      </c>
      <c r="AI107" s="683">
        <f t="shared" si="124"/>
        <v>3</v>
      </c>
      <c r="AJ107" s="854">
        <f t="shared" si="124"/>
        <v>3</v>
      </c>
      <c r="AK107" s="683">
        <f t="shared" ref="AK107:AM109" si="125">$B$8*AK8+$B$31*AK31+$B$42*AK42</f>
        <v>3.3200000000000003</v>
      </c>
      <c r="AL107" s="683">
        <f t="shared" si="125"/>
        <v>3.3200000000000003</v>
      </c>
      <c r="AM107" s="854">
        <f t="shared" si="125"/>
        <v>3.3200000000000003</v>
      </c>
      <c r="AN107" s="683">
        <f t="shared" si="124"/>
        <v>3.3200000000000003</v>
      </c>
      <c r="AO107" s="683">
        <f t="shared" si="124"/>
        <v>3.3200000000000003</v>
      </c>
      <c r="AP107" s="854">
        <f t="shared" si="124"/>
        <v>3</v>
      </c>
      <c r="AQ107" s="683">
        <f t="shared" si="124"/>
        <v>3</v>
      </c>
      <c r="AR107" s="854">
        <f t="shared" si="124"/>
        <v>3</v>
      </c>
      <c r="AS107" s="683">
        <f t="shared" si="124"/>
        <v>3</v>
      </c>
      <c r="AT107" s="854">
        <f t="shared" si="124"/>
        <v>1</v>
      </c>
      <c r="AU107" s="683">
        <f t="shared" si="124"/>
        <v>1</v>
      </c>
      <c r="AV107" s="854">
        <f t="shared" si="124"/>
        <v>1</v>
      </c>
      <c r="AW107" s="683">
        <f t="shared" si="124"/>
        <v>1</v>
      </c>
      <c r="AX107" s="854">
        <f t="shared" si="124"/>
        <v>5</v>
      </c>
      <c r="AY107" s="683">
        <f t="shared" si="124"/>
        <v>5</v>
      </c>
      <c r="AZ107" s="683">
        <f t="shared" si="124"/>
        <v>5</v>
      </c>
      <c r="BA107" s="683">
        <f t="shared" si="124"/>
        <v>2</v>
      </c>
      <c r="BB107" s="683">
        <f t="shared" si="124"/>
        <v>2</v>
      </c>
      <c r="BC107" s="683">
        <f t="shared" si="124"/>
        <v>2</v>
      </c>
      <c r="BD107" s="683" t="e">
        <f t="shared" si="124"/>
        <v>#REF!</v>
      </c>
      <c r="BE107" s="683">
        <f t="shared" si="124"/>
        <v>4</v>
      </c>
      <c r="BF107" s="683">
        <f t="shared" si="124"/>
        <v>4</v>
      </c>
      <c r="BG107" s="683">
        <f t="shared" si="124"/>
        <v>4</v>
      </c>
      <c r="BH107" s="683">
        <f t="shared" si="124"/>
        <v>4</v>
      </c>
      <c r="BI107" s="683">
        <f t="shared" si="124"/>
        <v>4</v>
      </c>
      <c r="BJ107" s="683">
        <f>$B$8*BJ8+$B$31*BJ31+$B$42*BJ42</f>
        <v>1</v>
      </c>
      <c r="BK107" s="683">
        <f t="shared" si="124"/>
        <v>1</v>
      </c>
      <c r="BL107" s="683">
        <f t="shared" ref="BL107:CI107" si="126">$B$8*BL8+$B$31*BL31+$B$42*BL42</f>
        <v>4</v>
      </c>
      <c r="BM107" s="683">
        <f t="shared" si="126"/>
        <v>3</v>
      </c>
      <c r="BN107" s="683">
        <f t="shared" si="126"/>
        <v>5</v>
      </c>
      <c r="BO107" s="683">
        <f t="shared" si="126"/>
        <v>5</v>
      </c>
      <c r="BP107" s="683">
        <f t="shared" si="126"/>
        <v>2</v>
      </c>
      <c r="BQ107" s="683">
        <f t="shared" si="126"/>
        <v>2</v>
      </c>
      <c r="BR107" s="683">
        <f t="shared" si="126"/>
        <v>2</v>
      </c>
      <c r="BS107" s="683">
        <f t="shared" si="126"/>
        <v>2</v>
      </c>
      <c r="BT107" s="683">
        <f t="shared" si="126"/>
        <v>4</v>
      </c>
      <c r="BU107" s="683">
        <f t="shared" si="126"/>
        <v>4</v>
      </c>
      <c r="BV107" s="683">
        <f t="shared" si="126"/>
        <v>1</v>
      </c>
      <c r="BW107" s="683">
        <f t="shared" si="126"/>
        <v>4</v>
      </c>
      <c r="BX107" s="683">
        <f t="shared" si="126"/>
        <v>2</v>
      </c>
      <c r="BY107" s="683">
        <f t="shared" si="126"/>
        <v>1</v>
      </c>
      <c r="BZ107" s="683">
        <f t="shared" si="126"/>
        <v>1</v>
      </c>
      <c r="CA107" s="683">
        <f t="shared" si="126"/>
        <v>2</v>
      </c>
      <c r="CB107" s="683">
        <f t="shared" si="126"/>
        <v>4</v>
      </c>
      <c r="CC107" s="683">
        <f t="shared" si="126"/>
        <v>3</v>
      </c>
      <c r="CD107" s="683">
        <f t="shared" si="126"/>
        <v>3</v>
      </c>
      <c r="CE107" s="683">
        <f t="shared" si="126"/>
        <v>2</v>
      </c>
      <c r="CF107" s="683">
        <f t="shared" si="126"/>
        <v>2</v>
      </c>
      <c r="CG107" s="683">
        <f t="shared" si="126"/>
        <v>4</v>
      </c>
      <c r="CH107" s="683">
        <f t="shared" si="126"/>
        <v>4</v>
      </c>
      <c r="CI107" s="683">
        <f t="shared" si="126"/>
        <v>4</v>
      </c>
      <c r="CJ107" s="683">
        <f t="shared" ref="CJ107:CO107" si="127">$B$8*CJ8+$B$31*CJ31+$B$42*CJ42</f>
        <v>4</v>
      </c>
      <c r="CK107" s="683">
        <f t="shared" si="127"/>
        <v>5</v>
      </c>
      <c r="CL107" s="683">
        <f t="shared" si="127"/>
        <v>4</v>
      </c>
      <c r="CM107" s="683">
        <f t="shared" si="127"/>
        <v>4</v>
      </c>
      <c r="CN107" s="683">
        <f t="shared" si="127"/>
        <v>4</v>
      </c>
      <c r="CO107" s="683">
        <f t="shared" si="127"/>
        <v>4</v>
      </c>
      <c r="CP107" s="683">
        <f t="shared" ref="CP107:CU107" si="128">$B$8*CP8+$B$31*CP31+$B$42*CP42</f>
        <v>0.5</v>
      </c>
      <c r="CQ107" s="683">
        <f t="shared" si="128"/>
        <v>0.5</v>
      </c>
      <c r="CR107" s="683">
        <f t="shared" si="128"/>
        <v>2</v>
      </c>
      <c r="CS107" s="683">
        <f t="shared" si="128"/>
        <v>4</v>
      </c>
      <c r="CT107" s="683">
        <f t="shared" si="128"/>
        <v>0</v>
      </c>
      <c r="CU107" s="683">
        <f t="shared" si="128"/>
        <v>0</v>
      </c>
      <c r="CV107" s="472"/>
    </row>
    <row r="108" spans="1:130" ht="15.75" customHeight="1" x14ac:dyDescent="0.25">
      <c r="A108" s="1907"/>
      <c r="B108" s="1909"/>
      <c r="C108" s="18" t="s">
        <v>33</v>
      </c>
      <c r="D108" s="22"/>
      <c r="E108" s="619">
        <f>$B$8*E9+$B$31*E32+$B$42*E43</f>
        <v>1</v>
      </c>
      <c r="F108" s="807">
        <f t="shared" ref="F108:BK108" si="129">$B$8*F9+$B$31*F32+$B$42*F43</f>
        <v>1</v>
      </c>
      <c r="G108" s="619">
        <f t="shared" si="129"/>
        <v>1</v>
      </c>
      <c r="H108" s="807">
        <f t="shared" si="129"/>
        <v>1</v>
      </c>
      <c r="I108" s="619">
        <f t="shared" si="129"/>
        <v>1</v>
      </c>
      <c r="J108" s="807">
        <f t="shared" si="129"/>
        <v>1</v>
      </c>
      <c r="K108" s="619">
        <f t="shared" si="129"/>
        <v>1</v>
      </c>
      <c r="L108" s="807">
        <f t="shared" si="129"/>
        <v>1</v>
      </c>
      <c r="M108" s="619">
        <f t="shared" si="129"/>
        <v>2</v>
      </c>
      <c r="N108" s="807">
        <f t="shared" si="129"/>
        <v>2</v>
      </c>
      <c r="O108" s="619">
        <f t="shared" si="129"/>
        <v>3</v>
      </c>
      <c r="P108" s="807">
        <f t="shared" si="129"/>
        <v>3</v>
      </c>
      <c r="Q108" s="619">
        <f t="shared" si="129"/>
        <v>3</v>
      </c>
      <c r="R108" s="807">
        <f t="shared" si="129"/>
        <v>3</v>
      </c>
      <c r="S108" s="619">
        <f t="shared" si="129"/>
        <v>6</v>
      </c>
      <c r="T108" s="807">
        <f t="shared" si="129"/>
        <v>6</v>
      </c>
      <c r="U108" s="619">
        <f t="shared" si="129"/>
        <v>6</v>
      </c>
      <c r="V108" s="807">
        <f t="shared" si="129"/>
        <v>7</v>
      </c>
      <c r="W108" s="619">
        <f t="shared" si="129"/>
        <v>7</v>
      </c>
      <c r="X108" s="807">
        <f t="shared" si="129"/>
        <v>7</v>
      </c>
      <c r="Y108" s="619">
        <f t="shared" si="129"/>
        <v>7</v>
      </c>
      <c r="Z108" s="807">
        <f t="shared" si="129"/>
        <v>7</v>
      </c>
      <c r="AA108" s="619">
        <f t="shared" si="129"/>
        <v>2.5</v>
      </c>
      <c r="AB108" s="807">
        <f t="shared" si="129"/>
        <v>2.5</v>
      </c>
      <c r="AC108" s="619">
        <f t="shared" si="129"/>
        <v>2.5</v>
      </c>
      <c r="AD108" s="807">
        <f t="shared" si="129"/>
        <v>2.5</v>
      </c>
      <c r="AE108" s="619">
        <f t="shared" si="129"/>
        <v>2.5</v>
      </c>
      <c r="AF108" s="807">
        <f t="shared" si="129"/>
        <v>2</v>
      </c>
      <c r="AG108" s="619">
        <f t="shared" si="129"/>
        <v>2</v>
      </c>
      <c r="AH108" s="807">
        <f t="shared" si="129"/>
        <v>6</v>
      </c>
      <c r="AI108" s="619">
        <f t="shared" si="129"/>
        <v>6</v>
      </c>
      <c r="AJ108" s="807">
        <f t="shared" si="129"/>
        <v>6</v>
      </c>
      <c r="AK108" s="619">
        <f t="shared" si="125"/>
        <v>3.4</v>
      </c>
      <c r="AL108" s="619">
        <f t="shared" si="125"/>
        <v>3.4</v>
      </c>
      <c r="AM108" s="807">
        <f t="shared" si="125"/>
        <v>3.4</v>
      </c>
      <c r="AN108" s="619">
        <f t="shared" si="129"/>
        <v>3.4</v>
      </c>
      <c r="AO108" s="619">
        <f t="shared" si="129"/>
        <v>3.4</v>
      </c>
      <c r="AP108" s="807">
        <f t="shared" si="129"/>
        <v>6</v>
      </c>
      <c r="AQ108" s="619">
        <f t="shared" si="129"/>
        <v>6</v>
      </c>
      <c r="AR108" s="807">
        <f t="shared" si="129"/>
        <v>6</v>
      </c>
      <c r="AS108" s="619">
        <f t="shared" si="129"/>
        <v>6</v>
      </c>
      <c r="AT108" s="807">
        <f t="shared" si="129"/>
        <v>3</v>
      </c>
      <c r="AU108" s="619">
        <f t="shared" si="129"/>
        <v>3</v>
      </c>
      <c r="AV108" s="807">
        <f t="shared" si="129"/>
        <v>3</v>
      </c>
      <c r="AW108" s="619">
        <f t="shared" si="129"/>
        <v>3</v>
      </c>
      <c r="AX108" s="807">
        <f t="shared" si="129"/>
        <v>5</v>
      </c>
      <c r="AY108" s="619">
        <f t="shared" si="129"/>
        <v>5</v>
      </c>
      <c r="AZ108" s="619">
        <f t="shared" si="129"/>
        <v>5</v>
      </c>
      <c r="BA108" s="619">
        <f t="shared" si="129"/>
        <v>1.75</v>
      </c>
      <c r="BB108" s="619">
        <f t="shared" si="129"/>
        <v>1.75</v>
      </c>
      <c r="BC108" s="619">
        <f t="shared" si="129"/>
        <v>1.75</v>
      </c>
      <c r="BD108" s="619" t="e">
        <f t="shared" si="129"/>
        <v>#REF!</v>
      </c>
      <c r="BE108" s="619">
        <f t="shared" si="129"/>
        <v>6</v>
      </c>
      <c r="BF108" s="619">
        <f t="shared" si="129"/>
        <v>5</v>
      </c>
      <c r="BG108" s="619">
        <f t="shared" si="129"/>
        <v>5</v>
      </c>
      <c r="BH108" s="619">
        <f t="shared" si="129"/>
        <v>5</v>
      </c>
      <c r="BI108" s="619">
        <f t="shared" si="129"/>
        <v>5</v>
      </c>
      <c r="BJ108" s="619">
        <f t="shared" si="129"/>
        <v>0.5</v>
      </c>
      <c r="BK108" s="619">
        <f t="shared" si="129"/>
        <v>0.5</v>
      </c>
      <c r="BL108" s="619">
        <f t="shared" ref="BL108:CI108" si="130">$B$8*BL9+$B$31*BL32+$B$42*BL43</f>
        <v>8</v>
      </c>
      <c r="BM108" s="619">
        <f t="shared" si="130"/>
        <v>6</v>
      </c>
      <c r="BN108" s="619">
        <f t="shared" si="130"/>
        <v>8</v>
      </c>
      <c r="BO108" s="619">
        <f t="shared" si="130"/>
        <v>8</v>
      </c>
      <c r="BP108" s="619">
        <f t="shared" si="130"/>
        <v>5</v>
      </c>
      <c r="BQ108" s="619">
        <f t="shared" si="130"/>
        <v>5</v>
      </c>
      <c r="BR108" s="619">
        <f t="shared" si="130"/>
        <v>5</v>
      </c>
      <c r="BS108" s="619">
        <f t="shared" si="130"/>
        <v>2.25</v>
      </c>
      <c r="BT108" s="619">
        <f t="shared" si="130"/>
        <v>5</v>
      </c>
      <c r="BU108" s="619">
        <f t="shared" si="130"/>
        <v>5</v>
      </c>
      <c r="BV108" s="619">
        <f t="shared" si="130"/>
        <v>1</v>
      </c>
      <c r="BW108" s="619">
        <f t="shared" si="130"/>
        <v>5</v>
      </c>
      <c r="BX108" s="619">
        <f t="shared" si="130"/>
        <v>5</v>
      </c>
      <c r="BY108" s="619">
        <f t="shared" si="130"/>
        <v>2</v>
      </c>
      <c r="BZ108" s="619">
        <f t="shared" si="130"/>
        <v>2</v>
      </c>
      <c r="CA108" s="619">
        <f t="shared" si="130"/>
        <v>2</v>
      </c>
      <c r="CB108" s="619">
        <f t="shared" si="130"/>
        <v>6</v>
      </c>
      <c r="CC108" s="619">
        <f t="shared" si="130"/>
        <v>6</v>
      </c>
      <c r="CD108" s="619">
        <f t="shared" si="130"/>
        <v>6</v>
      </c>
      <c r="CE108" s="619">
        <f t="shared" si="130"/>
        <v>1.25</v>
      </c>
      <c r="CF108" s="619">
        <f t="shared" si="130"/>
        <v>1.25</v>
      </c>
      <c r="CG108" s="619">
        <f t="shared" si="130"/>
        <v>6</v>
      </c>
      <c r="CH108" s="619">
        <f t="shared" si="130"/>
        <v>6</v>
      </c>
      <c r="CI108" s="619">
        <f t="shared" si="130"/>
        <v>6</v>
      </c>
      <c r="CJ108" s="619">
        <f t="shared" ref="CJ108:CO108" si="131">$B$8*CJ9+$B$31*CJ32+$B$42*CJ43</f>
        <v>5</v>
      </c>
      <c r="CK108" s="619">
        <f t="shared" si="131"/>
        <v>5</v>
      </c>
      <c r="CL108" s="619">
        <f t="shared" si="131"/>
        <v>5</v>
      </c>
      <c r="CM108" s="619">
        <f t="shared" si="131"/>
        <v>5</v>
      </c>
      <c r="CN108" s="619">
        <f t="shared" si="131"/>
        <v>5</v>
      </c>
      <c r="CO108" s="619">
        <f t="shared" si="131"/>
        <v>5</v>
      </c>
      <c r="CP108" s="619">
        <f t="shared" ref="CP108:CU108" si="132">$B$8*CP9+$B$31*CP32+$B$42*CP43</f>
        <v>0</v>
      </c>
      <c r="CQ108" s="619">
        <f t="shared" si="132"/>
        <v>0</v>
      </c>
      <c r="CR108" s="619">
        <f t="shared" si="132"/>
        <v>0</v>
      </c>
      <c r="CS108" s="619">
        <f t="shared" si="132"/>
        <v>0</v>
      </c>
      <c r="CT108" s="619">
        <f t="shared" si="132"/>
        <v>0</v>
      </c>
      <c r="CU108" s="619">
        <f t="shared" si="132"/>
        <v>0</v>
      </c>
      <c r="CV108" s="22"/>
    </row>
    <row r="109" spans="1:130" ht="15" customHeight="1" x14ac:dyDescent="0.25">
      <c r="A109" s="1907"/>
      <c r="B109" s="1910"/>
      <c r="C109" s="18" t="s">
        <v>34</v>
      </c>
      <c r="D109" s="22"/>
      <c r="E109" s="619">
        <f>$B$8*E10+$B$31*E33+$B$42*E44</f>
        <v>1</v>
      </c>
      <c r="F109" s="807">
        <f t="shared" ref="F109:BK109" si="133">$B$8*F10+$B$31*F33+$B$42*F44</f>
        <v>1</v>
      </c>
      <c r="G109" s="619">
        <f t="shared" si="133"/>
        <v>1</v>
      </c>
      <c r="H109" s="807">
        <f t="shared" si="133"/>
        <v>1</v>
      </c>
      <c r="I109" s="619">
        <f t="shared" si="133"/>
        <v>1</v>
      </c>
      <c r="J109" s="807">
        <f t="shared" si="133"/>
        <v>1</v>
      </c>
      <c r="K109" s="619">
        <f t="shared" si="133"/>
        <v>1</v>
      </c>
      <c r="L109" s="807">
        <f t="shared" si="133"/>
        <v>1</v>
      </c>
      <c r="M109" s="619">
        <f t="shared" si="133"/>
        <v>2</v>
      </c>
      <c r="N109" s="807">
        <f t="shared" si="133"/>
        <v>2</v>
      </c>
      <c r="O109" s="619">
        <f t="shared" si="133"/>
        <v>5.5</v>
      </c>
      <c r="P109" s="807">
        <f t="shared" si="133"/>
        <v>5.5</v>
      </c>
      <c r="Q109" s="619">
        <f t="shared" si="133"/>
        <v>5.5</v>
      </c>
      <c r="R109" s="807">
        <f t="shared" si="133"/>
        <v>5.5</v>
      </c>
      <c r="S109" s="619">
        <f t="shared" si="133"/>
        <v>9</v>
      </c>
      <c r="T109" s="807">
        <f t="shared" si="133"/>
        <v>9</v>
      </c>
      <c r="U109" s="619">
        <f t="shared" si="133"/>
        <v>9</v>
      </c>
      <c r="V109" s="807">
        <f t="shared" si="133"/>
        <v>10</v>
      </c>
      <c r="W109" s="619">
        <f t="shared" si="133"/>
        <v>10</v>
      </c>
      <c r="X109" s="807">
        <f t="shared" si="133"/>
        <v>10</v>
      </c>
      <c r="Y109" s="619">
        <f t="shared" si="133"/>
        <v>10</v>
      </c>
      <c r="Z109" s="807">
        <f t="shared" si="133"/>
        <v>10</v>
      </c>
      <c r="AA109" s="619">
        <f t="shared" si="133"/>
        <v>3.5</v>
      </c>
      <c r="AB109" s="807">
        <f t="shared" si="133"/>
        <v>3.5</v>
      </c>
      <c r="AC109" s="619">
        <f t="shared" si="133"/>
        <v>3.5</v>
      </c>
      <c r="AD109" s="807">
        <f t="shared" si="133"/>
        <v>3.5</v>
      </c>
      <c r="AE109" s="619">
        <f t="shared" si="133"/>
        <v>3.5</v>
      </c>
      <c r="AF109" s="807">
        <f t="shared" si="133"/>
        <v>3.5</v>
      </c>
      <c r="AG109" s="619">
        <f t="shared" si="133"/>
        <v>3.5</v>
      </c>
      <c r="AH109" s="807">
        <f t="shared" si="133"/>
        <v>10</v>
      </c>
      <c r="AI109" s="619">
        <f t="shared" si="133"/>
        <v>10</v>
      </c>
      <c r="AJ109" s="807">
        <f t="shared" si="133"/>
        <v>10</v>
      </c>
      <c r="AK109" s="619">
        <f t="shared" si="125"/>
        <v>3.6</v>
      </c>
      <c r="AL109" s="619">
        <f t="shared" si="125"/>
        <v>3.6</v>
      </c>
      <c r="AM109" s="807">
        <f t="shared" si="125"/>
        <v>3.6</v>
      </c>
      <c r="AN109" s="619">
        <f t="shared" si="133"/>
        <v>3.6</v>
      </c>
      <c r="AO109" s="619">
        <f t="shared" si="133"/>
        <v>3.6</v>
      </c>
      <c r="AP109" s="807">
        <f t="shared" si="133"/>
        <v>9</v>
      </c>
      <c r="AQ109" s="619">
        <f t="shared" si="133"/>
        <v>9</v>
      </c>
      <c r="AR109" s="807">
        <f t="shared" si="133"/>
        <v>9</v>
      </c>
      <c r="AS109" s="619">
        <f t="shared" si="133"/>
        <v>9</v>
      </c>
      <c r="AT109" s="807">
        <f t="shared" si="133"/>
        <v>7</v>
      </c>
      <c r="AU109" s="619">
        <f t="shared" si="133"/>
        <v>7</v>
      </c>
      <c r="AV109" s="807">
        <f t="shared" si="133"/>
        <v>7</v>
      </c>
      <c r="AW109" s="619">
        <f t="shared" si="133"/>
        <v>7</v>
      </c>
      <c r="AX109" s="807">
        <f t="shared" si="133"/>
        <v>9</v>
      </c>
      <c r="AY109" s="619">
        <f t="shared" si="133"/>
        <v>9</v>
      </c>
      <c r="AZ109" s="619">
        <f t="shared" si="133"/>
        <v>9</v>
      </c>
      <c r="BA109" s="619">
        <f t="shared" si="133"/>
        <v>1.75</v>
      </c>
      <c r="BB109" s="619">
        <f t="shared" si="133"/>
        <v>1.75</v>
      </c>
      <c r="BC109" s="619">
        <f t="shared" si="133"/>
        <v>1.75</v>
      </c>
      <c r="BD109" s="619" t="e">
        <f t="shared" si="133"/>
        <v>#REF!</v>
      </c>
      <c r="BE109" s="619">
        <f t="shared" si="133"/>
        <v>8</v>
      </c>
      <c r="BF109" s="619">
        <f t="shared" si="133"/>
        <v>8</v>
      </c>
      <c r="BG109" s="619">
        <f t="shared" si="133"/>
        <v>8</v>
      </c>
      <c r="BH109" s="619">
        <f t="shared" si="133"/>
        <v>8</v>
      </c>
      <c r="BI109" s="619">
        <f t="shared" si="133"/>
        <v>8</v>
      </c>
      <c r="BJ109" s="619">
        <f t="shared" si="133"/>
        <v>0.5</v>
      </c>
      <c r="BK109" s="619">
        <f t="shared" si="133"/>
        <v>0.5</v>
      </c>
      <c r="BL109" s="619">
        <f t="shared" ref="BL109:CI109" si="134">$B$8*BL10+$B$31*BL33+$B$42*BL44</f>
        <v>12</v>
      </c>
      <c r="BM109" s="619">
        <f t="shared" si="134"/>
        <v>9</v>
      </c>
      <c r="BN109" s="619">
        <f t="shared" si="134"/>
        <v>11</v>
      </c>
      <c r="BO109" s="619">
        <f t="shared" si="134"/>
        <v>11</v>
      </c>
      <c r="BP109" s="619">
        <f t="shared" si="134"/>
        <v>8</v>
      </c>
      <c r="BQ109" s="619">
        <f t="shared" si="134"/>
        <v>8</v>
      </c>
      <c r="BR109" s="619">
        <f t="shared" si="134"/>
        <v>8</v>
      </c>
      <c r="BS109" s="619">
        <f t="shared" si="134"/>
        <v>3.25</v>
      </c>
      <c r="BT109" s="619">
        <f t="shared" si="134"/>
        <v>9</v>
      </c>
      <c r="BU109" s="619">
        <f t="shared" si="134"/>
        <v>9</v>
      </c>
      <c r="BV109" s="619">
        <f t="shared" si="134"/>
        <v>1</v>
      </c>
      <c r="BW109" s="619">
        <f t="shared" si="134"/>
        <v>9</v>
      </c>
      <c r="BX109" s="619">
        <f t="shared" si="134"/>
        <v>8</v>
      </c>
      <c r="BY109" s="619">
        <f t="shared" si="134"/>
        <v>3</v>
      </c>
      <c r="BZ109" s="619">
        <f t="shared" si="134"/>
        <v>3</v>
      </c>
      <c r="CA109" s="619">
        <f t="shared" si="134"/>
        <v>4</v>
      </c>
      <c r="CB109" s="619">
        <f t="shared" si="134"/>
        <v>8</v>
      </c>
      <c r="CC109" s="619">
        <f t="shared" si="134"/>
        <v>9</v>
      </c>
      <c r="CD109" s="619">
        <f t="shared" si="134"/>
        <v>9</v>
      </c>
      <c r="CE109" s="619">
        <f t="shared" si="134"/>
        <v>1.25</v>
      </c>
      <c r="CF109" s="619">
        <f t="shared" si="134"/>
        <v>1.25</v>
      </c>
      <c r="CG109" s="619">
        <f t="shared" si="134"/>
        <v>8</v>
      </c>
      <c r="CH109" s="619">
        <f t="shared" si="134"/>
        <v>8</v>
      </c>
      <c r="CI109" s="619">
        <f t="shared" si="134"/>
        <v>8</v>
      </c>
      <c r="CJ109" s="619">
        <f t="shared" ref="CJ109:CO109" si="135">$B$8*CJ10+$B$31*CJ33+$B$42*CJ44</f>
        <v>8</v>
      </c>
      <c r="CK109" s="619">
        <f t="shared" si="135"/>
        <v>9</v>
      </c>
      <c r="CL109" s="619">
        <f t="shared" si="135"/>
        <v>8</v>
      </c>
      <c r="CM109" s="619">
        <f t="shared" si="135"/>
        <v>8</v>
      </c>
      <c r="CN109" s="619">
        <f t="shared" si="135"/>
        <v>8</v>
      </c>
      <c r="CO109" s="619">
        <f t="shared" si="135"/>
        <v>8</v>
      </c>
      <c r="CP109" s="619">
        <f t="shared" ref="CP109:CU109" si="136">$B$8*CP10+$B$31*CP33+$B$42*CP44</f>
        <v>0</v>
      </c>
      <c r="CQ109" s="619">
        <f t="shared" si="136"/>
        <v>0</v>
      </c>
      <c r="CR109" s="619">
        <f t="shared" si="136"/>
        <v>0</v>
      </c>
      <c r="CS109" s="619">
        <f t="shared" si="136"/>
        <v>0</v>
      </c>
      <c r="CT109" s="619">
        <f t="shared" si="136"/>
        <v>0</v>
      </c>
      <c r="CU109" s="619">
        <f t="shared" si="136"/>
        <v>0</v>
      </c>
      <c r="CV109" s="22"/>
    </row>
    <row r="110" spans="1:130" ht="15" customHeight="1" x14ac:dyDescent="0.25">
      <c r="A110" s="1915" t="s">
        <v>1</v>
      </c>
      <c r="B110" s="1919" t="s">
        <v>75</v>
      </c>
      <c r="C110" s="18" t="s">
        <v>32</v>
      </c>
      <c r="D110" s="22"/>
      <c r="E110" s="619">
        <f>$B$5*E5+$B$12*E12+$B$31*E31+$B$34*E34</f>
        <v>3.5</v>
      </c>
      <c r="F110" s="807">
        <f t="shared" ref="F110:BK111" si="137">$B$5*F5+$B$12*F12+$B$31*F31+$B$34*F34</f>
        <v>3.5</v>
      </c>
      <c r="G110" s="619">
        <f t="shared" si="137"/>
        <v>3.5</v>
      </c>
      <c r="H110" s="807">
        <f t="shared" si="137"/>
        <v>3.5</v>
      </c>
      <c r="I110" s="619">
        <f t="shared" si="137"/>
        <v>3.5</v>
      </c>
      <c r="J110" s="807">
        <f t="shared" si="137"/>
        <v>3.5</v>
      </c>
      <c r="K110" s="619">
        <f t="shared" si="137"/>
        <v>3.5</v>
      </c>
      <c r="L110" s="807">
        <f t="shared" si="137"/>
        <v>3.5</v>
      </c>
      <c r="M110" s="619">
        <f t="shared" si="137"/>
        <v>3.5</v>
      </c>
      <c r="N110" s="807">
        <f t="shared" si="137"/>
        <v>3.5</v>
      </c>
      <c r="O110" s="619">
        <f t="shared" si="137"/>
        <v>4.5</v>
      </c>
      <c r="P110" s="807">
        <f t="shared" si="137"/>
        <v>4.5</v>
      </c>
      <c r="Q110" s="619">
        <f t="shared" si="137"/>
        <v>4.5</v>
      </c>
      <c r="R110" s="807">
        <f t="shared" si="137"/>
        <v>4.5</v>
      </c>
      <c r="S110" s="619">
        <f t="shared" si="137"/>
        <v>4</v>
      </c>
      <c r="T110" s="807">
        <f t="shared" si="137"/>
        <v>4</v>
      </c>
      <c r="U110" s="619">
        <f t="shared" si="137"/>
        <v>4</v>
      </c>
      <c r="V110" s="807">
        <f t="shared" si="137"/>
        <v>7</v>
      </c>
      <c r="W110" s="619">
        <f t="shared" si="137"/>
        <v>7</v>
      </c>
      <c r="X110" s="807">
        <f t="shared" si="137"/>
        <v>7</v>
      </c>
      <c r="Y110" s="619">
        <f t="shared" si="137"/>
        <v>7</v>
      </c>
      <c r="Z110" s="807">
        <f t="shared" si="137"/>
        <v>7</v>
      </c>
      <c r="AA110" s="619">
        <f t="shared" si="137"/>
        <v>2.5</v>
      </c>
      <c r="AB110" s="807">
        <f t="shared" si="137"/>
        <v>2.5</v>
      </c>
      <c r="AC110" s="619">
        <f t="shared" si="137"/>
        <v>2.5</v>
      </c>
      <c r="AD110" s="807">
        <f t="shared" si="137"/>
        <v>2.5</v>
      </c>
      <c r="AE110" s="619">
        <f t="shared" si="137"/>
        <v>2.5</v>
      </c>
      <c r="AF110" s="807">
        <f t="shared" si="137"/>
        <v>2.2999999999999998</v>
      </c>
      <c r="AG110" s="619">
        <f t="shared" si="137"/>
        <v>2.2999999999999998</v>
      </c>
      <c r="AH110" s="807">
        <f t="shared" si="137"/>
        <v>4</v>
      </c>
      <c r="AI110" s="619">
        <f t="shared" si="137"/>
        <v>4</v>
      </c>
      <c r="AJ110" s="807">
        <f t="shared" si="137"/>
        <v>4</v>
      </c>
      <c r="AK110" s="619">
        <f t="shared" ref="AK110:AM112" si="138">$B$5*AK5+$B$12*AK12+$B$31*AK31+$B$34*AK34</f>
        <v>3.3200000000000003</v>
      </c>
      <c r="AL110" s="619">
        <f t="shared" si="138"/>
        <v>3.3200000000000003</v>
      </c>
      <c r="AM110" s="807">
        <f t="shared" si="138"/>
        <v>3.3200000000000003</v>
      </c>
      <c r="AN110" s="619">
        <f t="shared" si="137"/>
        <v>3.3200000000000003</v>
      </c>
      <c r="AO110" s="619">
        <f t="shared" si="137"/>
        <v>3.3200000000000003</v>
      </c>
      <c r="AP110" s="807">
        <f t="shared" si="137"/>
        <v>4</v>
      </c>
      <c r="AQ110" s="619">
        <f t="shared" si="137"/>
        <v>4</v>
      </c>
      <c r="AR110" s="807">
        <f t="shared" si="137"/>
        <v>4</v>
      </c>
      <c r="AS110" s="619">
        <f t="shared" si="137"/>
        <v>4</v>
      </c>
      <c r="AT110" s="807">
        <f t="shared" si="137"/>
        <v>2</v>
      </c>
      <c r="AU110" s="619">
        <f t="shared" si="137"/>
        <v>2</v>
      </c>
      <c r="AV110" s="807">
        <f t="shared" si="137"/>
        <v>2</v>
      </c>
      <c r="AW110" s="619">
        <f t="shared" si="137"/>
        <v>2</v>
      </c>
      <c r="AX110" s="807">
        <f t="shared" si="137"/>
        <v>5</v>
      </c>
      <c r="AY110" s="619">
        <f t="shared" si="137"/>
        <v>5</v>
      </c>
      <c r="AZ110" s="619">
        <f t="shared" si="137"/>
        <v>5</v>
      </c>
      <c r="BA110" s="619">
        <f t="shared" si="137"/>
        <v>3</v>
      </c>
      <c r="BB110" s="619">
        <f t="shared" si="137"/>
        <v>3</v>
      </c>
      <c r="BC110" s="619">
        <f t="shared" si="137"/>
        <v>3</v>
      </c>
      <c r="BD110" s="619" t="e">
        <f t="shared" si="137"/>
        <v>#REF!</v>
      </c>
      <c r="BE110" s="619">
        <f t="shared" si="137"/>
        <v>5</v>
      </c>
      <c r="BF110" s="619">
        <f t="shared" si="137"/>
        <v>5</v>
      </c>
      <c r="BG110" s="619">
        <f t="shared" si="137"/>
        <v>5</v>
      </c>
      <c r="BH110" s="619">
        <f t="shared" si="137"/>
        <v>5</v>
      </c>
      <c r="BI110" s="619">
        <f t="shared" si="137"/>
        <v>5</v>
      </c>
      <c r="BJ110" s="619">
        <f t="shared" si="137"/>
        <v>0</v>
      </c>
      <c r="BK110" s="619">
        <f t="shared" si="137"/>
        <v>0</v>
      </c>
      <c r="BL110" s="619">
        <f t="shared" ref="BL110:CI112" si="139">$B$5*BL5+$B$12*BL12+$B$31*BL31+$B$34*BL34</f>
        <v>4</v>
      </c>
      <c r="BM110" s="619">
        <f t="shared" si="139"/>
        <v>4</v>
      </c>
      <c r="BN110" s="619">
        <f t="shared" si="139"/>
        <v>6</v>
      </c>
      <c r="BO110" s="619">
        <f t="shared" si="139"/>
        <v>6</v>
      </c>
      <c r="BP110" s="619">
        <f t="shared" si="139"/>
        <v>3</v>
      </c>
      <c r="BQ110" s="619">
        <f t="shared" si="139"/>
        <v>3</v>
      </c>
      <c r="BR110" s="619">
        <f t="shared" si="139"/>
        <v>3</v>
      </c>
      <c r="BS110" s="619">
        <f t="shared" si="139"/>
        <v>3</v>
      </c>
      <c r="BT110" s="619">
        <f t="shared" si="139"/>
        <v>5</v>
      </c>
      <c r="BU110" s="619">
        <f t="shared" si="139"/>
        <v>5</v>
      </c>
      <c r="BV110" s="619">
        <f t="shared" si="139"/>
        <v>2</v>
      </c>
      <c r="BW110" s="619">
        <f t="shared" si="139"/>
        <v>5</v>
      </c>
      <c r="BX110" s="619">
        <f t="shared" si="139"/>
        <v>3</v>
      </c>
      <c r="BY110" s="619">
        <f t="shared" si="139"/>
        <v>2</v>
      </c>
      <c r="BZ110" s="619">
        <f t="shared" si="139"/>
        <v>2</v>
      </c>
      <c r="CA110" s="619">
        <f t="shared" si="139"/>
        <v>2</v>
      </c>
      <c r="CB110" s="619">
        <f t="shared" si="139"/>
        <v>8</v>
      </c>
      <c r="CC110" s="619">
        <f t="shared" si="139"/>
        <v>4</v>
      </c>
      <c r="CD110" s="619">
        <f t="shared" si="139"/>
        <v>4</v>
      </c>
      <c r="CE110" s="619">
        <f t="shared" si="139"/>
        <v>3</v>
      </c>
      <c r="CF110" s="619">
        <f t="shared" si="139"/>
        <v>3</v>
      </c>
      <c r="CG110" s="619">
        <f t="shared" si="139"/>
        <v>8</v>
      </c>
      <c r="CH110" s="619">
        <f t="shared" si="139"/>
        <v>8</v>
      </c>
      <c r="CI110" s="619">
        <f t="shared" si="139"/>
        <v>8</v>
      </c>
      <c r="CJ110" s="619">
        <f t="shared" ref="CJ110:CO110" si="140">$B$5*CJ5+$B$12*CJ12+$B$31*CJ31+$B$34*CJ34</f>
        <v>5</v>
      </c>
      <c r="CK110" s="619">
        <f t="shared" si="140"/>
        <v>5</v>
      </c>
      <c r="CL110" s="619">
        <f t="shared" si="140"/>
        <v>5</v>
      </c>
      <c r="CM110" s="619">
        <f t="shared" si="140"/>
        <v>5</v>
      </c>
      <c r="CN110" s="619">
        <f t="shared" si="140"/>
        <v>5</v>
      </c>
      <c r="CO110" s="619">
        <f t="shared" si="140"/>
        <v>5</v>
      </c>
      <c r="CP110" s="619">
        <f t="shared" ref="CP110:CU110" si="141">$B$5*CP5+$B$12*CP12+$B$31*CP31+$B$34*CP34</f>
        <v>0</v>
      </c>
      <c r="CQ110" s="619">
        <f t="shared" si="141"/>
        <v>0</v>
      </c>
      <c r="CR110" s="619">
        <f t="shared" si="141"/>
        <v>0</v>
      </c>
      <c r="CS110" s="619">
        <f t="shared" si="141"/>
        <v>0</v>
      </c>
      <c r="CT110" s="619">
        <f t="shared" si="141"/>
        <v>0</v>
      </c>
      <c r="CU110" s="619">
        <f t="shared" si="141"/>
        <v>0</v>
      </c>
      <c r="CV110" s="22"/>
    </row>
    <row r="111" spans="1:130" ht="15" customHeight="1" x14ac:dyDescent="0.25">
      <c r="A111" s="1915"/>
      <c r="B111" s="1909"/>
      <c r="C111" s="18" t="s">
        <v>33</v>
      </c>
      <c r="D111" s="22"/>
      <c r="E111" s="230">
        <f t="shared" ref="E111:T112" si="142">$B$5*E6+$B$12*E13+$B$31*E32+$B$34*E35</f>
        <v>2</v>
      </c>
      <c r="F111" s="474">
        <f t="shared" si="142"/>
        <v>2</v>
      </c>
      <c r="G111" s="230">
        <f t="shared" si="142"/>
        <v>2</v>
      </c>
      <c r="H111" s="474">
        <f t="shared" si="142"/>
        <v>2</v>
      </c>
      <c r="I111" s="230">
        <f t="shared" si="142"/>
        <v>2</v>
      </c>
      <c r="J111" s="474">
        <f t="shared" si="142"/>
        <v>2</v>
      </c>
      <c r="K111" s="230">
        <f t="shared" si="142"/>
        <v>2</v>
      </c>
      <c r="L111" s="474">
        <f t="shared" si="142"/>
        <v>2</v>
      </c>
      <c r="M111" s="230">
        <f t="shared" si="142"/>
        <v>3</v>
      </c>
      <c r="N111" s="474">
        <f t="shared" si="142"/>
        <v>3</v>
      </c>
      <c r="O111" s="230">
        <f t="shared" si="142"/>
        <v>5.5</v>
      </c>
      <c r="P111" s="474">
        <f t="shared" si="142"/>
        <v>5.5</v>
      </c>
      <c r="Q111" s="230">
        <f t="shared" si="142"/>
        <v>5.5</v>
      </c>
      <c r="R111" s="474">
        <f t="shared" si="142"/>
        <v>5.5</v>
      </c>
      <c r="S111" s="230">
        <f t="shared" si="142"/>
        <v>6</v>
      </c>
      <c r="T111" s="474">
        <f t="shared" si="142"/>
        <v>6</v>
      </c>
      <c r="U111" s="230">
        <f t="shared" si="137"/>
        <v>6</v>
      </c>
      <c r="V111" s="474">
        <f t="shared" si="137"/>
        <v>10</v>
      </c>
      <c r="W111" s="230">
        <f t="shared" si="137"/>
        <v>10</v>
      </c>
      <c r="X111" s="474">
        <f t="shared" si="137"/>
        <v>10</v>
      </c>
      <c r="Y111" s="230">
        <f t="shared" si="137"/>
        <v>10</v>
      </c>
      <c r="Z111" s="474">
        <f t="shared" si="137"/>
        <v>10</v>
      </c>
      <c r="AA111" s="230">
        <f t="shared" si="137"/>
        <v>2.5</v>
      </c>
      <c r="AB111" s="474">
        <f t="shared" si="137"/>
        <v>2.5</v>
      </c>
      <c r="AC111" s="230">
        <f t="shared" si="137"/>
        <v>2.5</v>
      </c>
      <c r="AD111" s="474">
        <f t="shared" si="137"/>
        <v>2.5</v>
      </c>
      <c r="AE111" s="230">
        <f t="shared" si="137"/>
        <v>2.5</v>
      </c>
      <c r="AF111" s="474">
        <f t="shared" si="137"/>
        <v>3</v>
      </c>
      <c r="AG111" s="230">
        <f t="shared" si="137"/>
        <v>3</v>
      </c>
      <c r="AH111" s="474">
        <f t="shared" si="137"/>
        <v>6</v>
      </c>
      <c r="AI111" s="230">
        <f t="shared" si="137"/>
        <v>6</v>
      </c>
      <c r="AJ111" s="474">
        <f t="shared" si="137"/>
        <v>6</v>
      </c>
      <c r="AK111" s="230">
        <f t="shared" si="138"/>
        <v>3.4</v>
      </c>
      <c r="AL111" s="230">
        <f t="shared" si="138"/>
        <v>3.4</v>
      </c>
      <c r="AM111" s="474">
        <f t="shared" si="138"/>
        <v>3.4</v>
      </c>
      <c r="AN111" s="230">
        <f t="shared" si="137"/>
        <v>3.4</v>
      </c>
      <c r="AO111" s="230">
        <f t="shared" si="137"/>
        <v>3.4</v>
      </c>
      <c r="AP111" s="474">
        <f t="shared" si="137"/>
        <v>8</v>
      </c>
      <c r="AQ111" s="230">
        <f t="shared" si="137"/>
        <v>8</v>
      </c>
      <c r="AR111" s="474">
        <f t="shared" si="137"/>
        <v>8</v>
      </c>
      <c r="AS111" s="230">
        <f t="shared" si="137"/>
        <v>8</v>
      </c>
      <c r="AT111" s="474">
        <f t="shared" si="137"/>
        <v>4</v>
      </c>
      <c r="AU111" s="230">
        <f t="shared" si="137"/>
        <v>4</v>
      </c>
      <c r="AV111" s="474">
        <f t="shared" si="137"/>
        <v>4</v>
      </c>
      <c r="AW111" s="230">
        <f t="shared" si="137"/>
        <v>4</v>
      </c>
      <c r="AX111" s="474">
        <f t="shared" si="137"/>
        <v>5</v>
      </c>
      <c r="AY111" s="230">
        <f t="shared" si="137"/>
        <v>5</v>
      </c>
      <c r="AZ111" s="230">
        <f t="shared" si="137"/>
        <v>5</v>
      </c>
      <c r="BA111" s="230">
        <f t="shared" si="137"/>
        <v>1.5</v>
      </c>
      <c r="BB111" s="230">
        <f t="shared" si="137"/>
        <v>1.5</v>
      </c>
      <c r="BC111" s="230">
        <f t="shared" si="137"/>
        <v>1.5</v>
      </c>
      <c r="BD111" s="230" t="e">
        <f t="shared" si="137"/>
        <v>#REF!</v>
      </c>
      <c r="BE111" s="230">
        <f t="shared" si="137"/>
        <v>6</v>
      </c>
      <c r="BF111" s="230">
        <f t="shared" si="137"/>
        <v>5</v>
      </c>
      <c r="BG111" s="230">
        <f t="shared" si="137"/>
        <v>5</v>
      </c>
      <c r="BH111" s="230">
        <f t="shared" si="137"/>
        <v>5</v>
      </c>
      <c r="BI111" s="230">
        <f t="shared" si="137"/>
        <v>5</v>
      </c>
      <c r="BJ111" s="230">
        <f t="shared" si="137"/>
        <v>0.5</v>
      </c>
      <c r="BK111" s="230">
        <f t="shared" si="137"/>
        <v>0.5</v>
      </c>
      <c r="BL111" s="230">
        <f t="shared" si="139"/>
        <v>8</v>
      </c>
      <c r="BM111" s="230">
        <f t="shared" si="139"/>
        <v>8</v>
      </c>
      <c r="BN111" s="230">
        <f t="shared" si="139"/>
        <v>10</v>
      </c>
      <c r="BO111" s="230">
        <f t="shared" si="139"/>
        <v>10</v>
      </c>
      <c r="BP111" s="230">
        <f t="shared" si="139"/>
        <v>5</v>
      </c>
      <c r="BQ111" s="230">
        <f t="shared" si="139"/>
        <v>5</v>
      </c>
      <c r="BR111" s="230">
        <f t="shared" si="139"/>
        <v>5</v>
      </c>
      <c r="BS111" s="230">
        <f t="shared" si="139"/>
        <v>3.5</v>
      </c>
      <c r="BT111" s="230">
        <f t="shared" si="139"/>
        <v>5</v>
      </c>
      <c r="BU111" s="230">
        <f t="shared" si="139"/>
        <v>5</v>
      </c>
      <c r="BV111" s="230">
        <f t="shared" si="139"/>
        <v>2</v>
      </c>
      <c r="BW111" s="230">
        <f t="shared" si="139"/>
        <v>5</v>
      </c>
      <c r="BX111" s="230">
        <f t="shared" si="139"/>
        <v>5</v>
      </c>
      <c r="BY111" s="230">
        <f t="shared" si="139"/>
        <v>2</v>
      </c>
      <c r="BZ111" s="230">
        <f t="shared" si="139"/>
        <v>2</v>
      </c>
      <c r="CA111" s="230">
        <f t="shared" si="139"/>
        <v>2</v>
      </c>
      <c r="CB111" s="230">
        <f t="shared" si="139"/>
        <v>12</v>
      </c>
      <c r="CC111" s="230">
        <f t="shared" si="139"/>
        <v>8</v>
      </c>
      <c r="CD111" s="230">
        <f t="shared" si="139"/>
        <v>8</v>
      </c>
      <c r="CE111" s="230">
        <f t="shared" si="139"/>
        <v>2.25</v>
      </c>
      <c r="CF111" s="230">
        <f t="shared" si="139"/>
        <v>2.25</v>
      </c>
      <c r="CG111" s="230">
        <f t="shared" si="139"/>
        <v>12</v>
      </c>
      <c r="CH111" s="230">
        <f t="shared" si="139"/>
        <v>12</v>
      </c>
      <c r="CI111" s="230">
        <f t="shared" si="139"/>
        <v>12</v>
      </c>
      <c r="CJ111" s="230">
        <f t="shared" ref="CJ111:CO111" si="143">$B$5*CJ6+$B$12*CJ13+$B$31*CJ32+$B$34*CJ35</f>
        <v>5</v>
      </c>
      <c r="CK111" s="230">
        <f t="shared" si="143"/>
        <v>5</v>
      </c>
      <c r="CL111" s="230">
        <f t="shared" si="143"/>
        <v>5</v>
      </c>
      <c r="CM111" s="230">
        <f t="shared" si="143"/>
        <v>5</v>
      </c>
      <c r="CN111" s="230">
        <f t="shared" si="143"/>
        <v>5</v>
      </c>
      <c r="CO111" s="230">
        <f t="shared" si="143"/>
        <v>5</v>
      </c>
      <c r="CP111" s="230">
        <f t="shared" ref="CP111:CU111" si="144">$B$5*CP6+$B$12*CP13+$B$31*CP32+$B$34*CP35</f>
        <v>0</v>
      </c>
      <c r="CQ111" s="230">
        <f t="shared" si="144"/>
        <v>0</v>
      </c>
      <c r="CR111" s="230">
        <f t="shared" si="144"/>
        <v>0</v>
      </c>
      <c r="CS111" s="230">
        <f t="shared" si="144"/>
        <v>0</v>
      </c>
      <c r="CT111" s="230">
        <f t="shared" si="144"/>
        <v>0</v>
      </c>
      <c r="CU111" s="230">
        <f t="shared" si="144"/>
        <v>0</v>
      </c>
      <c r="CV111" s="22"/>
    </row>
    <row r="112" spans="1:130" ht="15" customHeight="1" x14ac:dyDescent="0.25">
      <c r="A112" s="1915"/>
      <c r="B112" s="1910"/>
      <c r="C112" s="18" t="s">
        <v>34</v>
      </c>
      <c r="D112" s="22"/>
      <c r="E112" s="467">
        <f t="shared" si="142"/>
        <v>2.5</v>
      </c>
      <c r="F112" s="855">
        <f t="shared" ref="F112:BK112" si="145">$B$5*F7+$B$12*F14+$B$31*F33+$B$34*F36</f>
        <v>2.5</v>
      </c>
      <c r="G112" s="467">
        <f t="shared" si="145"/>
        <v>2.5</v>
      </c>
      <c r="H112" s="855">
        <f t="shared" si="145"/>
        <v>2.5</v>
      </c>
      <c r="I112" s="467">
        <f t="shared" si="145"/>
        <v>2.5</v>
      </c>
      <c r="J112" s="855">
        <f t="shared" si="145"/>
        <v>2.5</v>
      </c>
      <c r="K112" s="467">
        <f t="shared" si="145"/>
        <v>2.5</v>
      </c>
      <c r="L112" s="855">
        <f t="shared" si="145"/>
        <v>2.5</v>
      </c>
      <c r="M112" s="467">
        <f t="shared" si="145"/>
        <v>5</v>
      </c>
      <c r="N112" s="855">
        <f t="shared" si="145"/>
        <v>5</v>
      </c>
      <c r="O112" s="467">
        <f t="shared" si="145"/>
        <v>7.5</v>
      </c>
      <c r="P112" s="855">
        <f t="shared" si="145"/>
        <v>7.5</v>
      </c>
      <c r="Q112" s="467">
        <f t="shared" si="145"/>
        <v>7.5</v>
      </c>
      <c r="R112" s="855">
        <f t="shared" si="145"/>
        <v>7.5</v>
      </c>
      <c r="S112" s="467">
        <f t="shared" si="145"/>
        <v>8</v>
      </c>
      <c r="T112" s="855">
        <f t="shared" si="145"/>
        <v>8</v>
      </c>
      <c r="U112" s="467">
        <f t="shared" si="145"/>
        <v>8</v>
      </c>
      <c r="V112" s="855">
        <f t="shared" si="145"/>
        <v>16</v>
      </c>
      <c r="W112" s="467">
        <f t="shared" si="145"/>
        <v>16</v>
      </c>
      <c r="X112" s="855">
        <f t="shared" si="145"/>
        <v>16</v>
      </c>
      <c r="Y112" s="467">
        <f t="shared" si="145"/>
        <v>16</v>
      </c>
      <c r="Z112" s="855">
        <f t="shared" si="145"/>
        <v>16</v>
      </c>
      <c r="AA112" s="467">
        <f t="shared" si="145"/>
        <v>2.5</v>
      </c>
      <c r="AB112" s="855">
        <f t="shared" si="145"/>
        <v>2.5</v>
      </c>
      <c r="AC112" s="467">
        <f t="shared" si="145"/>
        <v>2.5</v>
      </c>
      <c r="AD112" s="855">
        <f t="shared" si="145"/>
        <v>2.5</v>
      </c>
      <c r="AE112" s="467">
        <f t="shared" si="145"/>
        <v>2.5</v>
      </c>
      <c r="AF112" s="855">
        <f t="shared" si="145"/>
        <v>4</v>
      </c>
      <c r="AG112" s="467">
        <f t="shared" si="145"/>
        <v>4</v>
      </c>
      <c r="AH112" s="855">
        <f t="shared" si="145"/>
        <v>8</v>
      </c>
      <c r="AI112" s="467">
        <f t="shared" si="145"/>
        <v>8</v>
      </c>
      <c r="AJ112" s="855">
        <f t="shared" si="145"/>
        <v>8</v>
      </c>
      <c r="AK112" s="467">
        <f t="shared" si="138"/>
        <v>3.6</v>
      </c>
      <c r="AL112" s="467">
        <f t="shared" si="138"/>
        <v>3.6</v>
      </c>
      <c r="AM112" s="855">
        <f t="shared" si="138"/>
        <v>3.6</v>
      </c>
      <c r="AN112" s="467">
        <f t="shared" si="145"/>
        <v>3.6</v>
      </c>
      <c r="AO112" s="467">
        <f t="shared" si="145"/>
        <v>3.6</v>
      </c>
      <c r="AP112" s="855">
        <f t="shared" si="145"/>
        <v>12</v>
      </c>
      <c r="AQ112" s="467">
        <f t="shared" si="145"/>
        <v>12</v>
      </c>
      <c r="AR112" s="855">
        <f t="shared" si="145"/>
        <v>12</v>
      </c>
      <c r="AS112" s="467">
        <f t="shared" si="145"/>
        <v>12</v>
      </c>
      <c r="AT112" s="855">
        <f t="shared" si="145"/>
        <v>8</v>
      </c>
      <c r="AU112" s="467">
        <f t="shared" si="145"/>
        <v>8</v>
      </c>
      <c r="AV112" s="855">
        <f t="shared" si="145"/>
        <v>8</v>
      </c>
      <c r="AW112" s="467">
        <f t="shared" si="145"/>
        <v>8</v>
      </c>
      <c r="AX112" s="855">
        <f t="shared" si="145"/>
        <v>7</v>
      </c>
      <c r="AY112" s="467">
        <f t="shared" si="145"/>
        <v>7</v>
      </c>
      <c r="AZ112" s="467">
        <f t="shared" si="145"/>
        <v>7</v>
      </c>
      <c r="BA112" s="467">
        <f t="shared" si="145"/>
        <v>1.5</v>
      </c>
      <c r="BB112" s="467">
        <f t="shared" si="145"/>
        <v>1.5</v>
      </c>
      <c r="BC112" s="467">
        <f t="shared" si="145"/>
        <v>1.5</v>
      </c>
      <c r="BD112" s="467" t="e">
        <f t="shared" si="145"/>
        <v>#REF!</v>
      </c>
      <c r="BE112" s="467">
        <f t="shared" si="145"/>
        <v>7</v>
      </c>
      <c r="BF112" s="467">
        <f t="shared" si="145"/>
        <v>7</v>
      </c>
      <c r="BG112" s="467">
        <f t="shared" si="145"/>
        <v>7</v>
      </c>
      <c r="BH112" s="467">
        <f t="shared" si="145"/>
        <v>7</v>
      </c>
      <c r="BI112" s="467">
        <f t="shared" si="145"/>
        <v>7</v>
      </c>
      <c r="BJ112" s="467">
        <f t="shared" si="145"/>
        <v>0.5</v>
      </c>
      <c r="BK112" s="467">
        <f t="shared" si="145"/>
        <v>0.5</v>
      </c>
      <c r="BL112" s="467">
        <f t="shared" si="139"/>
        <v>12</v>
      </c>
      <c r="BM112" s="467">
        <f t="shared" si="139"/>
        <v>12</v>
      </c>
      <c r="BN112" s="467">
        <f t="shared" si="139"/>
        <v>14</v>
      </c>
      <c r="BO112" s="467">
        <f t="shared" si="139"/>
        <v>14</v>
      </c>
      <c r="BP112" s="467">
        <f t="shared" si="139"/>
        <v>7</v>
      </c>
      <c r="BQ112" s="467">
        <f t="shared" si="139"/>
        <v>7</v>
      </c>
      <c r="BR112" s="467">
        <f t="shared" si="139"/>
        <v>7</v>
      </c>
      <c r="BS112" s="467">
        <f t="shared" si="139"/>
        <v>6.5</v>
      </c>
      <c r="BT112" s="467">
        <f t="shared" si="139"/>
        <v>7</v>
      </c>
      <c r="BU112" s="467">
        <f t="shared" si="139"/>
        <v>7</v>
      </c>
      <c r="BV112" s="467">
        <f t="shared" si="139"/>
        <v>2</v>
      </c>
      <c r="BW112" s="467">
        <f t="shared" si="139"/>
        <v>7</v>
      </c>
      <c r="BX112" s="467">
        <f t="shared" si="139"/>
        <v>7</v>
      </c>
      <c r="BY112" s="467">
        <f t="shared" si="139"/>
        <v>2</v>
      </c>
      <c r="BZ112" s="467">
        <f t="shared" si="139"/>
        <v>2</v>
      </c>
      <c r="CA112" s="467">
        <f t="shared" si="139"/>
        <v>2</v>
      </c>
      <c r="CB112" s="467">
        <f t="shared" si="139"/>
        <v>16</v>
      </c>
      <c r="CC112" s="467">
        <f t="shared" si="139"/>
        <v>12</v>
      </c>
      <c r="CD112" s="467">
        <f t="shared" si="139"/>
        <v>12</v>
      </c>
      <c r="CE112" s="467">
        <f t="shared" si="139"/>
        <v>4.25</v>
      </c>
      <c r="CF112" s="467">
        <f t="shared" si="139"/>
        <v>4.25</v>
      </c>
      <c r="CG112" s="467">
        <f t="shared" si="139"/>
        <v>16</v>
      </c>
      <c r="CH112" s="467">
        <f t="shared" si="139"/>
        <v>16</v>
      </c>
      <c r="CI112" s="467">
        <f t="shared" si="139"/>
        <v>16</v>
      </c>
      <c r="CJ112" s="467">
        <f t="shared" ref="CJ112:CO112" si="146">$B$5*CJ7+$B$12*CJ14+$B$31*CJ33+$B$34*CJ36</f>
        <v>7</v>
      </c>
      <c r="CK112" s="467">
        <f t="shared" si="146"/>
        <v>7</v>
      </c>
      <c r="CL112" s="467">
        <f t="shared" si="146"/>
        <v>7</v>
      </c>
      <c r="CM112" s="467">
        <f t="shared" si="146"/>
        <v>7</v>
      </c>
      <c r="CN112" s="467">
        <f t="shared" si="146"/>
        <v>7</v>
      </c>
      <c r="CO112" s="467">
        <f t="shared" si="146"/>
        <v>7</v>
      </c>
      <c r="CP112" s="467">
        <f t="shared" ref="CP112:CU112" si="147">$B$5*CP7+$B$12*CP14+$B$31*CP33+$B$34*CP36</f>
        <v>0</v>
      </c>
      <c r="CQ112" s="467">
        <f t="shared" si="147"/>
        <v>0</v>
      </c>
      <c r="CR112" s="467">
        <f t="shared" si="147"/>
        <v>0</v>
      </c>
      <c r="CS112" s="467">
        <f t="shared" si="147"/>
        <v>0</v>
      </c>
      <c r="CT112" s="467">
        <f t="shared" si="147"/>
        <v>0</v>
      </c>
      <c r="CU112" s="467">
        <f t="shared" si="147"/>
        <v>0</v>
      </c>
      <c r="CV112" s="22"/>
    </row>
    <row r="113" spans="1:100" ht="15" customHeight="1" x14ac:dyDescent="0.25">
      <c r="A113" s="1915" t="s">
        <v>11</v>
      </c>
      <c r="B113" s="1919" t="s">
        <v>75</v>
      </c>
      <c r="C113" s="18" t="s">
        <v>32</v>
      </c>
      <c r="D113" s="817"/>
      <c r="E113" s="619">
        <f>$B$5*E5+$B$16*E16+$B$22*E22+$B$25*E25+$B$28*E28+$B$31*E31+$B$34*E34+$B$42*E42+$B$45*E45+$B$63*E63+$B$66*E66+$B$69*E69+$B$72*E72+$B$91*E91+$B$94*E94+$B$60*E60</f>
        <v>44.25</v>
      </c>
      <c r="F113" s="619">
        <f t="shared" ref="F113:BK114" si="148">$B$5*F5+$B$16*F16+$B$22*F22+$B$25*F25+$B$28*F28+$B$31*F31+$B$34*F34+$B$42*F42+$B$45*F45+$B$63*F63+$B$66*F66+$B$69*F69+$B$72*F72+$B$91*F91+$B$94*F94+$B$60*F60</f>
        <v>44.25</v>
      </c>
      <c r="G113" s="619">
        <f t="shared" si="148"/>
        <v>44.25</v>
      </c>
      <c r="H113" s="619">
        <f t="shared" si="148"/>
        <v>44.25</v>
      </c>
      <c r="I113" s="619">
        <f t="shared" si="148"/>
        <v>44.25</v>
      </c>
      <c r="J113" s="619">
        <f t="shared" si="148"/>
        <v>44.25</v>
      </c>
      <c r="K113" s="619">
        <f t="shared" si="148"/>
        <v>44.25</v>
      </c>
      <c r="L113" s="619">
        <f t="shared" si="148"/>
        <v>44.25</v>
      </c>
      <c r="M113" s="619">
        <f t="shared" si="148"/>
        <v>57.25</v>
      </c>
      <c r="N113" s="619">
        <f t="shared" si="148"/>
        <v>57.25</v>
      </c>
      <c r="O113" s="619">
        <f t="shared" si="148"/>
        <v>50.55</v>
      </c>
      <c r="P113" s="619">
        <f t="shared" si="148"/>
        <v>50.55</v>
      </c>
      <c r="Q113" s="619">
        <f t="shared" si="148"/>
        <v>50.55</v>
      </c>
      <c r="R113" s="619">
        <f t="shared" si="148"/>
        <v>50.55</v>
      </c>
      <c r="S113" s="619">
        <f t="shared" si="148"/>
        <v>76.25</v>
      </c>
      <c r="T113" s="619">
        <f t="shared" si="148"/>
        <v>76.25</v>
      </c>
      <c r="U113" s="619">
        <f t="shared" si="148"/>
        <v>76.25</v>
      </c>
      <c r="V113" s="619">
        <f t="shared" si="148"/>
        <v>53.75</v>
      </c>
      <c r="W113" s="619">
        <f t="shared" si="148"/>
        <v>53.75</v>
      </c>
      <c r="X113" s="619">
        <f t="shared" si="148"/>
        <v>53.75</v>
      </c>
      <c r="Y113" s="619">
        <f t="shared" si="148"/>
        <v>53.75</v>
      </c>
      <c r="Z113" s="619">
        <f t="shared" si="148"/>
        <v>53.75</v>
      </c>
      <c r="AA113" s="619">
        <f t="shared" si="148"/>
        <v>33.75</v>
      </c>
      <c r="AB113" s="619">
        <f t="shared" si="148"/>
        <v>33.75</v>
      </c>
      <c r="AC113" s="619">
        <f t="shared" si="148"/>
        <v>33.75</v>
      </c>
      <c r="AD113" s="619">
        <f t="shared" si="148"/>
        <v>33.75</v>
      </c>
      <c r="AE113" s="619">
        <f t="shared" si="148"/>
        <v>33.75</v>
      </c>
      <c r="AF113" s="619">
        <f t="shared" si="148"/>
        <v>37.5</v>
      </c>
      <c r="AG113" s="619">
        <f t="shared" si="148"/>
        <v>38.5</v>
      </c>
      <c r="AH113" s="619">
        <f t="shared" si="148"/>
        <v>59.25</v>
      </c>
      <c r="AI113" s="619">
        <f t="shared" si="148"/>
        <v>59.25</v>
      </c>
      <c r="AJ113" s="25">
        <f t="shared" si="148"/>
        <v>59.25</v>
      </c>
      <c r="AK113" s="619">
        <f t="shared" ref="AK113:AM115" si="149">$B$5*AK5+$B$16*AK16+$B$22*AK22+$B$25*AK25+$B$28*AK28+$B$31*AK31+$B$34*AK34+$B$42*AK42+$B$45*AK45+$B$63*AK63+$B$66*AK66+$B$69*AK69+$B$72*AK72+$B$91*AK91+$B$94*AK94+$B$60*AK60</f>
        <v>10.170000000000002</v>
      </c>
      <c r="AL113" s="619">
        <f t="shared" si="149"/>
        <v>10.170000000000002</v>
      </c>
      <c r="AM113" s="815">
        <f t="shared" si="149"/>
        <v>10.170000000000002</v>
      </c>
      <c r="AN113" s="619">
        <f t="shared" si="148"/>
        <v>10.170000000000002</v>
      </c>
      <c r="AO113" s="619">
        <f t="shared" si="148"/>
        <v>10.170000000000002</v>
      </c>
      <c r="AP113" s="619">
        <f t="shared" si="148"/>
        <v>88.75</v>
      </c>
      <c r="AQ113" s="619">
        <f t="shared" si="148"/>
        <v>88.75</v>
      </c>
      <c r="AR113" s="619">
        <f t="shared" si="148"/>
        <v>88.75</v>
      </c>
      <c r="AS113" s="619">
        <f t="shared" si="148"/>
        <v>88.75</v>
      </c>
      <c r="AT113" s="619">
        <f t="shared" si="148"/>
        <v>17.5</v>
      </c>
      <c r="AU113" s="619">
        <f t="shared" si="148"/>
        <v>17.5</v>
      </c>
      <c r="AV113" s="619">
        <f t="shared" si="148"/>
        <v>17.5</v>
      </c>
      <c r="AW113" s="619">
        <f t="shared" si="148"/>
        <v>17.5</v>
      </c>
      <c r="AX113" s="619">
        <f t="shared" si="148"/>
        <v>64</v>
      </c>
      <c r="AY113" s="619">
        <f t="shared" si="148"/>
        <v>66</v>
      </c>
      <c r="AZ113" s="619">
        <f t="shared" si="148"/>
        <v>59</v>
      </c>
      <c r="BA113" s="619">
        <f t="shared" si="148"/>
        <v>43.75</v>
      </c>
      <c r="BB113" s="619">
        <f t="shared" si="148"/>
        <v>43.75</v>
      </c>
      <c r="BC113" s="619">
        <f t="shared" si="148"/>
        <v>43.75</v>
      </c>
      <c r="BD113" s="619" t="e">
        <f t="shared" si="148"/>
        <v>#REF!</v>
      </c>
      <c r="BE113" s="619">
        <f t="shared" si="148"/>
        <v>41.25</v>
      </c>
      <c r="BF113" s="619">
        <f t="shared" si="148"/>
        <v>44.25</v>
      </c>
      <c r="BG113" s="619">
        <f t="shared" si="148"/>
        <v>44.25</v>
      </c>
      <c r="BH113" s="619">
        <f t="shared" si="148"/>
        <v>44.25</v>
      </c>
      <c r="BI113" s="619">
        <f t="shared" si="148"/>
        <v>44.25</v>
      </c>
      <c r="BJ113" s="619">
        <f t="shared" si="148"/>
        <v>37</v>
      </c>
      <c r="BK113" s="619">
        <f t="shared" si="148"/>
        <v>37</v>
      </c>
      <c r="BL113" s="619">
        <f t="shared" ref="BL113:CI115" si="150">$B$5*BL5+$B$16*BL16+$B$22*BL22+$B$25*BL25+$B$28*BL28+$B$31*BL31+$B$34*BL34+$B$42*BL42+$B$45*BL45+$B$63*BL63+$B$66*BL66+$B$69*BL69+$B$72*BL72+$B$91*BL91+$B$94*BL94+$B$60*BL60</f>
        <v>81.75</v>
      </c>
      <c r="BM113" s="619">
        <f t="shared" si="150"/>
        <v>80.75</v>
      </c>
      <c r="BN113" s="619">
        <f t="shared" si="150"/>
        <v>80.75</v>
      </c>
      <c r="BO113" s="619">
        <f t="shared" si="150"/>
        <v>80.75</v>
      </c>
      <c r="BP113" s="619">
        <f t="shared" si="150"/>
        <v>87.25</v>
      </c>
      <c r="BQ113" s="619">
        <f t="shared" si="150"/>
        <v>87.25</v>
      </c>
      <c r="BR113" s="619">
        <f t="shared" si="150"/>
        <v>87.25</v>
      </c>
      <c r="BS113" s="619">
        <f t="shared" si="150"/>
        <v>64.75</v>
      </c>
      <c r="BT113" s="619">
        <f t="shared" si="150"/>
        <v>50.25</v>
      </c>
      <c r="BU113" s="619">
        <f t="shared" si="150"/>
        <v>50.25</v>
      </c>
      <c r="BV113" s="619">
        <f t="shared" si="150"/>
        <v>101.25</v>
      </c>
      <c r="BW113" s="619">
        <f t="shared" si="150"/>
        <v>50.25</v>
      </c>
      <c r="BX113" s="619">
        <f t="shared" si="150"/>
        <v>83.25</v>
      </c>
      <c r="BY113" s="619">
        <f t="shared" si="150"/>
        <v>100.25</v>
      </c>
      <c r="BZ113" s="619">
        <f t="shared" si="150"/>
        <v>100.25</v>
      </c>
      <c r="CA113" s="619">
        <f t="shared" si="150"/>
        <v>101.25</v>
      </c>
      <c r="CB113" s="619">
        <f t="shared" si="150"/>
        <v>80.75</v>
      </c>
      <c r="CC113" s="619">
        <f t="shared" si="150"/>
        <v>62.75</v>
      </c>
      <c r="CD113" s="619">
        <f t="shared" si="150"/>
        <v>62.75</v>
      </c>
      <c r="CE113" s="619">
        <f t="shared" si="150"/>
        <v>43.75</v>
      </c>
      <c r="CF113" s="619">
        <f t="shared" si="150"/>
        <v>43.75</v>
      </c>
      <c r="CG113" s="619">
        <f t="shared" si="150"/>
        <v>78.75</v>
      </c>
      <c r="CH113" s="619">
        <f t="shared" si="150"/>
        <v>78.75</v>
      </c>
      <c r="CI113" s="619">
        <f t="shared" si="150"/>
        <v>78.75</v>
      </c>
      <c r="CJ113" s="619">
        <f t="shared" ref="CJ113:CO113" si="151">$B$5*CJ5+$B$16*CJ16+$B$22*CJ22+$B$25*CJ25+$B$28*CJ28+$B$31*CJ31+$B$34*CJ34+$B$42*CJ42+$B$45*CJ45+$B$63*CJ63+$B$66*CJ66+$B$69*CJ69+$B$72*CJ72+$B$91*CJ91+$B$94*CJ94+$B$60*CJ60</f>
        <v>48</v>
      </c>
      <c r="CK113" s="619">
        <f t="shared" si="151"/>
        <v>55</v>
      </c>
      <c r="CL113" s="619">
        <f t="shared" si="151"/>
        <v>53</v>
      </c>
      <c r="CM113" s="619">
        <f t="shared" si="151"/>
        <v>53</v>
      </c>
      <c r="CN113" s="619">
        <f t="shared" si="151"/>
        <v>50</v>
      </c>
      <c r="CO113" s="619">
        <f t="shared" si="151"/>
        <v>51</v>
      </c>
      <c r="CP113" s="619">
        <f t="shared" ref="CP113:CU113" si="152">$B$5*CP5+$B$16*CP16+$B$22*CP22+$B$25*CP25+$B$28*CP28+$B$31*CP31+$B$34*CP34+$B$42*CP42+$B$45*CP45+$B$63*CP63+$B$66*CP66+$B$69*CP69+$B$72*CP72+$B$91*CP91+$B$94*CP94+$B$60*CP60</f>
        <v>24.5</v>
      </c>
      <c r="CQ113" s="619">
        <f t="shared" si="152"/>
        <v>24.5</v>
      </c>
      <c r="CR113" s="619">
        <f t="shared" si="152"/>
        <v>50</v>
      </c>
      <c r="CS113" s="619">
        <f t="shared" si="152"/>
        <v>52</v>
      </c>
      <c r="CT113" s="619">
        <f t="shared" si="152"/>
        <v>10</v>
      </c>
      <c r="CU113" s="619">
        <f t="shared" si="152"/>
        <v>14</v>
      </c>
      <c r="CV113" s="817"/>
    </row>
    <row r="114" spans="1:100" ht="15" customHeight="1" x14ac:dyDescent="0.25">
      <c r="A114" s="1915"/>
      <c r="B114" s="1909"/>
      <c r="C114" s="18" t="s">
        <v>33</v>
      </c>
      <c r="D114" s="817"/>
      <c r="E114" s="619">
        <f t="shared" ref="E114:T114" si="153">$B$5*E6+$B$16*E17+$B$22*E23+$B$25*E26+$B$28*E29+$B$31*E32+$B$34*E35+$B$42*E43+$B$45*E46+$B$63*E64+$B$66*E67+$B$69*E70+$B$72*E73+$B$91*E92+$B$94*E95+$B$60*E61</f>
        <v>17.5</v>
      </c>
      <c r="F114" s="619">
        <f t="shared" si="153"/>
        <v>17.5</v>
      </c>
      <c r="G114" s="619">
        <f t="shared" si="153"/>
        <v>17.5</v>
      </c>
      <c r="H114" s="619">
        <f t="shared" si="153"/>
        <v>17.5</v>
      </c>
      <c r="I114" s="619">
        <f t="shared" si="153"/>
        <v>17.5</v>
      </c>
      <c r="J114" s="619">
        <f t="shared" si="153"/>
        <v>17.5</v>
      </c>
      <c r="K114" s="619">
        <f t="shared" si="153"/>
        <v>17.5</v>
      </c>
      <c r="L114" s="619">
        <f t="shared" si="153"/>
        <v>17.5</v>
      </c>
      <c r="M114" s="619">
        <f t="shared" si="153"/>
        <v>25.5</v>
      </c>
      <c r="N114" s="619">
        <f t="shared" si="153"/>
        <v>25.5</v>
      </c>
      <c r="O114" s="619">
        <f t="shared" si="153"/>
        <v>76.349999999999994</v>
      </c>
      <c r="P114" s="619">
        <f t="shared" si="153"/>
        <v>76.349999999999994</v>
      </c>
      <c r="Q114" s="619">
        <f t="shared" si="153"/>
        <v>76.349999999999994</v>
      </c>
      <c r="R114" s="619">
        <f t="shared" si="153"/>
        <v>76.349999999999994</v>
      </c>
      <c r="S114" s="619">
        <f t="shared" si="153"/>
        <v>94.25</v>
      </c>
      <c r="T114" s="619">
        <f t="shared" si="153"/>
        <v>94.25</v>
      </c>
      <c r="U114" s="619">
        <f t="shared" si="148"/>
        <v>94.25</v>
      </c>
      <c r="V114" s="619">
        <f t="shared" si="148"/>
        <v>80</v>
      </c>
      <c r="W114" s="619">
        <f t="shared" si="148"/>
        <v>80</v>
      </c>
      <c r="X114" s="619">
        <f t="shared" si="148"/>
        <v>80</v>
      </c>
      <c r="Y114" s="619">
        <f t="shared" si="148"/>
        <v>80</v>
      </c>
      <c r="Z114" s="619">
        <f t="shared" si="148"/>
        <v>80</v>
      </c>
      <c r="AA114" s="619">
        <f t="shared" si="148"/>
        <v>37.75</v>
      </c>
      <c r="AB114" s="619">
        <f t="shared" si="148"/>
        <v>37.75</v>
      </c>
      <c r="AC114" s="619">
        <f t="shared" si="148"/>
        <v>37.75</v>
      </c>
      <c r="AD114" s="619">
        <f t="shared" si="148"/>
        <v>37.75</v>
      </c>
      <c r="AE114" s="619">
        <f t="shared" si="148"/>
        <v>37.75</v>
      </c>
      <c r="AF114" s="619">
        <f t="shared" si="148"/>
        <v>47.2</v>
      </c>
      <c r="AG114" s="619">
        <f t="shared" si="148"/>
        <v>47.7</v>
      </c>
      <c r="AH114" s="619">
        <f t="shared" si="148"/>
        <v>85.75</v>
      </c>
      <c r="AI114" s="619">
        <f t="shared" si="148"/>
        <v>85.75</v>
      </c>
      <c r="AJ114" s="25">
        <f t="shared" si="148"/>
        <v>85.75</v>
      </c>
      <c r="AK114" s="619">
        <f t="shared" si="149"/>
        <v>12.650000000000002</v>
      </c>
      <c r="AL114" s="619">
        <f t="shared" si="149"/>
        <v>12.650000000000002</v>
      </c>
      <c r="AM114" s="815">
        <f t="shared" si="149"/>
        <v>12.650000000000002</v>
      </c>
      <c r="AN114" s="619">
        <f t="shared" si="148"/>
        <v>12.650000000000002</v>
      </c>
      <c r="AO114" s="619">
        <f t="shared" si="148"/>
        <v>12.650000000000002</v>
      </c>
      <c r="AP114" s="619">
        <f t="shared" si="148"/>
        <v>123.25</v>
      </c>
      <c r="AQ114" s="619">
        <f t="shared" si="148"/>
        <v>123.25</v>
      </c>
      <c r="AR114" s="619">
        <f t="shared" si="148"/>
        <v>123.25</v>
      </c>
      <c r="AS114" s="619">
        <f t="shared" si="148"/>
        <v>123.25</v>
      </c>
      <c r="AT114" s="619">
        <f t="shared" si="148"/>
        <v>29</v>
      </c>
      <c r="AU114" s="619">
        <f t="shared" si="148"/>
        <v>29</v>
      </c>
      <c r="AV114" s="619">
        <f t="shared" si="148"/>
        <v>29</v>
      </c>
      <c r="AW114" s="619">
        <f t="shared" si="148"/>
        <v>29</v>
      </c>
      <c r="AX114" s="619">
        <f t="shared" si="148"/>
        <v>84</v>
      </c>
      <c r="AY114" s="619">
        <f t="shared" si="148"/>
        <v>86</v>
      </c>
      <c r="AZ114" s="619">
        <f t="shared" si="148"/>
        <v>78</v>
      </c>
      <c r="BA114" s="619">
        <f t="shared" si="148"/>
        <v>25.5</v>
      </c>
      <c r="BB114" s="619">
        <f t="shared" si="148"/>
        <v>25.5</v>
      </c>
      <c r="BC114" s="619">
        <f t="shared" si="148"/>
        <v>25.5</v>
      </c>
      <c r="BD114" s="619" t="e">
        <f t="shared" si="148"/>
        <v>#REF!</v>
      </c>
      <c r="BE114" s="619">
        <f t="shared" si="148"/>
        <v>55.25</v>
      </c>
      <c r="BF114" s="619">
        <f t="shared" si="148"/>
        <v>60.25</v>
      </c>
      <c r="BG114" s="619">
        <f t="shared" si="148"/>
        <v>60.25</v>
      </c>
      <c r="BH114" s="619">
        <f t="shared" si="148"/>
        <v>60.25</v>
      </c>
      <c r="BI114" s="619">
        <f t="shared" si="148"/>
        <v>60.25</v>
      </c>
      <c r="BJ114" s="619">
        <f t="shared" si="148"/>
        <v>14.5</v>
      </c>
      <c r="BK114" s="619">
        <f t="shared" si="148"/>
        <v>14.5</v>
      </c>
      <c r="BL114" s="619">
        <f t="shared" si="150"/>
        <v>128.25</v>
      </c>
      <c r="BM114" s="619">
        <f t="shared" si="150"/>
        <v>126.25</v>
      </c>
      <c r="BN114" s="619">
        <f t="shared" si="150"/>
        <v>131.25</v>
      </c>
      <c r="BO114" s="619">
        <f t="shared" si="150"/>
        <v>131.25</v>
      </c>
      <c r="BP114" s="619">
        <f t="shared" si="150"/>
        <v>135.25</v>
      </c>
      <c r="BQ114" s="619">
        <f t="shared" si="150"/>
        <v>135.25</v>
      </c>
      <c r="BR114" s="619">
        <f t="shared" si="150"/>
        <v>135.25</v>
      </c>
      <c r="BS114" s="619">
        <f t="shared" si="150"/>
        <v>34</v>
      </c>
      <c r="BT114" s="619">
        <f t="shared" si="150"/>
        <v>70.25</v>
      </c>
      <c r="BU114" s="619">
        <f t="shared" si="150"/>
        <v>70.25</v>
      </c>
      <c r="BV114" s="619">
        <f t="shared" si="150"/>
        <v>140.25</v>
      </c>
      <c r="BW114" s="619">
        <f t="shared" si="150"/>
        <v>70.25</v>
      </c>
      <c r="BX114" s="619">
        <f t="shared" si="150"/>
        <v>125.25</v>
      </c>
      <c r="BY114" s="619">
        <f t="shared" si="150"/>
        <v>139.25</v>
      </c>
      <c r="BZ114" s="619">
        <f t="shared" si="150"/>
        <v>139.25</v>
      </c>
      <c r="CA114" s="619">
        <f t="shared" si="150"/>
        <v>139.25</v>
      </c>
      <c r="CB114" s="619">
        <f t="shared" si="150"/>
        <v>129.25</v>
      </c>
      <c r="CC114" s="619">
        <f t="shared" si="150"/>
        <v>93.25</v>
      </c>
      <c r="CD114" s="619">
        <f t="shared" si="150"/>
        <v>93.25</v>
      </c>
      <c r="CE114" s="619">
        <f t="shared" si="150"/>
        <v>15.5</v>
      </c>
      <c r="CF114" s="619">
        <f t="shared" si="150"/>
        <v>15.5</v>
      </c>
      <c r="CG114" s="619">
        <f t="shared" si="150"/>
        <v>127.25</v>
      </c>
      <c r="CH114" s="619">
        <f t="shared" si="150"/>
        <v>127.25</v>
      </c>
      <c r="CI114" s="619">
        <f t="shared" si="150"/>
        <v>127.25</v>
      </c>
      <c r="CJ114" s="619">
        <f t="shared" ref="CJ114:CO114" si="154">$B$5*CJ6+$B$16*CJ17+$B$22*CJ23+$B$25*CJ26+$B$28*CJ29+$B$31*CJ32+$B$34*CJ35+$B$42*CJ43+$B$45*CJ46+$B$63*CJ64+$B$66*CJ67+$B$69*CJ70+$B$72*CJ73+$B$91*CJ92+$B$94*CJ95+$B$60*CJ61</f>
        <v>65</v>
      </c>
      <c r="CK114" s="619">
        <f t="shared" si="154"/>
        <v>72</v>
      </c>
      <c r="CL114" s="619">
        <f t="shared" si="154"/>
        <v>74</v>
      </c>
      <c r="CM114" s="619">
        <f t="shared" si="154"/>
        <v>74</v>
      </c>
      <c r="CN114" s="619">
        <f t="shared" si="154"/>
        <v>70</v>
      </c>
      <c r="CO114" s="619">
        <f t="shared" si="154"/>
        <v>72</v>
      </c>
      <c r="CP114" s="619">
        <f t="shared" ref="CP114:CU114" si="155">$B$5*CP6+$B$16*CP17+$B$22*CP23+$B$25*CP26+$B$28*CP29+$B$31*CP32+$B$34*CP35+$B$42*CP43+$B$45*CP46+$B$63*CP64+$B$66*CP67+$B$69*CP70+$B$72*CP73+$B$91*CP92+$B$94*CP95+$B$60*CP61</f>
        <v>7</v>
      </c>
      <c r="CQ114" s="619">
        <f t="shared" si="155"/>
        <v>7</v>
      </c>
      <c r="CR114" s="619">
        <f t="shared" si="155"/>
        <v>20</v>
      </c>
      <c r="CS114" s="619">
        <f t="shared" si="155"/>
        <v>20</v>
      </c>
      <c r="CT114" s="619">
        <f t="shared" si="155"/>
        <v>16</v>
      </c>
      <c r="CU114" s="619">
        <f t="shared" si="155"/>
        <v>20</v>
      </c>
      <c r="CV114" s="817"/>
    </row>
    <row r="115" spans="1:100" ht="15" customHeight="1" x14ac:dyDescent="0.25">
      <c r="A115" s="1915"/>
      <c r="B115" s="1910"/>
      <c r="C115" s="18" t="s">
        <v>34</v>
      </c>
      <c r="D115" s="817"/>
      <c r="E115" s="619">
        <f>$B$5*E7+$B$16*E18+$B$22*E24+$B$25*E27+$B$28*E30+$B$31*E33+$B$34*E36+$B$42*E44+$B$45*E47+$B$63*E65+$B$66*E68+$B$69*E71+$B$72*E74+$B$91*E93+$B$94*E96+$B$60*E62</f>
        <v>28</v>
      </c>
      <c r="F115" s="619">
        <f t="shared" ref="F115:BK115" si="156">$B$5*F7+$B$16*F18+$B$22*F24+$B$25*F27+$B$28*F30+$B$31*F33+$B$34*F36+$B$42*F44+$B$45*F47+$B$63*F65+$B$66*F68+$B$69*F71+$B$72*F74+$B$91*F93+$B$94*F96+$B$60*F62</f>
        <v>28</v>
      </c>
      <c r="G115" s="619">
        <f t="shared" si="156"/>
        <v>28</v>
      </c>
      <c r="H115" s="619">
        <f t="shared" si="156"/>
        <v>28</v>
      </c>
      <c r="I115" s="619">
        <f t="shared" si="156"/>
        <v>28</v>
      </c>
      <c r="J115" s="619">
        <f t="shared" si="156"/>
        <v>28</v>
      </c>
      <c r="K115" s="619">
        <f t="shared" si="156"/>
        <v>28</v>
      </c>
      <c r="L115" s="619">
        <f t="shared" si="156"/>
        <v>28</v>
      </c>
      <c r="M115" s="619">
        <f t="shared" si="156"/>
        <v>43.5</v>
      </c>
      <c r="N115" s="619">
        <f t="shared" si="156"/>
        <v>43.5</v>
      </c>
      <c r="O115" s="619">
        <f t="shared" si="156"/>
        <v>106.45</v>
      </c>
      <c r="P115" s="619">
        <f t="shared" si="156"/>
        <v>106.45</v>
      </c>
      <c r="Q115" s="619">
        <f t="shared" si="156"/>
        <v>106.45</v>
      </c>
      <c r="R115" s="619">
        <f t="shared" si="156"/>
        <v>106.45</v>
      </c>
      <c r="S115" s="619">
        <f t="shared" si="156"/>
        <v>114.25</v>
      </c>
      <c r="T115" s="619">
        <f t="shared" si="156"/>
        <v>114.25</v>
      </c>
      <c r="U115" s="619">
        <f t="shared" si="156"/>
        <v>114.25</v>
      </c>
      <c r="V115" s="619">
        <f t="shared" si="156"/>
        <v>113.25</v>
      </c>
      <c r="W115" s="619">
        <f t="shared" si="156"/>
        <v>113.25</v>
      </c>
      <c r="X115" s="619">
        <f t="shared" si="156"/>
        <v>113.25</v>
      </c>
      <c r="Y115" s="619">
        <f t="shared" si="156"/>
        <v>113.25</v>
      </c>
      <c r="Z115" s="619">
        <f t="shared" si="156"/>
        <v>113.25</v>
      </c>
      <c r="AA115" s="619">
        <f t="shared" si="156"/>
        <v>44.75</v>
      </c>
      <c r="AB115" s="619">
        <f t="shared" si="156"/>
        <v>44.75</v>
      </c>
      <c r="AC115" s="619">
        <f t="shared" si="156"/>
        <v>44.75</v>
      </c>
      <c r="AD115" s="619">
        <f t="shared" si="156"/>
        <v>44.75</v>
      </c>
      <c r="AE115" s="619">
        <f t="shared" si="156"/>
        <v>44.75</v>
      </c>
      <c r="AF115" s="619">
        <f t="shared" si="156"/>
        <v>58.2</v>
      </c>
      <c r="AG115" s="619">
        <f t="shared" si="156"/>
        <v>58.2</v>
      </c>
      <c r="AH115" s="619">
        <f t="shared" si="156"/>
        <v>113.25</v>
      </c>
      <c r="AI115" s="619">
        <f t="shared" si="156"/>
        <v>113.25</v>
      </c>
      <c r="AJ115" s="25">
        <f t="shared" si="156"/>
        <v>113.25</v>
      </c>
      <c r="AK115" s="619">
        <f t="shared" si="149"/>
        <v>17.350000000000001</v>
      </c>
      <c r="AL115" s="619">
        <f t="shared" si="149"/>
        <v>17.350000000000001</v>
      </c>
      <c r="AM115" s="815">
        <f t="shared" si="149"/>
        <v>17.350000000000001</v>
      </c>
      <c r="AN115" s="619">
        <f t="shared" si="156"/>
        <v>17.350000000000001</v>
      </c>
      <c r="AO115" s="619">
        <f t="shared" si="156"/>
        <v>17.350000000000001</v>
      </c>
      <c r="AP115" s="619">
        <f t="shared" si="156"/>
        <v>197.25</v>
      </c>
      <c r="AQ115" s="619">
        <f t="shared" si="156"/>
        <v>197.25</v>
      </c>
      <c r="AR115" s="619">
        <f t="shared" si="156"/>
        <v>197.25</v>
      </c>
      <c r="AS115" s="619">
        <f t="shared" si="156"/>
        <v>197.25</v>
      </c>
      <c r="AT115" s="619">
        <f t="shared" si="156"/>
        <v>48</v>
      </c>
      <c r="AU115" s="619">
        <f t="shared" si="156"/>
        <v>48</v>
      </c>
      <c r="AV115" s="619">
        <f t="shared" si="156"/>
        <v>48</v>
      </c>
      <c r="AW115" s="619">
        <f t="shared" si="156"/>
        <v>48</v>
      </c>
      <c r="AX115" s="619">
        <f t="shared" si="156"/>
        <v>116</v>
      </c>
      <c r="AY115" s="619">
        <f t="shared" si="156"/>
        <v>118</v>
      </c>
      <c r="AZ115" s="619">
        <f t="shared" si="156"/>
        <v>108</v>
      </c>
      <c r="BA115" s="619">
        <f t="shared" si="156"/>
        <v>41.5</v>
      </c>
      <c r="BB115" s="619">
        <f t="shared" si="156"/>
        <v>41.5</v>
      </c>
      <c r="BC115" s="619">
        <f t="shared" si="156"/>
        <v>41.5</v>
      </c>
      <c r="BD115" s="619" t="e">
        <f t="shared" si="156"/>
        <v>#REF!</v>
      </c>
      <c r="BE115" s="619">
        <f t="shared" si="156"/>
        <v>73.25</v>
      </c>
      <c r="BF115" s="619">
        <f t="shared" si="156"/>
        <v>77.25</v>
      </c>
      <c r="BG115" s="619">
        <f t="shared" si="156"/>
        <v>77.25</v>
      </c>
      <c r="BH115" s="619">
        <f t="shared" si="156"/>
        <v>77.25</v>
      </c>
      <c r="BI115" s="619">
        <f t="shared" si="156"/>
        <v>77.25</v>
      </c>
      <c r="BJ115" s="619">
        <f t="shared" si="156"/>
        <v>24.5</v>
      </c>
      <c r="BK115" s="619">
        <f t="shared" si="156"/>
        <v>24.5</v>
      </c>
      <c r="BL115" s="619">
        <f t="shared" si="150"/>
        <v>180.25</v>
      </c>
      <c r="BM115" s="619">
        <f t="shared" si="150"/>
        <v>177.25</v>
      </c>
      <c r="BN115" s="619">
        <f t="shared" si="150"/>
        <v>195.25</v>
      </c>
      <c r="BO115" s="619">
        <f t="shared" si="150"/>
        <v>195.25</v>
      </c>
      <c r="BP115" s="619">
        <f t="shared" si="150"/>
        <v>180.25</v>
      </c>
      <c r="BQ115" s="619">
        <f t="shared" si="150"/>
        <v>180.25</v>
      </c>
      <c r="BR115" s="619">
        <f t="shared" si="150"/>
        <v>180.25</v>
      </c>
      <c r="BS115" s="619">
        <f t="shared" si="150"/>
        <v>53</v>
      </c>
      <c r="BT115" s="619">
        <f t="shared" si="150"/>
        <v>90.25</v>
      </c>
      <c r="BU115" s="619">
        <f t="shared" si="150"/>
        <v>90.25</v>
      </c>
      <c r="BV115" s="619">
        <f t="shared" si="150"/>
        <v>189.25</v>
      </c>
      <c r="BW115" s="619">
        <f t="shared" si="150"/>
        <v>90.25</v>
      </c>
      <c r="BX115" s="619">
        <f t="shared" si="150"/>
        <v>168.25</v>
      </c>
      <c r="BY115" s="619">
        <f t="shared" si="150"/>
        <v>178.25</v>
      </c>
      <c r="BZ115" s="619">
        <f t="shared" si="150"/>
        <v>178.25</v>
      </c>
      <c r="CA115" s="619">
        <f t="shared" si="150"/>
        <v>179.25</v>
      </c>
      <c r="CB115" s="619">
        <f t="shared" si="150"/>
        <v>180.25</v>
      </c>
      <c r="CC115" s="619">
        <f t="shared" si="150"/>
        <v>129.25</v>
      </c>
      <c r="CD115" s="619">
        <f t="shared" si="150"/>
        <v>129.25</v>
      </c>
      <c r="CE115" s="619">
        <f t="shared" si="150"/>
        <v>28.5</v>
      </c>
      <c r="CF115" s="619">
        <f t="shared" si="150"/>
        <v>28.5</v>
      </c>
      <c r="CG115" s="619">
        <f t="shared" si="150"/>
        <v>178.25</v>
      </c>
      <c r="CH115" s="619">
        <f t="shared" si="150"/>
        <v>178.25</v>
      </c>
      <c r="CI115" s="619">
        <f t="shared" si="150"/>
        <v>178.25</v>
      </c>
      <c r="CJ115" s="619">
        <f t="shared" ref="CJ115:CO115" si="157">$B$5*CJ7+$B$16*CJ18+$B$22*CJ24+$B$25*CJ27+$B$28*CJ30+$B$31*CJ33+$B$34*CJ36+$B$42*CJ44+$B$45*CJ47+$B$63*CJ65+$B$66*CJ68+$B$69*CJ71+$B$72*CJ74+$B$91*CJ93+$B$94*CJ96+$B$60*CJ62</f>
        <v>95</v>
      </c>
      <c r="CK115" s="619">
        <f t="shared" si="157"/>
        <v>100</v>
      </c>
      <c r="CL115" s="619">
        <f t="shared" si="157"/>
        <v>107</v>
      </c>
      <c r="CM115" s="619">
        <f t="shared" si="157"/>
        <v>107</v>
      </c>
      <c r="CN115" s="619">
        <f t="shared" si="157"/>
        <v>101</v>
      </c>
      <c r="CO115" s="619">
        <f t="shared" si="157"/>
        <v>105</v>
      </c>
      <c r="CP115" s="619">
        <f t="shared" ref="CP115:CU115" si="158">$B$5*CP7+$B$16*CP18+$B$22*CP24+$B$25*CP27+$B$28*CP30+$B$31*CP33+$B$34*CP36+$B$42*CP44+$B$45*CP47+$B$63*CP65+$B$66*CP68+$B$69*CP71+$B$72*CP74+$B$91*CP93+$B$94*CP96+$B$60*CP62</f>
        <v>14</v>
      </c>
      <c r="CQ115" s="619">
        <f t="shared" si="158"/>
        <v>14</v>
      </c>
      <c r="CR115" s="619">
        <f t="shared" si="158"/>
        <v>34</v>
      </c>
      <c r="CS115" s="619">
        <f t="shared" si="158"/>
        <v>34</v>
      </c>
      <c r="CT115" s="619">
        <f t="shared" si="158"/>
        <v>22</v>
      </c>
      <c r="CU115" s="619">
        <f t="shared" si="158"/>
        <v>26</v>
      </c>
      <c r="CV115" s="324"/>
    </row>
    <row r="116" spans="1:100" ht="15" customHeight="1" x14ac:dyDescent="0.25">
      <c r="A116" s="1914" t="s">
        <v>3</v>
      </c>
      <c r="B116" s="1926" t="s">
        <v>75</v>
      </c>
      <c r="C116" s="325" t="s">
        <v>32</v>
      </c>
      <c r="D116" s="324"/>
      <c r="E116" s="230">
        <f t="shared" ref="E116:F118" si="159">$B$5*E5+$B$16*E16+$B$22*E22+$B$25*E25+$B$28*E28+$B$31*E31+$B$34*E34+$B$42*E42</f>
        <v>11.25</v>
      </c>
      <c r="F116" s="230">
        <f t="shared" si="159"/>
        <v>11.25</v>
      </c>
      <c r="G116" s="230">
        <f t="shared" ref="G116:BR116" si="160">$B$5*G5+$B$16*G16+$B$22*G22+$B$25*G25+$B$28*G28+$B$31*G31+$B$34*G34+$B$42*G42</f>
        <v>11.25</v>
      </c>
      <c r="H116" s="230">
        <f t="shared" si="160"/>
        <v>11.25</v>
      </c>
      <c r="I116" s="230">
        <f t="shared" si="160"/>
        <v>11.25</v>
      </c>
      <c r="J116" s="230">
        <f t="shared" si="160"/>
        <v>11.25</v>
      </c>
      <c r="K116" s="230">
        <f t="shared" si="160"/>
        <v>11.25</v>
      </c>
      <c r="L116" s="230">
        <f t="shared" si="160"/>
        <v>11.25</v>
      </c>
      <c r="M116" s="230">
        <f t="shared" si="160"/>
        <v>16.75</v>
      </c>
      <c r="N116" s="230">
        <f t="shared" si="160"/>
        <v>16.75</v>
      </c>
      <c r="O116" s="230">
        <f t="shared" si="160"/>
        <v>14.05</v>
      </c>
      <c r="P116" s="230">
        <f t="shared" si="160"/>
        <v>14.05</v>
      </c>
      <c r="Q116" s="230">
        <f t="shared" si="160"/>
        <v>14.05</v>
      </c>
      <c r="R116" s="230">
        <f t="shared" si="160"/>
        <v>14.05</v>
      </c>
      <c r="S116" s="230">
        <f t="shared" si="160"/>
        <v>28.25</v>
      </c>
      <c r="T116" s="230">
        <f t="shared" si="160"/>
        <v>28.25</v>
      </c>
      <c r="U116" s="230">
        <f t="shared" si="160"/>
        <v>28.25</v>
      </c>
      <c r="V116" s="230">
        <f t="shared" si="160"/>
        <v>26.25</v>
      </c>
      <c r="W116" s="230">
        <f t="shared" si="160"/>
        <v>26.25</v>
      </c>
      <c r="X116" s="230">
        <f t="shared" si="160"/>
        <v>26.25</v>
      </c>
      <c r="Y116" s="230">
        <f t="shared" si="160"/>
        <v>26.25</v>
      </c>
      <c r="Z116" s="230">
        <f t="shared" si="160"/>
        <v>26.25</v>
      </c>
      <c r="AA116" s="230">
        <f t="shared" si="160"/>
        <v>10.75</v>
      </c>
      <c r="AB116" s="230">
        <f t="shared" si="160"/>
        <v>10.75</v>
      </c>
      <c r="AC116" s="230">
        <f t="shared" si="160"/>
        <v>10.75</v>
      </c>
      <c r="AD116" s="230">
        <f t="shared" si="160"/>
        <v>10.75</v>
      </c>
      <c r="AE116" s="230">
        <f t="shared" si="160"/>
        <v>10.75</v>
      </c>
      <c r="AF116" s="230">
        <f t="shared" si="160"/>
        <v>15.8</v>
      </c>
      <c r="AG116" s="230">
        <f t="shared" si="160"/>
        <v>16.8</v>
      </c>
      <c r="AH116" s="230">
        <f t="shared" si="160"/>
        <v>19.25</v>
      </c>
      <c r="AI116" s="230">
        <f t="shared" si="160"/>
        <v>19.25</v>
      </c>
      <c r="AJ116" s="317">
        <f t="shared" si="160"/>
        <v>19.25</v>
      </c>
      <c r="AK116" s="230">
        <f t="shared" ref="AK116:AM118" si="161">$B$5*AK5+$B$16*AK16+$B$22*AK22+$B$25*AK25+$B$28*AK28+$B$31*AK31+$B$34*AK34+$B$42*AK42</f>
        <v>6.6100000000000012</v>
      </c>
      <c r="AL116" s="230">
        <f t="shared" si="161"/>
        <v>6.6100000000000012</v>
      </c>
      <c r="AM116" s="316">
        <f t="shared" si="161"/>
        <v>6.6100000000000012</v>
      </c>
      <c r="AN116" s="230">
        <f t="shared" si="160"/>
        <v>6.6100000000000012</v>
      </c>
      <c r="AO116" s="230">
        <f t="shared" si="160"/>
        <v>6.6100000000000012</v>
      </c>
      <c r="AP116" s="230">
        <f t="shared" si="160"/>
        <v>53.25</v>
      </c>
      <c r="AQ116" s="230">
        <f t="shared" si="160"/>
        <v>53.25</v>
      </c>
      <c r="AR116" s="230">
        <f t="shared" si="160"/>
        <v>53.25</v>
      </c>
      <c r="AS116" s="230">
        <f t="shared" si="160"/>
        <v>53.25</v>
      </c>
      <c r="AT116" s="230">
        <f t="shared" si="160"/>
        <v>4</v>
      </c>
      <c r="AU116" s="230">
        <f t="shared" si="160"/>
        <v>4</v>
      </c>
      <c r="AV116" s="230">
        <f t="shared" si="160"/>
        <v>4</v>
      </c>
      <c r="AW116" s="230">
        <f t="shared" si="160"/>
        <v>4</v>
      </c>
      <c r="AX116" s="230">
        <f t="shared" si="160"/>
        <v>30</v>
      </c>
      <c r="AY116" s="230">
        <f t="shared" si="160"/>
        <v>32</v>
      </c>
      <c r="AZ116" s="230">
        <f t="shared" si="160"/>
        <v>25</v>
      </c>
      <c r="BA116" s="230">
        <f t="shared" si="160"/>
        <v>15.25</v>
      </c>
      <c r="BB116" s="230">
        <f t="shared" si="160"/>
        <v>15.25</v>
      </c>
      <c r="BC116" s="230">
        <f t="shared" si="160"/>
        <v>15.25</v>
      </c>
      <c r="BD116" s="230" t="e">
        <f t="shared" si="160"/>
        <v>#REF!</v>
      </c>
      <c r="BE116" s="230">
        <f t="shared" si="160"/>
        <v>18.25</v>
      </c>
      <c r="BF116" s="230">
        <f t="shared" si="160"/>
        <v>21.25</v>
      </c>
      <c r="BG116" s="230">
        <f t="shared" si="160"/>
        <v>21.25</v>
      </c>
      <c r="BH116" s="230">
        <f t="shared" si="160"/>
        <v>21.25</v>
      </c>
      <c r="BI116" s="230">
        <f t="shared" si="160"/>
        <v>21.25</v>
      </c>
      <c r="BJ116" s="230">
        <f t="shared" si="160"/>
        <v>7</v>
      </c>
      <c r="BK116" s="230">
        <f t="shared" si="160"/>
        <v>7</v>
      </c>
      <c r="BL116" s="230">
        <f t="shared" si="160"/>
        <v>37.25</v>
      </c>
      <c r="BM116" s="230">
        <f t="shared" si="160"/>
        <v>36.25</v>
      </c>
      <c r="BN116" s="230">
        <f t="shared" si="160"/>
        <v>38.25</v>
      </c>
      <c r="BO116" s="230">
        <f t="shared" si="160"/>
        <v>38.25</v>
      </c>
      <c r="BP116" s="230">
        <f t="shared" si="160"/>
        <v>19.25</v>
      </c>
      <c r="BQ116" s="230">
        <f t="shared" si="160"/>
        <v>19.25</v>
      </c>
      <c r="BR116" s="230">
        <f t="shared" si="160"/>
        <v>19.25</v>
      </c>
      <c r="BS116" s="230">
        <f t="shared" ref="BS116:CU116" si="162">$B$5*BS5+$B$16*BS16+$B$22*BS22+$B$25*BS25+$B$28*BS28+$B$31*BS31+$B$34*BS34+$B$42*BS42</f>
        <v>19.25</v>
      </c>
      <c r="BT116" s="230">
        <f t="shared" si="162"/>
        <v>21.25</v>
      </c>
      <c r="BU116" s="230">
        <f t="shared" si="162"/>
        <v>21.25</v>
      </c>
      <c r="BV116" s="230">
        <f t="shared" si="162"/>
        <v>29.25</v>
      </c>
      <c r="BW116" s="230">
        <f t="shared" si="162"/>
        <v>21.25</v>
      </c>
      <c r="BX116" s="230">
        <f t="shared" si="162"/>
        <v>19.25</v>
      </c>
      <c r="BY116" s="230">
        <f t="shared" si="162"/>
        <v>35.25</v>
      </c>
      <c r="BZ116" s="230">
        <f t="shared" si="162"/>
        <v>35.25</v>
      </c>
      <c r="CA116" s="230">
        <f t="shared" si="162"/>
        <v>36.25</v>
      </c>
      <c r="CB116" s="230">
        <f t="shared" si="162"/>
        <v>40.25</v>
      </c>
      <c r="CC116" s="230">
        <f t="shared" si="162"/>
        <v>20.25</v>
      </c>
      <c r="CD116" s="230">
        <f t="shared" si="162"/>
        <v>20.25</v>
      </c>
      <c r="CE116" s="230">
        <f t="shared" si="162"/>
        <v>15.25</v>
      </c>
      <c r="CF116" s="230">
        <f t="shared" si="162"/>
        <v>15.25</v>
      </c>
      <c r="CG116" s="230">
        <f t="shared" si="162"/>
        <v>40.25</v>
      </c>
      <c r="CH116" s="230">
        <f t="shared" si="162"/>
        <v>40.25</v>
      </c>
      <c r="CI116" s="230">
        <f t="shared" si="162"/>
        <v>40.25</v>
      </c>
      <c r="CJ116" s="230">
        <f t="shared" si="162"/>
        <v>22</v>
      </c>
      <c r="CK116" s="230">
        <f t="shared" si="162"/>
        <v>25</v>
      </c>
      <c r="CL116" s="230">
        <f t="shared" si="162"/>
        <v>25</v>
      </c>
      <c r="CM116" s="230">
        <f t="shared" si="162"/>
        <v>25</v>
      </c>
      <c r="CN116" s="230">
        <f t="shared" si="162"/>
        <v>22</v>
      </c>
      <c r="CO116" s="230">
        <f t="shared" si="162"/>
        <v>27</v>
      </c>
      <c r="CP116" s="230">
        <f t="shared" si="162"/>
        <v>6.5</v>
      </c>
      <c r="CQ116" s="230">
        <f t="shared" si="162"/>
        <v>6.5</v>
      </c>
      <c r="CR116" s="230">
        <f t="shared" si="162"/>
        <v>10</v>
      </c>
      <c r="CS116" s="230">
        <f t="shared" si="162"/>
        <v>12</v>
      </c>
      <c r="CT116" s="230">
        <f t="shared" si="162"/>
        <v>0</v>
      </c>
      <c r="CU116" s="230">
        <f t="shared" si="162"/>
        <v>0</v>
      </c>
      <c r="CV116" s="324"/>
    </row>
    <row r="117" spans="1:100" ht="15" customHeight="1" x14ac:dyDescent="0.25">
      <c r="A117" s="1915"/>
      <c r="B117" s="1909"/>
      <c r="C117" s="18" t="s">
        <v>33</v>
      </c>
      <c r="D117" s="817"/>
      <c r="E117" s="230">
        <f t="shared" si="159"/>
        <v>10</v>
      </c>
      <c r="F117" s="230">
        <f t="shared" si="159"/>
        <v>10</v>
      </c>
      <c r="G117" s="230">
        <f t="shared" ref="G117:BR117" si="163">$B$5*G6+$B$16*G17+$B$22*G23+$B$25*G26+$B$28*G29+$B$31*G32+$B$34*G35+$B$42*G43</f>
        <v>10</v>
      </c>
      <c r="H117" s="230">
        <f t="shared" si="163"/>
        <v>10</v>
      </c>
      <c r="I117" s="230">
        <f t="shared" si="163"/>
        <v>10</v>
      </c>
      <c r="J117" s="230">
        <f t="shared" si="163"/>
        <v>10</v>
      </c>
      <c r="K117" s="230">
        <f t="shared" si="163"/>
        <v>10</v>
      </c>
      <c r="L117" s="230">
        <f t="shared" si="163"/>
        <v>10</v>
      </c>
      <c r="M117" s="230">
        <f t="shared" si="163"/>
        <v>12.5</v>
      </c>
      <c r="N117" s="230">
        <f t="shared" si="163"/>
        <v>12.5</v>
      </c>
      <c r="O117" s="230">
        <f t="shared" si="163"/>
        <v>21.85</v>
      </c>
      <c r="P117" s="230">
        <f t="shared" si="163"/>
        <v>21.85</v>
      </c>
      <c r="Q117" s="230">
        <f t="shared" si="163"/>
        <v>21.85</v>
      </c>
      <c r="R117" s="230">
        <f t="shared" si="163"/>
        <v>21.85</v>
      </c>
      <c r="S117" s="230">
        <f t="shared" si="163"/>
        <v>36.25</v>
      </c>
      <c r="T117" s="230">
        <f t="shared" si="163"/>
        <v>36.25</v>
      </c>
      <c r="U117" s="230">
        <f t="shared" si="163"/>
        <v>36.25</v>
      </c>
      <c r="V117" s="230">
        <f t="shared" si="163"/>
        <v>38.25</v>
      </c>
      <c r="W117" s="230">
        <f t="shared" si="163"/>
        <v>38.25</v>
      </c>
      <c r="X117" s="230">
        <f t="shared" si="163"/>
        <v>38.25</v>
      </c>
      <c r="Y117" s="230">
        <f t="shared" si="163"/>
        <v>38.25</v>
      </c>
      <c r="Z117" s="230">
        <f t="shared" si="163"/>
        <v>38.25</v>
      </c>
      <c r="AA117" s="230">
        <f t="shared" si="163"/>
        <v>14.75</v>
      </c>
      <c r="AB117" s="230">
        <f t="shared" si="163"/>
        <v>14.75</v>
      </c>
      <c r="AC117" s="230">
        <f t="shared" si="163"/>
        <v>14.75</v>
      </c>
      <c r="AD117" s="230">
        <f t="shared" si="163"/>
        <v>14.75</v>
      </c>
      <c r="AE117" s="230">
        <f t="shared" si="163"/>
        <v>14.75</v>
      </c>
      <c r="AF117" s="230">
        <f t="shared" si="163"/>
        <v>19.7</v>
      </c>
      <c r="AG117" s="230">
        <f t="shared" si="163"/>
        <v>20.2</v>
      </c>
      <c r="AH117" s="230">
        <f t="shared" si="163"/>
        <v>30.25</v>
      </c>
      <c r="AI117" s="230">
        <f t="shared" si="163"/>
        <v>30.25</v>
      </c>
      <c r="AJ117" s="317">
        <f t="shared" si="163"/>
        <v>30.25</v>
      </c>
      <c r="AK117" s="230">
        <f t="shared" si="161"/>
        <v>7.4500000000000011</v>
      </c>
      <c r="AL117" s="230">
        <f t="shared" si="161"/>
        <v>7.4500000000000011</v>
      </c>
      <c r="AM117" s="316">
        <f t="shared" si="161"/>
        <v>7.4500000000000011</v>
      </c>
      <c r="AN117" s="230">
        <f t="shared" si="163"/>
        <v>7.4500000000000011</v>
      </c>
      <c r="AO117" s="230">
        <f t="shared" si="163"/>
        <v>7.4500000000000011</v>
      </c>
      <c r="AP117" s="230">
        <f t="shared" si="163"/>
        <v>66.25</v>
      </c>
      <c r="AQ117" s="230">
        <f t="shared" si="163"/>
        <v>66.25</v>
      </c>
      <c r="AR117" s="230">
        <f t="shared" si="163"/>
        <v>66.25</v>
      </c>
      <c r="AS117" s="230">
        <f t="shared" si="163"/>
        <v>66.25</v>
      </c>
      <c r="AT117" s="230">
        <f t="shared" si="163"/>
        <v>9</v>
      </c>
      <c r="AU117" s="230">
        <f t="shared" si="163"/>
        <v>9</v>
      </c>
      <c r="AV117" s="230">
        <f t="shared" si="163"/>
        <v>9</v>
      </c>
      <c r="AW117" s="230">
        <f t="shared" si="163"/>
        <v>9</v>
      </c>
      <c r="AX117" s="230">
        <f t="shared" si="163"/>
        <v>38</v>
      </c>
      <c r="AY117" s="230">
        <f t="shared" si="163"/>
        <v>40</v>
      </c>
      <c r="AZ117" s="230">
        <f t="shared" si="163"/>
        <v>32</v>
      </c>
      <c r="BA117" s="230">
        <f t="shared" si="163"/>
        <v>10.5</v>
      </c>
      <c r="BB117" s="230">
        <f t="shared" si="163"/>
        <v>10.5</v>
      </c>
      <c r="BC117" s="230">
        <f t="shared" si="163"/>
        <v>10.5</v>
      </c>
      <c r="BD117" s="230" t="e">
        <f t="shared" si="163"/>
        <v>#REF!</v>
      </c>
      <c r="BE117" s="230">
        <f t="shared" si="163"/>
        <v>24.25</v>
      </c>
      <c r="BF117" s="230">
        <f t="shared" si="163"/>
        <v>29.25</v>
      </c>
      <c r="BG117" s="230">
        <f t="shared" si="163"/>
        <v>29.25</v>
      </c>
      <c r="BH117" s="230">
        <f t="shared" si="163"/>
        <v>29.25</v>
      </c>
      <c r="BI117" s="230">
        <f t="shared" si="163"/>
        <v>29.25</v>
      </c>
      <c r="BJ117" s="230">
        <f t="shared" si="163"/>
        <v>2.5</v>
      </c>
      <c r="BK117" s="230">
        <f t="shared" si="163"/>
        <v>2.5</v>
      </c>
      <c r="BL117" s="230">
        <f t="shared" si="163"/>
        <v>54.25</v>
      </c>
      <c r="BM117" s="230">
        <f t="shared" si="163"/>
        <v>52.25</v>
      </c>
      <c r="BN117" s="230">
        <f t="shared" si="163"/>
        <v>54.25</v>
      </c>
      <c r="BO117" s="230">
        <f t="shared" si="163"/>
        <v>54.25</v>
      </c>
      <c r="BP117" s="230">
        <f t="shared" si="163"/>
        <v>29.25</v>
      </c>
      <c r="BQ117" s="230">
        <f t="shared" si="163"/>
        <v>29.25</v>
      </c>
      <c r="BR117" s="230">
        <f t="shared" si="163"/>
        <v>29.25</v>
      </c>
      <c r="BS117" s="230">
        <f t="shared" ref="BS117:CU117" si="164">$B$5*BS6+$B$16*BS17+$B$22*BS23+$B$25*BS26+$B$28*BS29+$B$31*BS32+$B$34*BS35+$B$42*BS43</f>
        <v>13.75</v>
      </c>
      <c r="BT117" s="230">
        <f t="shared" si="164"/>
        <v>29.25</v>
      </c>
      <c r="BU117" s="230">
        <f t="shared" si="164"/>
        <v>29.25</v>
      </c>
      <c r="BV117" s="230">
        <f t="shared" si="164"/>
        <v>45.25</v>
      </c>
      <c r="BW117" s="230">
        <f t="shared" si="164"/>
        <v>29.25</v>
      </c>
      <c r="BX117" s="230">
        <f t="shared" si="164"/>
        <v>29.25</v>
      </c>
      <c r="BY117" s="230">
        <f t="shared" si="164"/>
        <v>42.25</v>
      </c>
      <c r="BZ117" s="230">
        <f t="shared" si="164"/>
        <v>42.25</v>
      </c>
      <c r="CA117" s="230">
        <f t="shared" si="164"/>
        <v>42.25</v>
      </c>
      <c r="CB117" s="230">
        <f t="shared" si="164"/>
        <v>60.25</v>
      </c>
      <c r="CC117" s="230">
        <f t="shared" si="164"/>
        <v>32.25</v>
      </c>
      <c r="CD117" s="230">
        <f t="shared" si="164"/>
        <v>32.25</v>
      </c>
      <c r="CE117" s="230">
        <f t="shared" si="164"/>
        <v>8.25</v>
      </c>
      <c r="CF117" s="230">
        <f t="shared" si="164"/>
        <v>8.25</v>
      </c>
      <c r="CG117" s="230">
        <f t="shared" si="164"/>
        <v>60.25</v>
      </c>
      <c r="CH117" s="230">
        <f t="shared" si="164"/>
        <v>60.25</v>
      </c>
      <c r="CI117" s="230">
        <f t="shared" si="164"/>
        <v>60.25</v>
      </c>
      <c r="CJ117" s="230">
        <f t="shared" si="164"/>
        <v>28</v>
      </c>
      <c r="CK117" s="230">
        <f t="shared" si="164"/>
        <v>32</v>
      </c>
      <c r="CL117" s="230">
        <f t="shared" si="164"/>
        <v>34</v>
      </c>
      <c r="CM117" s="230">
        <f t="shared" si="164"/>
        <v>34</v>
      </c>
      <c r="CN117" s="230">
        <f t="shared" si="164"/>
        <v>30</v>
      </c>
      <c r="CO117" s="230">
        <f t="shared" si="164"/>
        <v>36</v>
      </c>
      <c r="CP117" s="230">
        <f t="shared" si="164"/>
        <v>2</v>
      </c>
      <c r="CQ117" s="230">
        <f t="shared" si="164"/>
        <v>2</v>
      </c>
      <c r="CR117" s="230">
        <f t="shared" si="164"/>
        <v>4</v>
      </c>
      <c r="CS117" s="230">
        <f t="shared" si="164"/>
        <v>4</v>
      </c>
      <c r="CT117" s="230">
        <f t="shared" si="164"/>
        <v>0</v>
      </c>
      <c r="CU117" s="230">
        <f t="shared" si="164"/>
        <v>0</v>
      </c>
      <c r="CV117" s="817"/>
    </row>
    <row r="118" spans="1:100" ht="15" customHeight="1" thickBot="1" x14ac:dyDescent="0.3">
      <c r="A118" s="1925"/>
      <c r="B118" s="1917"/>
      <c r="C118" s="80" t="s">
        <v>34</v>
      </c>
      <c r="D118" s="818"/>
      <c r="E118" s="778">
        <f t="shared" si="159"/>
        <v>15.5</v>
      </c>
      <c r="F118" s="778">
        <f t="shared" si="159"/>
        <v>15.5</v>
      </c>
      <c r="G118" s="778">
        <f t="shared" ref="G118:BR118" si="165">$B$5*G7+$B$16*G18+$B$22*G24+$B$25*G27+$B$28*G30+$B$31*G33+$B$34*G36+$B$42*G44</f>
        <v>15.5</v>
      </c>
      <c r="H118" s="778">
        <f t="shared" si="165"/>
        <v>15.5</v>
      </c>
      <c r="I118" s="778">
        <f t="shared" si="165"/>
        <v>15.5</v>
      </c>
      <c r="J118" s="778">
        <f t="shared" si="165"/>
        <v>15.5</v>
      </c>
      <c r="K118" s="778">
        <f t="shared" si="165"/>
        <v>15.5</v>
      </c>
      <c r="L118" s="778">
        <f t="shared" si="165"/>
        <v>15.5</v>
      </c>
      <c r="M118" s="778">
        <f t="shared" si="165"/>
        <v>20.5</v>
      </c>
      <c r="N118" s="778">
        <f t="shared" si="165"/>
        <v>20.5</v>
      </c>
      <c r="O118" s="778">
        <f t="shared" si="165"/>
        <v>33.950000000000003</v>
      </c>
      <c r="P118" s="778">
        <f t="shared" si="165"/>
        <v>33.950000000000003</v>
      </c>
      <c r="Q118" s="778">
        <f t="shared" si="165"/>
        <v>33.950000000000003</v>
      </c>
      <c r="R118" s="778">
        <f t="shared" si="165"/>
        <v>33.950000000000003</v>
      </c>
      <c r="S118" s="778">
        <f t="shared" si="165"/>
        <v>46.25</v>
      </c>
      <c r="T118" s="778">
        <f t="shared" si="165"/>
        <v>46.25</v>
      </c>
      <c r="U118" s="778">
        <f t="shared" si="165"/>
        <v>46.25</v>
      </c>
      <c r="V118" s="778">
        <f t="shared" si="165"/>
        <v>56.25</v>
      </c>
      <c r="W118" s="778">
        <f t="shared" si="165"/>
        <v>56.25</v>
      </c>
      <c r="X118" s="778">
        <f t="shared" si="165"/>
        <v>56.25</v>
      </c>
      <c r="Y118" s="778">
        <f t="shared" si="165"/>
        <v>56.25</v>
      </c>
      <c r="Z118" s="778">
        <f t="shared" si="165"/>
        <v>56.25</v>
      </c>
      <c r="AA118" s="778">
        <f t="shared" si="165"/>
        <v>19.75</v>
      </c>
      <c r="AB118" s="778">
        <f t="shared" si="165"/>
        <v>19.75</v>
      </c>
      <c r="AC118" s="778">
        <f t="shared" si="165"/>
        <v>19.75</v>
      </c>
      <c r="AD118" s="778">
        <f t="shared" si="165"/>
        <v>19.75</v>
      </c>
      <c r="AE118" s="778">
        <f t="shared" si="165"/>
        <v>19.75</v>
      </c>
      <c r="AF118" s="778">
        <f t="shared" si="165"/>
        <v>24.7</v>
      </c>
      <c r="AG118" s="778">
        <f t="shared" si="165"/>
        <v>24.7</v>
      </c>
      <c r="AH118" s="778">
        <f t="shared" si="165"/>
        <v>42.25</v>
      </c>
      <c r="AI118" s="778">
        <f t="shared" si="165"/>
        <v>42.25</v>
      </c>
      <c r="AJ118" s="777">
        <f t="shared" si="165"/>
        <v>42.25</v>
      </c>
      <c r="AK118" s="778">
        <f t="shared" si="161"/>
        <v>9.5500000000000007</v>
      </c>
      <c r="AL118" s="778">
        <f t="shared" si="161"/>
        <v>9.5500000000000007</v>
      </c>
      <c r="AM118" s="925">
        <f t="shared" si="161"/>
        <v>9.5500000000000007</v>
      </c>
      <c r="AN118" s="778">
        <f t="shared" si="165"/>
        <v>9.5500000000000007</v>
      </c>
      <c r="AO118" s="778">
        <f t="shared" si="165"/>
        <v>9.5500000000000007</v>
      </c>
      <c r="AP118" s="778">
        <f t="shared" si="165"/>
        <v>99.25</v>
      </c>
      <c r="AQ118" s="778">
        <f t="shared" si="165"/>
        <v>99.25</v>
      </c>
      <c r="AR118" s="778">
        <f t="shared" si="165"/>
        <v>99.25</v>
      </c>
      <c r="AS118" s="778">
        <f t="shared" si="165"/>
        <v>99.25</v>
      </c>
      <c r="AT118" s="778">
        <f t="shared" si="165"/>
        <v>19</v>
      </c>
      <c r="AU118" s="778">
        <f t="shared" si="165"/>
        <v>19</v>
      </c>
      <c r="AV118" s="778">
        <f t="shared" si="165"/>
        <v>19</v>
      </c>
      <c r="AW118" s="778">
        <f t="shared" si="165"/>
        <v>19</v>
      </c>
      <c r="AX118" s="778">
        <f t="shared" si="165"/>
        <v>50</v>
      </c>
      <c r="AY118" s="778">
        <f t="shared" si="165"/>
        <v>52</v>
      </c>
      <c r="AZ118" s="778">
        <f t="shared" si="165"/>
        <v>42</v>
      </c>
      <c r="BA118" s="778">
        <f t="shared" si="165"/>
        <v>16.5</v>
      </c>
      <c r="BB118" s="778">
        <f t="shared" si="165"/>
        <v>16.5</v>
      </c>
      <c r="BC118" s="778">
        <f t="shared" si="165"/>
        <v>16.5</v>
      </c>
      <c r="BD118" s="778" t="e">
        <f t="shared" si="165"/>
        <v>#REF!</v>
      </c>
      <c r="BE118" s="778">
        <f t="shared" si="165"/>
        <v>34.25</v>
      </c>
      <c r="BF118" s="778">
        <f t="shared" si="165"/>
        <v>38.25</v>
      </c>
      <c r="BG118" s="778">
        <f t="shared" si="165"/>
        <v>38.25</v>
      </c>
      <c r="BH118" s="778">
        <f t="shared" si="165"/>
        <v>38.25</v>
      </c>
      <c r="BI118" s="778">
        <f t="shared" si="165"/>
        <v>38.25</v>
      </c>
      <c r="BJ118" s="778">
        <f t="shared" si="165"/>
        <v>4.5</v>
      </c>
      <c r="BK118" s="778">
        <f t="shared" si="165"/>
        <v>4.5</v>
      </c>
      <c r="BL118" s="778">
        <f t="shared" si="165"/>
        <v>72.25</v>
      </c>
      <c r="BM118" s="778">
        <f t="shared" si="165"/>
        <v>69.25</v>
      </c>
      <c r="BN118" s="778">
        <f t="shared" si="165"/>
        <v>71.25</v>
      </c>
      <c r="BO118" s="778">
        <f t="shared" si="165"/>
        <v>71.25</v>
      </c>
      <c r="BP118" s="778">
        <f t="shared" si="165"/>
        <v>38.25</v>
      </c>
      <c r="BQ118" s="778">
        <f t="shared" si="165"/>
        <v>38.25</v>
      </c>
      <c r="BR118" s="778">
        <f t="shared" si="165"/>
        <v>38.25</v>
      </c>
      <c r="BS118" s="778">
        <f t="shared" ref="BS118:CU118" si="166">$B$5*BS7+$B$16*BS18+$B$22*BS24+$B$25*BS27+$B$28*BS30+$B$31*BS33+$B$34*BS36+$B$42*BS44</f>
        <v>22.75</v>
      </c>
      <c r="BT118" s="778">
        <f t="shared" si="166"/>
        <v>39.25</v>
      </c>
      <c r="BU118" s="778">
        <f t="shared" si="166"/>
        <v>39.25</v>
      </c>
      <c r="BV118" s="778">
        <f t="shared" si="166"/>
        <v>61.25</v>
      </c>
      <c r="BW118" s="778">
        <f t="shared" si="166"/>
        <v>39.25</v>
      </c>
      <c r="BX118" s="778">
        <f t="shared" si="166"/>
        <v>38.25</v>
      </c>
      <c r="BY118" s="778">
        <f t="shared" si="166"/>
        <v>49.25</v>
      </c>
      <c r="BZ118" s="778">
        <f t="shared" si="166"/>
        <v>49.25</v>
      </c>
      <c r="CA118" s="778">
        <f t="shared" si="166"/>
        <v>50.25</v>
      </c>
      <c r="CB118" s="778">
        <f t="shared" si="166"/>
        <v>80.25</v>
      </c>
      <c r="CC118" s="778">
        <f t="shared" si="166"/>
        <v>43.25</v>
      </c>
      <c r="CD118" s="778">
        <f t="shared" si="166"/>
        <v>43.25</v>
      </c>
      <c r="CE118" s="778">
        <f t="shared" si="166"/>
        <v>14.25</v>
      </c>
      <c r="CF118" s="778">
        <f t="shared" si="166"/>
        <v>14.25</v>
      </c>
      <c r="CG118" s="778">
        <f t="shared" si="166"/>
        <v>80.25</v>
      </c>
      <c r="CH118" s="778">
        <f t="shared" si="166"/>
        <v>80.25</v>
      </c>
      <c r="CI118" s="778">
        <f t="shared" si="166"/>
        <v>80.25</v>
      </c>
      <c r="CJ118" s="778">
        <f t="shared" si="166"/>
        <v>37</v>
      </c>
      <c r="CK118" s="778">
        <f t="shared" si="166"/>
        <v>42</v>
      </c>
      <c r="CL118" s="778">
        <f t="shared" si="166"/>
        <v>45</v>
      </c>
      <c r="CM118" s="778">
        <f t="shared" si="166"/>
        <v>45</v>
      </c>
      <c r="CN118" s="778">
        <f t="shared" si="166"/>
        <v>41</v>
      </c>
      <c r="CO118" s="778">
        <f t="shared" si="166"/>
        <v>47</v>
      </c>
      <c r="CP118" s="778">
        <f t="shared" si="166"/>
        <v>4</v>
      </c>
      <c r="CQ118" s="778">
        <f t="shared" si="166"/>
        <v>4</v>
      </c>
      <c r="CR118" s="778">
        <f t="shared" si="166"/>
        <v>8</v>
      </c>
      <c r="CS118" s="778">
        <f t="shared" si="166"/>
        <v>8</v>
      </c>
      <c r="CT118" s="778">
        <f t="shared" si="166"/>
        <v>0</v>
      </c>
      <c r="CU118" s="778">
        <f t="shared" si="166"/>
        <v>0</v>
      </c>
      <c r="CV118" s="473"/>
    </row>
  </sheetData>
  <customSheetViews>
    <customSheetView guid="{B91A3F61-3B23-46E3-9B55-19B17EB6638A}" scale="70" state="hidden">
      <pane xSplit="3" ySplit="3" topLeftCell="K4" activePane="bottomRight" state="frozen"/>
      <selection pane="bottomRight" activeCell="D2" sqref="D2"/>
      <pageMargins left="0.7" right="0.7" top="0.75" bottom="0.75" header="0.3" footer="0.3"/>
      <pageSetup paperSize="9" orientation="portrait" r:id="rId1"/>
    </customSheetView>
    <customSheetView guid="{F5CB9414-DBF4-48FF-9213-FFE745451535}" scale="70" state="hidden">
      <pane xSplit="3" ySplit="3" topLeftCell="K4" activePane="bottomRight" state="frozen"/>
      <selection pane="bottomRight" activeCell="D2" sqref="D2"/>
      <pageMargins left="0.7" right="0.7" top="0.75" bottom="0.75" header="0.3" footer="0.3"/>
      <pageSetup paperSize="9" orientation="portrait" r:id="rId2"/>
    </customSheetView>
    <customSheetView guid="{A1A876F1-3EAA-4E5F-BD51-8B131AB8854B}" scale="70" state="hidden">
      <pane xSplit="3" ySplit="3" topLeftCell="K4" activePane="bottomRight" state="frozen"/>
      <selection pane="bottomRight" activeCell="D2" sqref="D2"/>
      <pageMargins left="0.7" right="0.7" top="0.75" bottom="0.75" header="0.3" footer="0.3"/>
      <pageSetup paperSize="9" orientation="portrait" r:id="rId3"/>
    </customSheetView>
    <customSheetView guid="{18A094BB-EA3E-4938-9069-21F549B37E23}" scale="70" state="hidden">
      <pane xSplit="3" ySplit="3" topLeftCell="K4" activePane="bottomRight" state="frozen"/>
      <selection pane="bottomRight" activeCell="D2" sqref="D2"/>
      <pageMargins left="0.7" right="0.7" top="0.75" bottom="0.75" header="0.3" footer="0.3"/>
      <pageSetup paperSize="9" orientation="portrait" r:id="rId4"/>
    </customSheetView>
  </customSheetViews>
  <mergeCells count="99">
    <mergeCell ref="A116:A118"/>
    <mergeCell ref="B116:B118"/>
    <mergeCell ref="CG1:CI1"/>
    <mergeCell ref="B69:B71"/>
    <mergeCell ref="B72:B74"/>
    <mergeCell ref="B8:B10"/>
    <mergeCell ref="BY1:CA1"/>
    <mergeCell ref="CC1:CD1"/>
    <mergeCell ref="CE1:CF1"/>
    <mergeCell ref="BN1:BO1"/>
    <mergeCell ref="BP1:BR1"/>
    <mergeCell ref="BT1:BW1"/>
    <mergeCell ref="AX1:AZ1"/>
    <mergeCell ref="BA1:BD1"/>
    <mergeCell ref="BE1:BI1"/>
    <mergeCell ref="BJ1:BK1"/>
    <mergeCell ref="BL1:BM1"/>
    <mergeCell ref="B66:B68"/>
    <mergeCell ref="B63:B65"/>
    <mergeCell ref="A57:A59"/>
    <mergeCell ref="A60:A62"/>
    <mergeCell ref="AP1:AS1"/>
    <mergeCell ref="E1:L1"/>
    <mergeCell ref="M1:N1"/>
    <mergeCell ref="A28:A30"/>
    <mergeCell ref="A31:A33"/>
    <mergeCell ref="A34:A36"/>
    <mergeCell ref="AT1:AW1"/>
    <mergeCell ref="AM1:AO1"/>
    <mergeCell ref="AK1:AL1"/>
    <mergeCell ref="AH1:AJ1"/>
    <mergeCell ref="A107:A109"/>
    <mergeCell ref="B5:B7"/>
    <mergeCell ref="B12:B14"/>
    <mergeCell ref="B16:B18"/>
    <mergeCell ref="B19:B21"/>
    <mergeCell ref="B22:B24"/>
    <mergeCell ref="B25:B27"/>
    <mergeCell ref="B28:B30"/>
    <mergeCell ref="B31:B33"/>
    <mergeCell ref="B34:B36"/>
    <mergeCell ref="A51:A53"/>
    <mergeCell ref="A54:A56"/>
    <mergeCell ref="A75:A77"/>
    <mergeCell ref="A45:A47"/>
    <mergeCell ref="A25:A27"/>
    <mergeCell ref="B94:B96"/>
    <mergeCell ref="A110:A112"/>
    <mergeCell ref="A113:A115"/>
    <mergeCell ref="B38:B40"/>
    <mergeCell ref="B51:B53"/>
    <mergeCell ref="B54:B56"/>
    <mergeCell ref="B57:B59"/>
    <mergeCell ref="B42:B44"/>
    <mergeCell ref="B45:B47"/>
    <mergeCell ref="B48:B50"/>
    <mergeCell ref="A100:A102"/>
    <mergeCell ref="A103:A105"/>
    <mergeCell ref="A38:A40"/>
    <mergeCell ref="A42:A44"/>
    <mergeCell ref="B60:B62"/>
    <mergeCell ref="A97:A99"/>
    <mergeCell ref="A48:A50"/>
    <mergeCell ref="B113:B115"/>
    <mergeCell ref="B97:B99"/>
    <mergeCell ref="B100:B102"/>
    <mergeCell ref="B103:B105"/>
    <mergeCell ref="B107:B109"/>
    <mergeCell ref="B110:B112"/>
    <mergeCell ref="A94:A96"/>
    <mergeCell ref="V1:Z1"/>
    <mergeCell ref="AA1:AE1"/>
    <mergeCell ref="O1:R1"/>
    <mergeCell ref="AF1:AG1"/>
    <mergeCell ref="S1:U1"/>
    <mergeCell ref="A78:A80"/>
    <mergeCell ref="A81:A83"/>
    <mergeCell ref="A84:A86"/>
    <mergeCell ref="B78:B80"/>
    <mergeCell ref="B81:B83"/>
    <mergeCell ref="B84:B86"/>
    <mergeCell ref="B75:B77"/>
    <mergeCell ref="B88:B90"/>
    <mergeCell ref="CJ1:CO1"/>
    <mergeCell ref="CP1:CS1"/>
    <mergeCell ref="CT1:CU1"/>
    <mergeCell ref="A88:A90"/>
    <mergeCell ref="A91:A93"/>
    <mergeCell ref="B91:B93"/>
    <mergeCell ref="A69:A71"/>
    <mergeCell ref="A72:A74"/>
    <mergeCell ref="A66:A68"/>
    <mergeCell ref="A5:A7"/>
    <mergeCell ref="A12:A14"/>
    <mergeCell ref="A16:A18"/>
    <mergeCell ref="A19:A21"/>
    <mergeCell ref="A22:A24"/>
    <mergeCell ref="A8:A10"/>
    <mergeCell ref="A63:A65"/>
  </mergeCells>
  <pageMargins left="0.7" right="0.7" top="0.75" bottom="0.75" header="0.3" footer="0.3"/>
  <pageSetup paperSize="9" orientation="portrait"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0"/>
  <dimension ref="A1:AI202"/>
  <sheetViews>
    <sheetView showFormulas="1" tabSelected="1" topLeftCell="E1" zoomScale="70" zoomScaleNormal="70" workbookViewId="0">
      <pane ySplit="1" topLeftCell="A2" activePane="bottomLeft" state="frozen"/>
      <selection activeCell="B1" sqref="B1"/>
      <selection pane="bottomLeft" activeCell="H34" sqref="H34"/>
    </sheetView>
  </sheetViews>
  <sheetFormatPr defaultRowHeight="15" x14ac:dyDescent="0.25"/>
  <cols>
    <col min="1" max="1" width="30.28515625" customWidth="1"/>
    <col min="2" max="2" width="23.5703125" hidden="1" customWidth="1"/>
    <col min="3" max="3" width="10.7109375" hidden="1" customWidth="1"/>
    <col min="4" max="4" width="34.5703125" bestFit="1" customWidth="1"/>
    <col min="5" max="6" width="34.42578125" bestFit="1" customWidth="1"/>
    <col min="7" max="7" width="17" hidden="1" customWidth="1"/>
    <col min="8" max="8" width="34.42578125" bestFit="1" customWidth="1"/>
    <col min="9" max="9" width="31.28515625" bestFit="1" customWidth="1"/>
    <col min="10" max="10" width="35.7109375" bestFit="1" customWidth="1"/>
    <col min="11" max="11" width="8" bestFit="1" customWidth="1"/>
    <col min="12" max="12" width="34.42578125" bestFit="1" customWidth="1"/>
    <col min="13" max="13" width="31.28515625" bestFit="1" customWidth="1"/>
    <col min="14" max="14" width="35.7109375" bestFit="1" customWidth="1"/>
    <col min="15" max="15" width="9.28515625" customWidth="1"/>
    <col min="16" max="16" width="34.42578125" bestFit="1" customWidth="1"/>
    <col min="17" max="17" width="31.28515625" bestFit="1" customWidth="1"/>
    <col min="18" max="18" width="35.7109375" bestFit="1" customWidth="1"/>
    <col min="20" max="20" width="34.42578125" bestFit="1" customWidth="1"/>
    <col min="21" max="21" width="31.28515625" bestFit="1" customWidth="1"/>
    <col min="22" max="22" width="35.7109375" bestFit="1" customWidth="1"/>
    <col min="23" max="23" width="9.7109375" customWidth="1"/>
    <col min="24" max="24" width="34.42578125" bestFit="1" customWidth="1"/>
    <col min="25" max="25" width="31.28515625" bestFit="1" customWidth="1"/>
    <col min="26" max="26" width="35.7109375" bestFit="1" customWidth="1"/>
    <col min="27" max="27" width="8" bestFit="1" customWidth="1"/>
    <col min="28" max="28" width="34.42578125" bestFit="1" customWidth="1"/>
    <col min="29" max="29" width="31.28515625" bestFit="1" customWidth="1"/>
    <col min="30" max="30" width="35.7109375" bestFit="1" customWidth="1"/>
    <col min="31" max="31" width="8" bestFit="1" customWidth="1"/>
    <col min="32" max="32" width="34.42578125" bestFit="1" customWidth="1"/>
    <col min="33" max="33" width="31.28515625" bestFit="1" customWidth="1"/>
    <col min="34" max="34" width="35.7109375" bestFit="1" customWidth="1"/>
    <col min="35" max="35" width="7.5703125" bestFit="1" customWidth="1"/>
  </cols>
  <sheetData>
    <row r="1" spans="1:35" ht="15" customHeight="1" thickBot="1" x14ac:dyDescent="0.3">
      <c r="A1" s="465" t="s">
        <v>91</v>
      </c>
      <c r="B1" s="35"/>
      <c r="C1" s="43"/>
      <c r="D1" s="1939" t="s">
        <v>349</v>
      </c>
      <c r="E1" s="1940"/>
      <c r="F1" s="1940"/>
      <c r="G1" s="1941"/>
      <c r="H1" s="1939" t="s">
        <v>347</v>
      </c>
      <c r="I1" s="1940"/>
      <c r="J1" s="1940"/>
      <c r="K1" s="1941"/>
      <c r="L1" s="1947" t="s">
        <v>348</v>
      </c>
      <c r="M1" s="1947"/>
      <c r="N1" s="1947"/>
      <c r="O1" s="1947"/>
      <c r="P1" s="1939" t="s">
        <v>350</v>
      </c>
      <c r="Q1" s="1940"/>
      <c r="R1" s="1940"/>
      <c r="S1" s="1941"/>
      <c r="T1" s="1939" t="s">
        <v>351</v>
      </c>
      <c r="U1" s="1940"/>
      <c r="V1" s="1940"/>
      <c r="W1" s="1941"/>
      <c r="X1" s="1939" t="s">
        <v>352</v>
      </c>
      <c r="Y1" s="1940"/>
      <c r="Z1" s="1940"/>
      <c r="AA1" s="1941"/>
      <c r="AB1" s="1939" t="s">
        <v>353</v>
      </c>
      <c r="AC1" s="1940"/>
      <c r="AD1" s="1940"/>
      <c r="AE1" s="1941"/>
      <c r="AF1" s="1939" t="s">
        <v>354</v>
      </c>
      <c r="AG1" s="1940"/>
      <c r="AH1" s="1940"/>
      <c r="AI1" s="1941"/>
    </row>
    <row r="2" spans="1:35" ht="15.75" x14ac:dyDescent="0.25">
      <c r="B2" s="41" t="s">
        <v>37</v>
      </c>
      <c r="C2" s="1945" t="s">
        <v>35</v>
      </c>
      <c r="D2" s="439" t="s">
        <v>549</v>
      </c>
      <c r="E2" s="191" t="s">
        <v>1767</v>
      </c>
      <c r="F2" s="191" t="s">
        <v>1706</v>
      </c>
      <c r="G2" s="1942" t="s">
        <v>38</v>
      </c>
      <c r="H2" s="835" t="s">
        <v>549</v>
      </c>
      <c r="I2" s="717" t="s">
        <v>1767</v>
      </c>
      <c r="J2" s="717" t="s">
        <v>1706</v>
      </c>
      <c r="K2" s="1942" t="s">
        <v>38</v>
      </c>
      <c r="L2" s="835" t="s">
        <v>549</v>
      </c>
      <c r="M2" s="717" t="s">
        <v>1767</v>
      </c>
      <c r="N2" s="717" t="s">
        <v>1706</v>
      </c>
      <c r="O2" s="1942" t="s">
        <v>38</v>
      </c>
      <c r="P2" s="835" t="s">
        <v>549</v>
      </c>
      <c r="Q2" s="717" t="s">
        <v>1767</v>
      </c>
      <c r="R2" s="717" t="s">
        <v>1706</v>
      </c>
      <c r="S2" s="1942" t="s">
        <v>38</v>
      </c>
      <c r="T2" s="835" t="s">
        <v>549</v>
      </c>
      <c r="U2" s="717" t="s">
        <v>1767</v>
      </c>
      <c r="V2" s="717" t="s">
        <v>1706</v>
      </c>
      <c r="W2" s="1942" t="s">
        <v>38</v>
      </c>
      <c r="X2" s="835" t="s">
        <v>549</v>
      </c>
      <c r="Y2" s="717" t="s">
        <v>1767</v>
      </c>
      <c r="Z2" s="717" t="s">
        <v>1706</v>
      </c>
      <c r="AA2" s="1942" t="s">
        <v>38</v>
      </c>
      <c r="AB2" s="835" t="s">
        <v>549</v>
      </c>
      <c r="AC2" s="717" t="s">
        <v>1767</v>
      </c>
      <c r="AD2" s="717" t="s">
        <v>1706</v>
      </c>
      <c r="AE2" s="1942" t="s">
        <v>38</v>
      </c>
      <c r="AF2" s="835" t="s">
        <v>549</v>
      </c>
      <c r="AG2" s="717" t="s">
        <v>1767</v>
      </c>
      <c r="AH2" s="717" t="s">
        <v>1706</v>
      </c>
      <c r="AI2" s="1942" t="s">
        <v>38</v>
      </c>
    </row>
    <row r="3" spans="1:35" ht="16.5" thickBot="1" x14ac:dyDescent="0.3">
      <c r="A3" s="12" t="s">
        <v>36</v>
      </c>
      <c r="B3" s="42">
        <f>ТрЗ_ОП!F5</f>
        <v>1</v>
      </c>
      <c r="C3" s="1946"/>
      <c r="D3" s="37">
        <f>INDEX(ТрЗ_ОП!$P$11:$P$102,MATCH(D2,ТрЗ_ОП!$O$11:$O$102,0))</f>
        <v>2</v>
      </c>
      <c r="E3" s="37">
        <f>INDEX(ТрЗ_ОП!$P$11:$P$102,MATCH(E2,ТрЗ_ОП!$O$11:$O$102,0))</f>
        <v>1</v>
      </c>
      <c r="F3" s="37">
        <f>INDEX(ТрЗ_ОП!$P$11:$P$102,MATCH(F2,ТрЗ_ОП!$O$11:$O$102,0))</f>
        <v>0</v>
      </c>
      <c r="G3" s="1942"/>
      <c r="H3" s="37">
        <f>INDEX(ТрЗ_ОП!$P$11:$P$102,MATCH(H2,ТрЗ_ОП!$O$11:$O$102,0))</f>
        <v>2</v>
      </c>
      <c r="I3" s="37">
        <f>INDEX(ТрЗ_ОП!$P$11:$P$102,MATCH(I2,ТрЗ_ОП!$O$11:$O$102,0))</f>
        <v>1</v>
      </c>
      <c r="J3" s="37">
        <f>INDEX(ТрЗ_ОП!$P$11:$P$102,MATCH(J2,ТрЗ_ОП!$O$11:$O$102,0))</f>
        <v>0</v>
      </c>
      <c r="K3" s="1942"/>
      <c r="L3" s="37">
        <f>INDEX(ТрЗ_ОП!$P$11:$P$102,MATCH(L2,ТрЗ_ОП!$O$11:$O$102,0))</f>
        <v>2</v>
      </c>
      <c r="M3" s="37">
        <f>INDEX(ТрЗ_ОП!$P$11:$P$102,MATCH(M2,ТрЗ_ОП!$O$11:$O$102,0))</f>
        <v>1</v>
      </c>
      <c r="N3" s="37">
        <f>INDEX(ТрЗ_ОП!$P$11:$P$102,MATCH(N2,ТрЗ_ОП!$O$11:$O$102,0))</f>
        <v>0</v>
      </c>
      <c r="O3" s="1942"/>
      <c r="P3" s="37">
        <f>INDEX(ТрЗ_ОП!$P$11:$P$102,MATCH(P2,ТрЗ_ОП!$O$11:$O$102,0))</f>
        <v>2</v>
      </c>
      <c r="Q3" s="37">
        <f>INDEX(ТрЗ_ОП!$P$11:$P$102,MATCH(Q2,ТрЗ_ОП!$O$11:$O$102,0))</f>
        <v>1</v>
      </c>
      <c r="R3" s="37">
        <f>INDEX(ТрЗ_ОП!$P$11:$P$102,MATCH(R2,ТрЗ_ОП!$O$11:$O$102,0))</f>
        <v>0</v>
      </c>
      <c r="S3" s="1942"/>
      <c r="T3" s="37">
        <f>INDEX(ТрЗ_ОП!$P$11:$P$102,MATCH(T2,ТрЗ_ОП!$O$11:$O$102,0))</f>
        <v>2</v>
      </c>
      <c r="U3" s="37">
        <f>INDEX(ТрЗ_ОП!$P$11:$P$102,MATCH(U2,ТрЗ_ОП!$O$11:$O$102,0))</f>
        <v>1</v>
      </c>
      <c r="V3" s="37">
        <f>INDEX(ТрЗ_ОП!$P$11:$P$102,MATCH(V2,ТрЗ_ОП!$O$11:$O$102,0))</f>
        <v>0</v>
      </c>
      <c r="W3" s="1942"/>
      <c r="X3" s="37">
        <f>INDEX(ТрЗ_ОП!$P$11:$P$102,MATCH(X2,ТрЗ_ОП!$O$11:$O$102,0))</f>
        <v>2</v>
      </c>
      <c r="Y3" s="37">
        <f>INDEX(ТрЗ_ОП!$P$11:$P$102,MATCH(Y2,ТрЗ_ОП!$O$11:$O$102,0))</f>
        <v>1</v>
      </c>
      <c r="Z3" s="37">
        <f>INDEX(ТрЗ_ОП!$P$11:$P$102,MATCH(Z2,ТрЗ_ОП!$O$11:$O$102,0))</f>
        <v>0</v>
      </c>
      <c r="AA3" s="1942"/>
      <c r="AB3" s="37">
        <f>INDEX(ТрЗ_ОП!$P$11:$P$102,MATCH(AB2,ТрЗ_ОП!$O$11:$O$102,0))</f>
        <v>2</v>
      </c>
      <c r="AC3" s="37">
        <f>INDEX(ТрЗ_ОП!$P$11:$P$102,MATCH(AC2,ТрЗ_ОП!$O$11:$O$102,0))</f>
        <v>1</v>
      </c>
      <c r="AD3" s="37">
        <f>INDEX(ТрЗ_ОП!$P$11:$P$102,MATCH(AD2,ТрЗ_ОП!$O$11:$O$102,0))</f>
        <v>0</v>
      </c>
      <c r="AE3" s="1942"/>
      <c r="AF3" s="37">
        <f>INDEX(ТрЗ_ОП!$P$11:$P$102,MATCH(AF2,ТрЗ_ОП!$O$11:$O$102,0))</f>
        <v>2</v>
      </c>
      <c r="AG3" s="37">
        <f>INDEX(ТрЗ_ОП!$P$11:$P$102,MATCH(AG2,ТрЗ_ОП!$O$11:$O$102,0))</f>
        <v>1</v>
      </c>
      <c r="AH3" s="37">
        <f>INDEX(ТрЗ_ОП!$P$11:$P$102,MATCH(AH2,ТрЗ_ОП!$O$11:$O$102,0))</f>
        <v>0</v>
      </c>
      <c r="AI3" s="1942"/>
    </row>
    <row r="4" spans="1:35" ht="16.5" thickBot="1" x14ac:dyDescent="0.3">
      <c r="A4" s="326" t="s">
        <v>448</v>
      </c>
      <c r="B4" s="327"/>
      <c r="C4" s="329"/>
      <c r="D4" s="329"/>
      <c r="E4" s="329"/>
      <c r="F4" s="327"/>
      <c r="G4" s="327"/>
      <c r="H4" s="329"/>
      <c r="I4" s="329"/>
      <c r="J4" s="327"/>
      <c r="K4" s="327"/>
      <c r="L4" s="329"/>
      <c r="M4" s="329"/>
      <c r="N4" s="327"/>
      <c r="O4" s="327"/>
      <c r="P4" s="329"/>
      <c r="Q4" s="329"/>
      <c r="R4" s="327"/>
      <c r="S4" s="327"/>
      <c r="T4" s="329"/>
      <c r="U4" s="329"/>
      <c r="V4" s="327"/>
      <c r="W4" s="327"/>
      <c r="X4" s="329"/>
      <c r="Y4" s="329"/>
      <c r="Z4" s="327"/>
      <c r="AA4" s="327"/>
      <c r="AB4" s="329"/>
      <c r="AC4" s="329"/>
      <c r="AD4" s="327"/>
      <c r="AE4" s="327"/>
      <c r="AF4" s="329"/>
      <c r="AG4" s="329"/>
      <c r="AH4" s="327"/>
      <c r="AI4" s="396"/>
    </row>
    <row r="5" spans="1:35" x14ac:dyDescent="0.25">
      <c r="A5" s="1932" t="s">
        <v>0</v>
      </c>
      <c r="B5" s="1718" t="s">
        <v>32</v>
      </c>
      <c r="C5" s="324"/>
      <c r="D5" s="1697">
        <v>0.5</v>
      </c>
      <c r="E5" s="1697">
        <v>0.5</v>
      </c>
      <c r="F5" s="1697">
        <v>1.75</v>
      </c>
      <c r="G5" s="1698">
        <f t="shared" ref="G5:G10" si="0" xml:space="preserve"> SUM(D5:F5) + $C5</f>
        <v>2.75</v>
      </c>
      <c r="H5" s="1697">
        <v>0.5</v>
      </c>
      <c r="I5" s="1697">
        <v>0.5</v>
      </c>
      <c r="J5" s="1697">
        <v>1.75</v>
      </c>
      <c r="K5" s="1698">
        <f xml:space="preserve"> SUM(H5:J5) + $C5</f>
        <v>2.75</v>
      </c>
      <c r="L5" s="1697">
        <v>0.5</v>
      </c>
      <c r="M5" s="1697">
        <v>0.5</v>
      </c>
      <c r="N5" s="1697">
        <v>1.75</v>
      </c>
      <c r="O5" s="1698">
        <f t="shared" ref="O5:O10" si="1" xml:space="preserve"> SUM(L5:N5) + $C5</f>
        <v>2.75</v>
      </c>
      <c r="P5" s="1697">
        <v>0.5</v>
      </c>
      <c r="Q5" s="1697">
        <v>0.5</v>
      </c>
      <c r="R5" s="1697">
        <v>1.75</v>
      </c>
      <c r="S5" s="1698">
        <f t="shared" ref="S5:S10" si="2" xml:space="preserve"> SUM(P5:R5) + $C5</f>
        <v>2.75</v>
      </c>
      <c r="T5" s="1697">
        <v>0.5</v>
      </c>
      <c r="U5" s="1697">
        <v>0.5</v>
      </c>
      <c r="V5" s="1697">
        <v>1.75</v>
      </c>
      <c r="W5" s="1698">
        <f t="shared" ref="W5:W10" si="3" xml:space="preserve"> SUM(T5:V5) + $C5</f>
        <v>2.75</v>
      </c>
      <c r="X5" s="1697">
        <v>0.5</v>
      </c>
      <c r="Y5" s="1697">
        <v>0.5</v>
      </c>
      <c r="Z5" s="1697">
        <v>1.75</v>
      </c>
      <c r="AA5" s="1698">
        <f t="shared" ref="AA5:AA10" si="4" xml:space="preserve"> SUM(X5:Z5) + $C5</f>
        <v>2.75</v>
      </c>
      <c r="AB5" s="1697">
        <v>0.5</v>
      </c>
      <c r="AC5" s="1697">
        <v>0.5</v>
      </c>
      <c r="AD5" s="1697">
        <v>1.75</v>
      </c>
      <c r="AE5" s="1698">
        <f t="shared" ref="AE5:AE10" si="5" xml:space="preserve"> SUM(AB5:AD5) + $C5</f>
        <v>2.75</v>
      </c>
      <c r="AF5" s="1697">
        <v>0.5</v>
      </c>
      <c r="AG5" s="1697">
        <v>0.5</v>
      </c>
      <c r="AH5" s="1697">
        <v>1.75</v>
      </c>
      <c r="AI5" s="1698">
        <f t="shared" ref="AI5:AI10" si="6" xml:space="preserve"> SUM(AF5:AH5) + $C5</f>
        <v>2.75</v>
      </c>
    </row>
    <row r="6" spans="1:35" x14ac:dyDescent="0.25">
      <c r="A6" s="1932"/>
      <c r="B6" s="19" t="s">
        <v>33</v>
      </c>
      <c r="C6" s="22"/>
      <c r="D6" s="813">
        <v>0.5</v>
      </c>
      <c r="E6" s="813">
        <v>0.25</v>
      </c>
      <c r="F6" s="630">
        <f>IF(F$3=1,D6+E6+2,0)</f>
        <v>0</v>
      </c>
      <c r="G6" s="21">
        <f t="shared" si="0"/>
        <v>0.75</v>
      </c>
      <c r="H6" s="813">
        <v>0.5</v>
      </c>
      <c r="I6" s="813">
        <v>0.25</v>
      </c>
      <c r="J6" s="630">
        <f>IF(J$3=1,H6+I6+2,0)</f>
        <v>0</v>
      </c>
      <c r="K6" s="21">
        <f xml:space="preserve"> SUM(H6:J6) + $C6</f>
        <v>0.75</v>
      </c>
      <c r="L6" s="813">
        <v>0.5</v>
      </c>
      <c r="M6" s="813">
        <v>0.25</v>
      </c>
      <c r="N6" s="630">
        <f>IF(N$3=1,L6+M6+2,0)</f>
        <v>0</v>
      </c>
      <c r="O6" s="21">
        <f t="shared" si="1"/>
        <v>0.75</v>
      </c>
      <c r="P6" s="813">
        <v>0.5</v>
      </c>
      <c r="Q6" s="813">
        <v>0.25</v>
      </c>
      <c r="R6" s="630">
        <f>IF(R$3=1,P6+Q6+2,0)</f>
        <v>0</v>
      </c>
      <c r="S6" s="21">
        <f t="shared" si="2"/>
        <v>0.75</v>
      </c>
      <c r="T6" s="813">
        <v>0.5</v>
      </c>
      <c r="U6" s="813">
        <v>0.25</v>
      </c>
      <c r="V6" s="630">
        <f>IF(V$3=1,T6+U6+2,0)</f>
        <v>0</v>
      </c>
      <c r="W6" s="21">
        <f t="shared" si="3"/>
        <v>0.75</v>
      </c>
      <c r="X6" s="813">
        <v>0.5</v>
      </c>
      <c r="Y6" s="813">
        <v>0.25</v>
      </c>
      <c r="Z6" s="630">
        <f>IF(Z$3=1,X6+Y6+2,0)</f>
        <v>0</v>
      </c>
      <c r="AA6" s="21">
        <f t="shared" si="4"/>
        <v>0.75</v>
      </c>
      <c r="AB6" s="813">
        <v>0.5</v>
      </c>
      <c r="AC6" s="813">
        <v>0.25</v>
      </c>
      <c r="AD6" s="630">
        <f>IF(AD$3=1,AB6+AC6+2,0)</f>
        <v>0</v>
      </c>
      <c r="AE6" s="21">
        <f t="shared" si="5"/>
        <v>0.75</v>
      </c>
      <c r="AF6" s="813">
        <v>0.5</v>
      </c>
      <c r="AG6" s="813">
        <v>0.25</v>
      </c>
      <c r="AH6" s="630">
        <f>IF(AH$3=1,AF6+AG6+2,0)</f>
        <v>0</v>
      </c>
      <c r="AI6" s="21">
        <f t="shared" si="6"/>
        <v>0.75</v>
      </c>
    </row>
    <row r="7" spans="1:35" x14ac:dyDescent="0.25">
      <c r="A7" s="1932"/>
      <c r="B7" s="13" t="s">
        <v>34</v>
      </c>
      <c r="C7" s="22"/>
      <c r="D7" s="813">
        <v>1</v>
      </c>
      <c r="E7" s="813">
        <v>0.5</v>
      </c>
      <c r="F7" s="630">
        <f>IF(F$3=1,D7+E7+4,0)</f>
        <v>0</v>
      </c>
      <c r="G7" s="21">
        <f t="shared" si="0"/>
        <v>1.5</v>
      </c>
      <c r="H7" s="813">
        <v>1</v>
      </c>
      <c r="I7" s="813">
        <v>0.5</v>
      </c>
      <c r="J7" s="630">
        <f>IF(J$3=1,H7+I7+4,0)</f>
        <v>0</v>
      </c>
      <c r="K7" s="21">
        <f xml:space="preserve"> SUM(H7:J7) + $C7</f>
        <v>1.5</v>
      </c>
      <c r="L7" s="813">
        <v>1</v>
      </c>
      <c r="M7" s="813">
        <v>0.5</v>
      </c>
      <c r="N7" s="630">
        <f>IF(N$3=1,L7+M7+4,0)</f>
        <v>0</v>
      </c>
      <c r="O7" s="21">
        <f t="shared" si="1"/>
        <v>1.5</v>
      </c>
      <c r="P7" s="813">
        <v>1</v>
      </c>
      <c r="Q7" s="813">
        <v>0.5</v>
      </c>
      <c r="R7" s="630">
        <f>IF(R$3=1,P7+Q7+4,0)</f>
        <v>0</v>
      </c>
      <c r="S7" s="21">
        <f t="shared" si="2"/>
        <v>1.5</v>
      </c>
      <c r="T7" s="813">
        <v>1</v>
      </c>
      <c r="U7" s="813">
        <v>0.5</v>
      </c>
      <c r="V7" s="630">
        <f>IF(V$3=1,T7+U7+4,0)</f>
        <v>0</v>
      </c>
      <c r="W7" s="21">
        <f t="shared" si="3"/>
        <v>1.5</v>
      </c>
      <c r="X7" s="813">
        <v>1</v>
      </c>
      <c r="Y7" s="813">
        <v>0.5</v>
      </c>
      <c r="Z7" s="630">
        <f>IF(Z$3=1,X7+Y7+4,0)</f>
        <v>0</v>
      </c>
      <c r="AA7" s="21">
        <f t="shared" si="4"/>
        <v>1.5</v>
      </c>
      <c r="AB7" s="813">
        <v>1</v>
      </c>
      <c r="AC7" s="813">
        <v>0.5</v>
      </c>
      <c r="AD7" s="630">
        <f>IF(AD$3=1,AB7+AC7+4,0)</f>
        <v>0</v>
      </c>
      <c r="AE7" s="21">
        <f t="shared" si="5"/>
        <v>1.5</v>
      </c>
      <c r="AF7" s="813">
        <v>1</v>
      </c>
      <c r="AG7" s="813">
        <v>0.5</v>
      </c>
      <c r="AH7" s="630">
        <f>IF(AH$3=1,AF7+AG7+4,0)</f>
        <v>0</v>
      </c>
      <c r="AI7" s="21">
        <f t="shared" si="6"/>
        <v>1.5</v>
      </c>
    </row>
    <row r="8" spans="1:35" x14ac:dyDescent="0.25">
      <c r="A8" s="1938" t="s">
        <v>449</v>
      </c>
      <c r="B8" s="1719" t="s">
        <v>32</v>
      </c>
      <c r="C8" s="22"/>
      <c r="D8" s="1697">
        <v>0.5</v>
      </c>
      <c r="E8" s="1697">
        <v>0.5</v>
      </c>
      <c r="F8" s="1697">
        <v>1.75</v>
      </c>
      <c r="G8" s="1699">
        <f t="shared" si="0"/>
        <v>2.75</v>
      </c>
      <c r="H8" s="1697">
        <v>0.5</v>
      </c>
      <c r="I8" s="1697">
        <v>0.5</v>
      </c>
      <c r="J8" s="1697">
        <v>1.75</v>
      </c>
      <c r="K8" s="1699">
        <f xml:space="preserve"> SUM(H8:J8) + $C8</f>
        <v>2.75</v>
      </c>
      <c r="L8" s="1697">
        <v>0.5</v>
      </c>
      <c r="M8" s="1697">
        <v>0.5</v>
      </c>
      <c r="N8" s="1697">
        <v>1.75</v>
      </c>
      <c r="O8" s="1699">
        <f t="shared" si="1"/>
        <v>2.75</v>
      </c>
      <c r="P8" s="1697">
        <v>0.5</v>
      </c>
      <c r="Q8" s="1697">
        <v>0.5</v>
      </c>
      <c r="R8" s="1697">
        <v>1.75</v>
      </c>
      <c r="S8" s="1699">
        <f t="shared" si="2"/>
        <v>2.75</v>
      </c>
      <c r="T8" s="1697">
        <v>0.5</v>
      </c>
      <c r="U8" s="1697">
        <v>0.5</v>
      </c>
      <c r="V8" s="1697">
        <v>1.75</v>
      </c>
      <c r="W8" s="1699">
        <f t="shared" si="3"/>
        <v>2.75</v>
      </c>
      <c r="X8" s="1697">
        <v>0.5</v>
      </c>
      <c r="Y8" s="1697">
        <v>0.5</v>
      </c>
      <c r="Z8" s="1697">
        <v>1.75</v>
      </c>
      <c r="AA8" s="1699">
        <f t="shared" si="4"/>
        <v>2.75</v>
      </c>
      <c r="AB8" s="1697">
        <v>0.5</v>
      </c>
      <c r="AC8" s="1697">
        <v>0.5</v>
      </c>
      <c r="AD8" s="1697">
        <v>1.75</v>
      </c>
      <c r="AE8" s="1699">
        <f t="shared" si="5"/>
        <v>2.75</v>
      </c>
      <c r="AF8" s="1697">
        <v>0.5</v>
      </c>
      <c r="AG8" s="1697">
        <v>0.5</v>
      </c>
      <c r="AH8" s="1697">
        <v>1.75</v>
      </c>
      <c r="AI8" s="1699">
        <f t="shared" si="6"/>
        <v>2.75</v>
      </c>
    </row>
    <row r="9" spans="1:35" x14ac:dyDescent="0.25">
      <c r="A9" s="1943"/>
      <c r="B9" s="19" t="s">
        <v>33</v>
      </c>
      <c r="C9" s="22"/>
      <c r="D9" s="813">
        <v>0.5</v>
      </c>
      <c r="E9" s="813">
        <v>0.25</v>
      </c>
      <c r="F9" s="630">
        <f>IF(F$3=1,D9+E9+2,0)</f>
        <v>0</v>
      </c>
      <c r="G9" s="21">
        <f t="shared" si="0"/>
        <v>0.75</v>
      </c>
      <c r="H9" s="813">
        <v>0.5</v>
      </c>
      <c r="I9" s="813">
        <v>0.25</v>
      </c>
      <c r="J9" s="630">
        <f>IF(J$3=1,H9+I9+2,0)</f>
        <v>0</v>
      </c>
      <c r="K9" s="21">
        <f t="shared" ref="K9:K93" si="7" xml:space="preserve"> SUM(H9:J9) + $C9</f>
        <v>0.75</v>
      </c>
      <c r="L9" s="813">
        <v>0.5</v>
      </c>
      <c r="M9" s="813">
        <v>0.25</v>
      </c>
      <c r="N9" s="630">
        <f>IF(N$3=1,L9+M9+2,0)</f>
        <v>0</v>
      </c>
      <c r="O9" s="21">
        <f t="shared" si="1"/>
        <v>0.75</v>
      </c>
      <c r="P9" s="813">
        <v>0.5</v>
      </c>
      <c r="Q9" s="813">
        <v>0.25</v>
      </c>
      <c r="R9" s="630">
        <f>IF(R$3=1,P9+Q9+2,0)</f>
        <v>0</v>
      </c>
      <c r="S9" s="21">
        <f t="shared" si="2"/>
        <v>0.75</v>
      </c>
      <c r="T9" s="813">
        <v>0.5</v>
      </c>
      <c r="U9" s="813">
        <v>0.25</v>
      </c>
      <c r="V9" s="630">
        <f>IF(V$3=1,T9+U9+2,0)</f>
        <v>0</v>
      </c>
      <c r="W9" s="21">
        <f t="shared" si="3"/>
        <v>0.75</v>
      </c>
      <c r="X9" s="813">
        <v>0.5</v>
      </c>
      <c r="Y9" s="813">
        <v>0.25</v>
      </c>
      <c r="Z9" s="630">
        <f>IF(Z$3=1,X9+Y9+2,0)</f>
        <v>0</v>
      </c>
      <c r="AA9" s="21">
        <f t="shared" si="4"/>
        <v>0.75</v>
      </c>
      <c r="AB9" s="813">
        <v>0.5</v>
      </c>
      <c r="AC9" s="813">
        <v>0.25</v>
      </c>
      <c r="AD9" s="630">
        <f>IF(AD$3=1,AB9+AC9+2,0)</f>
        <v>0</v>
      </c>
      <c r="AE9" s="21">
        <f t="shared" si="5"/>
        <v>0.75</v>
      </c>
      <c r="AF9" s="813">
        <v>0.5</v>
      </c>
      <c r="AG9" s="813">
        <v>0.25</v>
      </c>
      <c r="AH9" s="630">
        <f>IF(AH$3=1,AF9+AG9+2,0)</f>
        <v>0</v>
      </c>
      <c r="AI9" s="21">
        <f t="shared" si="6"/>
        <v>0.75</v>
      </c>
    </row>
    <row r="10" spans="1:35" ht="15.75" thickBot="1" x14ac:dyDescent="0.3">
      <c r="A10" s="1943"/>
      <c r="B10" s="13" t="s">
        <v>34</v>
      </c>
      <c r="C10" s="34"/>
      <c r="D10" s="813">
        <v>1</v>
      </c>
      <c r="E10" s="813">
        <v>0.5</v>
      </c>
      <c r="F10" s="630">
        <f>IF(F$3=1,D10+E10+4,0)</f>
        <v>0</v>
      </c>
      <c r="G10" s="77">
        <f t="shared" si="0"/>
        <v>1.5</v>
      </c>
      <c r="H10" s="813">
        <v>1</v>
      </c>
      <c r="I10" s="813">
        <v>0.5</v>
      </c>
      <c r="J10" s="630">
        <f>IF(J$3=1,H10+I10+4,0)</f>
        <v>0</v>
      </c>
      <c r="K10" s="77">
        <f t="shared" si="7"/>
        <v>1.5</v>
      </c>
      <c r="L10" s="813">
        <v>1</v>
      </c>
      <c r="M10" s="813">
        <v>0.5</v>
      </c>
      <c r="N10" s="630">
        <f>IF(N$3=1,L10+M10+4,0)</f>
        <v>0</v>
      </c>
      <c r="O10" s="77">
        <f t="shared" si="1"/>
        <v>1.5</v>
      </c>
      <c r="P10" s="813">
        <v>1</v>
      </c>
      <c r="Q10" s="813">
        <v>0.5</v>
      </c>
      <c r="R10" s="630">
        <f>IF(R$3=1,P10+Q10+4,0)</f>
        <v>0</v>
      </c>
      <c r="S10" s="77">
        <f t="shared" si="2"/>
        <v>1.5</v>
      </c>
      <c r="T10" s="813">
        <v>1</v>
      </c>
      <c r="U10" s="813">
        <v>0.5</v>
      </c>
      <c r="V10" s="630">
        <f>IF(V$3=1,T10+U10+4,0)</f>
        <v>0</v>
      </c>
      <c r="W10" s="77">
        <f t="shared" si="3"/>
        <v>1.5</v>
      </c>
      <c r="X10" s="813">
        <v>1</v>
      </c>
      <c r="Y10" s="813">
        <v>0.5</v>
      </c>
      <c r="Z10" s="630">
        <f>IF(Z$3=1,X10+Y10+4,0)</f>
        <v>0</v>
      </c>
      <c r="AA10" s="77">
        <f t="shared" si="4"/>
        <v>1.5</v>
      </c>
      <c r="AB10" s="813">
        <v>1</v>
      </c>
      <c r="AC10" s="813">
        <v>0.5</v>
      </c>
      <c r="AD10" s="630">
        <f>IF(AD$3=1,AB10+AC10+4,0)</f>
        <v>0</v>
      </c>
      <c r="AE10" s="77">
        <f t="shared" si="5"/>
        <v>1.5</v>
      </c>
      <c r="AF10" s="813">
        <v>1</v>
      </c>
      <c r="AG10" s="813">
        <v>0.5</v>
      </c>
      <c r="AH10" s="630">
        <f>IF(AH$3=1,AF10+AG10+4,0)</f>
        <v>0</v>
      </c>
      <c r="AI10" s="77">
        <f t="shared" si="6"/>
        <v>1.5</v>
      </c>
    </row>
    <row r="11" spans="1:35" ht="16.5" thickBot="1" x14ac:dyDescent="0.3">
      <c r="A11" s="326" t="s">
        <v>1</v>
      </c>
      <c r="B11" s="327"/>
      <c r="C11" s="329"/>
      <c r="D11" s="329"/>
      <c r="E11" s="329"/>
      <c r="F11" s="327"/>
      <c r="G11" s="327"/>
      <c r="H11" s="329"/>
      <c r="I11" s="329"/>
      <c r="J11" s="327"/>
      <c r="K11" s="327"/>
      <c r="L11" s="329"/>
      <c r="M11" s="329"/>
      <c r="N11" s="327"/>
      <c r="O11" s="327"/>
      <c r="P11" s="329"/>
      <c r="Q11" s="329"/>
      <c r="R11" s="327"/>
      <c r="S11" s="327"/>
      <c r="T11" s="329"/>
      <c r="U11" s="329"/>
      <c r="V11" s="327"/>
      <c r="W11" s="327"/>
      <c r="X11" s="329"/>
      <c r="Y11" s="329"/>
      <c r="Z11" s="327"/>
      <c r="AA11" s="327"/>
      <c r="AB11" s="329"/>
      <c r="AC11" s="329"/>
      <c r="AD11" s="327"/>
      <c r="AE11" s="327"/>
      <c r="AF11" s="329"/>
      <c r="AG11" s="329"/>
      <c r="AH11" s="327"/>
      <c r="AI11" s="396"/>
    </row>
    <row r="12" spans="1:35" ht="14.45" customHeight="1" x14ac:dyDescent="0.25">
      <c r="A12" s="1938" t="s">
        <v>2</v>
      </c>
      <c r="B12" s="1718" t="s">
        <v>32</v>
      </c>
      <c r="C12" s="324"/>
      <c r="D12" s="1700">
        <f>1+D31+D34</f>
        <v>4.5</v>
      </c>
      <c r="E12" s="1701">
        <f>IF($E$3&gt;1,2,1)</f>
        <v>1</v>
      </c>
      <c r="F12" s="1702">
        <f>0.5*$F$3</f>
        <v>0</v>
      </c>
      <c r="G12" s="1698">
        <f xml:space="preserve"> SUM(D12:F12) + $C12</f>
        <v>5.5</v>
      </c>
      <c r="H12" s="1700">
        <f>1+H31+H34</f>
        <v>4.5</v>
      </c>
      <c r="I12" s="1701">
        <f>IF($E$3&gt;1,2,1)</f>
        <v>1</v>
      </c>
      <c r="J12" s="1702">
        <f>0.5*$F$3</f>
        <v>0</v>
      </c>
      <c r="K12" s="1698">
        <f t="shared" si="7"/>
        <v>5.5</v>
      </c>
      <c r="L12" s="1700">
        <f>1+L31+L34</f>
        <v>4.5</v>
      </c>
      <c r="M12" s="1701">
        <f>IF($E$3&gt;1,2,1)</f>
        <v>1</v>
      </c>
      <c r="N12" s="1702">
        <f>0.5*$F$3</f>
        <v>0</v>
      </c>
      <c r="O12" s="1698">
        <f xml:space="preserve"> SUM(L12:N12) + $C12</f>
        <v>5.5</v>
      </c>
      <c r="P12" s="1700">
        <f>1+P31+P34</f>
        <v>4.5</v>
      </c>
      <c r="Q12" s="1701">
        <f>IF($E$3&gt;1,2,1)</f>
        <v>1</v>
      </c>
      <c r="R12" s="1702">
        <f>0.5*$F$3</f>
        <v>0</v>
      </c>
      <c r="S12" s="1698">
        <f xml:space="preserve"> SUM(P12:R12) + $C12</f>
        <v>5.5</v>
      </c>
      <c r="T12" s="1700">
        <f>1+T31+T34</f>
        <v>4.5</v>
      </c>
      <c r="U12" s="1701">
        <f>IF($E$3&gt;1,2,1)</f>
        <v>1</v>
      </c>
      <c r="V12" s="1702">
        <f>0.5*$F$3</f>
        <v>0</v>
      </c>
      <c r="W12" s="1698">
        <f xml:space="preserve"> SUM(T12:V12) + $C12</f>
        <v>5.5</v>
      </c>
      <c r="X12" s="1700">
        <f>1+X31+X34</f>
        <v>4.5</v>
      </c>
      <c r="Y12" s="1701">
        <f>IF($E$3&gt;1,2,1)</f>
        <v>1</v>
      </c>
      <c r="Z12" s="1702">
        <f>0.5*$F$3</f>
        <v>0</v>
      </c>
      <c r="AA12" s="1698">
        <f xml:space="preserve"> SUM(X12:Z12) + $C12</f>
        <v>5.5</v>
      </c>
      <c r="AB12" s="1700">
        <f>1+AB31+AB34</f>
        <v>4.5</v>
      </c>
      <c r="AC12" s="1701">
        <f>IF($E$3&gt;1,2,1)</f>
        <v>1</v>
      </c>
      <c r="AD12" s="1702">
        <f>0.5*$F$3</f>
        <v>0</v>
      </c>
      <c r="AE12" s="1698">
        <f xml:space="preserve"> SUM(AB12:AD12) + $C12</f>
        <v>5.5</v>
      </c>
      <c r="AF12" s="1700">
        <f>1+AF31+AF34</f>
        <v>4.5</v>
      </c>
      <c r="AG12" s="1701">
        <f>IF($E$3&gt;1,2,1)</f>
        <v>1</v>
      </c>
      <c r="AH12" s="1702">
        <f>0.5*$F$3</f>
        <v>0</v>
      </c>
      <c r="AI12" s="1698">
        <f xml:space="preserve"> SUM(AF12:AH12) + $C12</f>
        <v>5.5</v>
      </c>
    </row>
    <row r="13" spans="1:35" ht="14.45" customHeight="1" x14ac:dyDescent="0.25">
      <c r="A13" s="1943"/>
      <c r="B13" s="19" t="s">
        <v>33</v>
      </c>
      <c r="C13" s="22"/>
      <c r="D13" s="485">
        <v>1</v>
      </c>
      <c r="E13" s="478">
        <f>IF(E$3&gt;1,0.5*E$3,1)</f>
        <v>1</v>
      </c>
      <c r="F13" s="630">
        <f>IF(F$3=1,D13+E13+10,0)</f>
        <v>0</v>
      </c>
      <c r="G13" s="21">
        <f xml:space="preserve"> SUM(D13:F13) + $C13</f>
        <v>2</v>
      </c>
      <c r="H13" s="485">
        <v>1</v>
      </c>
      <c r="I13" s="478">
        <f>IF(I$3&gt;1,0.5*I$3,1)</f>
        <v>1</v>
      </c>
      <c r="J13" s="630">
        <f>IF(J$3=1,H13+I13+10,0)</f>
        <v>0</v>
      </c>
      <c r="K13" s="21">
        <f t="shared" si="7"/>
        <v>2</v>
      </c>
      <c r="L13" s="485">
        <v>1</v>
      </c>
      <c r="M13" s="478">
        <f>IF(M$3&gt;1,0.5*M$3,1)</f>
        <v>1</v>
      </c>
      <c r="N13" s="630">
        <f>IF(N$3=1,L13+M13+10,0)</f>
        <v>0</v>
      </c>
      <c r="O13" s="21">
        <f xml:space="preserve"> SUM(L13:N13) + $C13</f>
        <v>2</v>
      </c>
      <c r="P13" s="485">
        <v>1</v>
      </c>
      <c r="Q13" s="478">
        <f>IF(Q$3&gt;1,0.5*Q$3,1)</f>
        <v>1</v>
      </c>
      <c r="R13" s="630">
        <f>IF(R$3=1,P13+Q13+10,0)</f>
        <v>0</v>
      </c>
      <c r="S13" s="21">
        <f xml:space="preserve"> SUM(P13:R13) + $C13</f>
        <v>2</v>
      </c>
      <c r="T13" s="485">
        <v>1</v>
      </c>
      <c r="U13" s="478">
        <f>IF(U$3&gt;1,0.5*U$3,1)</f>
        <v>1</v>
      </c>
      <c r="V13" s="630">
        <f>IF(V$3=1,T13+U13+10,0)</f>
        <v>0</v>
      </c>
      <c r="W13" s="21">
        <f xml:space="preserve"> SUM(T13:V13) + $C13</f>
        <v>2</v>
      </c>
      <c r="X13" s="485">
        <v>1</v>
      </c>
      <c r="Y13" s="478">
        <f>IF(Y$3&gt;1,0.5*Y$3,1)</f>
        <v>1</v>
      </c>
      <c r="Z13" s="630">
        <f>IF(Z$3=1,X13+Y13+10,0)</f>
        <v>0</v>
      </c>
      <c r="AA13" s="21">
        <f xml:space="preserve"> SUM(X13:Z13) + $C13</f>
        <v>2</v>
      </c>
      <c r="AB13" s="485">
        <v>1</v>
      </c>
      <c r="AC13" s="478">
        <f>IF(AC$3&gt;1,0.5*AC$3,1)</f>
        <v>1</v>
      </c>
      <c r="AD13" s="630">
        <f>IF(AD$3=1,AB13+AC13+10,0)</f>
        <v>0</v>
      </c>
      <c r="AE13" s="21">
        <f xml:space="preserve"> SUM(AB13:AD13) + $C13</f>
        <v>2</v>
      </c>
      <c r="AF13" s="485">
        <v>1</v>
      </c>
      <c r="AG13" s="478">
        <f>IF(AG$3&gt;1,0.5*AG$3,1)</f>
        <v>1</v>
      </c>
      <c r="AH13" s="630">
        <f>IF(AH$3=1,AF13+AG13+10,0)</f>
        <v>0</v>
      </c>
      <c r="AI13" s="21">
        <f xml:space="preserve"> SUM(AF13:AH13) + $C13</f>
        <v>2</v>
      </c>
    </row>
    <row r="14" spans="1:35" ht="15" customHeight="1" thickBot="1" x14ac:dyDescent="0.3">
      <c r="A14" s="1943"/>
      <c r="B14" s="13" t="s">
        <v>34</v>
      </c>
      <c r="C14" s="34"/>
      <c r="D14" s="485">
        <v>2</v>
      </c>
      <c r="E14" s="478">
        <f>IF(E$3&gt;1,0.5*E$3,1)</f>
        <v>1</v>
      </c>
      <c r="F14" s="630">
        <f>IF(F$3=1,D14+E14+16,0)</f>
        <v>0</v>
      </c>
      <c r="G14" s="77">
        <f xml:space="preserve"> SUM(D14:F14) + $C14</f>
        <v>3</v>
      </c>
      <c r="H14" s="485">
        <v>2</v>
      </c>
      <c r="I14" s="478">
        <f>IF(I$3&gt;1,0.5*I$3,1)</f>
        <v>1</v>
      </c>
      <c r="J14" s="630">
        <f>IF(J$3=1,H14+I14+16,0)</f>
        <v>0</v>
      </c>
      <c r="K14" s="77">
        <f t="shared" si="7"/>
        <v>3</v>
      </c>
      <c r="L14" s="485">
        <v>2</v>
      </c>
      <c r="M14" s="478">
        <f>IF(M$3&gt;1,0.5*M$3,1)</f>
        <v>1</v>
      </c>
      <c r="N14" s="630">
        <f>IF(N$3=1,L14+M14+16,0)</f>
        <v>0</v>
      </c>
      <c r="O14" s="77">
        <f xml:space="preserve"> SUM(L14:N14) + $C14</f>
        <v>3</v>
      </c>
      <c r="P14" s="485">
        <v>2</v>
      </c>
      <c r="Q14" s="478">
        <f>IF(Q$3&gt;1,0.5*Q$3,1)</f>
        <v>1</v>
      </c>
      <c r="R14" s="630">
        <f>IF(R$3=1,P14+Q14+16,0)</f>
        <v>0</v>
      </c>
      <c r="S14" s="77">
        <f xml:space="preserve"> SUM(P14:R14) + $C14</f>
        <v>3</v>
      </c>
      <c r="T14" s="485">
        <v>2</v>
      </c>
      <c r="U14" s="478">
        <f>IF(U$3&gt;1,0.5*U$3,1)</f>
        <v>1</v>
      </c>
      <c r="V14" s="630">
        <f>IF(V$3=1,T14+U14+16,0)</f>
        <v>0</v>
      </c>
      <c r="W14" s="77">
        <f xml:space="preserve"> SUM(T14:V14) + $C14</f>
        <v>3</v>
      </c>
      <c r="X14" s="485">
        <v>2</v>
      </c>
      <c r="Y14" s="478">
        <f>IF(Y$3&gt;1,0.5*Y$3,1)</f>
        <v>1</v>
      </c>
      <c r="Z14" s="630">
        <f>IF(Z$3=1,X14+Y14+16,0)</f>
        <v>0</v>
      </c>
      <c r="AA14" s="77">
        <f xml:space="preserve"> SUM(X14:Z14) + $C14</f>
        <v>3</v>
      </c>
      <c r="AB14" s="485">
        <v>2</v>
      </c>
      <c r="AC14" s="478">
        <f>IF(AC$3&gt;1,0.5*AC$3,1)</f>
        <v>1</v>
      </c>
      <c r="AD14" s="630">
        <f>IF(AD$3=1,AB14+AC14+16,0)</f>
        <v>0</v>
      </c>
      <c r="AE14" s="77">
        <f xml:space="preserve"> SUM(AB14:AD14) + $C14</f>
        <v>3</v>
      </c>
      <c r="AF14" s="485">
        <v>2</v>
      </c>
      <c r="AG14" s="478">
        <f>IF(AG$3&gt;1,0.5*AG$3,1)</f>
        <v>1</v>
      </c>
      <c r="AH14" s="630">
        <f>IF(AH$3=1,AF14+AG14+16,0)</f>
        <v>0</v>
      </c>
      <c r="AI14" s="77">
        <f xml:space="preserve"> SUM(AF14:AH14) + $C14</f>
        <v>3</v>
      </c>
    </row>
    <row r="15" spans="1:35" ht="16.5" thickBot="1" x14ac:dyDescent="0.3">
      <c r="A15" s="330" t="s">
        <v>3</v>
      </c>
      <c r="B15" s="329"/>
      <c r="C15" s="329"/>
      <c r="D15" s="329"/>
      <c r="E15" s="329"/>
      <c r="F15" s="327"/>
      <c r="G15" s="327"/>
      <c r="H15" s="329"/>
      <c r="I15" s="329"/>
      <c r="J15" s="327"/>
      <c r="K15" s="327"/>
      <c r="L15" s="329"/>
      <c r="M15" s="329"/>
      <c r="N15" s="327"/>
      <c r="O15" s="327"/>
      <c r="P15" s="329"/>
      <c r="Q15" s="329"/>
      <c r="R15" s="327"/>
      <c r="S15" s="327"/>
      <c r="T15" s="329"/>
      <c r="U15" s="329"/>
      <c r="V15" s="327"/>
      <c r="W15" s="327"/>
      <c r="X15" s="329"/>
      <c r="Y15" s="329"/>
      <c r="Z15" s="327"/>
      <c r="AA15" s="327"/>
      <c r="AB15" s="329"/>
      <c r="AC15" s="329"/>
      <c r="AD15" s="327"/>
      <c r="AE15" s="327"/>
      <c r="AF15" s="329"/>
      <c r="AG15" s="329"/>
      <c r="AH15" s="327"/>
      <c r="AI15" s="396"/>
    </row>
    <row r="16" spans="1:35" x14ac:dyDescent="0.25">
      <c r="A16" s="1944" t="s">
        <v>4</v>
      </c>
      <c r="B16" s="1720" t="s">
        <v>32</v>
      </c>
      <c r="C16" s="324"/>
      <c r="D16" s="1703">
        <v>0.25</v>
      </c>
      <c r="E16" s="1704">
        <v>0</v>
      </c>
      <c r="F16" s="1705">
        <v>0</v>
      </c>
      <c r="G16" s="1706">
        <f t="shared" ref="G16:G36" si="8" xml:space="preserve"> SUM(D16:F16) + $C16</f>
        <v>0.25</v>
      </c>
      <c r="H16" s="1703">
        <v>0.25</v>
      </c>
      <c r="I16" s="1704">
        <v>0</v>
      </c>
      <c r="J16" s="1705">
        <v>0</v>
      </c>
      <c r="K16" s="1706">
        <f t="shared" si="7"/>
        <v>0.25</v>
      </c>
      <c r="L16" s="1703">
        <v>0.25</v>
      </c>
      <c r="M16" s="1704">
        <v>0</v>
      </c>
      <c r="N16" s="1705">
        <v>0</v>
      </c>
      <c r="O16" s="1706">
        <f t="shared" ref="O16:O36" si="9" xml:space="preserve"> SUM(L16:N16) + $C16</f>
        <v>0.25</v>
      </c>
      <c r="P16" s="1703">
        <v>0.25</v>
      </c>
      <c r="Q16" s="1704">
        <v>0</v>
      </c>
      <c r="R16" s="1705">
        <v>0</v>
      </c>
      <c r="S16" s="1706">
        <f t="shared" ref="S16:S36" si="10" xml:space="preserve"> SUM(P16:R16) + $C16</f>
        <v>0.25</v>
      </c>
      <c r="T16" s="1703">
        <v>0.25</v>
      </c>
      <c r="U16" s="1704">
        <v>0</v>
      </c>
      <c r="V16" s="1705">
        <v>0</v>
      </c>
      <c r="W16" s="1706">
        <f t="shared" ref="W16:W36" si="11" xml:space="preserve"> SUM(T16:V16) + $C16</f>
        <v>0.25</v>
      </c>
      <c r="X16" s="1703">
        <v>0.25</v>
      </c>
      <c r="Y16" s="1704">
        <v>0</v>
      </c>
      <c r="Z16" s="1705">
        <v>0</v>
      </c>
      <c r="AA16" s="1706">
        <f t="shared" ref="AA16:AA36" si="12" xml:space="preserve"> SUM(X16:Z16) + $C16</f>
        <v>0.25</v>
      </c>
      <c r="AB16" s="1703">
        <v>0.25</v>
      </c>
      <c r="AC16" s="1704">
        <v>0</v>
      </c>
      <c r="AD16" s="1705">
        <v>0</v>
      </c>
      <c r="AE16" s="1706">
        <f t="shared" ref="AE16:AE36" si="13" xml:space="preserve"> SUM(AB16:AD16) + $C16</f>
        <v>0.25</v>
      </c>
      <c r="AF16" s="1703">
        <v>0.25</v>
      </c>
      <c r="AG16" s="1704">
        <v>0</v>
      </c>
      <c r="AH16" s="1705">
        <v>0</v>
      </c>
      <c r="AI16" s="1706">
        <f t="shared" ref="AI16:AI36" si="14" xml:space="preserve"> SUM(AF16:AH16) + $C16</f>
        <v>0.25</v>
      </c>
    </row>
    <row r="17" spans="1:35" x14ac:dyDescent="0.25">
      <c r="A17" s="1937"/>
      <c r="B17" s="18" t="s">
        <v>33</v>
      </c>
      <c r="C17" s="22"/>
      <c r="D17" s="482" t="s">
        <v>1768</v>
      </c>
      <c r="E17" s="482" t="s">
        <v>1768</v>
      </c>
      <c r="F17" s="482" t="s">
        <v>1768</v>
      </c>
      <c r="G17" s="21">
        <f t="shared" si="8"/>
        <v>0</v>
      </c>
      <c r="H17" s="482" t="s">
        <v>1768</v>
      </c>
      <c r="I17" s="482" t="s">
        <v>1768</v>
      </c>
      <c r="J17" s="482" t="s">
        <v>1768</v>
      </c>
      <c r="K17" s="21">
        <f t="shared" si="7"/>
        <v>0</v>
      </c>
      <c r="L17" s="482" t="s">
        <v>1768</v>
      </c>
      <c r="M17" s="482" t="s">
        <v>1768</v>
      </c>
      <c r="N17" s="482" t="s">
        <v>1768</v>
      </c>
      <c r="O17" s="21">
        <f t="shared" si="9"/>
        <v>0</v>
      </c>
      <c r="P17" s="482" t="s">
        <v>1768</v>
      </c>
      <c r="Q17" s="482" t="s">
        <v>1768</v>
      </c>
      <c r="R17" s="482" t="s">
        <v>1768</v>
      </c>
      <c r="S17" s="21">
        <f t="shared" si="10"/>
        <v>0</v>
      </c>
      <c r="T17" s="482" t="s">
        <v>1768</v>
      </c>
      <c r="U17" s="482" t="s">
        <v>1768</v>
      </c>
      <c r="V17" s="482" t="s">
        <v>1768</v>
      </c>
      <c r="W17" s="21">
        <f t="shared" si="11"/>
        <v>0</v>
      </c>
      <c r="X17" s="482" t="s">
        <v>1768</v>
      </c>
      <c r="Y17" s="482" t="s">
        <v>1768</v>
      </c>
      <c r="Z17" s="482" t="s">
        <v>1768</v>
      </c>
      <c r="AA17" s="21">
        <f t="shared" si="12"/>
        <v>0</v>
      </c>
      <c r="AB17" s="482" t="s">
        <v>1768</v>
      </c>
      <c r="AC17" s="482" t="s">
        <v>1768</v>
      </c>
      <c r="AD17" s="482" t="s">
        <v>1768</v>
      </c>
      <c r="AE17" s="21">
        <f t="shared" si="13"/>
        <v>0</v>
      </c>
      <c r="AF17" s="482" t="s">
        <v>1768</v>
      </c>
      <c r="AG17" s="482" t="s">
        <v>1768</v>
      </c>
      <c r="AH17" s="482" t="s">
        <v>1768</v>
      </c>
      <c r="AI17" s="21">
        <f t="shared" si="14"/>
        <v>0</v>
      </c>
    </row>
    <row r="18" spans="1:35" x14ac:dyDescent="0.25">
      <c r="A18" s="1937"/>
      <c r="B18" s="18" t="s">
        <v>34</v>
      </c>
      <c r="C18" s="22"/>
      <c r="D18" s="482" t="s">
        <v>1768</v>
      </c>
      <c r="E18" s="482" t="s">
        <v>1768</v>
      </c>
      <c r="F18" s="482" t="s">
        <v>1768</v>
      </c>
      <c r="G18" s="21">
        <f t="shared" si="8"/>
        <v>0</v>
      </c>
      <c r="H18" s="482" t="s">
        <v>1768</v>
      </c>
      <c r="I18" s="482" t="s">
        <v>1768</v>
      </c>
      <c r="J18" s="482" t="s">
        <v>1768</v>
      </c>
      <c r="K18" s="21">
        <f t="shared" si="7"/>
        <v>0</v>
      </c>
      <c r="L18" s="482" t="s">
        <v>1768</v>
      </c>
      <c r="M18" s="482" t="s">
        <v>1768</v>
      </c>
      <c r="N18" s="482" t="s">
        <v>1768</v>
      </c>
      <c r="O18" s="21">
        <f t="shared" si="9"/>
        <v>0</v>
      </c>
      <c r="P18" s="482" t="s">
        <v>1768</v>
      </c>
      <c r="Q18" s="482" t="s">
        <v>1768</v>
      </c>
      <c r="R18" s="482" t="s">
        <v>1768</v>
      </c>
      <c r="S18" s="21">
        <f t="shared" si="10"/>
        <v>0</v>
      </c>
      <c r="T18" s="482" t="s">
        <v>1768</v>
      </c>
      <c r="U18" s="482" t="s">
        <v>1768</v>
      </c>
      <c r="V18" s="482" t="s">
        <v>1768</v>
      </c>
      <c r="W18" s="21">
        <f t="shared" si="11"/>
        <v>0</v>
      </c>
      <c r="X18" s="482" t="s">
        <v>1768</v>
      </c>
      <c r="Y18" s="482" t="s">
        <v>1768</v>
      </c>
      <c r="Z18" s="482" t="s">
        <v>1768</v>
      </c>
      <c r="AA18" s="21">
        <f t="shared" si="12"/>
        <v>0</v>
      </c>
      <c r="AB18" s="482" t="s">
        <v>1768</v>
      </c>
      <c r="AC18" s="482" t="s">
        <v>1768</v>
      </c>
      <c r="AD18" s="482" t="s">
        <v>1768</v>
      </c>
      <c r="AE18" s="21">
        <f t="shared" si="13"/>
        <v>0</v>
      </c>
      <c r="AF18" s="482" t="s">
        <v>1768</v>
      </c>
      <c r="AG18" s="482" t="s">
        <v>1768</v>
      </c>
      <c r="AH18" s="482" t="s">
        <v>1768</v>
      </c>
      <c r="AI18" s="21">
        <f t="shared" si="14"/>
        <v>0</v>
      </c>
    </row>
    <row r="19" spans="1:35" x14ac:dyDescent="0.25">
      <c r="A19" s="1937" t="s">
        <v>5</v>
      </c>
      <c r="B19" s="1721" t="s">
        <v>32</v>
      </c>
      <c r="C19" s="22"/>
      <c r="D19" s="1707">
        <f>IF($D$3&gt;1,1.5,1)</f>
        <v>1.5</v>
      </c>
      <c r="E19" s="1708">
        <f>IF($E$3&gt;1,1,0.5)</f>
        <v>0.5</v>
      </c>
      <c r="F19" s="1709">
        <v>0</v>
      </c>
      <c r="G19" s="1699">
        <f t="shared" si="8"/>
        <v>2</v>
      </c>
      <c r="H19" s="1707">
        <f>IF($D$3&gt;1,1.5,1)</f>
        <v>1.5</v>
      </c>
      <c r="I19" s="1708">
        <f>IF($E$3&gt;1,1,0.5)</f>
        <v>0.5</v>
      </c>
      <c r="J19" s="1709">
        <v>0</v>
      </c>
      <c r="K19" s="1699">
        <f t="shared" si="7"/>
        <v>2</v>
      </c>
      <c r="L19" s="1707">
        <f>IF($D$3&gt;1,1.5,1)</f>
        <v>1.5</v>
      </c>
      <c r="M19" s="1708">
        <f>IF($E$3&gt;1,1,0.5)</f>
        <v>0.5</v>
      </c>
      <c r="N19" s="1709">
        <v>0</v>
      </c>
      <c r="O19" s="1699">
        <f t="shared" si="9"/>
        <v>2</v>
      </c>
      <c r="P19" s="1707">
        <f>IF($D$3&gt;1,1.5,1)</f>
        <v>1.5</v>
      </c>
      <c r="Q19" s="1708">
        <f>IF($E$3&gt;1,1,0.5)</f>
        <v>0.5</v>
      </c>
      <c r="R19" s="1709">
        <v>0</v>
      </c>
      <c r="S19" s="1699">
        <f t="shared" si="10"/>
        <v>2</v>
      </c>
      <c r="T19" s="1707">
        <f>IF($D$3&gt;1,1.5,1)</f>
        <v>1.5</v>
      </c>
      <c r="U19" s="1708">
        <f>IF($E$3&gt;1,1,0.5)</f>
        <v>0.5</v>
      </c>
      <c r="V19" s="1709">
        <v>0</v>
      </c>
      <c r="W19" s="1699">
        <f t="shared" si="11"/>
        <v>2</v>
      </c>
      <c r="X19" s="1707">
        <f>IF($D$3&gt;1,1.5,1)</f>
        <v>1.5</v>
      </c>
      <c r="Y19" s="1708">
        <f>IF($E$3&gt;1,1,0.5)</f>
        <v>0.5</v>
      </c>
      <c r="Z19" s="1709">
        <v>0</v>
      </c>
      <c r="AA19" s="1699">
        <f t="shared" si="12"/>
        <v>2</v>
      </c>
      <c r="AB19" s="1707">
        <f>IF($D$3&gt;1,1.5,1)</f>
        <v>1.5</v>
      </c>
      <c r="AC19" s="1708">
        <f>IF($E$3&gt;1,1,0.5)</f>
        <v>0.5</v>
      </c>
      <c r="AD19" s="1709">
        <v>0</v>
      </c>
      <c r="AE19" s="1699">
        <f t="shared" si="13"/>
        <v>2</v>
      </c>
      <c r="AF19" s="1707">
        <f>IF($D$3&gt;1,1.5,1)</f>
        <v>1.5</v>
      </c>
      <c r="AG19" s="1708">
        <f>IF($E$3&gt;1,1,0.5)</f>
        <v>0.5</v>
      </c>
      <c r="AH19" s="1709">
        <v>0</v>
      </c>
      <c r="AI19" s="1699">
        <f t="shared" si="14"/>
        <v>2</v>
      </c>
    </row>
    <row r="20" spans="1:35" x14ac:dyDescent="0.25">
      <c r="A20" s="1937"/>
      <c r="B20" s="19" t="s">
        <v>33</v>
      </c>
      <c r="C20" s="22"/>
      <c r="D20" s="493">
        <f>IF(D$3&gt;1,0.25*D$3,0.5)</f>
        <v>0.5</v>
      </c>
      <c r="E20" s="484">
        <v>0</v>
      </c>
      <c r="F20" s="484">
        <v>0</v>
      </c>
      <c r="G20" s="21">
        <f t="shared" si="8"/>
        <v>0.5</v>
      </c>
      <c r="H20" s="493">
        <f>IF(H$3&gt;1,0.25*H$3,0.5)</f>
        <v>0.5</v>
      </c>
      <c r="I20" s="484">
        <v>0</v>
      </c>
      <c r="J20" s="484">
        <v>0</v>
      </c>
      <c r="K20" s="21">
        <f t="shared" si="7"/>
        <v>0.5</v>
      </c>
      <c r="L20" s="493">
        <f>IF(L$3&gt;1,0.25*L$3,0.5)</f>
        <v>0.5</v>
      </c>
      <c r="M20" s="484">
        <v>0</v>
      </c>
      <c r="N20" s="484">
        <v>0</v>
      </c>
      <c r="O20" s="21">
        <f t="shared" si="9"/>
        <v>0.5</v>
      </c>
      <c r="P20" s="493">
        <f>IF(P$3&gt;1,0.25*P$3,0.5)</f>
        <v>0.5</v>
      </c>
      <c r="Q20" s="484">
        <v>0</v>
      </c>
      <c r="R20" s="484">
        <v>0</v>
      </c>
      <c r="S20" s="21">
        <f t="shared" si="10"/>
        <v>0.5</v>
      </c>
      <c r="T20" s="493">
        <f>IF(T$3&gt;1,0.25*T$3,0.5)</f>
        <v>0.5</v>
      </c>
      <c r="U20" s="484">
        <v>0</v>
      </c>
      <c r="V20" s="484">
        <v>0</v>
      </c>
      <c r="W20" s="21">
        <f t="shared" si="11"/>
        <v>0.5</v>
      </c>
      <c r="X20" s="493">
        <f>IF(X$3&gt;1,0.25*X$3,0.5)</f>
        <v>0.5</v>
      </c>
      <c r="Y20" s="484">
        <v>0</v>
      </c>
      <c r="Z20" s="484">
        <v>0</v>
      </c>
      <c r="AA20" s="21">
        <f t="shared" si="12"/>
        <v>0.5</v>
      </c>
      <c r="AB20" s="493">
        <f>IF(AB$3&gt;1,0.25*AB$3,0.5)</f>
        <v>0.5</v>
      </c>
      <c r="AC20" s="484">
        <v>0</v>
      </c>
      <c r="AD20" s="484">
        <v>0</v>
      </c>
      <c r="AE20" s="21">
        <f t="shared" si="13"/>
        <v>0.5</v>
      </c>
      <c r="AF20" s="493">
        <f>IF(AF$3&gt;1,0.25*AF$3,0.5)</f>
        <v>0.5</v>
      </c>
      <c r="AG20" s="484">
        <v>0</v>
      </c>
      <c r="AH20" s="484">
        <v>0</v>
      </c>
      <c r="AI20" s="21">
        <f t="shared" si="14"/>
        <v>0.5</v>
      </c>
    </row>
    <row r="21" spans="1:35" x14ac:dyDescent="0.25">
      <c r="A21" s="1937"/>
      <c r="B21" s="19" t="s">
        <v>34</v>
      </c>
      <c r="C21" s="22"/>
      <c r="D21" s="493">
        <f>IF(D$3&gt;1,0.25*D$3,0.5)</f>
        <v>0.5</v>
      </c>
      <c r="E21" s="484">
        <v>0</v>
      </c>
      <c r="F21" s="484">
        <v>0</v>
      </c>
      <c r="G21" s="21">
        <f t="shared" si="8"/>
        <v>0.5</v>
      </c>
      <c r="H21" s="493">
        <f>IF(H$3&gt;1,0.25*H$3,0.5)</f>
        <v>0.5</v>
      </c>
      <c r="I21" s="484">
        <v>0</v>
      </c>
      <c r="J21" s="484">
        <v>0</v>
      </c>
      <c r="K21" s="21">
        <f t="shared" si="7"/>
        <v>0.5</v>
      </c>
      <c r="L21" s="493">
        <f>IF(L$3&gt;1,0.25*L$3,0.5)</f>
        <v>0.5</v>
      </c>
      <c r="M21" s="484">
        <v>0</v>
      </c>
      <c r="N21" s="484">
        <v>0</v>
      </c>
      <c r="O21" s="21">
        <f t="shared" si="9"/>
        <v>0.5</v>
      </c>
      <c r="P21" s="493">
        <f>IF(P$3&gt;1,0.25*P$3,0.5)</f>
        <v>0.5</v>
      </c>
      <c r="Q21" s="484">
        <v>0</v>
      </c>
      <c r="R21" s="484">
        <v>0</v>
      </c>
      <c r="S21" s="21">
        <f t="shared" si="10"/>
        <v>0.5</v>
      </c>
      <c r="T21" s="493">
        <f>IF(T$3&gt;1,0.25*T$3,0.5)</f>
        <v>0.5</v>
      </c>
      <c r="U21" s="484">
        <v>0</v>
      </c>
      <c r="V21" s="484">
        <v>0</v>
      </c>
      <c r="W21" s="21">
        <f t="shared" si="11"/>
        <v>0.5</v>
      </c>
      <c r="X21" s="493">
        <f>IF(X$3&gt;1,0.25*X$3,0.5)</f>
        <v>0.5</v>
      </c>
      <c r="Y21" s="484">
        <v>0</v>
      </c>
      <c r="Z21" s="484">
        <v>0</v>
      </c>
      <c r="AA21" s="21">
        <f t="shared" si="12"/>
        <v>0.5</v>
      </c>
      <c r="AB21" s="493">
        <f>IF(AB$3&gt;1,0.25*AB$3,0.5)</f>
        <v>0.5</v>
      </c>
      <c r="AC21" s="484">
        <v>0</v>
      </c>
      <c r="AD21" s="484">
        <v>0</v>
      </c>
      <c r="AE21" s="21">
        <f t="shared" si="13"/>
        <v>0.5</v>
      </c>
      <c r="AF21" s="493">
        <f>IF(AF$3&gt;1,0.25*AF$3,0.5)</f>
        <v>0.5</v>
      </c>
      <c r="AG21" s="484">
        <v>0</v>
      </c>
      <c r="AH21" s="484">
        <v>0</v>
      </c>
      <c r="AI21" s="21">
        <f t="shared" si="14"/>
        <v>0.5</v>
      </c>
    </row>
    <row r="22" spans="1:35" x14ac:dyDescent="0.25">
      <c r="A22" s="1937" t="s">
        <v>6</v>
      </c>
      <c r="B22" s="1721" t="s">
        <v>32</v>
      </c>
      <c r="C22" s="22"/>
      <c r="D22" s="1700">
        <v>2</v>
      </c>
      <c r="E22" s="1701">
        <f>IF($E$3&gt;1,2,1)</f>
        <v>1</v>
      </c>
      <c r="F22" s="1702">
        <f>0.5*$F$3</f>
        <v>0</v>
      </c>
      <c r="G22" s="1699">
        <f t="shared" si="8"/>
        <v>3</v>
      </c>
      <c r="H22" s="1700">
        <v>2</v>
      </c>
      <c r="I22" s="1701">
        <f>IF($E$3&gt;1,2,1)</f>
        <v>1</v>
      </c>
      <c r="J22" s="1702">
        <f>0.5*$F$3</f>
        <v>0</v>
      </c>
      <c r="K22" s="1699">
        <f t="shared" si="7"/>
        <v>3</v>
      </c>
      <c r="L22" s="1700">
        <v>2</v>
      </c>
      <c r="M22" s="1701">
        <f>IF($E$3&gt;1,2,1)</f>
        <v>1</v>
      </c>
      <c r="N22" s="1702">
        <f>0.5*$F$3</f>
        <v>0</v>
      </c>
      <c r="O22" s="1699">
        <f t="shared" si="9"/>
        <v>3</v>
      </c>
      <c r="P22" s="1700">
        <v>2</v>
      </c>
      <c r="Q22" s="1701">
        <f>IF($E$3&gt;1,2,1)</f>
        <v>1</v>
      </c>
      <c r="R22" s="1702">
        <f>0.5*$F$3</f>
        <v>0</v>
      </c>
      <c r="S22" s="1699">
        <f t="shared" si="10"/>
        <v>3</v>
      </c>
      <c r="T22" s="1700">
        <v>2</v>
      </c>
      <c r="U22" s="1701">
        <f>IF($E$3&gt;1,2,1)</f>
        <v>1</v>
      </c>
      <c r="V22" s="1702">
        <f>0.5*$F$3</f>
        <v>0</v>
      </c>
      <c r="W22" s="1699">
        <f t="shared" si="11"/>
        <v>3</v>
      </c>
      <c r="X22" s="1700">
        <v>2</v>
      </c>
      <c r="Y22" s="1701">
        <f>IF($E$3&gt;1,2,1)</f>
        <v>1</v>
      </c>
      <c r="Z22" s="1702">
        <f>0.5*$F$3</f>
        <v>0</v>
      </c>
      <c r="AA22" s="1699">
        <f t="shared" si="12"/>
        <v>3</v>
      </c>
      <c r="AB22" s="1700">
        <v>2</v>
      </c>
      <c r="AC22" s="1701">
        <f>IF($E$3&gt;1,2,1)</f>
        <v>1</v>
      </c>
      <c r="AD22" s="1702">
        <f>0.5*$F$3</f>
        <v>0</v>
      </c>
      <c r="AE22" s="1699">
        <f t="shared" si="13"/>
        <v>3</v>
      </c>
      <c r="AF22" s="1700">
        <v>2</v>
      </c>
      <c r="AG22" s="1701">
        <f>IF($E$3&gt;1,2,1)</f>
        <v>1</v>
      </c>
      <c r="AH22" s="1702">
        <f>0.5*$F$3</f>
        <v>0</v>
      </c>
      <c r="AI22" s="1699">
        <f t="shared" si="14"/>
        <v>3</v>
      </c>
    </row>
    <row r="23" spans="1:35" x14ac:dyDescent="0.25">
      <c r="A23" s="1937"/>
      <c r="B23" s="19" t="s">
        <v>33</v>
      </c>
      <c r="C23" s="22"/>
      <c r="D23" s="485">
        <v>2</v>
      </c>
      <c r="E23" s="478">
        <f>IF(E$3&gt;1,0.5*E$3,1)</f>
        <v>1</v>
      </c>
      <c r="F23" s="630">
        <f>IF(F$3=1,D23+E23+10,0)</f>
        <v>0</v>
      </c>
      <c r="G23" s="21">
        <f t="shared" si="8"/>
        <v>3</v>
      </c>
      <c r="H23" s="485">
        <v>2</v>
      </c>
      <c r="I23" s="478">
        <f>IF(I$3&gt;1,0.5*I$3,1)</f>
        <v>1</v>
      </c>
      <c r="J23" s="630">
        <f>IF(J$3=1,H23+I23+10,0)</f>
        <v>0</v>
      </c>
      <c r="K23" s="21">
        <f t="shared" si="7"/>
        <v>3</v>
      </c>
      <c r="L23" s="485">
        <v>2</v>
      </c>
      <c r="M23" s="478">
        <f>IF(M$3&gt;1,0.5*M$3,1)</f>
        <v>1</v>
      </c>
      <c r="N23" s="630">
        <f>IF(N$3=1,L23+M23+10,0)</f>
        <v>0</v>
      </c>
      <c r="O23" s="21">
        <f t="shared" si="9"/>
        <v>3</v>
      </c>
      <c r="P23" s="485">
        <v>2</v>
      </c>
      <c r="Q23" s="478">
        <f>IF(Q$3&gt;1,0.5*Q$3,1)</f>
        <v>1</v>
      </c>
      <c r="R23" s="630">
        <f>IF(R$3=1,P23+Q23+10,0)</f>
        <v>0</v>
      </c>
      <c r="S23" s="21">
        <f t="shared" si="10"/>
        <v>3</v>
      </c>
      <c r="T23" s="485">
        <v>2</v>
      </c>
      <c r="U23" s="478">
        <f>IF(U$3&gt;1,0.5*U$3,1)</f>
        <v>1</v>
      </c>
      <c r="V23" s="630">
        <f>IF(V$3=1,T23+U23+10,0)</f>
        <v>0</v>
      </c>
      <c r="W23" s="21">
        <f t="shared" si="11"/>
        <v>3</v>
      </c>
      <c r="X23" s="485">
        <v>2</v>
      </c>
      <c r="Y23" s="478">
        <f>IF(Y$3&gt;1,0.5*Y$3,1)</f>
        <v>1</v>
      </c>
      <c r="Z23" s="630">
        <f>IF(Z$3=1,X23+Y23+10,0)</f>
        <v>0</v>
      </c>
      <c r="AA23" s="21">
        <f t="shared" si="12"/>
        <v>3</v>
      </c>
      <c r="AB23" s="485">
        <v>2</v>
      </c>
      <c r="AC23" s="478">
        <f>IF(AC$3&gt;1,0.5*AC$3,1)</f>
        <v>1</v>
      </c>
      <c r="AD23" s="630">
        <f>IF(AD$3=1,AB23+AC23+10,0)</f>
        <v>0</v>
      </c>
      <c r="AE23" s="21">
        <f t="shared" si="13"/>
        <v>3</v>
      </c>
      <c r="AF23" s="485">
        <v>2</v>
      </c>
      <c r="AG23" s="478">
        <f>IF(AG$3&gt;1,0.5*AG$3,1)</f>
        <v>1</v>
      </c>
      <c r="AH23" s="630">
        <f>IF(AH$3=1,AF23+AG23+10,0)</f>
        <v>0</v>
      </c>
      <c r="AI23" s="21">
        <f t="shared" si="14"/>
        <v>3</v>
      </c>
    </row>
    <row r="24" spans="1:35" x14ac:dyDescent="0.25">
      <c r="A24" s="1937"/>
      <c r="B24" s="19" t="s">
        <v>34</v>
      </c>
      <c r="C24" s="22"/>
      <c r="D24" s="485">
        <v>4</v>
      </c>
      <c r="E24" s="478">
        <f>IF(E$3&gt;1,0.5*E$3,1)</f>
        <v>1</v>
      </c>
      <c r="F24" s="630">
        <f>IF(F$3=1,D24+E24+16,0)</f>
        <v>0</v>
      </c>
      <c r="G24" s="21">
        <f t="shared" si="8"/>
        <v>5</v>
      </c>
      <c r="H24" s="485">
        <v>4</v>
      </c>
      <c r="I24" s="478">
        <f>IF(I$3&gt;1,0.5*I$3,1)</f>
        <v>1</v>
      </c>
      <c r="J24" s="630">
        <f>IF(J$3=1,H24+I24+16,0)</f>
        <v>0</v>
      </c>
      <c r="K24" s="21">
        <f t="shared" si="7"/>
        <v>5</v>
      </c>
      <c r="L24" s="485">
        <v>4</v>
      </c>
      <c r="M24" s="478">
        <f>IF(M$3&gt;1,0.5*M$3,1)</f>
        <v>1</v>
      </c>
      <c r="N24" s="630">
        <f>IF(N$3=1,L24+M24+16,0)</f>
        <v>0</v>
      </c>
      <c r="O24" s="21">
        <f t="shared" si="9"/>
        <v>5</v>
      </c>
      <c r="P24" s="485">
        <v>4</v>
      </c>
      <c r="Q24" s="478">
        <f>IF(Q$3&gt;1,0.5*Q$3,1)</f>
        <v>1</v>
      </c>
      <c r="R24" s="630">
        <f>IF(R$3=1,P24+Q24+16,0)</f>
        <v>0</v>
      </c>
      <c r="S24" s="21">
        <f t="shared" si="10"/>
        <v>5</v>
      </c>
      <c r="T24" s="485">
        <v>4</v>
      </c>
      <c r="U24" s="478">
        <f>IF(U$3&gt;1,0.5*U$3,1)</f>
        <v>1</v>
      </c>
      <c r="V24" s="630">
        <f>IF(V$3=1,T24+U24+16,0)</f>
        <v>0</v>
      </c>
      <c r="W24" s="21">
        <f t="shared" si="11"/>
        <v>5</v>
      </c>
      <c r="X24" s="485">
        <v>4</v>
      </c>
      <c r="Y24" s="478">
        <f>IF(Y$3&gt;1,0.5*Y$3,1)</f>
        <v>1</v>
      </c>
      <c r="Z24" s="630">
        <f>IF(Z$3=1,X24+Y24+16,0)</f>
        <v>0</v>
      </c>
      <c r="AA24" s="21">
        <f t="shared" si="12"/>
        <v>5</v>
      </c>
      <c r="AB24" s="485">
        <v>4</v>
      </c>
      <c r="AC24" s="478">
        <f>IF(AC$3&gt;1,0.5*AC$3,1)</f>
        <v>1</v>
      </c>
      <c r="AD24" s="630">
        <f>IF(AD$3=1,AB24+AC24+16,0)</f>
        <v>0</v>
      </c>
      <c r="AE24" s="21">
        <f t="shared" si="13"/>
        <v>5</v>
      </c>
      <c r="AF24" s="485">
        <v>4</v>
      </c>
      <c r="AG24" s="478">
        <f>IF(AG$3&gt;1,0.5*AG$3,1)</f>
        <v>1</v>
      </c>
      <c r="AH24" s="630">
        <f>IF(AH$3=1,AF24+AG24+16,0)</f>
        <v>0</v>
      </c>
      <c r="AI24" s="21">
        <f t="shared" si="14"/>
        <v>5</v>
      </c>
    </row>
    <row r="25" spans="1:35" x14ac:dyDescent="0.25">
      <c r="A25" s="1937" t="s">
        <v>7</v>
      </c>
      <c r="B25" s="1721" t="s">
        <v>32</v>
      </c>
      <c r="C25" s="22"/>
      <c r="D25" s="1700">
        <v>1</v>
      </c>
      <c r="E25" s="1701">
        <v>0</v>
      </c>
      <c r="F25" s="1702">
        <v>0</v>
      </c>
      <c r="G25" s="1699">
        <f t="shared" si="8"/>
        <v>1</v>
      </c>
      <c r="H25" s="1700">
        <v>1</v>
      </c>
      <c r="I25" s="1701">
        <v>0</v>
      </c>
      <c r="J25" s="1702">
        <v>0</v>
      </c>
      <c r="K25" s="1699">
        <f t="shared" si="7"/>
        <v>1</v>
      </c>
      <c r="L25" s="1700">
        <v>1</v>
      </c>
      <c r="M25" s="1701">
        <v>0</v>
      </c>
      <c r="N25" s="1702">
        <v>0</v>
      </c>
      <c r="O25" s="1699">
        <f t="shared" si="9"/>
        <v>1</v>
      </c>
      <c r="P25" s="1700">
        <v>1</v>
      </c>
      <c r="Q25" s="1701">
        <v>0</v>
      </c>
      <c r="R25" s="1702">
        <v>0</v>
      </c>
      <c r="S25" s="1699">
        <f t="shared" si="10"/>
        <v>1</v>
      </c>
      <c r="T25" s="1700">
        <v>1</v>
      </c>
      <c r="U25" s="1701">
        <v>0</v>
      </c>
      <c r="V25" s="1702">
        <v>0</v>
      </c>
      <c r="W25" s="1699">
        <f t="shared" si="11"/>
        <v>1</v>
      </c>
      <c r="X25" s="1700">
        <v>1</v>
      </c>
      <c r="Y25" s="1701">
        <v>0</v>
      </c>
      <c r="Z25" s="1702">
        <v>0</v>
      </c>
      <c r="AA25" s="1699">
        <f t="shared" si="12"/>
        <v>1</v>
      </c>
      <c r="AB25" s="1700">
        <v>1</v>
      </c>
      <c r="AC25" s="1701">
        <v>0</v>
      </c>
      <c r="AD25" s="1702">
        <v>0</v>
      </c>
      <c r="AE25" s="1699">
        <f t="shared" si="13"/>
        <v>1</v>
      </c>
      <c r="AF25" s="1700">
        <v>1</v>
      </c>
      <c r="AG25" s="1701">
        <v>0</v>
      </c>
      <c r="AH25" s="1702">
        <v>0</v>
      </c>
      <c r="AI25" s="1699">
        <f t="shared" si="14"/>
        <v>1</v>
      </c>
    </row>
    <row r="26" spans="1:35" x14ac:dyDescent="0.25">
      <c r="A26" s="1937"/>
      <c r="B26" s="19" t="s">
        <v>33</v>
      </c>
      <c r="C26" s="22"/>
      <c r="D26" s="485">
        <v>1</v>
      </c>
      <c r="E26" s="486">
        <v>0</v>
      </c>
      <c r="F26" s="493">
        <f>IF(F$3=1,D$3+0.5,0)</f>
        <v>0</v>
      </c>
      <c r="G26" s="21">
        <f t="shared" si="8"/>
        <v>1</v>
      </c>
      <c r="H26" s="485">
        <v>1</v>
      </c>
      <c r="I26" s="486">
        <v>0</v>
      </c>
      <c r="J26" s="493">
        <f>IF(J$3=1,H$3+0.5,0)</f>
        <v>0</v>
      </c>
      <c r="K26" s="21">
        <f t="shared" si="7"/>
        <v>1</v>
      </c>
      <c r="L26" s="485">
        <v>1</v>
      </c>
      <c r="M26" s="486">
        <v>0</v>
      </c>
      <c r="N26" s="493">
        <f>IF(N$3=1,L$3+0.5,0)</f>
        <v>0</v>
      </c>
      <c r="O26" s="21">
        <f t="shared" si="9"/>
        <v>1</v>
      </c>
      <c r="P26" s="485">
        <v>1</v>
      </c>
      <c r="Q26" s="486">
        <v>0</v>
      </c>
      <c r="R26" s="493">
        <f>IF(R$3=1,P$3+0.5,0)</f>
        <v>0</v>
      </c>
      <c r="S26" s="21">
        <f t="shared" si="10"/>
        <v>1</v>
      </c>
      <c r="T26" s="485">
        <v>1</v>
      </c>
      <c r="U26" s="486">
        <v>0</v>
      </c>
      <c r="V26" s="493">
        <f>IF(V$3=1,T$3+0.5,0)</f>
        <v>0</v>
      </c>
      <c r="W26" s="21">
        <f t="shared" si="11"/>
        <v>1</v>
      </c>
      <c r="X26" s="485">
        <v>1</v>
      </c>
      <c r="Y26" s="486">
        <v>0</v>
      </c>
      <c r="Z26" s="493">
        <f>IF(Z$3=1,X$3+0.5,0)</f>
        <v>0</v>
      </c>
      <c r="AA26" s="21">
        <f t="shared" si="12"/>
        <v>1</v>
      </c>
      <c r="AB26" s="485">
        <v>1</v>
      </c>
      <c r="AC26" s="486">
        <v>0</v>
      </c>
      <c r="AD26" s="493">
        <f>IF(AD$3=1,AB$3+0.5,0)</f>
        <v>0</v>
      </c>
      <c r="AE26" s="21">
        <f t="shared" si="13"/>
        <v>1</v>
      </c>
      <c r="AF26" s="485">
        <v>1</v>
      </c>
      <c r="AG26" s="486">
        <v>0</v>
      </c>
      <c r="AH26" s="493">
        <f>IF(AH$3=1,AF$3+0.5,0)</f>
        <v>0</v>
      </c>
      <c r="AI26" s="21">
        <f t="shared" si="14"/>
        <v>1</v>
      </c>
    </row>
    <row r="27" spans="1:35" x14ac:dyDescent="0.25">
      <c r="A27" s="1937"/>
      <c r="B27" s="19" t="s">
        <v>34</v>
      </c>
      <c r="C27" s="22"/>
      <c r="D27" s="485">
        <v>2</v>
      </c>
      <c r="E27" s="486">
        <v>0</v>
      </c>
      <c r="F27" s="493">
        <f>IF(F$3=1,D$3+1,0)</f>
        <v>0</v>
      </c>
      <c r="G27" s="21">
        <f t="shared" si="8"/>
        <v>2</v>
      </c>
      <c r="H27" s="485">
        <v>2</v>
      </c>
      <c r="I27" s="486">
        <v>0</v>
      </c>
      <c r="J27" s="493">
        <f>IF(J$3=1,H$3+1,0)</f>
        <v>0</v>
      </c>
      <c r="K27" s="21">
        <f t="shared" si="7"/>
        <v>2</v>
      </c>
      <c r="L27" s="485">
        <v>2</v>
      </c>
      <c r="M27" s="486">
        <v>0</v>
      </c>
      <c r="N27" s="493">
        <f>IF(N$3=1,L$3+1,0)</f>
        <v>0</v>
      </c>
      <c r="O27" s="21">
        <f t="shared" si="9"/>
        <v>2</v>
      </c>
      <c r="P27" s="485">
        <v>2</v>
      </c>
      <c r="Q27" s="486">
        <v>0</v>
      </c>
      <c r="R27" s="493">
        <f>IF(R$3=1,P$3+1,0)</f>
        <v>0</v>
      </c>
      <c r="S27" s="21">
        <f t="shared" si="10"/>
        <v>2</v>
      </c>
      <c r="T27" s="485">
        <v>2</v>
      </c>
      <c r="U27" s="486">
        <v>0</v>
      </c>
      <c r="V27" s="493">
        <f>IF(V$3=1,T$3+1,0)</f>
        <v>0</v>
      </c>
      <c r="W27" s="21">
        <f t="shared" si="11"/>
        <v>2</v>
      </c>
      <c r="X27" s="485">
        <v>2</v>
      </c>
      <c r="Y27" s="486">
        <v>0</v>
      </c>
      <c r="Z27" s="493">
        <f>IF(Z$3=1,X$3+1,0)</f>
        <v>0</v>
      </c>
      <c r="AA27" s="21">
        <f t="shared" si="12"/>
        <v>2</v>
      </c>
      <c r="AB27" s="485">
        <v>2</v>
      </c>
      <c r="AC27" s="486">
        <v>0</v>
      </c>
      <c r="AD27" s="493">
        <f>IF(AD$3=1,AB$3+1,0)</f>
        <v>0</v>
      </c>
      <c r="AE27" s="21">
        <f t="shared" si="13"/>
        <v>2</v>
      </c>
      <c r="AF27" s="485">
        <v>2</v>
      </c>
      <c r="AG27" s="486">
        <v>0</v>
      </c>
      <c r="AH27" s="493">
        <f>IF(AH$3=1,AF$3+1,0)</f>
        <v>0</v>
      </c>
      <c r="AI27" s="21">
        <f t="shared" si="14"/>
        <v>2</v>
      </c>
    </row>
    <row r="28" spans="1:35" x14ac:dyDescent="0.25">
      <c r="A28" s="1937" t="s">
        <v>8</v>
      </c>
      <c r="B28" s="1721" t="s">
        <v>32</v>
      </c>
      <c r="C28" s="22"/>
      <c r="D28" s="1707">
        <v>1</v>
      </c>
      <c r="E28" s="1708">
        <f>IF($E$3&gt;1,1,0.5)</f>
        <v>0.5</v>
      </c>
      <c r="F28" s="1709">
        <v>0</v>
      </c>
      <c r="G28" s="1699">
        <f t="shared" si="8"/>
        <v>1.5</v>
      </c>
      <c r="H28" s="1707">
        <v>1</v>
      </c>
      <c r="I28" s="1708">
        <f>IF($E$3&gt;1,1,0.5)</f>
        <v>0.5</v>
      </c>
      <c r="J28" s="1709">
        <v>0</v>
      </c>
      <c r="K28" s="1699">
        <f t="shared" si="7"/>
        <v>1.5</v>
      </c>
      <c r="L28" s="1707">
        <v>1</v>
      </c>
      <c r="M28" s="1708">
        <f>IF($E$3&gt;1,1,0.5)</f>
        <v>0.5</v>
      </c>
      <c r="N28" s="1709">
        <v>0</v>
      </c>
      <c r="O28" s="1699">
        <f t="shared" si="9"/>
        <v>1.5</v>
      </c>
      <c r="P28" s="1707">
        <v>1</v>
      </c>
      <c r="Q28" s="1708">
        <f>IF($E$3&gt;1,1,0.5)</f>
        <v>0.5</v>
      </c>
      <c r="R28" s="1709">
        <v>0</v>
      </c>
      <c r="S28" s="1699">
        <f t="shared" si="10"/>
        <v>1.5</v>
      </c>
      <c r="T28" s="1707">
        <v>1</v>
      </c>
      <c r="U28" s="1708">
        <f>IF($E$3&gt;1,1,0.5)</f>
        <v>0.5</v>
      </c>
      <c r="V28" s="1709">
        <v>0</v>
      </c>
      <c r="W28" s="1699">
        <f t="shared" si="11"/>
        <v>1.5</v>
      </c>
      <c r="X28" s="1707">
        <v>1</v>
      </c>
      <c r="Y28" s="1708">
        <f>IF($E$3&gt;1,1,0.5)</f>
        <v>0.5</v>
      </c>
      <c r="Z28" s="1709">
        <v>0</v>
      </c>
      <c r="AA28" s="1699">
        <f t="shared" si="12"/>
        <v>1.5</v>
      </c>
      <c r="AB28" s="1707">
        <v>1</v>
      </c>
      <c r="AC28" s="1708">
        <f>IF($E$3&gt;1,1,0.5)</f>
        <v>0.5</v>
      </c>
      <c r="AD28" s="1709">
        <v>0</v>
      </c>
      <c r="AE28" s="1699">
        <f t="shared" si="13"/>
        <v>1.5</v>
      </c>
      <c r="AF28" s="1707">
        <v>1</v>
      </c>
      <c r="AG28" s="1708">
        <f>IF($E$3&gt;1,1,0.5)</f>
        <v>0.5</v>
      </c>
      <c r="AH28" s="1709">
        <v>0</v>
      </c>
      <c r="AI28" s="1699">
        <f t="shared" si="14"/>
        <v>1.5</v>
      </c>
    </row>
    <row r="29" spans="1:35" x14ac:dyDescent="0.25">
      <c r="A29" s="1937"/>
      <c r="B29" s="19" t="s">
        <v>33</v>
      </c>
      <c r="C29" s="22"/>
      <c r="D29" s="482">
        <v>2</v>
      </c>
      <c r="E29" s="478">
        <f>IF(E$3&gt;1,0.75*E$3,1.5)</f>
        <v>1.5</v>
      </c>
      <c r="F29" s="630">
        <f>IF(F$3=1,D29+E29+2,0)</f>
        <v>0</v>
      </c>
      <c r="G29" s="21">
        <f t="shared" si="8"/>
        <v>3.5</v>
      </c>
      <c r="H29" s="482">
        <v>2</v>
      </c>
      <c r="I29" s="478">
        <f>IF(I$3&gt;1,0.75*I$3,1.5)</f>
        <v>1.5</v>
      </c>
      <c r="J29" s="630">
        <f>IF(J$3=1,H29+I29+2,0)</f>
        <v>0</v>
      </c>
      <c r="K29" s="21">
        <f t="shared" si="7"/>
        <v>3.5</v>
      </c>
      <c r="L29" s="482">
        <v>2</v>
      </c>
      <c r="M29" s="478">
        <f>IF(M$3&gt;1,0.75*M$3,1.5)</f>
        <v>1.5</v>
      </c>
      <c r="N29" s="630">
        <f>IF(N$3=1,L29+M29+2,0)</f>
        <v>0</v>
      </c>
      <c r="O29" s="21">
        <f t="shared" si="9"/>
        <v>3.5</v>
      </c>
      <c r="P29" s="482">
        <v>2</v>
      </c>
      <c r="Q29" s="478">
        <f>IF(Q$3&gt;1,0.75*Q$3,1.5)</f>
        <v>1.5</v>
      </c>
      <c r="R29" s="630">
        <f>IF(R$3=1,P29+Q29+2,0)</f>
        <v>0</v>
      </c>
      <c r="S29" s="21">
        <f t="shared" si="10"/>
        <v>3.5</v>
      </c>
      <c r="T29" s="482">
        <v>2</v>
      </c>
      <c r="U29" s="478">
        <f>IF(U$3&gt;1,0.75*U$3,1.5)</f>
        <v>1.5</v>
      </c>
      <c r="V29" s="630">
        <f>IF(V$3=1,T29+U29+2,0)</f>
        <v>0</v>
      </c>
      <c r="W29" s="21">
        <f t="shared" si="11"/>
        <v>3.5</v>
      </c>
      <c r="X29" s="482">
        <v>2</v>
      </c>
      <c r="Y29" s="478">
        <f>IF(Y$3&gt;1,0.75*Y$3,1.5)</f>
        <v>1.5</v>
      </c>
      <c r="Z29" s="630">
        <f>IF(Z$3=1,X29+Y29+2,0)</f>
        <v>0</v>
      </c>
      <c r="AA29" s="21">
        <f t="shared" si="12"/>
        <v>3.5</v>
      </c>
      <c r="AB29" s="482">
        <v>2</v>
      </c>
      <c r="AC29" s="478">
        <f>IF(AC$3&gt;1,0.75*AC$3,1.5)</f>
        <v>1.5</v>
      </c>
      <c r="AD29" s="630">
        <f>IF(AD$3=1,AB29+AC29+2,0)</f>
        <v>0</v>
      </c>
      <c r="AE29" s="21">
        <f t="shared" si="13"/>
        <v>3.5</v>
      </c>
      <c r="AF29" s="482">
        <v>2</v>
      </c>
      <c r="AG29" s="478">
        <f>IF(AG$3&gt;1,0.75*AG$3,1.5)</f>
        <v>1.5</v>
      </c>
      <c r="AH29" s="630">
        <f>IF(AH$3=1,AF29+AG29+2,0)</f>
        <v>0</v>
      </c>
      <c r="AI29" s="21">
        <f t="shared" si="14"/>
        <v>3.5</v>
      </c>
    </row>
    <row r="30" spans="1:35" x14ac:dyDescent="0.25">
      <c r="A30" s="1937"/>
      <c r="B30" s="19" t="s">
        <v>34</v>
      </c>
      <c r="C30" s="22"/>
      <c r="D30" s="482">
        <v>4</v>
      </c>
      <c r="E30" s="478">
        <f>IF(E$3&gt;1,0.75*E$3,1.5)</f>
        <v>1.5</v>
      </c>
      <c r="F30" s="630">
        <f>IF(F$3=1,D30+E30+4,0)</f>
        <v>0</v>
      </c>
      <c r="G30" s="21">
        <f t="shared" si="8"/>
        <v>5.5</v>
      </c>
      <c r="H30" s="482">
        <v>4</v>
      </c>
      <c r="I30" s="478">
        <f>IF(I$3&gt;1,0.75*I$3,1.5)</f>
        <v>1.5</v>
      </c>
      <c r="J30" s="630">
        <f>IF(J$3=1,H30+I30+4,0)</f>
        <v>0</v>
      </c>
      <c r="K30" s="21">
        <f t="shared" si="7"/>
        <v>5.5</v>
      </c>
      <c r="L30" s="482">
        <v>4</v>
      </c>
      <c r="M30" s="478">
        <f>IF(M$3&gt;1,0.75*M$3,1.5)</f>
        <v>1.5</v>
      </c>
      <c r="N30" s="630">
        <f>IF(N$3=1,L30+M30+4,0)</f>
        <v>0</v>
      </c>
      <c r="O30" s="21">
        <f t="shared" si="9"/>
        <v>5.5</v>
      </c>
      <c r="P30" s="482">
        <v>4</v>
      </c>
      <c r="Q30" s="478">
        <f>IF(Q$3&gt;1,0.75*Q$3,1.5)</f>
        <v>1.5</v>
      </c>
      <c r="R30" s="630">
        <f>IF(R$3=1,P30+Q30+4,0)</f>
        <v>0</v>
      </c>
      <c r="S30" s="21">
        <f t="shared" si="10"/>
        <v>5.5</v>
      </c>
      <c r="T30" s="482">
        <v>4</v>
      </c>
      <c r="U30" s="478">
        <f>IF(U$3&gt;1,0.75*U$3,1.5)</f>
        <v>1.5</v>
      </c>
      <c r="V30" s="630">
        <f>IF(V$3=1,T30+U30+4,0)</f>
        <v>0</v>
      </c>
      <c r="W30" s="21">
        <f t="shared" si="11"/>
        <v>5.5</v>
      </c>
      <c r="X30" s="482">
        <v>4</v>
      </c>
      <c r="Y30" s="478">
        <f>IF(Y$3&gt;1,0.75*Y$3,1.5)</f>
        <v>1.5</v>
      </c>
      <c r="Z30" s="630">
        <f>IF(Z$3=1,X30+Y30+4,0)</f>
        <v>0</v>
      </c>
      <c r="AA30" s="21">
        <f t="shared" si="12"/>
        <v>5.5</v>
      </c>
      <c r="AB30" s="482">
        <v>4</v>
      </c>
      <c r="AC30" s="478">
        <f>IF(AC$3&gt;1,0.75*AC$3,1.5)</f>
        <v>1.5</v>
      </c>
      <c r="AD30" s="630">
        <f>IF(AD$3=1,AB30+AC30+4,0)</f>
        <v>0</v>
      </c>
      <c r="AE30" s="21">
        <f t="shared" si="13"/>
        <v>5.5</v>
      </c>
      <c r="AF30" s="482">
        <v>4</v>
      </c>
      <c r="AG30" s="478">
        <f>IF(AG$3&gt;1,0.75*AG$3,1.5)</f>
        <v>1.5</v>
      </c>
      <c r="AH30" s="630">
        <f>IF(AH$3=1,AF30+AG30+4,0)</f>
        <v>0</v>
      </c>
      <c r="AI30" s="21">
        <f t="shared" si="14"/>
        <v>5.5</v>
      </c>
    </row>
    <row r="31" spans="1:35" x14ac:dyDescent="0.25">
      <c r="A31" s="1937" t="s">
        <v>9</v>
      </c>
      <c r="B31" s="1721" t="s">
        <v>32</v>
      </c>
      <c r="C31" s="22"/>
      <c r="D31" s="1707">
        <f>IF($D$3&gt;1,$D$3*0.5+2,2)</f>
        <v>3</v>
      </c>
      <c r="E31" s="1708">
        <v>0</v>
      </c>
      <c r="F31" s="1702">
        <f t="shared" ref="F31:F34" si="15">$F$3*0.25</f>
        <v>0</v>
      </c>
      <c r="G31" s="1699">
        <f t="shared" si="8"/>
        <v>3</v>
      </c>
      <c r="H31" s="1707">
        <f>IF($D$3&gt;1,$D$3*0.5+2,2)</f>
        <v>3</v>
      </c>
      <c r="I31" s="1708">
        <v>0</v>
      </c>
      <c r="J31" s="1702">
        <f t="shared" ref="J31:J34" si="16">$F$3*0.25</f>
        <v>0</v>
      </c>
      <c r="K31" s="1699">
        <f t="shared" si="7"/>
        <v>3</v>
      </c>
      <c r="L31" s="1707">
        <f>IF($D$3&gt;1,$D$3*0.5+2,2)</f>
        <v>3</v>
      </c>
      <c r="M31" s="1708">
        <v>0</v>
      </c>
      <c r="N31" s="1702">
        <f t="shared" ref="N31:N34" si="17">$F$3*0.25</f>
        <v>0</v>
      </c>
      <c r="O31" s="1699">
        <f t="shared" si="9"/>
        <v>3</v>
      </c>
      <c r="P31" s="1707">
        <f>IF($D$3&gt;1,$D$3*0.5+2,2)</f>
        <v>3</v>
      </c>
      <c r="Q31" s="1708">
        <v>0</v>
      </c>
      <c r="R31" s="1702">
        <f t="shared" ref="R31:R34" si="18">$F$3*0.25</f>
        <v>0</v>
      </c>
      <c r="S31" s="1699">
        <f t="shared" si="10"/>
        <v>3</v>
      </c>
      <c r="T31" s="1707">
        <f>IF($D$3&gt;1,$D$3*0.5+2,2)</f>
        <v>3</v>
      </c>
      <c r="U31" s="1708">
        <v>0</v>
      </c>
      <c r="V31" s="1702">
        <f t="shared" ref="V31:V34" si="19">$F$3*0.25</f>
        <v>0</v>
      </c>
      <c r="W31" s="1699">
        <f t="shared" si="11"/>
        <v>3</v>
      </c>
      <c r="X31" s="1707">
        <f>IF($D$3&gt;1,$D$3*0.5+2,2)</f>
        <v>3</v>
      </c>
      <c r="Y31" s="1708">
        <v>0</v>
      </c>
      <c r="Z31" s="1702">
        <f t="shared" ref="Z31:Z34" si="20">$F$3*0.25</f>
        <v>0</v>
      </c>
      <c r="AA31" s="1699">
        <f t="shared" si="12"/>
        <v>3</v>
      </c>
      <c r="AB31" s="1707">
        <f>IF($D$3&gt;1,$D$3*0.5+2,2)</f>
        <v>3</v>
      </c>
      <c r="AC31" s="1708">
        <v>0</v>
      </c>
      <c r="AD31" s="1702">
        <f t="shared" ref="AD31:AD34" si="21">$F$3*0.25</f>
        <v>0</v>
      </c>
      <c r="AE31" s="1699">
        <f t="shared" si="13"/>
        <v>3</v>
      </c>
      <c r="AF31" s="1707">
        <f>IF($D$3&gt;1,$D$3*0.5+2,2)</f>
        <v>3</v>
      </c>
      <c r="AG31" s="1708">
        <v>0</v>
      </c>
      <c r="AH31" s="1702">
        <f t="shared" ref="AH31:AH34" si="22">$F$3*0.25</f>
        <v>0</v>
      </c>
      <c r="AI31" s="1699">
        <f t="shared" si="14"/>
        <v>3</v>
      </c>
    </row>
    <row r="32" spans="1:35" x14ac:dyDescent="0.25">
      <c r="A32" s="1937"/>
      <c r="B32" s="19" t="s">
        <v>33</v>
      </c>
      <c r="C32" s="22"/>
      <c r="D32" s="493">
        <f>IF(D$3&gt;1,D$3*0.25,0.25)</f>
        <v>0.5</v>
      </c>
      <c r="E32" s="489">
        <v>0</v>
      </c>
      <c r="F32" s="630">
        <f>IF(F$3=1,D32+E32+2,0)</f>
        <v>0</v>
      </c>
      <c r="G32" s="21">
        <f t="shared" si="8"/>
        <v>0.5</v>
      </c>
      <c r="H32" s="493">
        <f>IF(H$3&gt;1,H$3*0.25,0.25)</f>
        <v>0.5</v>
      </c>
      <c r="I32" s="489">
        <v>0</v>
      </c>
      <c r="J32" s="630">
        <f>IF(J$3=1,H32+I32+2,0)</f>
        <v>0</v>
      </c>
      <c r="K32" s="21">
        <f t="shared" si="7"/>
        <v>0.5</v>
      </c>
      <c r="L32" s="493">
        <f>IF(L$3&gt;1,L$3*0.25,0.25)</f>
        <v>0.5</v>
      </c>
      <c r="M32" s="489">
        <v>0</v>
      </c>
      <c r="N32" s="630">
        <f>IF(N$3=1,L32+M32+2,0)</f>
        <v>0</v>
      </c>
      <c r="O32" s="21">
        <f t="shared" si="9"/>
        <v>0.5</v>
      </c>
      <c r="P32" s="493">
        <f>IF(P$3&gt;1,P$3*0.25,0.25)</f>
        <v>0.5</v>
      </c>
      <c r="Q32" s="489">
        <v>0</v>
      </c>
      <c r="R32" s="630">
        <f>IF(R$3=1,P32+Q32+2,0)</f>
        <v>0</v>
      </c>
      <c r="S32" s="21">
        <f t="shared" si="10"/>
        <v>0.5</v>
      </c>
      <c r="T32" s="493">
        <f>IF(T$3&gt;1,T$3*0.25,0.25)</f>
        <v>0.5</v>
      </c>
      <c r="U32" s="489">
        <v>0</v>
      </c>
      <c r="V32" s="630">
        <f>IF(V$3=1,T32+U32+2,0)</f>
        <v>0</v>
      </c>
      <c r="W32" s="21">
        <f t="shared" si="11"/>
        <v>0.5</v>
      </c>
      <c r="X32" s="493">
        <f>IF(X$3&gt;1,X$3*0.25,0.25)</f>
        <v>0.5</v>
      </c>
      <c r="Y32" s="489">
        <v>0</v>
      </c>
      <c r="Z32" s="630">
        <f>IF(Z$3=1,X32+Y32+2,0)</f>
        <v>0</v>
      </c>
      <c r="AA32" s="21">
        <f t="shared" si="12"/>
        <v>0.5</v>
      </c>
      <c r="AB32" s="493">
        <f>IF(AB$3&gt;1,AB$3*0.25,0.25)</f>
        <v>0.5</v>
      </c>
      <c r="AC32" s="489">
        <v>0</v>
      </c>
      <c r="AD32" s="630">
        <f>IF(AD$3=1,AB32+AC32+2,0)</f>
        <v>0</v>
      </c>
      <c r="AE32" s="21">
        <f t="shared" si="13"/>
        <v>0.5</v>
      </c>
      <c r="AF32" s="493">
        <f>IF(AF$3&gt;1,AF$3*0.25,0.25)</f>
        <v>0.5</v>
      </c>
      <c r="AG32" s="489">
        <v>0</v>
      </c>
      <c r="AH32" s="630">
        <f>IF(AH$3=1,AF32+AG32+2,0)</f>
        <v>0</v>
      </c>
      <c r="AI32" s="21">
        <f t="shared" si="14"/>
        <v>0.5</v>
      </c>
    </row>
    <row r="33" spans="1:35" x14ac:dyDescent="0.25">
      <c r="A33" s="1937"/>
      <c r="B33" s="19" t="s">
        <v>34</v>
      </c>
      <c r="C33" s="22"/>
      <c r="D33" s="493">
        <f>IF(D$3&gt;1,D$3*0.25,0.25)</f>
        <v>0.5</v>
      </c>
      <c r="E33" s="489">
        <v>0</v>
      </c>
      <c r="F33" s="630">
        <f>IF(F$3=1,D33+E33+4,0)</f>
        <v>0</v>
      </c>
      <c r="G33" s="21">
        <f t="shared" si="8"/>
        <v>0.5</v>
      </c>
      <c r="H33" s="493">
        <f>IF(H$3&gt;1,H$3*0.25,0.25)</f>
        <v>0.5</v>
      </c>
      <c r="I33" s="489">
        <v>0</v>
      </c>
      <c r="J33" s="630">
        <f>IF(J$3=1,H33+I33+4,0)</f>
        <v>0</v>
      </c>
      <c r="K33" s="21">
        <f t="shared" si="7"/>
        <v>0.5</v>
      </c>
      <c r="L33" s="493">
        <f>IF(L$3&gt;1,L$3*0.25,0.25)</f>
        <v>0.5</v>
      </c>
      <c r="M33" s="489">
        <v>0</v>
      </c>
      <c r="N33" s="630">
        <f>IF(N$3=1,L33+M33+4,0)</f>
        <v>0</v>
      </c>
      <c r="O33" s="21">
        <f t="shared" si="9"/>
        <v>0.5</v>
      </c>
      <c r="P33" s="493">
        <f>IF(P$3&gt;1,P$3*0.25,0.25)</f>
        <v>0.5</v>
      </c>
      <c r="Q33" s="489">
        <v>0</v>
      </c>
      <c r="R33" s="630">
        <f>IF(R$3=1,P33+Q33+4,0)</f>
        <v>0</v>
      </c>
      <c r="S33" s="21">
        <f t="shared" si="10"/>
        <v>0.5</v>
      </c>
      <c r="T33" s="493">
        <f>IF(T$3&gt;1,T$3*0.25,0.25)</f>
        <v>0.5</v>
      </c>
      <c r="U33" s="489">
        <v>0</v>
      </c>
      <c r="V33" s="630">
        <f>IF(V$3=1,T33+U33+4,0)</f>
        <v>0</v>
      </c>
      <c r="W33" s="21">
        <f t="shared" si="11"/>
        <v>0.5</v>
      </c>
      <c r="X33" s="493">
        <f>IF(X$3&gt;1,X$3*0.25,0.25)</f>
        <v>0.5</v>
      </c>
      <c r="Y33" s="489">
        <v>0</v>
      </c>
      <c r="Z33" s="630">
        <f>IF(Z$3=1,X33+Y33+4,0)</f>
        <v>0</v>
      </c>
      <c r="AA33" s="21">
        <f t="shared" si="12"/>
        <v>0.5</v>
      </c>
      <c r="AB33" s="493">
        <f>IF(AB$3&gt;1,AB$3*0.25,0.25)</f>
        <v>0.5</v>
      </c>
      <c r="AC33" s="489">
        <v>0</v>
      </c>
      <c r="AD33" s="630">
        <f>IF(AD$3=1,AB33+AC33+4,0)</f>
        <v>0</v>
      </c>
      <c r="AE33" s="21">
        <f t="shared" si="13"/>
        <v>0.5</v>
      </c>
      <c r="AF33" s="493">
        <f>IF(AF$3&gt;1,AF$3*0.25,0.25)</f>
        <v>0.5</v>
      </c>
      <c r="AG33" s="489">
        <v>0</v>
      </c>
      <c r="AH33" s="630">
        <f>IF(AH$3=1,AF33+AG33+4,0)</f>
        <v>0</v>
      </c>
      <c r="AI33" s="21">
        <f t="shared" si="14"/>
        <v>0.5</v>
      </c>
    </row>
    <row r="34" spans="1:35" x14ac:dyDescent="0.25">
      <c r="A34" s="1937" t="s">
        <v>10</v>
      </c>
      <c r="B34" s="1721" t="s">
        <v>32</v>
      </c>
      <c r="C34" s="22"/>
      <c r="D34" s="1707">
        <v>0.5</v>
      </c>
      <c r="E34" s="1708">
        <v>0</v>
      </c>
      <c r="F34" s="1709">
        <f t="shared" si="15"/>
        <v>0</v>
      </c>
      <c r="G34" s="1699">
        <f t="shared" si="8"/>
        <v>0.5</v>
      </c>
      <c r="H34" s="1707">
        <v>0.5</v>
      </c>
      <c r="I34" s="1708">
        <v>0</v>
      </c>
      <c r="J34" s="1709">
        <f t="shared" si="16"/>
        <v>0</v>
      </c>
      <c r="K34" s="1699">
        <f t="shared" si="7"/>
        <v>0.5</v>
      </c>
      <c r="L34" s="1707">
        <v>0.5</v>
      </c>
      <c r="M34" s="1708">
        <v>0</v>
      </c>
      <c r="N34" s="1709">
        <f t="shared" si="17"/>
        <v>0</v>
      </c>
      <c r="O34" s="1699">
        <f t="shared" si="9"/>
        <v>0.5</v>
      </c>
      <c r="P34" s="1707">
        <v>0.5</v>
      </c>
      <c r="Q34" s="1708">
        <v>0</v>
      </c>
      <c r="R34" s="1709">
        <f t="shared" si="18"/>
        <v>0</v>
      </c>
      <c r="S34" s="1699">
        <f t="shared" si="10"/>
        <v>0.5</v>
      </c>
      <c r="T34" s="1707">
        <v>0.5</v>
      </c>
      <c r="U34" s="1708">
        <v>0</v>
      </c>
      <c r="V34" s="1709">
        <f t="shared" si="19"/>
        <v>0</v>
      </c>
      <c r="W34" s="1699">
        <f t="shared" si="11"/>
        <v>0.5</v>
      </c>
      <c r="X34" s="1707">
        <v>0.5</v>
      </c>
      <c r="Y34" s="1708">
        <v>0</v>
      </c>
      <c r="Z34" s="1709">
        <f t="shared" si="20"/>
        <v>0</v>
      </c>
      <c r="AA34" s="1699">
        <f t="shared" si="12"/>
        <v>0.5</v>
      </c>
      <c r="AB34" s="1707">
        <v>0.5</v>
      </c>
      <c r="AC34" s="1708">
        <v>0</v>
      </c>
      <c r="AD34" s="1709">
        <f t="shared" si="21"/>
        <v>0</v>
      </c>
      <c r="AE34" s="1699">
        <f t="shared" si="13"/>
        <v>0.5</v>
      </c>
      <c r="AF34" s="1707">
        <v>0.5</v>
      </c>
      <c r="AG34" s="1708">
        <v>0</v>
      </c>
      <c r="AH34" s="1709">
        <f t="shared" si="22"/>
        <v>0</v>
      </c>
      <c r="AI34" s="1699">
        <f t="shared" si="14"/>
        <v>0.5</v>
      </c>
    </row>
    <row r="35" spans="1:35" x14ac:dyDescent="0.25">
      <c r="A35" s="1937"/>
      <c r="B35" s="19" t="s">
        <v>33</v>
      </c>
      <c r="C35" s="22"/>
      <c r="D35" s="482">
        <v>1</v>
      </c>
      <c r="E35" s="478">
        <f>IF(E$3&gt;1,0.25*E$3,0.5)</f>
        <v>0.5</v>
      </c>
      <c r="F35" s="493">
        <f>IF(F$3=1,D35+2,0)</f>
        <v>0</v>
      </c>
      <c r="G35" s="21">
        <f t="shared" si="8"/>
        <v>1.5</v>
      </c>
      <c r="H35" s="482">
        <v>1</v>
      </c>
      <c r="I35" s="478">
        <f>IF(I$3&gt;1,0.25*I$3,0.5)</f>
        <v>0.5</v>
      </c>
      <c r="J35" s="493">
        <f>IF(J$3=1,H35+2,0)</f>
        <v>0</v>
      </c>
      <c r="K35" s="21">
        <f t="shared" si="7"/>
        <v>1.5</v>
      </c>
      <c r="L35" s="482">
        <v>1</v>
      </c>
      <c r="M35" s="478">
        <f>IF(M$3&gt;1,0.25*M$3,0.5)</f>
        <v>0.5</v>
      </c>
      <c r="N35" s="493">
        <f>IF(N$3=1,L35+2,0)</f>
        <v>0</v>
      </c>
      <c r="O35" s="21">
        <f t="shared" si="9"/>
        <v>1.5</v>
      </c>
      <c r="P35" s="482">
        <v>1</v>
      </c>
      <c r="Q35" s="478">
        <f>IF(Q$3&gt;1,0.25*Q$3,0.5)</f>
        <v>0.5</v>
      </c>
      <c r="R35" s="493">
        <f>IF(R$3=1,P35+2,0)</f>
        <v>0</v>
      </c>
      <c r="S35" s="21">
        <f t="shared" si="10"/>
        <v>1.5</v>
      </c>
      <c r="T35" s="482">
        <v>1</v>
      </c>
      <c r="U35" s="478">
        <f>IF(U$3&gt;1,0.25*U$3,0.5)</f>
        <v>0.5</v>
      </c>
      <c r="V35" s="493">
        <f>IF(V$3=1,T35+2,0)</f>
        <v>0</v>
      </c>
      <c r="W35" s="21">
        <f t="shared" si="11"/>
        <v>1.5</v>
      </c>
      <c r="X35" s="482">
        <v>1</v>
      </c>
      <c r="Y35" s="478">
        <f>IF(Y$3&gt;1,0.25*Y$3,0.5)</f>
        <v>0.5</v>
      </c>
      <c r="Z35" s="493">
        <f>IF(Z$3=1,X35+2,0)</f>
        <v>0</v>
      </c>
      <c r="AA35" s="21">
        <f t="shared" si="12"/>
        <v>1.5</v>
      </c>
      <c r="AB35" s="482">
        <v>1</v>
      </c>
      <c r="AC35" s="478">
        <f>IF(AC$3&gt;1,0.25*AC$3,0.5)</f>
        <v>0.5</v>
      </c>
      <c r="AD35" s="493">
        <f>IF(AD$3=1,AB35+2,0)</f>
        <v>0</v>
      </c>
      <c r="AE35" s="21">
        <f t="shared" si="13"/>
        <v>1.5</v>
      </c>
      <c r="AF35" s="482">
        <v>1</v>
      </c>
      <c r="AG35" s="478">
        <f>IF(AG$3&gt;1,0.25*AG$3,0.5)</f>
        <v>0.5</v>
      </c>
      <c r="AH35" s="493">
        <f>IF(AH$3=1,AF35+2,0)</f>
        <v>0</v>
      </c>
      <c r="AI35" s="21">
        <f t="shared" si="14"/>
        <v>1.5</v>
      </c>
    </row>
    <row r="36" spans="1:35" ht="15.75" thickBot="1" x14ac:dyDescent="0.3">
      <c r="A36" s="1938"/>
      <c r="B36" s="13" t="s">
        <v>34</v>
      </c>
      <c r="C36" s="34"/>
      <c r="D36" s="491">
        <v>1.5</v>
      </c>
      <c r="E36" s="478">
        <f>IF(E$3&gt;1,0.25*E$3,0.5)</f>
        <v>0.5</v>
      </c>
      <c r="F36" s="493">
        <f>IF(F$3=1,D36+2.5,0)</f>
        <v>0</v>
      </c>
      <c r="G36" s="24">
        <f t="shared" si="8"/>
        <v>2</v>
      </c>
      <c r="H36" s="491">
        <v>1.5</v>
      </c>
      <c r="I36" s="478">
        <f>IF(I$3&gt;1,0.25*I$3,0.5)</f>
        <v>0.5</v>
      </c>
      <c r="J36" s="493">
        <f>IF(J$3=1,H36+2.5,0)</f>
        <v>0</v>
      </c>
      <c r="K36" s="24">
        <f t="shared" si="7"/>
        <v>2</v>
      </c>
      <c r="L36" s="491">
        <v>1.5</v>
      </c>
      <c r="M36" s="478">
        <f>IF(M$3&gt;1,0.25*M$3,0.5)</f>
        <v>0.5</v>
      </c>
      <c r="N36" s="493">
        <f>IF(N$3=1,L36+2.5,0)</f>
        <v>0</v>
      </c>
      <c r="O36" s="24">
        <f t="shared" si="9"/>
        <v>2</v>
      </c>
      <c r="P36" s="491">
        <v>1.5</v>
      </c>
      <c r="Q36" s="478">
        <f>IF(Q$3&gt;1,0.25*Q$3,0.5)</f>
        <v>0.5</v>
      </c>
      <c r="R36" s="493">
        <f>IF(R$3=1,P36+2.5,0)</f>
        <v>0</v>
      </c>
      <c r="S36" s="24">
        <f t="shared" si="10"/>
        <v>2</v>
      </c>
      <c r="T36" s="491">
        <v>1.5</v>
      </c>
      <c r="U36" s="478">
        <f>IF(U$3&gt;1,0.25*U$3,0.5)</f>
        <v>0.5</v>
      </c>
      <c r="V36" s="493">
        <f>IF(V$3=1,T36+2.5,0)</f>
        <v>0</v>
      </c>
      <c r="W36" s="24">
        <f t="shared" si="11"/>
        <v>2</v>
      </c>
      <c r="X36" s="491">
        <v>1.5</v>
      </c>
      <c r="Y36" s="478">
        <f>IF(Y$3&gt;1,0.25*Y$3,0.5)</f>
        <v>0.5</v>
      </c>
      <c r="Z36" s="493">
        <f>IF(Z$3=1,X36+2.5,0)</f>
        <v>0</v>
      </c>
      <c r="AA36" s="24">
        <f t="shared" si="12"/>
        <v>2</v>
      </c>
      <c r="AB36" s="491">
        <v>1.5</v>
      </c>
      <c r="AC36" s="478">
        <f>IF(AC$3&gt;1,0.25*AC$3,0.5)</f>
        <v>0.5</v>
      </c>
      <c r="AD36" s="493">
        <f>IF(AD$3=1,AB36+2.5,0)</f>
        <v>0</v>
      </c>
      <c r="AE36" s="24">
        <f t="shared" si="13"/>
        <v>2</v>
      </c>
      <c r="AF36" s="491">
        <v>1.5</v>
      </c>
      <c r="AG36" s="478">
        <f>IF(AG$3&gt;1,0.25*AG$3,0.5)</f>
        <v>0.5</v>
      </c>
      <c r="AH36" s="493">
        <f>IF(AH$3=1,AF36+2.5,0)</f>
        <v>0</v>
      </c>
      <c r="AI36" s="24">
        <f t="shared" si="14"/>
        <v>2</v>
      </c>
    </row>
    <row r="37" spans="1:35" ht="16.5" thickBot="1" x14ac:dyDescent="0.3">
      <c r="A37" s="330" t="s">
        <v>11</v>
      </c>
      <c r="B37" s="329"/>
      <c r="C37" s="329"/>
      <c r="D37" s="329"/>
      <c r="E37" s="329"/>
      <c r="F37" s="327"/>
      <c r="G37" s="327"/>
      <c r="H37" s="329"/>
      <c r="I37" s="329"/>
      <c r="J37" s="327"/>
      <c r="K37" s="327"/>
      <c r="L37" s="329"/>
      <c r="M37" s="329"/>
      <c r="N37" s="327"/>
      <c r="O37" s="327"/>
      <c r="P37" s="329"/>
      <c r="Q37" s="329"/>
      <c r="R37" s="327"/>
      <c r="S37" s="327"/>
      <c r="T37" s="329"/>
      <c r="U37" s="329"/>
      <c r="V37" s="327"/>
      <c r="W37" s="327"/>
      <c r="X37" s="329"/>
      <c r="Y37" s="329"/>
      <c r="Z37" s="327"/>
      <c r="AA37" s="327"/>
      <c r="AB37" s="329"/>
      <c r="AC37" s="329"/>
      <c r="AD37" s="327"/>
      <c r="AE37" s="327"/>
      <c r="AF37" s="329"/>
      <c r="AG37" s="329"/>
      <c r="AH37" s="327"/>
      <c r="AI37" s="396"/>
    </row>
    <row r="38" spans="1:35" ht="15" customHeight="1" x14ac:dyDescent="0.25">
      <c r="A38" s="1932" t="s">
        <v>12</v>
      </c>
      <c r="B38" s="1718" t="s">
        <v>32</v>
      </c>
      <c r="C38" s="324"/>
      <c r="D38" s="1710">
        <v>3</v>
      </c>
      <c r="E38" s="1697">
        <f>IF($E$3&gt;1,2,1)</f>
        <v>1</v>
      </c>
      <c r="F38" s="1711">
        <f>0.5*$F$3</f>
        <v>0</v>
      </c>
      <c r="G38" s="1706">
        <f xml:space="preserve"> SUM(D38:F38) + $C38</f>
        <v>4</v>
      </c>
      <c r="H38" s="1710">
        <v>3</v>
      </c>
      <c r="I38" s="1697">
        <f>IF($E$3&gt;1,2,1)</f>
        <v>1</v>
      </c>
      <c r="J38" s="1711">
        <f>0.5*$F$3</f>
        <v>0</v>
      </c>
      <c r="K38" s="1706">
        <f t="shared" si="7"/>
        <v>4</v>
      </c>
      <c r="L38" s="1710">
        <v>3</v>
      </c>
      <c r="M38" s="1697">
        <f>IF($E$3&gt;1,2,1)</f>
        <v>1</v>
      </c>
      <c r="N38" s="1711">
        <f>0.5*$F$3</f>
        <v>0</v>
      </c>
      <c r="O38" s="1706">
        <f xml:space="preserve"> SUM(L38:N38) + $C38</f>
        <v>4</v>
      </c>
      <c r="P38" s="1710">
        <v>3</v>
      </c>
      <c r="Q38" s="1697">
        <f>IF($E$3&gt;1,2,1)</f>
        <v>1</v>
      </c>
      <c r="R38" s="1711">
        <f>0.5*$F$3</f>
        <v>0</v>
      </c>
      <c r="S38" s="1706">
        <f xml:space="preserve"> SUM(P38:R38) + $C38</f>
        <v>4</v>
      </c>
      <c r="T38" s="1710">
        <v>3</v>
      </c>
      <c r="U38" s="1697">
        <f>IF($E$3&gt;1,2,1)</f>
        <v>1</v>
      </c>
      <c r="V38" s="1711">
        <f>0.5*$F$3</f>
        <v>0</v>
      </c>
      <c r="W38" s="1706">
        <f xml:space="preserve"> SUM(T38:V38) + $C38</f>
        <v>4</v>
      </c>
      <c r="X38" s="1710">
        <v>3</v>
      </c>
      <c r="Y38" s="1697">
        <f>IF($E$3&gt;1,2,1)</f>
        <v>1</v>
      </c>
      <c r="Z38" s="1711">
        <f>0.5*$F$3</f>
        <v>0</v>
      </c>
      <c r="AA38" s="1706">
        <f xml:space="preserve"> SUM(X38:Z38) + $C38</f>
        <v>4</v>
      </c>
      <c r="AB38" s="1710">
        <v>3</v>
      </c>
      <c r="AC38" s="1697">
        <f>IF($E$3&gt;1,2,1)</f>
        <v>1</v>
      </c>
      <c r="AD38" s="1711">
        <f>0.5*$F$3</f>
        <v>0</v>
      </c>
      <c r="AE38" s="1706">
        <f xml:space="preserve"> SUM(AB38:AD38) + $C38</f>
        <v>4</v>
      </c>
      <c r="AF38" s="1710">
        <v>3</v>
      </c>
      <c r="AG38" s="1697">
        <f>IF($E$3&gt;1,2,1)</f>
        <v>1</v>
      </c>
      <c r="AH38" s="1711">
        <f>0.5*$F$3</f>
        <v>0</v>
      </c>
      <c r="AI38" s="1706">
        <f xml:space="preserve"> SUM(AF38:AH38) + $C38</f>
        <v>4</v>
      </c>
    </row>
    <row r="39" spans="1:35" x14ac:dyDescent="0.25">
      <c r="A39" s="1932"/>
      <c r="B39" s="19" t="s">
        <v>33</v>
      </c>
      <c r="C39" s="22"/>
      <c r="D39" s="485">
        <v>4</v>
      </c>
      <c r="E39" s="478">
        <f>IF(E$3&gt;1,0.5*E$3,1)</f>
        <v>1</v>
      </c>
      <c r="F39" s="630">
        <f>IF(F$3=1,D39+E39+14,0)</f>
        <v>0</v>
      </c>
      <c r="G39" s="21">
        <f xml:space="preserve"> SUM(D39:F39) + $C39</f>
        <v>5</v>
      </c>
      <c r="H39" s="485">
        <v>4</v>
      </c>
      <c r="I39" s="478">
        <f>IF(I$3&gt;1,0.5*I$3,1)</f>
        <v>1</v>
      </c>
      <c r="J39" s="630">
        <f>IF(J$3=1,H39+I39+14,0)</f>
        <v>0</v>
      </c>
      <c r="K39" s="21">
        <f t="shared" si="7"/>
        <v>5</v>
      </c>
      <c r="L39" s="485">
        <v>4</v>
      </c>
      <c r="M39" s="478">
        <f>IF(M$3&gt;1,0.5*M$3,1)</f>
        <v>1</v>
      </c>
      <c r="N39" s="630">
        <f>IF(N$3=1,L39+M39+14,0)</f>
        <v>0</v>
      </c>
      <c r="O39" s="21">
        <f xml:space="preserve"> SUM(L39:N39) + $C39</f>
        <v>5</v>
      </c>
      <c r="P39" s="485">
        <v>4</v>
      </c>
      <c r="Q39" s="478">
        <f>IF(Q$3&gt;1,0.5*Q$3,1)</f>
        <v>1</v>
      </c>
      <c r="R39" s="630">
        <f>IF(R$3=1,P39+Q39+14,0)</f>
        <v>0</v>
      </c>
      <c r="S39" s="21">
        <f xml:space="preserve"> SUM(P39:R39) + $C39</f>
        <v>5</v>
      </c>
      <c r="T39" s="485">
        <v>4</v>
      </c>
      <c r="U39" s="478">
        <f>IF(U$3&gt;1,0.5*U$3,1)</f>
        <v>1</v>
      </c>
      <c r="V39" s="630">
        <f>IF(V$3=1,T39+U39+14,0)</f>
        <v>0</v>
      </c>
      <c r="W39" s="21">
        <f xml:space="preserve"> SUM(T39:V39) + $C39</f>
        <v>5</v>
      </c>
      <c r="X39" s="485">
        <v>4</v>
      </c>
      <c r="Y39" s="478">
        <f>IF(Y$3&gt;1,0.5*Y$3,1)</f>
        <v>1</v>
      </c>
      <c r="Z39" s="630">
        <f>IF(Z$3=1,X39+Y39+14,0)</f>
        <v>0</v>
      </c>
      <c r="AA39" s="21">
        <f xml:space="preserve"> SUM(X39:Z39) + $C39</f>
        <v>5</v>
      </c>
      <c r="AB39" s="485">
        <v>4</v>
      </c>
      <c r="AC39" s="478">
        <f>IF(AC$3&gt;1,0.5*AC$3,1)</f>
        <v>1</v>
      </c>
      <c r="AD39" s="630">
        <f>IF(AD$3=1,AB39+AC39+14,0)</f>
        <v>0</v>
      </c>
      <c r="AE39" s="21">
        <f xml:space="preserve"> SUM(AB39:AD39) + $C39</f>
        <v>5</v>
      </c>
      <c r="AF39" s="485">
        <v>4</v>
      </c>
      <c r="AG39" s="478">
        <f>IF(AG$3&gt;1,0.5*AG$3,1)</f>
        <v>1</v>
      </c>
      <c r="AH39" s="630">
        <f>IF(AH$3=1,AF39+AG39+14,0)</f>
        <v>0</v>
      </c>
      <c r="AI39" s="21">
        <f xml:space="preserve"> SUM(AF39:AH39) + $C39</f>
        <v>5</v>
      </c>
    </row>
    <row r="40" spans="1:35" ht="15.75" thickBot="1" x14ac:dyDescent="0.3">
      <c r="A40" s="1932"/>
      <c r="B40" s="13" t="s">
        <v>34</v>
      </c>
      <c r="C40" s="34"/>
      <c r="D40" s="500">
        <v>6</v>
      </c>
      <c r="E40" s="478">
        <f>IF(E$3&gt;1,0.5*E$3,1)</f>
        <v>1</v>
      </c>
      <c r="F40" s="630">
        <f>IF(F$3=1,D40+E40+24,0)</f>
        <v>0</v>
      </c>
      <c r="G40" s="24">
        <f xml:space="preserve"> SUM(D40:F40) + $C40</f>
        <v>7</v>
      </c>
      <c r="H40" s="500">
        <v>6</v>
      </c>
      <c r="I40" s="478">
        <f>IF(I$3&gt;1,0.5*I$3,1)</f>
        <v>1</v>
      </c>
      <c r="J40" s="630">
        <f>IF(J$3=1,H40+I40+24,0)</f>
        <v>0</v>
      </c>
      <c r="K40" s="24">
        <f t="shared" si="7"/>
        <v>7</v>
      </c>
      <c r="L40" s="500">
        <v>6</v>
      </c>
      <c r="M40" s="478">
        <f>IF(M$3&gt;1,0.5*M$3,1)</f>
        <v>1</v>
      </c>
      <c r="N40" s="630">
        <f>IF(N$3=1,L40+M40+24,0)</f>
        <v>0</v>
      </c>
      <c r="O40" s="24">
        <f xml:space="preserve"> SUM(L40:N40) + $C40</f>
        <v>7</v>
      </c>
      <c r="P40" s="500">
        <v>6</v>
      </c>
      <c r="Q40" s="478">
        <f>IF(Q$3&gt;1,0.5*Q$3,1)</f>
        <v>1</v>
      </c>
      <c r="R40" s="630">
        <f>IF(R$3=1,P40+Q40+24,0)</f>
        <v>0</v>
      </c>
      <c r="S40" s="24">
        <f xml:space="preserve"> SUM(P40:R40) + $C40</f>
        <v>7</v>
      </c>
      <c r="T40" s="500">
        <v>6</v>
      </c>
      <c r="U40" s="478">
        <f>IF(U$3&gt;1,0.5*U$3,1)</f>
        <v>1</v>
      </c>
      <c r="V40" s="630">
        <f>IF(V$3=1,T40+U40+24,0)</f>
        <v>0</v>
      </c>
      <c r="W40" s="24">
        <f xml:space="preserve"> SUM(T40:V40) + $C40</f>
        <v>7</v>
      </c>
      <c r="X40" s="500">
        <v>6</v>
      </c>
      <c r="Y40" s="478">
        <f>IF(Y$3&gt;1,0.5*Y$3,1)</f>
        <v>1</v>
      </c>
      <c r="Z40" s="630">
        <f>IF(Z$3=1,X40+Y40+24,0)</f>
        <v>0</v>
      </c>
      <c r="AA40" s="24">
        <f xml:space="preserve"> SUM(X40:Z40) + $C40</f>
        <v>7</v>
      </c>
      <c r="AB40" s="500">
        <v>6</v>
      </c>
      <c r="AC40" s="478">
        <f>IF(AC$3&gt;1,0.5*AC$3,1)</f>
        <v>1</v>
      </c>
      <c r="AD40" s="630">
        <f>IF(AD$3=1,AB40+AC40+24,0)</f>
        <v>0</v>
      </c>
      <c r="AE40" s="24">
        <f xml:space="preserve"> SUM(AB40:AD40) + $C40</f>
        <v>7</v>
      </c>
      <c r="AF40" s="500">
        <v>6</v>
      </c>
      <c r="AG40" s="478">
        <f>IF(AG$3&gt;1,0.5*AG$3,1)</f>
        <v>1</v>
      </c>
      <c r="AH40" s="630">
        <f>IF(AH$3=1,AF40+AG40+24,0)</f>
        <v>0</v>
      </c>
      <c r="AI40" s="24">
        <f xml:space="preserve"> SUM(AF40:AH40) + $C40</f>
        <v>7</v>
      </c>
    </row>
    <row r="41" spans="1:35" ht="16.5" thickBot="1" x14ac:dyDescent="0.3">
      <c r="A41" s="330" t="s">
        <v>13</v>
      </c>
      <c r="B41" s="329"/>
      <c r="C41" s="329"/>
      <c r="D41" s="329"/>
      <c r="E41" s="329"/>
      <c r="F41" s="327"/>
      <c r="G41" s="327"/>
      <c r="H41" s="329"/>
      <c r="I41" s="329"/>
      <c r="J41" s="327"/>
      <c r="K41" s="327"/>
      <c r="L41" s="329"/>
      <c r="M41" s="329"/>
      <c r="N41" s="327"/>
      <c r="O41" s="327"/>
      <c r="P41" s="329"/>
      <c r="Q41" s="329"/>
      <c r="R41" s="327"/>
      <c r="S41" s="327"/>
      <c r="T41" s="329"/>
      <c r="U41" s="329"/>
      <c r="V41" s="327"/>
      <c r="W41" s="327"/>
      <c r="X41" s="329"/>
      <c r="Y41" s="329"/>
      <c r="Z41" s="327"/>
      <c r="AA41" s="327"/>
      <c r="AB41" s="329"/>
      <c r="AC41" s="329"/>
      <c r="AD41" s="327"/>
      <c r="AE41" s="327"/>
      <c r="AF41" s="329"/>
      <c r="AG41" s="329"/>
      <c r="AH41" s="327"/>
      <c r="AI41" s="396"/>
    </row>
    <row r="42" spans="1:35" x14ac:dyDescent="0.25">
      <c r="A42" s="1932" t="s">
        <v>558</v>
      </c>
      <c r="B42" s="1718" t="s">
        <v>32</v>
      </c>
      <c r="C42" s="106"/>
      <c r="D42" s="1703">
        <f>IF($D$3&gt;1,1.5,1)</f>
        <v>1.5</v>
      </c>
      <c r="E42" s="1712">
        <f t="shared" ref="E42:E45" si="23">IF($E$3&gt;1,1,0.5)</f>
        <v>0.5</v>
      </c>
      <c r="F42" s="1705">
        <v>0</v>
      </c>
      <c r="G42" s="1706">
        <f t="shared" ref="G42:G86" si="24" xml:space="preserve"> SUM(D42:F42) + $C42</f>
        <v>2</v>
      </c>
      <c r="H42" s="1703">
        <f>IF($D$3&gt;1,1.5,1)</f>
        <v>1.5</v>
      </c>
      <c r="I42" s="1712">
        <f t="shared" ref="I42:I45" si="25">IF($E$3&gt;1,1,0.5)</f>
        <v>0.5</v>
      </c>
      <c r="J42" s="1705">
        <v>0</v>
      </c>
      <c r="K42" s="1706">
        <f t="shared" si="7"/>
        <v>2</v>
      </c>
      <c r="L42" s="1703">
        <f>IF($D$3&gt;1,1.5,1)</f>
        <v>1.5</v>
      </c>
      <c r="M42" s="1712">
        <f t="shared" ref="M42:M45" si="26">IF($E$3&gt;1,1,0.5)</f>
        <v>0.5</v>
      </c>
      <c r="N42" s="1705">
        <v>0</v>
      </c>
      <c r="O42" s="1706">
        <f t="shared" ref="O42:O86" si="27" xml:space="preserve"> SUM(L42:N42) + $C42</f>
        <v>2</v>
      </c>
      <c r="P42" s="1703">
        <f>IF($D$3&gt;1,1.5,1)</f>
        <v>1.5</v>
      </c>
      <c r="Q42" s="1712">
        <f t="shared" ref="Q42:Q45" si="28">IF($E$3&gt;1,1,0.5)</f>
        <v>0.5</v>
      </c>
      <c r="R42" s="1705">
        <v>0</v>
      </c>
      <c r="S42" s="1706">
        <f t="shared" ref="S42:S86" si="29" xml:space="preserve"> SUM(P42:R42) + $C42</f>
        <v>2</v>
      </c>
      <c r="T42" s="1703">
        <f>IF($D$3&gt;1,1.5,1)</f>
        <v>1.5</v>
      </c>
      <c r="U42" s="1712">
        <f t="shared" ref="U42:U45" si="30">IF($E$3&gt;1,1,0.5)</f>
        <v>0.5</v>
      </c>
      <c r="V42" s="1705">
        <v>0</v>
      </c>
      <c r="W42" s="1706">
        <f t="shared" ref="W42:W86" si="31" xml:space="preserve"> SUM(T42:V42) + $C42</f>
        <v>2</v>
      </c>
      <c r="X42" s="1703">
        <f>IF($D$3&gt;1,1.5,1)</f>
        <v>1.5</v>
      </c>
      <c r="Y42" s="1712">
        <f t="shared" ref="Y42:Y45" si="32">IF($E$3&gt;1,1,0.5)</f>
        <v>0.5</v>
      </c>
      <c r="Z42" s="1705">
        <v>0</v>
      </c>
      <c r="AA42" s="1706">
        <f t="shared" ref="AA42:AA86" si="33" xml:space="preserve"> SUM(X42:Z42) + $C42</f>
        <v>2</v>
      </c>
      <c r="AB42" s="1703">
        <f>IF($D$3&gt;1,1.5,1)</f>
        <v>1.5</v>
      </c>
      <c r="AC42" s="1712">
        <f t="shared" ref="AC42:AC45" si="34">IF($E$3&gt;1,1,0.5)</f>
        <v>0.5</v>
      </c>
      <c r="AD42" s="1705">
        <v>0</v>
      </c>
      <c r="AE42" s="1706">
        <f t="shared" ref="AE42:AE86" si="35" xml:space="preserve"> SUM(AB42:AD42) + $C42</f>
        <v>2</v>
      </c>
      <c r="AF42" s="1703">
        <f>IF($D$3&gt;1,1.5,1)</f>
        <v>1.5</v>
      </c>
      <c r="AG42" s="1712">
        <f t="shared" ref="AG42:AG45" si="36">IF($E$3&gt;1,1,0.5)</f>
        <v>0.5</v>
      </c>
      <c r="AH42" s="1705">
        <v>0</v>
      </c>
      <c r="AI42" s="1706">
        <f t="shared" ref="AI42:AI86" si="37" xml:space="preserve"> SUM(AF42:AH42) + $C42</f>
        <v>2</v>
      </c>
    </row>
    <row r="43" spans="1:35" x14ac:dyDescent="0.25">
      <c r="A43" s="1932"/>
      <c r="B43" s="19" t="s">
        <v>33</v>
      </c>
      <c r="C43" s="22"/>
      <c r="D43" s="493">
        <f>IF(D$3&gt;1,0.25*D$3,0.5)</f>
        <v>0.5</v>
      </c>
      <c r="E43" s="484">
        <v>0</v>
      </c>
      <c r="F43" s="484">
        <v>0</v>
      </c>
      <c r="G43" s="21">
        <f t="shared" si="24"/>
        <v>0.5</v>
      </c>
      <c r="H43" s="493">
        <f>IF(H$3&gt;1,0.25*H$3,0.5)</f>
        <v>0.5</v>
      </c>
      <c r="I43" s="484">
        <v>0</v>
      </c>
      <c r="J43" s="484">
        <v>0</v>
      </c>
      <c r="K43" s="21">
        <f t="shared" si="7"/>
        <v>0.5</v>
      </c>
      <c r="L43" s="493">
        <f>IF(L$3&gt;1,0.25*L$3,0.5)</f>
        <v>0.5</v>
      </c>
      <c r="M43" s="484">
        <v>0</v>
      </c>
      <c r="N43" s="484">
        <v>0</v>
      </c>
      <c r="O43" s="21">
        <f t="shared" si="27"/>
        <v>0.5</v>
      </c>
      <c r="P43" s="493">
        <f>IF(P$3&gt;1,0.25*P$3,0.5)</f>
        <v>0.5</v>
      </c>
      <c r="Q43" s="484">
        <v>0</v>
      </c>
      <c r="R43" s="484">
        <v>0</v>
      </c>
      <c r="S43" s="21">
        <f t="shared" si="29"/>
        <v>0.5</v>
      </c>
      <c r="T43" s="493">
        <f>IF(T$3&gt;1,0.25*T$3,0.5)</f>
        <v>0.5</v>
      </c>
      <c r="U43" s="484">
        <v>0</v>
      </c>
      <c r="V43" s="484">
        <v>0</v>
      </c>
      <c r="W43" s="21">
        <f t="shared" si="31"/>
        <v>0.5</v>
      </c>
      <c r="X43" s="493">
        <f>IF(X$3&gt;1,0.25*X$3,0.5)</f>
        <v>0.5</v>
      </c>
      <c r="Y43" s="484">
        <v>0</v>
      </c>
      <c r="Z43" s="484">
        <v>0</v>
      </c>
      <c r="AA43" s="21">
        <f t="shared" si="33"/>
        <v>0.5</v>
      </c>
      <c r="AB43" s="493">
        <f>IF(AB$3&gt;1,0.25*AB$3,0.5)</f>
        <v>0.5</v>
      </c>
      <c r="AC43" s="484">
        <v>0</v>
      </c>
      <c r="AD43" s="484">
        <v>0</v>
      </c>
      <c r="AE43" s="21">
        <f t="shared" si="35"/>
        <v>0.5</v>
      </c>
      <c r="AF43" s="493">
        <f>IF(AF$3&gt;1,0.25*AF$3,0.5)</f>
        <v>0.5</v>
      </c>
      <c r="AG43" s="484">
        <v>0</v>
      </c>
      <c r="AH43" s="484">
        <v>0</v>
      </c>
      <c r="AI43" s="21">
        <f t="shared" si="37"/>
        <v>0.5</v>
      </c>
    </row>
    <row r="44" spans="1:35" x14ac:dyDescent="0.25">
      <c r="A44" s="1932"/>
      <c r="B44" s="19" t="s">
        <v>34</v>
      </c>
      <c r="C44" s="22"/>
      <c r="D44" s="493">
        <f>IF(D$3&gt;1,0.25*D$3,0.5)</f>
        <v>0.5</v>
      </c>
      <c r="E44" s="484">
        <v>0</v>
      </c>
      <c r="F44" s="484">
        <v>0</v>
      </c>
      <c r="G44" s="21">
        <f t="shared" si="24"/>
        <v>0.5</v>
      </c>
      <c r="H44" s="493">
        <f>IF(H$3&gt;1,0.25*H$3,0.5)</f>
        <v>0.5</v>
      </c>
      <c r="I44" s="484">
        <v>0</v>
      </c>
      <c r="J44" s="484">
        <v>0</v>
      </c>
      <c r="K44" s="21">
        <f t="shared" si="7"/>
        <v>0.5</v>
      </c>
      <c r="L44" s="493">
        <f>IF(L$3&gt;1,0.25*L$3,0.5)</f>
        <v>0.5</v>
      </c>
      <c r="M44" s="484">
        <v>0</v>
      </c>
      <c r="N44" s="484">
        <v>0</v>
      </c>
      <c r="O44" s="21">
        <f t="shared" si="27"/>
        <v>0.5</v>
      </c>
      <c r="P44" s="493">
        <f>IF(P$3&gt;1,0.25*P$3,0.5)</f>
        <v>0.5</v>
      </c>
      <c r="Q44" s="484">
        <v>0</v>
      </c>
      <c r="R44" s="484">
        <v>0</v>
      </c>
      <c r="S44" s="21">
        <f t="shared" si="29"/>
        <v>0.5</v>
      </c>
      <c r="T44" s="493">
        <f>IF(T$3&gt;1,0.25*T$3,0.5)</f>
        <v>0.5</v>
      </c>
      <c r="U44" s="484">
        <v>0</v>
      </c>
      <c r="V44" s="484">
        <v>0</v>
      </c>
      <c r="W44" s="21">
        <f t="shared" si="31"/>
        <v>0.5</v>
      </c>
      <c r="X44" s="493">
        <f>IF(X$3&gt;1,0.25*X$3,0.5)</f>
        <v>0.5</v>
      </c>
      <c r="Y44" s="484">
        <v>0</v>
      </c>
      <c r="Z44" s="484">
        <v>0</v>
      </c>
      <c r="AA44" s="21">
        <f t="shared" si="33"/>
        <v>0.5</v>
      </c>
      <c r="AB44" s="493">
        <f>IF(AB$3&gt;1,0.25*AB$3,0.5)</f>
        <v>0.5</v>
      </c>
      <c r="AC44" s="484">
        <v>0</v>
      </c>
      <c r="AD44" s="484">
        <v>0</v>
      </c>
      <c r="AE44" s="21">
        <f t="shared" si="35"/>
        <v>0.5</v>
      </c>
      <c r="AF44" s="493">
        <f>IF(AF$3&gt;1,0.25*AF$3,0.5)</f>
        <v>0.5</v>
      </c>
      <c r="AG44" s="484">
        <v>0</v>
      </c>
      <c r="AH44" s="484">
        <v>0</v>
      </c>
      <c r="AI44" s="21">
        <f t="shared" si="37"/>
        <v>0.5</v>
      </c>
    </row>
    <row r="45" spans="1:35" x14ac:dyDescent="0.25">
      <c r="A45" s="1933" t="s">
        <v>15</v>
      </c>
      <c r="B45" s="1721" t="s">
        <v>32</v>
      </c>
      <c r="C45" s="22"/>
      <c r="D45" s="1707">
        <v>3</v>
      </c>
      <c r="E45" s="1708">
        <f t="shared" si="23"/>
        <v>0.5</v>
      </c>
      <c r="F45" s="1709">
        <f>0.25*$F$3</f>
        <v>0</v>
      </c>
      <c r="G45" s="1699">
        <f t="shared" si="24"/>
        <v>3.5</v>
      </c>
      <c r="H45" s="1707">
        <v>3</v>
      </c>
      <c r="I45" s="1708">
        <f t="shared" si="25"/>
        <v>0.5</v>
      </c>
      <c r="J45" s="1709">
        <f>0.25*$F$3</f>
        <v>0</v>
      </c>
      <c r="K45" s="1699">
        <f t="shared" si="7"/>
        <v>3.5</v>
      </c>
      <c r="L45" s="1707">
        <v>3</v>
      </c>
      <c r="M45" s="1708">
        <f t="shared" si="26"/>
        <v>0.5</v>
      </c>
      <c r="N45" s="1709">
        <f>0.25*$F$3</f>
        <v>0</v>
      </c>
      <c r="O45" s="1699">
        <f t="shared" si="27"/>
        <v>3.5</v>
      </c>
      <c r="P45" s="1707">
        <v>3</v>
      </c>
      <c r="Q45" s="1708">
        <f t="shared" si="28"/>
        <v>0.5</v>
      </c>
      <c r="R45" s="1709">
        <f>0.25*$F$3</f>
        <v>0</v>
      </c>
      <c r="S45" s="1699">
        <f t="shared" si="29"/>
        <v>3.5</v>
      </c>
      <c r="T45" s="1707">
        <v>3</v>
      </c>
      <c r="U45" s="1708">
        <f t="shared" si="30"/>
        <v>0.5</v>
      </c>
      <c r="V45" s="1709">
        <f>0.25*$F$3</f>
        <v>0</v>
      </c>
      <c r="W45" s="1699">
        <f t="shared" si="31"/>
        <v>3.5</v>
      </c>
      <c r="X45" s="1707">
        <v>3</v>
      </c>
      <c r="Y45" s="1708">
        <f t="shared" si="32"/>
        <v>0.5</v>
      </c>
      <c r="Z45" s="1709">
        <f>0.25*$F$3</f>
        <v>0</v>
      </c>
      <c r="AA45" s="1699">
        <f t="shared" si="33"/>
        <v>3.5</v>
      </c>
      <c r="AB45" s="1707">
        <v>3</v>
      </c>
      <c r="AC45" s="1708">
        <f t="shared" si="34"/>
        <v>0.5</v>
      </c>
      <c r="AD45" s="1709">
        <f>0.25*$F$3</f>
        <v>0</v>
      </c>
      <c r="AE45" s="1699">
        <f t="shared" si="35"/>
        <v>3.5</v>
      </c>
      <c r="AF45" s="1707">
        <v>3</v>
      </c>
      <c r="AG45" s="1708">
        <f t="shared" si="36"/>
        <v>0.5</v>
      </c>
      <c r="AH45" s="1709">
        <f>0.25*$F$3</f>
        <v>0</v>
      </c>
      <c r="AI45" s="1699">
        <f t="shared" si="37"/>
        <v>3.5</v>
      </c>
    </row>
    <row r="46" spans="1:35" x14ac:dyDescent="0.25">
      <c r="A46" s="1933"/>
      <c r="B46" s="19" t="s">
        <v>33</v>
      </c>
      <c r="C46" s="22"/>
      <c r="D46" s="501">
        <v>2</v>
      </c>
      <c r="E46" s="478">
        <f>IF(E$3&gt;1,0.25*E$3,0.5)</f>
        <v>0.5</v>
      </c>
      <c r="F46" s="493">
        <f>IF(F$3=1,D46+2,0)</f>
        <v>0</v>
      </c>
      <c r="G46" s="21">
        <f t="shared" si="24"/>
        <v>2.5</v>
      </c>
      <c r="H46" s="501">
        <v>2</v>
      </c>
      <c r="I46" s="478">
        <f>IF(I$3&gt;1,0.25*I$3,0.5)</f>
        <v>0.5</v>
      </c>
      <c r="J46" s="493">
        <f>IF(J$3=1,H46+2,0)</f>
        <v>0</v>
      </c>
      <c r="K46" s="21">
        <f t="shared" si="7"/>
        <v>2.5</v>
      </c>
      <c r="L46" s="501">
        <v>2</v>
      </c>
      <c r="M46" s="478">
        <f>IF(M$3&gt;1,0.25*M$3,0.5)</f>
        <v>0.5</v>
      </c>
      <c r="N46" s="493">
        <f>IF(N$3=1,L46+2,0)</f>
        <v>0</v>
      </c>
      <c r="O46" s="21">
        <f t="shared" si="27"/>
        <v>2.5</v>
      </c>
      <c r="P46" s="501">
        <v>2</v>
      </c>
      <c r="Q46" s="478">
        <f>IF(Q$3&gt;1,0.25*Q$3,0.5)</f>
        <v>0.5</v>
      </c>
      <c r="R46" s="493">
        <f>IF(R$3=1,P46+2,0)</f>
        <v>0</v>
      </c>
      <c r="S46" s="21">
        <f t="shared" si="29"/>
        <v>2.5</v>
      </c>
      <c r="T46" s="501">
        <v>2</v>
      </c>
      <c r="U46" s="478">
        <f>IF(U$3&gt;1,0.25*U$3,0.5)</f>
        <v>0.5</v>
      </c>
      <c r="V46" s="493">
        <f>IF(V$3=1,T46+2,0)</f>
        <v>0</v>
      </c>
      <c r="W46" s="21">
        <f t="shared" si="31"/>
        <v>2.5</v>
      </c>
      <c r="X46" s="501">
        <v>2</v>
      </c>
      <c r="Y46" s="478">
        <f>IF(Y$3&gt;1,0.25*Y$3,0.5)</f>
        <v>0.5</v>
      </c>
      <c r="Z46" s="493">
        <f>IF(Z$3=1,X46+2,0)</f>
        <v>0</v>
      </c>
      <c r="AA46" s="21">
        <f t="shared" si="33"/>
        <v>2.5</v>
      </c>
      <c r="AB46" s="501">
        <v>2</v>
      </c>
      <c r="AC46" s="478">
        <f>IF(AC$3&gt;1,0.25*AC$3,0.5)</f>
        <v>0.5</v>
      </c>
      <c r="AD46" s="493">
        <f>IF(AD$3=1,AB46+2,0)</f>
        <v>0</v>
      </c>
      <c r="AE46" s="21">
        <f t="shared" si="35"/>
        <v>2.5</v>
      </c>
      <c r="AF46" s="501">
        <v>2</v>
      </c>
      <c r="AG46" s="478">
        <f>IF(AG$3&gt;1,0.25*AG$3,0.5)</f>
        <v>0.5</v>
      </c>
      <c r="AH46" s="493">
        <f>IF(AH$3=1,AF46+2,0)</f>
        <v>0</v>
      </c>
      <c r="AI46" s="21">
        <f t="shared" si="37"/>
        <v>2.5</v>
      </c>
    </row>
    <row r="47" spans="1:35" x14ac:dyDescent="0.25">
      <c r="A47" s="1933"/>
      <c r="B47" s="19" t="s">
        <v>34</v>
      </c>
      <c r="C47" s="22"/>
      <c r="D47" s="501">
        <v>4</v>
      </c>
      <c r="E47" s="478">
        <f>IF(E$3&gt;1,0.25*E$3,0.5)</f>
        <v>0.5</v>
      </c>
      <c r="F47" s="493">
        <f>IF(F$3=1,D47+2,0)</f>
        <v>0</v>
      </c>
      <c r="G47" s="21">
        <f t="shared" si="24"/>
        <v>4.5</v>
      </c>
      <c r="H47" s="501">
        <v>4</v>
      </c>
      <c r="I47" s="478">
        <f>IF(I$3&gt;1,0.25*I$3,0.5)</f>
        <v>0.5</v>
      </c>
      <c r="J47" s="493">
        <f>IF(J$3=1,H47+2,0)</f>
        <v>0</v>
      </c>
      <c r="K47" s="21">
        <f t="shared" si="7"/>
        <v>4.5</v>
      </c>
      <c r="L47" s="501">
        <v>4</v>
      </c>
      <c r="M47" s="478">
        <f>IF(M$3&gt;1,0.25*M$3,0.5)</f>
        <v>0.5</v>
      </c>
      <c r="N47" s="493">
        <f>IF(N$3=1,L47+2,0)</f>
        <v>0</v>
      </c>
      <c r="O47" s="21">
        <f t="shared" si="27"/>
        <v>4.5</v>
      </c>
      <c r="P47" s="501">
        <v>4</v>
      </c>
      <c r="Q47" s="478">
        <f>IF(Q$3&gt;1,0.25*Q$3,0.5)</f>
        <v>0.5</v>
      </c>
      <c r="R47" s="493">
        <f>IF(R$3=1,P47+2,0)</f>
        <v>0</v>
      </c>
      <c r="S47" s="21">
        <f t="shared" si="29"/>
        <v>4.5</v>
      </c>
      <c r="T47" s="501">
        <v>4</v>
      </c>
      <c r="U47" s="478">
        <f>IF(U$3&gt;1,0.25*U$3,0.5)</f>
        <v>0.5</v>
      </c>
      <c r="V47" s="493">
        <f>IF(V$3=1,T47+2,0)</f>
        <v>0</v>
      </c>
      <c r="W47" s="21">
        <f t="shared" si="31"/>
        <v>4.5</v>
      </c>
      <c r="X47" s="501">
        <v>4</v>
      </c>
      <c r="Y47" s="478">
        <f>IF(Y$3&gt;1,0.25*Y$3,0.5)</f>
        <v>0.5</v>
      </c>
      <c r="Z47" s="493">
        <f>IF(Z$3=1,X47+2,0)</f>
        <v>0</v>
      </c>
      <c r="AA47" s="21">
        <f t="shared" si="33"/>
        <v>4.5</v>
      </c>
      <c r="AB47" s="501">
        <v>4</v>
      </c>
      <c r="AC47" s="478">
        <f>IF(AC$3&gt;1,0.25*AC$3,0.5)</f>
        <v>0.5</v>
      </c>
      <c r="AD47" s="493">
        <f>IF(AD$3=1,AB47+2,0)</f>
        <v>0</v>
      </c>
      <c r="AE47" s="21">
        <f t="shared" si="35"/>
        <v>4.5</v>
      </c>
      <c r="AF47" s="501">
        <v>4</v>
      </c>
      <c r="AG47" s="478">
        <f>IF(AG$3&gt;1,0.25*AG$3,0.5)</f>
        <v>0.5</v>
      </c>
      <c r="AH47" s="493">
        <f>IF(AH$3=1,AF47+2,0)</f>
        <v>0</v>
      </c>
      <c r="AI47" s="21">
        <f t="shared" si="37"/>
        <v>4.5</v>
      </c>
    </row>
    <row r="48" spans="1:35" x14ac:dyDescent="0.25">
      <c r="A48" s="1933" t="s">
        <v>555</v>
      </c>
      <c r="B48" s="1721" t="s">
        <v>32</v>
      </c>
      <c r="C48" s="22"/>
      <c r="D48" s="1707">
        <f t="shared" ref="D48:D51" si="38">$D$3*0.25</f>
        <v>0.5</v>
      </c>
      <c r="E48" s="1708">
        <v>0</v>
      </c>
      <c r="F48" s="1709">
        <v>0</v>
      </c>
      <c r="G48" s="1699">
        <f t="shared" si="24"/>
        <v>0.5</v>
      </c>
      <c r="H48" s="1707">
        <f t="shared" ref="H48:H51" si="39">$D$3*0.25</f>
        <v>0.5</v>
      </c>
      <c r="I48" s="1708">
        <v>0</v>
      </c>
      <c r="J48" s="1709">
        <v>0</v>
      </c>
      <c r="K48" s="1699">
        <f t="shared" si="7"/>
        <v>0.5</v>
      </c>
      <c r="L48" s="1707">
        <f t="shared" ref="L48:L51" si="40">$D$3*0.25</f>
        <v>0.5</v>
      </c>
      <c r="M48" s="1708">
        <v>0</v>
      </c>
      <c r="N48" s="1709">
        <v>0</v>
      </c>
      <c r="O48" s="1699">
        <f t="shared" si="27"/>
        <v>0.5</v>
      </c>
      <c r="P48" s="1707">
        <f t="shared" ref="P48:P51" si="41">$D$3*0.25</f>
        <v>0.5</v>
      </c>
      <c r="Q48" s="1708">
        <v>0</v>
      </c>
      <c r="R48" s="1709">
        <v>0</v>
      </c>
      <c r="S48" s="1699">
        <f t="shared" si="29"/>
        <v>0.5</v>
      </c>
      <c r="T48" s="1707">
        <f t="shared" ref="T48:T51" si="42">$D$3*0.25</f>
        <v>0.5</v>
      </c>
      <c r="U48" s="1708">
        <v>0</v>
      </c>
      <c r="V48" s="1709">
        <v>0</v>
      </c>
      <c r="W48" s="1699">
        <f t="shared" si="31"/>
        <v>0.5</v>
      </c>
      <c r="X48" s="1707">
        <f t="shared" ref="X48:X51" si="43">$D$3*0.25</f>
        <v>0.5</v>
      </c>
      <c r="Y48" s="1708">
        <v>0</v>
      </c>
      <c r="Z48" s="1709">
        <v>0</v>
      </c>
      <c r="AA48" s="1699">
        <f t="shared" si="33"/>
        <v>0.5</v>
      </c>
      <c r="AB48" s="1707">
        <f t="shared" ref="AB48:AB51" si="44">$D$3*0.25</f>
        <v>0.5</v>
      </c>
      <c r="AC48" s="1708">
        <v>0</v>
      </c>
      <c r="AD48" s="1709">
        <v>0</v>
      </c>
      <c r="AE48" s="1699">
        <f t="shared" si="35"/>
        <v>0.5</v>
      </c>
      <c r="AF48" s="1707">
        <f t="shared" ref="AF48:AF51" si="45">$D$3*0.25</f>
        <v>0.5</v>
      </c>
      <c r="AG48" s="1708">
        <v>0</v>
      </c>
      <c r="AH48" s="1709">
        <v>0</v>
      </c>
      <c r="AI48" s="1699">
        <f t="shared" si="37"/>
        <v>0.5</v>
      </c>
    </row>
    <row r="49" spans="1:35" x14ac:dyDescent="0.25">
      <c r="A49" s="1933"/>
      <c r="B49" s="19" t="s">
        <v>33</v>
      </c>
      <c r="C49" s="22"/>
      <c r="D49" s="493">
        <f>IF(D$3&gt;1,D$3*0.25,0.5)</f>
        <v>0.5</v>
      </c>
      <c r="E49" s="489">
        <v>0</v>
      </c>
      <c r="F49" s="630">
        <f>IF(F$3=1,D49+E49+0.5,0)</f>
        <v>0</v>
      </c>
      <c r="G49" s="21">
        <f t="shared" si="24"/>
        <v>0.5</v>
      </c>
      <c r="H49" s="493">
        <f>IF(H$3&gt;1,H$3*0.25,0.5)</f>
        <v>0.5</v>
      </c>
      <c r="I49" s="489">
        <v>0</v>
      </c>
      <c r="J49" s="630">
        <f>IF(J$3=1,H49+I49+0.5,0)</f>
        <v>0</v>
      </c>
      <c r="K49" s="21">
        <f t="shared" si="7"/>
        <v>0.5</v>
      </c>
      <c r="L49" s="493">
        <f>IF(L$3&gt;1,L$3*0.25,0.5)</f>
        <v>0.5</v>
      </c>
      <c r="M49" s="489">
        <v>0</v>
      </c>
      <c r="N49" s="630">
        <f>IF(N$3=1,L49+M49+0.5,0)</f>
        <v>0</v>
      </c>
      <c r="O49" s="21">
        <f t="shared" si="27"/>
        <v>0.5</v>
      </c>
      <c r="P49" s="493">
        <f>IF(P$3&gt;1,P$3*0.25,0.5)</f>
        <v>0.5</v>
      </c>
      <c r="Q49" s="489">
        <v>0</v>
      </c>
      <c r="R49" s="630">
        <f>IF(R$3=1,P49+Q49+0.5,0)</f>
        <v>0</v>
      </c>
      <c r="S49" s="21">
        <f t="shared" si="29"/>
        <v>0.5</v>
      </c>
      <c r="T49" s="493">
        <f>IF(T$3&gt;1,T$3*0.25,0.5)</f>
        <v>0.5</v>
      </c>
      <c r="U49" s="489">
        <v>0</v>
      </c>
      <c r="V49" s="630">
        <f>IF(V$3=1,T49+U49+0.5,0)</f>
        <v>0</v>
      </c>
      <c r="W49" s="21">
        <f t="shared" si="31"/>
        <v>0.5</v>
      </c>
      <c r="X49" s="493">
        <f>IF(X$3&gt;1,X$3*0.25,0.5)</f>
        <v>0.5</v>
      </c>
      <c r="Y49" s="489">
        <v>0</v>
      </c>
      <c r="Z49" s="630">
        <f>IF(Z$3=1,X49+Y49+0.5,0)</f>
        <v>0</v>
      </c>
      <c r="AA49" s="21">
        <f t="shared" si="33"/>
        <v>0.5</v>
      </c>
      <c r="AB49" s="493">
        <f>IF(AB$3&gt;1,AB$3*0.25,0.5)</f>
        <v>0.5</v>
      </c>
      <c r="AC49" s="489">
        <v>0</v>
      </c>
      <c r="AD49" s="630">
        <f>IF(AD$3=1,AB49+AC49+0.5,0)</f>
        <v>0</v>
      </c>
      <c r="AE49" s="21">
        <f t="shared" si="35"/>
        <v>0.5</v>
      </c>
      <c r="AF49" s="493">
        <f>IF(AF$3&gt;1,AF$3*0.25,0.5)</f>
        <v>0.5</v>
      </c>
      <c r="AG49" s="489">
        <v>0</v>
      </c>
      <c r="AH49" s="630">
        <f>IF(AH$3=1,AF49+AG49+0.5,0)</f>
        <v>0</v>
      </c>
      <c r="AI49" s="21">
        <f t="shared" si="37"/>
        <v>0.5</v>
      </c>
    </row>
    <row r="50" spans="1:35" x14ac:dyDescent="0.25">
      <c r="A50" s="1933"/>
      <c r="B50" s="19" t="s">
        <v>34</v>
      </c>
      <c r="C50" s="22"/>
      <c r="D50" s="493">
        <f>IF(D$3&gt;1,D$3*0.25,0.5)</f>
        <v>0.5</v>
      </c>
      <c r="E50" s="489">
        <v>0</v>
      </c>
      <c r="F50" s="630">
        <f>IF(F$3=1,D50+E50+0.5,0)</f>
        <v>0</v>
      </c>
      <c r="G50" s="21">
        <f t="shared" si="24"/>
        <v>0.5</v>
      </c>
      <c r="H50" s="493">
        <f>IF(H$3&gt;1,H$3*0.25,0.5)</f>
        <v>0.5</v>
      </c>
      <c r="I50" s="489">
        <v>0</v>
      </c>
      <c r="J50" s="630">
        <f>IF(J$3=1,H50+I50+0.5,0)</f>
        <v>0</v>
      </c>
      <c r="K50" s="21">
        <f t="shared" si="7"/>
        <v>0.5</v>
      </c>
      <c r="L50" s="493">
        <f>IF(L$3&gt;1,L$3*0.25,0.5)</f>
        <v>0.5</v>
      </c>
      <c r="M50" s="489">
        <v>0</v>
      </c>
      <c r="N50" s="630">
        <f>IF(N$3=1,L50+M50+0.5,0)</f>
        <v>0</v>
      </c>
      <c r="O50" s="21">
        <f t="shared" si="27"/>
        <v>0.5</v>
      </c>
      <c r="P50" s="493">
        <f>IF(P$3&gt;1,P$3*0.25,0.5)</f>
        <v>0.5</v>
      </c>
      <c r="Q50" s="489">
        <v>0</v>
      </c>
      <c r="R50" s="630">
        <f>IF(R$3=1,P50+Q50+0.5,0)</f>
        <v>0</v>
      </c>
      <c r="S50" s="21">
        <f t="shared" si="29"/>
        <v>0.5</v>
      </c>
      <c r="T50" s="493">
        <f>IF(T$3&gt;1,T$3*0.25,0.5)</f>
        <v>0.5</v>
      </c>
      <c r="U50" s="489">
        <v>0</v>
      </c>
      <c r="V50" s="630">
        <f>IF(V$3=1,T50+U50+0.5,0)</f>
        <v>0</v>
      </c>
      <c r="W50" s="21">
        <f t="shared" si="31"/>
        <v>0.5</v>
      </c>
      <c r="X50" s="493">
        <f>IF(X$3&gt;1,X$3*0.25,0.5)</f>
        <v>0.5</v>
      </c>
      <c r="Y50" s="489">
        <v>0</v>
      </c>
      <c r="Z50" s="630">
        <f>IF(Z$3=1,X50+Y50+0.5,0)</f>
        <v>0</v>
      </c>
      <c r="AA50" s="21">
        <f t="shared" si="33"/>
        <v>0.5</v>
      </c>
      <c r="AB50" s="493">
        <f>IF(AB$3&gt;1,AB$3*0.25,0.5)</f>
        <v>0.5</v>
      </c>
      <c r="AC50" s="489">
        <v>0</v>
      </c>
      <c r="AD50" s="630">
        <f>IF(AD$3=1,AB50+AC50+0.5,0)</f>
        <v>0</v>
      </c>
      <c r="AE50" s="21">
        <f t="shared" si="35"/>
        <v>0.5</v>
      </c>
      <c r="AF50" s="493">
        <f>IF(AF$3&gt;1,AF$3*0.25,0.5)</f>
        <v>0.5</v>
      </c>
      <c r="AG50" s="489">
        <v>0</v>
      </c>
      <c r="AH50" s="630">
        <f>IF(AH$3=1,AF50+AG50+0.5,0)</f>
        <v>0</v>
      </c>
      <c r="AI50" s="21">
        <f t="shared" si="37"/>
        <v>0.5</v>
      </c>
    </row>
    <row r="51" spans="1:35" x14ac:dyDescent="0.25">
      <c r="A51" s="1933" t="s">
        <v>556</v>
      </c>
      <c r="B51" s="1721" t="s">
        <v>32</v>
      </c>
      <c r="C51" s="22"/>
      <c r="D51" s="1707">
        <f t="shared" si="38"/>
        <v>0.5</v>
      </c>
      <c r="E51" s="1708">
        <v>0</v>
      </c>
      <c r="F51" s="1709">
        <v>0</v>
      </c>
      <c r="G51" s="1699">
        <f t="shared" si="24"/>
        <v>0.5</v>
      </c>
      <c r="H51" s="1707">
        <f t="shared" si="39"/>
        <v>0.5</v>
      </c>
      <c r="I51" s="1708">
        <v>0</v>
      </c>
      <c r="J51" s="1709">
        <v>0</v>
      </c>
      <c r="K51" s="1699">
        <f t="shared" si="7"/>
        <v>0.5</v>
      </c>
      <c r="L51" s="1707">
        <f t="shared" si="40"/>
        <v>0.5</v>
      </c>
      <c r="M51" s="1708">
        <v>0</v>
      </c>
      <c r="N51" s="1709">
        <v>0</v>
      </c>
      <c r="O51" s="1699">
        <f t="shared" si="27"/>
        <v>0.5</v>
      </c>
      <c r="P51" s="1707">
        <f t="shared" si="41"/>
        <v>0.5</v>
      </c>
      <c r="Q51" s="1708">
        <v>0</v>
      </c>
      <c r="R51" s="1709">
        <v>0</v>
      </c>
      <c r="S51" s="1699">
        <f t="shared" si="29"/>
        <v>0.5</v>
      </c>
      <c r="T51" s="1707">
        <f t="shared" si="42"/>
        <v>0.5</v>
      </c>
      <c r="U51" s="1708">
        <v>0</v>
      </c>
      <c r="V51" s="1709">
        <v>0</v>
      </c>
      <c r="W51" s="1699">
        <f t="shared" si="31"/>
        <v>0.5</v>
      </c>
      <c r="X51" s="1707">
        <f t="shared" si="43"/>
        <v>0.5</v>
      </c>
      <c r="Y51" s="1708">
        <v>0</v>
      </c>
      <c r="Z51" s="1709">
        <v>0</v>
      </c>
      <c r="AA51" s="1699">
        <f t="shared" si="33"/>
        <v>0.5</v>
      </c>
      <c r="AB51" s="1707">
        <f t="shared" si="44"/>
        <v>0.5</v>
      </c>
      <c r="AC51" s="1708">
        <v>0</v>
      </c>
      <c r="AD51" s="1709">
        <v>0</v>
      </c>
      <c r="AE51" s="1699">
        <f t="shared" si="35"/>
        <v>0.5</v>
      </c>
      <c r="AF51" s="1707">
        <f t="shared" si="45"/>
        <v>0.5</v>
      </c>
      <c r="AG51" s="1708">
        <v>0</v>
      </c>
      <c r="AH51" s="1709">
        <v>0</v>
      </c>
      <c r="AI51" s="1699">
        <f t="shared" si="37"/>
        <v>0.5</v>
      </c>
    </row>
    <row r="52" spans="1:35" x14ac:dyDescent="0.25">
      <c r="A52" s="1933"/>
      <c r="B52" s="19" t="s">
        <v>33</v>
      </c>
      <c r="C52" s="22"/>
      <c r="D52" s="493">
        <f>IF(D$3&gt;1,D$3*0.25,0.5)</f>
        <v>0.5</v>
      </c>
      <c r="E52" s="489">
        <v>0</v>
      </c>
      <c r="F52" s="630">
        <f>IF(F$3=1,D52+E52+0.5,0)</f>
        <v>0</v>
      </c>
      <c r="G52" s="21">
        <f t="shared" si="24"/>
        <v>0.5</v>
      </c>
      <c r="H52" s="493">
        <f>IF(H$3&gt;1,H$3*0.25,0.5)</f>
        <v>0.5</v>
      </c>
      <c r="I52" s="489">
        <v>0</v>
      </c>
      <c r="J52" s="630">
        <f>IF(J$3=1,H52+I52+0.5,0)</f>
        <v>0</v>
      </c>
      <c r="K52" s="21">
        <f t="shared" si="7"/>
        <v>0.5</v>
      </c>
      <c r="L52" s="493">
        <f>IF(L$3&gt;1,L$3*0.25,0.5)</f>
        <v>0.5</v>
      </c>
      <c r="M52" s="489">
        <v>0</v>
      </c>
      <c r="N52" s="630">
        <f>IF(N$3=1,L52+M52+0.5,0)</f>
        <v>0</v>
      </c>
      <c r="O52" s="21">
        <f t="shared" si="27"/>
        <v>0.5</v>
      </c>
      <c r="P52" s="493">
        <f>IF(P$3&gt;1,P$3*0.25,0.5)</f>
        <v>0.5</v>
      </c>
      <c r="Q52" s="489">
        <v>0</v>
      </c>
      <c r="R52" s="630">
        <f>IF(R$3=1,P52+Q52+0.5,0)</f>
        <v>0</v>
      </c>
      <c r="S52" s="21">
        <f t="shared" si="29"/>
        <v>0.5</v>
      </c>
      <c r="T52" s="493">
        <f>IF(T$3&gt;1,T$3*0.25,0.5)</f>
        <v>0.5</v>
      </c>
      <c r="U52" s="489">
        <v>0</v>
      </c>
      <c r="V52" s="630">
        <f>IF(V$3=1,T52+U52+0.5,0)</f>
        <v>0</v>
      </c>
      <c r="W52" s="21">
        <f t="shared" si="31"/>
        <v>0.5</v>
      </c>
      <c r="X52" s="493">
        <f>IF(X$3&gt;1,X$3*0.25,0.5)</f>
        <v>0.5</v>
      </c>
      <c r="Y52" s="489">
        <v>0</v>
      </c>
      <c r="Z52" s="630">
        <f>IF(Z$3=1,X52+Y52+0.5,0)</f>
        <v>0</v>
      </c>
      <c r="AA52" s="21">
        <f t="shared" si="33"/>
        <v>0.5</v>
      </c>
      <c r="AB52" s="493">
        <f>IF(AB$3&gt;1,AB$3*0.25,0.5)</f>
        <v>0.5</v>
      </c>
      <c r="AC52" s="489">
        <v>0</v>
      </c>
      <c r="AD52" s="630">
        <f>IF(AD$3=1,AB52+AC52+0.5,0)</f>
        <v>0</v>
      </c>
      <c r="AE52" s="21">
        <f t="shared" si="35"/>
        <v>0.5</v>
      </c>
      <c r="AF52" s="493">
        <f>IF(AF$3&gt;1,AF$3*0.25,0.5)</f>
        <v>0.5</v>
      </c>
      <c r="AG52" s="489">
        <v>0</v>
      </c>
      <c r="AH52" s="630">
        <f>IF(AH$3=1,AF52+AG52+0.5,0)</f>
        <v>0</v>
      </c>
      <c r="AI52" s="21">
        <f t="shared" si="37"/>
        <v>0.5</v>
      </c>
    </row>
    <row r="53" spans="1:35" x14ac:dyDescent="0.25">
      <c r="A53" s="1933"/>
      <c r="B53" s="19" t="s">
        <v>34</v>
      </c>
      <c r="C53" s="22"/>
      <c r="D53" s="493">
        <f>IF(D$3&gt;1,D$3*0.25,0.5)</f>
        <v>0.5</v>
      </c>
      <c r="E53" s="489">
        <v>0</v>
      </c>
      <c r="F53" s="630">
        <f>IF(F$3=1,D53+E53+0.5,0)</f>
        <v>0</v>
      </c>
      <c r="G53" s="21">
        <f t="shared" si="24"/>
        <v>0.5</v>
      </c>
      <c r="H53" s="493">
        <f>IF(H$3&gt;1,H$3*0.25,0.5)</f>
        <v>0.5</v>
      </c>
      <c r="I53" s="489">
        <v>0</v>
      </c>
      <c r="J53" s="630">
        <f>IF(J$3=1,H53+I53+0.5,0)</f>
        <v>0</v>
      </c>
      <c r="K53" s="21">
        <f t="shared" si="7"/>
        <v>0.5</v>
      </c>
      <c r="L53" s="493">
        <f>IF(L$3&gt;1,L$3*0.25,0.5)</f>
        <v>0.5</v>
      </c>
      <c r="M53" s="489">
        <v>0</v>
      </c>
      <c r="N53" s="630">
        <f>IF(N$3=1,L53+M53+0.5,0)</f>
        <v>0</v>
      </c>
      <c r="O53" s="21">
        <f t="shared" si="27"/>
        <v>0.5</v>
      </c>
      <c r="P53" s="493">
        <f>IF(P$3&gt;1,P$3*0.25,0.5)</f>
        <v>0.5</v>
      </c>
      <c r="Q53" s="489">
        <v>0</v>
      </c>
      <c r="R53" s="630">
        <f>IF(R$3=1,P53+Q53+0.5,0)</f>
        <v>0</v>
      </c>
      <c r="S53" s="21">
        <f t="shared" si="29"/>
        <v>0.5</v>
      </c>
      <c r="T53" s="493">
        <f>IF(T$3&gt;1,T$3*0.25,0.5)</f>
        <v>0.5</v>
      </c>
      <c r="U53" s="489">
        <v>0</v>
      </c>
      <c r="V53" s="630">
        <f>IF(V$3=1,T53+U53+0.5,0)</f>
        <v>0</v>
      </c>
      <c r="W53" s="21">
        <f t="shared" si="31"/>
        <v>0.5</v>
      </c>
      <c r="X53" s="493">
        <f>IF(X$3&gt;1,X$3*0.25,0.5)</f>
        <v>0.5</v>
      </c>
      <c r="Y53" s="489">
        <v>0</v>
      </c>
      <c r="Z53" s="630">
        <f>IF(Z$3=1,X53+Y53+0.5,0)</f>
        <v>0</v>
      </c>
      <c r="AA53" s="21">
        <f t="shared" si="33"/>
        <v>0.5</v>
      </c>
      <c r="AB53" s="493">
        <f>IF(AB$3&gt;1,AB$3*0.25,0.5)</f>
        <v>0.5</v>
      </c>
      <c r="AC53" s="489">
        <v>0</v>
      </c>
      <c r="AD53" s="630">
        <f>IF(AD$3=1,AB53+AC53+0.5,0)</f>
        <v>0</v>
      </c>
      <c r="AE53" s="21">
        <f t="shared" si="35"/>
        <v>0.5</v>
      </c>
      <c r="AF53" s="493">
        <f>IF(AF$3&gt;1,AF$3*0.25,0.5)</f>
        <v>0.5</v>
      </c>
      <c r="AG53" s="489">
        <v>0</v>
      </c>
      <c r="AH53" s="630">
        <f>IF(AH$3=1,AF53+AG53+0.5,0)</f>
        <v>0</v>
      </c>
      <c r="AI53" s="21">
        <f t="shared" si="37"/>
        <v>0.5</v>
      </c>
    </row>
    <row r="54" spans="1:35" x14ac:dyDescent="0.25">
      <c r="A54" s="1933" t="s">
        <v>557</v>
      </c>
      <c r="B54" s="1721" t="s">
        <v>32</v>
      </c>
      <c r="C54" s="22"/>
      <c r="D54" s="1707">
        <f>0.25</f>
        <v>0.25</v>
      </c>
      <c r="E54" s="1708">
        <v>0</v>
      </c>
      <c r="F54" s="1709">
        <v>0</v>
      </c>
      <c r="G54" s="1699">
        <f t="shared" si="24"/>
        <v>0.25</v>
      </c>
      <c r="H54" s="1707">
        <f>0.25</f>
        <v>0.25</v>
      </c>
      <c r="I54" s="1708">
        <v>0</v>
      </c>
      <c r="J54" s="1709">
        <v>0</v>
      </c>
      <c r="K54" s="1699">
        <f t="shared" si="7"/>
        <v>0.25</v>
      </c>
      <c r="L54" s="1707">
        <f>0.25</f>
        <v>0.25</v>
      </c>
      <c r="M54" s="1708">
        <v>0</v>
      </c>
      <c r="N54" s="1709">
        <v>0</v>
      </c>
      <c r="O54" s="1699">
        <f t="shared" si="27"/>
        <v>0.25</v>
      </c>
      <c r="P54" s="1707">
        <f>0.25</f>
        <v>0.25</v>
      </c>
      <c r="Q54" s="1708">
        <v>0</v>
      </c>
      <c r="R54" s="1709">
        <v>0</v>
      </c>
      <c r="S54" s="1699">
        <f t="shared" si="29"/>
        <v>0.25</v>
      </c>
      <c r="T54" s="1707">
        <f>0.25</f>
        <v>0.25</v>
      </c>
      <c r="U54" s="1708">
        <v>0</v>
      </c>
      <c r="V54" s="1709">
        <v>0</v>
      </c>
      <c r="W54" s="1699">
        <f t="shared" si="31"/>
        <v>0.25</v>
      </c>
      <c r="X54" s="1707">
        <f>0.25</f>
        <v>0.25</v>
      </c>
      <c r="Y54" s="1708">
        <v>0</v>
      </c>
      <c r="Z54" s="1709">
        <v>0</v>
      </c>
      <c r="AA54" s="1699">
        <f t="shared" si="33"/>
        <v>0.25</v>
      </c>
      <c r="AB54" s="1707">
        <f>0.25</f>
        <v>0.25</v>
      </c>
      <c r="AC54" s="1708">
        <v>0</v>
      </c>
      <c r="AD54" s="1709">
        <v>0</v>
      </c>
      <c r="AE54" s="1699">
        <f t="shared" si="35"/>
        <v>0.25</v>
      </c>
      <c r="AF54" s="1707">
        <f>0.25</f>
        <v>0.25</v>
      </c>
      <c r="AG54" s="1708">
        <v>0</v>
      </c>
      <c r="AH54" s="1709">
        <v>0</v>
      </c>
      <c r="AI54" s="1699">
        <f t="shared" si="37"/>
        <v>0.25</v>
      </c>
    </row>
    <row r="55" spans="1:35" x14ac:dyDescent="0.25">
      <c r="A55" s="1933"/>
      <c r="B55" s="19" t="s">
        <v>33</v>
      </c>
      <c r="C55" s="22"/>
      <c r="D55" s="493">
        <f>IF(D$3&gt;1,D$3*0.25,0.25)</f>
        <v>0.5</v>
      </c>
      <c r="E55" s="489">
        <v>0</v>
      </c>
      <c r="F55" s="630">
        <f>IF(F$3=1,D55+E55+0.5,0)</f>
        <v>0</v>
      </c>
      <c r="G55" s="21">
        <f t="shared" si="24"/>
        <v>0.5</v>
      </c>
      <c r="H55" s="493">
        <f>IF(H$3&gt;1,H$3*0.25,0.25)</f>
        <v>0.5</v>
      </c>
      <c r="I55" s="489">
        <v>0</v>
      </c>
      <c r="J55" s="630">
        <f>IF(J$3=1,H55+I55+0.5,0)</f>
        <v>0</v>
      </c>
      <c r="K55" s="21">
        <f t="shared" si="7"/>
        <v>0.5</v>
      </c>
      <c r="L55" s="493">
        <f>IF(L$3&gt;1,L$3*0.25,0.25)</f>
        <v>0.5</v>
      </c>
      <c r="M55" s="489">
        <v>0</v>
      </c>
      <c r="N55" s="630">
        <f>IF(N$3=1,L55+M55+0.5,0)</f>
        <v>0</v>
      </c>
      <c r="O55" s="21">
        <f t="shared" si="27"/>
        <v>0.5</v>
      </c>
      <c r="P55" s="493">
        <f>IF(P$3&gt;1,P$3*0.25,0.25)</f>
        <v>0.5</v>
      </c>
      <c r="Q55" s="489">
        <v>0</v>
      </c>
      <c r="R55" s="630">
        <f>IF(R$3=1,P55+Q55+0.5,0)</f>
        <v>0</v>
      </c>
      <c r="S55" s="21">
        <f t="shared" si="29"/>
        <v>0.5</v>
      </c>
      <c r="T55" s="493">
        <f>IF(T$3&gt;1,T$3*0.25,0.25)</f>
        <v>0.5</v>
      </c>
      <c r="U55" s="489">
        <v>0</v>
      </c>
      <c r="V55" s="630">
        <f>IF(V$3=1,T55+U55+0.5,0)</f>
        <v>0</v>
      </c>
      <c r="W55" s="21">
        <f t="shared" si="31"/>
        <v>0.5</v>
      </c>
      <c r="X55" s="493">
        <f>IF(X$3&gt;1,X$3*0.25,0.25)</f>
        <v>0.5</v>
      </c>
      <c r="Y55" s="489">
        <v>0</v>
      </c>
      <c r="Z55" s="630">
        <f>IF(Z$3=1,X55+Y55+0.5,0)</f>
        <v>0</v>
      </c>
      <c r="AA55" s="21">
        <f t="shared" si="33"/>
        <v>0.5</v>
      </c>
      <c r="AB55" s="493">
        <f>IF(AB$3&gt;1,AB$3*0.25,0.25)</f>
        <v>0.5</v>
      </c>
      <c r="AC55" s="489">
        <v>0</v>
      </c>
      <c r="AD55" s="630">
        <f>IF(AD$3=1,AB55+AC55+0.5,0)</f>
        <v>0</v>
      </c>
      <c r="AE55" s="21">
        <f t="shared" si="35"/>
        <v>0.5</v>
      </c>
      <c r="AF55" s="493">
        <f>IF(AF$3&gt;1,AF$3*0.25,0.25)</f>
        <v>0.5</v>
      </c>
      <c r="AG55" s="489">
        <v>0</v>
      </c>
      <c r="AH55" s="630">
        <f>IF(AH$3=1,AF55+AG55+0.5,0)</f>
        <v>0</v>
      </c>
      <c r="AI55" s="21">
        <f t="shared" si="37"/>
        <v>0.5</v>
      </c>
    </row>
    <row r="56" spans="1:35" x14ac:dyDescent="0.25">
      <c r="A56" s="1933"/>
      <c r="B56" s="19" t="s">
        <v>34</v>
      </c>
      <c r="C56" s="22"/>
      <c r="D56" s="493">
        <f>IF(D$3&gt;1,D$3*0.25,0.25)</f>
        <v>0.5</v>
      </c>
      <c r="E56" s="489">
        <v>0</v>
      </c>
      <c r="F56" s="630">
        <f>IF(F$3=1,D56+E56+0.5,0)</f>
        <v>0</v>
      </c>
      <c r="G56" s="21">
        <f t="shared" si="24"/>
        <v>0.5</v>
      </c>
      <c r="H56" s="493">
        <f>IF(H$3&gt;1,H$3*0.25,0.25)</f>
        <v>0.5</v>
      </c>
      <c r="I56" s="489">
        <v>0</v>
      </c>
      <c r="J56" s="630">
        <f>IF(J$3=1,H56+I56+0.5,0)</f>
        <v>0</v>
      </c>
      <c r="K56" s="21">
        <f t="shared" si="7"/>
        <v>0.5</v>
      </c>
      <c r="L56" s="493">
        <f>IF(L$3&gt;1,L$3*0.25,0.25)</f>
        <v>0.5</v>
      </c>
      <c r="M56" s="489">
        <v>0</v>
      </c>
      <c r="N56" s="630">
        <f>IF(N$3=1,L56+M56+0.5,0)</f>
        <v>0</v>
      </c>
      <c r="O56" s="21">
        <f t="shared" si="27"/>
        <v>0.5</v>
      </c>
      <c r="P56" s="493">
        <f>IF(P$3&gt;1,P$3*0.25,0.25)</f>
        <v>0.5</v>
      </c>
      <c r="Q56" s="489">
        <v>0</v>
      </c>
      <c r="R56" s="630">
        <f>IF(R$3=1,P56+Q56+0.5,0)</f>
        <v>0</v>
      </c>
      <c r="S56" s="21">
        <f t="shared" si="29"/>
        <v>0.5</v>
      </c>
      <c r="T56" s="493">
        <f>IF(T$3&gt;1,T$3*0.25,0.25)</f>
        <v>0.5</v>
      </c>
      <c r="U56" s="489">
        <v>0</v>
      </c>
      <c r="V56" s="630">
        <f>IF(V$3=1,T56+U56+0.5,0)</f>
        <v>0</v>
      </c>
      <c r="W56" s="21">
        <f t="shared" si="31"/>
        <v>0.5</v>
      </c>
      <c r="X56" s="493">
        <f>IF(X$3&gt;1,X$3*0.25,0.25)</f>
        <v>0.5</v>
      </c>
      <c r="Y56" s="489">
        <v>0</v>
      </c>
      <c r="Z56" s="630">
        <f>IF(Z$3=1,X56+Y56+0.5,0)</f>
        <v>0</v>
      </c>
      <c r="AA56" s="21">
        <f t="shared" si="33"/>
        <v>0.5</v>
      </c>
      <c r="AB56" s="493">
        <f>IF(AB$3&gt;1,AB$3*0.25,0.25)</f>
        <v>0.5</v>
      </c>
      <c r="AC56" s="489">
        <v>0</v>
      </c>
      <c r="AD56" s="630">
        <f>IF(AD$3=1,AB56+AC56+0.5,0)</f>
        <v>0</v>
      </c>
      <c r="AE56" s="21">
        <f t="shared" si="35"/>
        <v>0.5</v>
      </c>
      <c r="AF56" s="493">
        <f>IF(AF$3&gt;1,AF$3*0.25,0.25)</f>
        <v>0.5</v>
      </c>
      <c r="AG56" s="489">
        <v>0</v>
      </c>
      <c r="AH56" s="630">
        <f>IF(AH$3=1,AF56+AG56+0.5,0)</f>
        <v>0</v>
      </c>
      <c r="AI56" s="21">
        <f t="shared" si="37"/>
        <v>0.5</v>
      </c>
    </row>
    <row r="57" spans="1:35" x14ac:dyDescent="0.25">
      <c r="A57" s="1933" t="s">
        <v>19</v>
      </c>
      <c r="B57" s="1721" t="s">
        <v>32</v>
      </c>
      <c r="C57" s="22"/>
      <c r="D57" s="1707">
        <f>$D$3*0.25</f>
        <v>0.5</v>
      </c>
      <c r="E57" s="1708">
        <v>0</v>
      </c>
      <c r="F57" s="1709">
        <v>0</v>
      </c>
      <c r="G57" s="1699">
        <f t="shared" si="24"/>
        <v>0.5</v>
      </c>
      <c r="H57" s="1707">
        <f>$D$3*0.25</f>
        <v>0.5</v>
      </c>
      <c r="I57" s="1708">
        <v>0</v>
      </c>
      <c r="J57" s="1709">
        <v>0</v>
      </c>
      <c r="K57" s="1699">
        <f t="shared" si="7"/>
        <v>0.5</v>
      </c>
      <c r="L57" s="1707">
        <f>$D$3*0.25</f>
        <v>0.5</v>
      </c>
      <c r="M57" s="1708">
        <v>0</v>
      </c>
      <c r="N57" s="1709">
        <v>0</v>
      </c>
      <c r="O57" s="1699">
        <f t="shared" si="27"/>
        <v>0.5</v>
      </c>
      <c r="P57" s="1707">
        <f>$D$3*0.25</f>
        <v>0.5</v>
      </c>
      <c r="Q57" s="1708">
        <v>0</v>
      </c>
      <c r="R57" s="1709">
        <v>0</v>
      </c>
      <c r="S57" s="1699">
        <f t="shared" si="29"/>
        <v>0.5</v>
      </c>
      <c r="T57" s="1707">
        <f>$D$3*0.25</f>
        <v>0.5</v>
      </c>
      <c r="U57" s="1708">
        <v>0</v>
      </c>
      <c r="V57" s="1709">
        <v>0</v>
      </c>
      <c r="W57" s="1699">
        <f t="shared" si="31"/>
        <v>0.5</v>
      </c>
      <c r="X57" s="1707">
        <f>$D$3*0.25</f>
        <v>0.5</v>
      </c>
      <c r="Y57" s="1708">
        <v>0</v>
      </c>
      <c r="Z57" s="1709">
        <v>0</v>
      </c>
      <c r="AA57" s="1699">
        <f t="shared" si="33"/>
        <v>0.5</v>
      </c>
      <c r="AB57" s="1707">
        <f>$D$3*0.25</f>
        <v>0.5</v>
      </c>
      <c r="AC57" s="1708">
        <v>0</v>
      </c>
      <c r="AD57" s="1709">
        <v>0</v>
      </c>
      <c r="AE57" s="1699">
        <f t="shared" si="35"/>
        <v>0.5</v>
      </c>
      <c r="AF57" s="1707">
        <f>$D$3*0.25</f>
        <v>0.5</v>
      </c>
      <c r="AG57" s="1708">
        <v>0</v>
      </c>
      <c r="AH57" s="1709">
        <v>0</v>
      </c>
      <c r="AI57" s="1699">
        <f t="shared" si="37"/>
        <v>0.5</v>
      </c>
    </row>
    <row r="58" spans="1:35" x14ac:dyDescent="0.25">
      <c r="A58" s="1933"/>
      <c r="B58" s="19" t="s">
        <v>33</v>
      </c>
      <c r="C58" s="22"/>
      <c r="D58" s="485">
        <v>2</v>
      </c>
      <c r="E58" s="478">
        <f>IF(E$3&gt;1,0.5*E$3,1)</f>
        <v>1</v>
      </c>
      <c r="F58" s="630">
        <f>IF(F$3=1,D58+E58+10,0)</f>
        <v>0</v>
      </c>
      <c r="G58" s="21">
        <f t="shared" si="24"/>
        <v>3</v>
      </c>
      <c r="H58" s="485">
        <v>2</v>
      </c>
      <c r="I58" s="478">
        <f>IF(I$3&gt;1,0.5*I$3,1)</f>
        <v>1</v>
      </c>
      <c r="J58" s="630">
        <f>IF(J$3=1,H58+I58+10,0)</f>
        <v>0</v>
      </c>
      <c r="K58" s="21">
        <f t="shared" si="7"/>
        <v>3</v>
      </c>
      <c r="L58" s="485">
        <v>2</v>
      </c>
      <c r="M58" s="478">
        <f>IF(M$3&gt;1,0.5*M$3,1)</f>
        <v>1</v>
      </c>
      <c r="N58" s="630">
        <f>IF(N$3=1,L58+M58+10,0)</f>
        <v>0</v>
      </c>
      <c r="O58" s="21">
        <f t="shared" si="27"/>
        <v>3</v>
      </c>
      <c r="P58" s="485">
        <v>2</v>
      </c>
      <c r="Q58" s="478">
        <f>IF(Q$3&gt;1,0.5*Q$3,1)</f>
        <v>1</v>
      </c>
      <c r="R58" s="630">
        <f>IF(R$3=1,P58+Q58+10,0)</f>
        <v>0</v>
      </c>
      <c r="S58" s="21">
        <f t="shared" si="29"/>
        <v>3</v>
      </c>
      <c r="T58" s="485">
        <v>2</v>
      </c>
      <c r="U58" s="478">
        <f>IF(U$3&gt;1,0.5*U$3,1)</f>
        <v>1</v>
      </c>
      <c r="V58" s="630">
        <f>IF(V$3=1,T58+U58+10,0)</f>
        <v>0</v>
      </c>
      <c r="W58" s="21">
        <f t="shared" si="31"/>
        <v>3</v>
      </c>
      <c r="X58" s="485">
        <v>2</v>
      </c>
      <c r="Y58" s="478">
        <f>IF(Y$3&gt;1,0.5*Y$3,1)</f>
        <v>1</v>
      </c>
      <c r="Z58" s="630">
        <f>IF(Z$3=1,X58+Y58+10,0)</f>
        <v>0</v>
      </c>
      <c r="AA58" s="21">
        <f t="shared" si="33"/>
        <v>3</v>
      </c>
      <c r="AB58" s="485">
        <v>2</v>
      </c>
      <c r="AC58" s="478">
        <f>IF(AC$3&gt;1,0.5*AC$3,1)</f>
        <v>1</v>
      </c>
      <c r="AD58" s="630">
        <f>IF(AD$3=1,AB58+AC58+10,0)</f>
        <v>0</v>
      </c>
      <c r="AE58" s="21">
        <f t="shared" si="35"/>
        <v>3</v>
      </c>
      <c r="AF58" s="485">
        <v>2</v>
      </c>
      <c r="AG58" s="478">
        <f>IF(AG$3&gt;1,0.5*AG$3,1)</f>
        <v>1</v>
      </c>
      <c r="AH58" s="630">
        <f>IF(AH$3=1,AF58+AG58+10,0)</f>
        <v>0</v>
      </c>
      <c r="AI58" s="21">
        <f t="shared" si="37"/>
        <v>3</v>
      </c>
    </row>
    <row r="59" spans="1:35" x14ac:dyDescent="0.25">
      <c r="A59" s="1933"/>
      <c r="B59" s="19" t="s">
        <v>34</v>
      </c>
      <c r="C59" s="22"/>
      <c r="D59" s="500">
        <v>4</v>
      </c>
      <c r="E59" s="478">
        <f>IF(E$3&gt;1,0.5*E$3,1)</f>
        <v>1</v>
      </c>
      <c r="F59" s="630">
        <f>IF(F$3=1,D59+E59+24,0)</f>
        <v>0</v>
      </c>
      <c r="G59" s="21">
        <f t="shared" si="24"/>
        <v>5</v>
      </c>
      <c r="H59" s="500">
        <v>4</v>
      </c>
      <c r="I59" s="478">
        <f>IF(I$3&gt;1,0.5*I$3,1)</f>
        <v>1</v>
      </c>
      <c r="J59" s="630">
        <f>IF(J$3=1,H59+I59+24,0)</f>
        <v>0</v>
      </c>
      <c r="K59" s="21">
        <f t="shared" si="7"/>
        <v>5</v>
      </c>
      <c r="L59" s="500">
        <v>4</v>
      </c>
      <c r="M59" s="478">
        <f>IF(M$3&gt;1,0.5*M$3,1)</f>
        <v>1</v>
      </c>
      <c r="N59" s="630">
        <f>IF(N$3=1,L59+M59+24,0)</f>
        <v>0</v>
      </c>
      <c r="O59" s="21">
        <f t="shared" si="27"/>
        <v>5</v>
      </c>
      <c r="P59" s="500">
        <v>4</v>
      </c>
      <c r="Q59" s="478">
        <f>IF(Q$3&gt;1,0.5*Q$3,1)</f>
        <v>1</v>
      </c>
      <c r="R59" s="630">
        <f>IF(R$3=1,P59+Q59+24,0)</f>
        <v>0</v>
      </c>
      <c r="S59" s="21">
        <f t="shared" si="29"/>
        <v>5</v>
      </c>
      <c r="T59" s="500">
        <v>4</v>
      </c>
      <c r="U59" s="478">
        <f>IF(U$3&gt;1,0.5*U$3,1)</f>
        <v>1</v>
      </c>
      <c r="V59" s="630">
        <f>IF(V$3=1,T59+U59+24,0)</f>
        <v>0</v>
      </c>
      <c r="W59" s="21">
        <f t="shared" si="31"/>
        <v>5</v>
      </c>
      <c r="X59" s="500">
        <v>4</v>
      </c>
      <c r="Y59" s="478">
        <f>IF(Y$3&gt;1,0.5*Y$3,1)</f>
        <v>1</v>
      </c>
      <c r="Z59" s="630">
        <f>IF(Z$3=1,X59+Y59+24,0)</f>
        <v>0</v>
      </c>
      <c r="AA59" s="21">
        <f t="shared" si="33"/>
        <v>5</v>
      </c>
      <c r="AB59" s="500">
        <v>4</v>
      </c>
      <c r="AC59" s="478">
        <f>IF(AC$3&gt;1,0.5*AC$3,1)</f>
        <v>1</v>
      </c>
      <c r="AD59" s="630">
        <f>IF(AD$3=1,AB59+AC59+24,0)</f>
        <v>0</v>
      </c>
      <c r="AE59" s="21">
        <f t="shared" si="35"/>
        <v>5</v>
      </c>
      <c r="AF59" s="500">
        <v>4</v>
      </c>
      <c r="AG59" s="478">
        <f>IF(AG$3&gt;1,0.5*AG$3,1)</f>
        <v>1</v>
      </c>
      <c r="AH59" s="630">
        <f>IF(AH$3=1,AF59+AG59+24,0)</f>
        <v>0</v>
      </c>
      <c r="AI59" s="21">
        <f t="shared" si="37"/>
        <v>5</v>
      </c>
    </row>
    <row r="60" spans="1:35" x14ac:dyDescent="0.25">
      <c r="A60" s="1933" t="s">
        <v>20</v>
      </c>
      <c r="B60" s="1721" t="s">
        <v>32</v>
      </c>
      <c r="C60" s="22"/>
      <c r="D60" s="1707">
        <v>6</v>
      </c>
      <c r="E60" s="1701">
        <f>IF($E$3&gt;1,2,1)</f>
        <v>1</v>
      </c>
      <c r="F60" s="1709">
        <f>0.25*$F$3</f>
        <v>0</v>
      </c>
      <c r="G60" s="1699">
        <f t="shared" si="24"/>
        <v>7</v>
      </c>
      <c r="H60" s="1707">
        <v>6</v>
      </c>
      <c r="I60" s="1701">
        <f>IF($E$3&gt;1,2,1)</f>
        <v>1</v>
      </c>
      <c r="J60" s="1709">
        <f>0.25*$F$3</f>
        <v>0</v>
      </c>
      <c r="K60" s="1699">
        <f t="shared" si="7"/>
        <v>7</v>
      </c>
      <c r="L60" s="1707">
        <v>6</v>
      </c>
      <c r="M60" s="1701">
        <f>IF($E$3&gt;1,2,1)</f>
        <v>1</v>
      </c>
      <c r="N60" s="1709">
        <f>0.25*$F$3</f>
        <v>0</v>
      </c>
      <c r="O60" s="1699">
        <f t="shared" si="27"/>
        <v>7</v>
      </c>
      <c r="P60" s="1707">
        <v>6</v>
      </c>
      <c r="Q60" s="1701">
        <f>IF($E$3&gt;1,2,1)</f>
        <v>1</v>
      </c>
      <c r="R60" s="1709">
        <f>0.25*$F$3</f>
        <v>0</v>
      </c>
      <c r="S60" s="1699">
        <f t="shared" si="29"/>
        <v>7</v>
      </c>
      <c r="T60" s="1707">
        <v>6</v>
      </c>
      <c r="U60" s="1701">
        <f>IF($E$3&gt;1,2,1)</f>
        <v>1</v>
      </c>
      <c r="V60" s="1709">
        <f>0.25*$F$3</f>
        <v>0</v>
      </c>
      <c r="W60" s="1699">
        <f t="shared" si="31"/>
        <v>7</v>
      </c>
      <c r="X60" s="1707">
        <v>6</v>
      </c>
      <c r="Y60" s="1701">
        <f>IF($E$3&gt;1,2,1)</f>
        <v>1</v>
      </c>
      <c r="Z60" s="1709">
        <f>0.25*$F$3</f>
        <v>0</v>
      </c>
      <c r="AA60" s="1699">
        <f t="shared" si="33"/>
        <v>7</v>
      </c>
      <c r="AB60" s="1707">
        <v>6</v>
      </c>
      <c r="AC60" s="1701">
        <f>IF($E$3&gt;1,2,1)</f>
        <v>1</v>
      </c>
      <c r="AD60" s="1709">
        <f>0.25*$F$3</f>
        <v>0</v>
      </c>
      <c r="AE60" s="1699">
        <f t="shared" si="35"/>
        <v>7</v>
      </c>
      <c r="AF60" s="1707">
        <v>6</v>
      </c>
      <c r="AG60" s="1701">
        <f>IF($E$3&gt;1,2,1)</f>
        <v>1</v>
      </c>
      <c r="AH60" s="1709">
        <f>0.25*$F$3</f>
        <v>0</v>
      </c>
      <c r="AI60" s="1699">
        <f t="shared" si="37"/>
        <v>7</v>
      </c>
    </row>
    <row r="61" spans="1:35" ht="15.75" customHeight="1" x14ac:dyDescent="0.25">
      <c r="A61" s="1933"/>
      <c r="B61" s="19" t="s">
        <v>33</v>
      </c>
      <c r="C61" s="22"/>
      <c r="D61" s="482">
        <v>1</v>
      </c>
      <c r="E61" s="478">
        <f>IF(E$3&gt;1,0.25*E$3,0.5)</f>
        <v>0.5</v>
      </c>
      <c r="F61" s="630">
        <f>IF(F$3=1,D61+E61+4,0)</f>
        <v>0</v>
      </c>
      <c r="G61" s="21">
        <f t="shared" si="24"/>
        <v>1.5</v>
      </c>
      <c r="H61" s="482">
        <v>1</v>
      </c>
      <c r="I61" s="478">
        <f>IF(I$3&gt;1,0.25*I$3,0.5)</f>
        <v>0.5</v>
      </c>
      <c r="J61" s="630">
        <f>IF(J$3=1,H61+I61+4,0)</f>
        <v>0</v>
      </c>
      <c r="K61" s="21">
        <f t="shared" si="7"/>
        <v>1.5</v>
      </c>
      <c r="L61" s="482">
        <v>1</v>
      </c>
      <c r="M61" s="478">
        <f>IF(M$3&gt;1,0.25*M$3,0.5)</f>
        <v>0.5</v>
      </c>
      <c r="N61" s="630">
        <f>IF(N$3=1,L61+M61+4,0)</f>
        <v>0</v>
      </c>
      <c r="O61" s="21">
        <f t="shared" si="27"/>
        <v>1.5</v>
      </c>
      <c r="P61" s="482">
        <v>1</v>
      </c>
      <c r="Q61" s="478">
        <f>IF(Q$3&gt;1,0.25*Q$3,0.5)</f>
        <v>0.5</v>
      </c>
      <c r="R61" s="630">
        <f>IF(R$3=1,P61+Q61+4,0)</f>
        <v>0</v>
      </c>
      <c r="S61" s="21">
        <f t="shared" si="29"/>
        <v>1.5</v>
      </c>
      <c r="T61" s="482">
        <v>1</v>
      </c>
      <c r="U61" s="478">
        <f>IF(U$3&gt;1,0.25*U$3,0.5)</f>
        <v>0.5</v>
      </c>
      <c r="V61" s="630">
        <f>IF(V$3=1,T61+U61+4,0)</f>
        <v>0</v>
      </c>
      <c r="W61" s="21">
        <f t="shared" si="31"/>
        <v>1.5</v>
      </c>
      <c r="X61" s="482">
        <v>1</v>
      </c>
      <c r="Y61" s="478">
        <f>IF(Y$3&gt;1,0.25*Y$3,0.5)</f>
        <v>0.5</v>
      </c>
      <c r="Z61" s="630">
        <f>IF(Z$3=1,X61+Y61+4,0)</f>
        <v>0</v>
      </c>
      <c r="AA61" s="21">
        <f t="shared" si="33"/>
        <v>1.5</v>
      </c>
      <c r="AB61" s="482">
        <v>1</v>
      </c>
      <c r="AC61" s="478">
        <f>IF(AC$3&gt;1,0.25*AC$3,0.5)</f>
        <v>0.5</v>
      </c>
      <c r="AD61" s="630">
        <f>IF(AD$3=1,AB61+AC61+4,0)</f>
        <v>0</v>
      </c>
      <c r="AE61" s="21">
        <f t="shared" si="35"/>
        <v>1.5</v>
      </c>
      <c r="AF61" s="482">
        <v>1</v>
      </c>
      <c r="AG61" s="478">
        <f>IF(AG$3&gt;1,0.25*AG$3,0.5)</f>
        <v>0.5</v>
      </c>
      <c r="AH61" s="630">
        <f>IF(AH$3=1,AF61+AG61+4,0)</f>
        <v>0</v>
      </c>
      <c r="AI61" s="21">
        <f t="shared" si="37"/>
        <v>1.5</v>
      </c>
    </row>
    <row r="62" spans="1:35" x14ac:dyDescent="0.25">
      <c r="A62" s="1933"/>
      <c r="B62" s="19" t="s">
        <v>34</v>
      </c>
      <c r="C62" s="22"/>
      <c r="D62" s="482">
        <v>2</v>
      </c>
      <c r="E62" s="478">
        <f>IF(E$3&gt;1,0.25*E$3,0.5)</f>
        <v>0.5</v>
      </c>
      <c r="F62" s="630">
        <f>IF(F$3=1,D62+E62+6,0)</f>
        <v>0</v>
      </c>
      <c r="G62" s="21">
        <f t="shared" si="24"/>
        <v>2.5</v>
      </c>
      <c r="H62" s="482">
        <v>2</v>
      </c>
      <c r="I62" s="478">
        <f>IF(I$3&gt;1,0.25*I$3,0.5)</f>
        <v>0.5</v>
      </c>
      <c r="J62" s="630">
        <f>IF(J$3=1,H62+I62+6,0)</f>
        <v>0</v>
      </c>
      <c r="K62" s="21">
        <f t="shared" si="7"/>
        <v>2.5</v>
      </c>
      <c r="L62" s="482">
        <v>2</v>
      </c>
      <c r="M62" s="478">
        <f>IF(M$3&gt;1,0.25*M$3,0.5)</f>
        <v>0.5</v>
      </c>
      <c r="N62" s="630">
        <f>IF(N$3=1,L62+M62+6,0)</f>
        <v>0</v>
      </c>
      <c r="O62" s="21">
        <f t="shared" si="27"/>
        <v>2.5</v>
      </c>
      <c r="P62" s="482">
        <v>2</v>
      </c>
      <c r="Q62" s="478">
        <f>IF(Q$3&gt;1,0.25*Q$3,0.5)</f>
        <v>0.5</v>
      </c>
      <c r="R62" s="630">
        <f>IF(R$3=1,P62+Q62+6,0)</f>
        <v>0</v>
      </c>
      <c r="S62" s="21">
        <f t="shared" si="29"/>
        <v>2.5</v>
      </c>
      <c r="T62" s="482">
        <v>2</v>
      </c>
      <c r="U62" s="478">
        <f>IF(U$3&gt;1,0.25*U$3,0.5)</f>
        <v>0.5</v>
      </c>
      <c r="V62" s="630">
        <f>IF(V$3=1,T62+U62+6,0)</f>
        <v>0</v>
      </c>
      <c r="W62" s="21">
        <f t="shared" si="31"/>
        <v>2.5</v>
      </c>
      <c r="X62" s="482">
        <v>2</v>
      </c>
      <c r="Y62" s="478">
        <f>IF(Y$3&gt;1,0.25*Y$3,0.5)</f>
        <v>0.5</v>
      </c>
      <c r="Z62" s="630">
        <f>IF(Z$3=1,X62+Y62+6,0)</f>
        <v>0</v>
      </c>
      <c r="AA62" s="21">
        <f t="shared" si="33"/>
        <v>2.5</v>
      </c>
      <c r="AB62" s="482">
        <v>2</v>
      </c>
      <c r="AC62" s="478">
        <f>IF(AC$3&gt;1,0.25*AC$3,0.5)</f>
        <v>0.5</v>
      </c>
      <c r="AD62" s="630">
        <f>IF(AD$3=1,AB62+AC62+6,0)</f>
        <v>0</v>
      </c>
      <c r="AE62" s="21">
        <f t="shared" si="35"/>
        <v>2.5</v>
      </c>
      <c r="AF62" s="482">
        <v>2</v>
      </c>
      <c r="AG62" s="478">
        <f>IF(AG$3&gt;1,0.25*AG$3,0.5)</f>
        <v>0.5</v>
      </c>
      <c r="AH62" s="630">
        <f>IF(AH$3=1,AF62+AG62+6,0)</f>
        <v>0</v>
      </c>
      <c r="AI62" s="21">
        <f t="shared" si="37"/>
        <v>2.5</v>
      </c>
    </row>
    <row r="63" spans="1:35" ht="15.6" customHeight="1" x14ac:dyDescent="0.25">
      <c r="A63" s="1933" t="s">
        <v>451</v>
      </c>
      <c r="B63" s="1721" t="s">
        <v>32</v>
      </c>
      <c r="C63" s="22"/>
      <c r="D63" s="1707">
        <v>0.25</v>
      </c>
      <c r="E63" s="1701">
        <v>0</v>
      </c>
      <c r="F63" s="1709">
        <v>0</v>
      </c>
      <c r="G63" s="1699">
        <f t="shared" si="24"/>
        <v>0.25</v>
      </c>
      <c r="H63" s="1707">
        <v>0.25</v>
      </c>
      <c r="I63" s="1701">
        <v>0</v>
      </c>
      <c r="J63" s="1709">
        <v>0</v>
      </c>
      <c r="K63" s="1699">
        <f t="shared" si="7"/>
        <v>0.25</v>
      </c>
      <c r="L63" s="1707">
        <v>0.25</v>
      </c>
      <c r="M63" s="1701">
        <v>0</v>
      </c>
      <c r="N63" s="1709">
        <v>0</v>
      </c>
      <c r="O63" s="1699">
        <f t="shared" si="27"/>
        <v>0.25</v>
      </c>
      <c r="P63" s="1707">
        <v>0.25</v>
      </c>
      <c r="Q63" s="1701">
        <v>0</v>
      </c>
      <c r="R63" s="1709">
        <v>0</v>
      </c>
      <c r="S63" s="1699">
        <f t="shared" si="29"/>
        <v>0.25</v>
      </c>
      <c r="T63" s="1707">
        <v>0.25</v>
      </c>
      <c r="U63" s="1701">
        <v>0</v>
      </c>
      <c r="V63" s="1709">
        <v>0</v>
      </c>
      <c r="W63" s="1699">
        <f t="shared" si="31"/>
        <v>0.25</v>
      </c>
      <c r="X63" s="1707">
        <v>0.25</v>
      </c>
      <c r="Y63" s="1701">
        <v>0</v>
      </c>
      <c r="Z63" s="1709">
        <v>0</v>
      </c>
      <c r="AA63" s="1699">
        <f t="shared" si="33"/>
        <v>0.25</v>
      </c>
      <c r="AB63" s="1707">
        <v>0.25</v>
      </c>
      <c r="AC63" s="1701">
        <v>0</v>
      </c>
      <c r="AD63" s="1709">
        <v>0</v>
      </c>
      <c r="AE63" s="1699">
        <f t="shared" si="35"/>
        <v>0.25</v>
      </c>
      <c r="AF63" s="1707">
        <v>0.25</v>
      </c>
      <c r="AG63" s="1701">
        <v>0</v>
      </c>
      <c r="AH63" s="1709">
        <v>0</v>
      </c>
      <c r="AI63" s="1699">
        <f t="shared" si="37"/>
        <v>0.25</v>
      </c>
    </row>
    <row r="64" spans="1:35" ht="15.6" customHeight="1" x14ac:dyDescent="0.25">
      <c r="A64" s="1933"/>
      <c r="B64" s="19" t="s">
        <v>33</v>
      </c>
      <c r="C64" s="22"/>
      <c r="D64" s="482" t="s">
        <v>1768</v>
      </c>
      <c r="E64" s="482" t="s">
        <v>1768</v>
      </c>
      <c r="F64" s="482" t="s">
        <v>1768</v>
      </c>
      <c r="G64" s="21">
        <f t="shared" si="24"/>
        <v>0</v>
      </c>
      <c r="H64" s="482" t="s">
        <v>1768</v>
      </c>
      <c r="I64" s="482" t="s">
        <v>1768</v>
      </c>
      <c r="J64" s="482" t="s">
        <v>1768</v>
      </c>
      <c r="K64" s="21">
        <f t="shared" si="7"/>
        <v>0</v>
      </c>
      <c r="L64" s="482" t="s">
        <v>1768</v>
      </c>
      <c r="M64" s="482" t="s">
        <v>1768</v>
      </c>
      <c r="N64" s="482" t="s">
        <v>1768</v>
      </c>
      <c r="O64" s="21">
        <f t="shared" si="27"/>
        <v>0</v>
      </c>
      <c r="P64" s="482" t="s">
        <v>1768</v>
      </c>
      <c r="Q64" s="482" t="s">
        <v>1768</v>
      </c>
      <c r="R64" s="482" t="s">
        <v>1768</v>
      </c>
      <c r="S64" s="21">
        <f t="shared" si="29"/>
        <v>0</v>
      </c>
      <c r="T64" s="482" t="s">
        <v>1768</v>
      </c>
      <c r="U64" s="482" t="s">
        <v>1768</v>
      </c>
      <c r="V64" s="482" t="s">
        <v>1768</v>
      </c>
      <c r="W64" s="21">
        <f t="shared" si="31"/>
        <v>0</v>
      </c>
      <c r="X64" s="482" t="s">
        <v>1768</v>
      </c>
      <c r="Y64" s="482" t="s">
        <v>1768</v>
      </c>
      <c r="Z64" s="482" t="s">
        <v>1768</v>
      </c>
      <c r="AA64" s="21">
        <f t="shared" si="33"/>
        <v>0</v>
      </c>
      <c r="AB64" s="482" t="s">
        <v>1768</v>
      </c>
      <c r="AC64" s="482" t="s">
        <v>1768</v>
      </c>
      <c r="AD64" s="482" t="s">
        <v>1768</v>
      </c>
      <c r="AE64" s="21">
        <f t="shared" si="35"/>
        <v>0</v>
      </c>
      <c r="AF64" s="482" t="s">
        <v>1768</v>
      </c>
      <c r="AG64" s="482" t="s">
        <v>1768</v>
      </c>
      <c r="AH64" s="482" t="s">
        <v>1768</v>
      </c>
      <c r="AI64" s="21">
        <f t="shared" si="37"/>
        <v>0</v>
      </c>
    </row>
    <row r="65" spans="1:35" ht="15.6" customHeight="1" x14ac:dyDescent="0.25">
      <c r="A65" s="1933"/>
      <c r="B65" s="19" t="s">
        <v>34</v>
      </c>
      <c r="C65" s="22"/>
      <c r="D65" s="482" t="s">
        <v>1768</v>
      </c>
      <c r="E65" s="482" t="s">
        <v>1768</v>
      </c>
      <c r="F65" s="482" t="s">
        <v>1768</v>
      </c>
      <c r="G65" s="21">
        <f t="shared" si="24"/>
        <v>0</v>
      </c>
      <c r="H65" s="482" t="s">
        <v>1768</v>
      </c>
      <c r="I65" s="482" t="s">
        <v>1768</v>
      </c>
      <c r="J65" s="482" t="s">
        <v>1768</v>
      </c>
      <c r="K65" s="21">
        <f t="shared" si="7"/>
        <v>0</v>
      </c>
      <c r="L65" s="482" t="s">
        <v>1768</v>
      </c>
      <c r="M65" s="482" t="s">
        <v>1768</v>
      </c>
      <c r="N65" s="482" t="s">
        <v>1768</v>
      </c>
      <c r="O65" s="21">
        <f t="shared" si="27"/>
        <v>0</v>
      </c>
      <c r="P65" s="482" t="s">
        <v>1768</v>
      </c>
      <c r="Q65" s="482" t="s">
        <v>1768</v>
      </c>
      <c r="R65" s="482" t="s">
        <v>1768</v>
      </c>
      <c r="S65" s="21">
        <f t="shared" si="29"/>
        <v>0</v>
      </c>
      <c r="T65" s="482" t="s">
        <v>1768</v>
      </c>
      <c r="U65" s="482" t="s">
        <v>1768</v>
      </c>
      <c r="V65" s="482" t="s">
        <v>1768</v>
      </c>
      <c r="W65" s="21">
        <f t="shared" si="31"/>
        <v>0</v>
      </c>
      <c r="X65" s="482" t="s">
        <v>1768</v>
      </c>
      <c r="Y65" s="482" t="s">
        <v>1768</v>
      </c>
      <c r="Z65" s="482" t="s">
        <v>1768</v>
      </c>
      <c r="AA65" s="21">
        <f t="shared" si="33"/>
        <v>0</v>
      </c>
      <c r="AB65" s="482" t="s">
        <v>1768</v>
      </c>
      <c r="AC65" s="482" t="s">
        <v>1768</v>
      </c>
      <c r="AD65" s="482" t="s">
        <v>1768</v>
      </c>
      <c r="AE65" s="21">
        <f t="shared" si="35"/>
        <v>0</v>
      </c>
      <c r="AF65" s="482" t="s">
        <v>1768</v>
      </c>
      <c r="AG65" s="482" t="s">
        <v>1768</v>
      </c>
      <c r="AH65" s="482" t="s">
        <v>1768</v>
      </c>
      <c r="AI65" s="21">
        <f t="shared" si="37"/>
        <v>0</v>
      </c>
    </row>
    <row r="66" spans="1:35" ht="15.6" customHeight="1" x14ac:dyDescent="0.25">
      <c r="A66" s="1933" t="s">
        <v>452</v>
      </c>
      <c r="B66" s="1721" t="s">
        <v>32</v>
      </c>
      <c r="C66" s="22"/>
      <c r="D66" s="1707">
        <v>0.25</v>
      </c>
      <c r="E66" s="1701">
        <v>0</v>
      </c>
      <c r="F66" s="1709">
        <v>0</v>
      </c>
      <c r="G66" s="1699">
        <f t="shared" si="24"/>
        <v>0.25</v>
      </c>
      <c r="H66" s="1707">
        <v>0.25</v>
      </c>
      <c r="I66" s="1701">
        <v>0</v>
      </c>
      <c r="J66" s="1709">
        <v>0</v>
      </c>
      <c r="K66" s="1699">
        <f t="shared" si="7"/>
        <v>0.25</v>
      </c>
      <c r="L66" s="1707">
        <v>0.25</v>
      </c>
      <c r="M66" s="1701">
        <v>0</v>
      </c>
      <c r="N66" s="1709">
        <v>0</v>
      </c>
      <c r="O66" s="1699">
        <f t="shared" si="27"/>
        <v>0.25</v>
      </c>
      <c r="P66" s="1707">
        <v>0.25</v>
      </c>
      <c r="Q66" s="1701">
        <v>0</v>
      </c>
      <c r="R66" s="1709">
        <v>0</v>
      </c>
      <c r="S66" s="1699">
        <f t="shared" si="29"/>
        <v>0.25</v>
      </c>
      <c r="T66" s="1707">
        <v>0.25</v>
      </c>
      <c r="U66" s="1701">
        <v>0</v>
      </c>
      <c r="V66" s="1709">
        <v>0</v>
      </c>
      <c r="W66" s="1699">
        <f t="shared" si="31"/>
        <v>0.25</v>
      </c>
      <c r="X66" s="1707">
        <v>0.25</v>
      </c>
      <c r="Y66" s="1701">
        <v>0</v>
      </c>
      <c r="Z66" s="1709">
        <v>0</v>
      </c>
      <c r="AA66" s="1699">
        <f t="shared" si="33"/>
        <v>0.25</v>
      </c>
      <c r="AB66" s="1707">
        <v>0.25</v>
      </c>
      <c r="AC66" s="1701">
        <v>0</v>
      </c>
      <c r="AD66" s="1709">
        <v>0</v>
      </c>
      <c r="AE66" s="1699">
        <f t="shared" si="35"/>
        <v>0.25</v>
      </c>
      <c r="AF66" s="1707">
        <v>0.25</v>
      </c>
      <c r="AG66" s="1701">
        <v>0</v>
      </c>
      <c r="AH66" s="1709">
        <v>0</v>
      </c>
      <c r="AI66" s="1699">
        <f t="shared" si="37"/>
        <v>0.25</v>
      </c>
    </row>
    <row r="67" spans="1:35" ht="15.6" customHeight="1" x14ac:dyDescent="0.25">
      <c r="A67" s="1933"/>
      <c r="B67" s="19" t="s">
        <v>33</v>
      </c>
      <c r="C67" s="22"/>
      <c r="D67" s="493">
        <f>IF(D$3&gt;1,D$3*0.25,0.25)</f>
        <v>0.5</v>
      </c>
      <c r="E67" s="764">
        <v>0</v>
      </c>
      <c r="F67" s="630">
        <f>IF(F$3=1,D67+E67+0.5,0)</f>
        <v>0</v>
      </c>
      <c r="G67" s="21">
        <f t="shared" si="24"/>
        <v>0.5</v>
      </c>
      <c r="H67" s="493">
        <f>IF(H$3&gt;1,H$3*0.25,0.25)</f>
        <v>0.5</v>
      </c>
      <c r="I67" s="764">
        <v>0</v>
      </c>
      <c r="J67" s="630">
        <f>IF(J$3=1,H67+I67+0.5,0)</f>
        <v>0</v>
      </c>
      <c r="K67" s="21">
        <f t="shared" si="7"/>
        <v>0.5</v>
      </c>
      <c r="L67" s="493">
        <f>IF(L$3&gt;1,L$3*0.25,0.25)</f>
        <v>0.5</v>
      </c>
      <c r="M67" s="764">
        <v>0</v>
      </c>
      <c r="N67" s="630">
        <f>IF(N$3=1,L67+M67+0.5,0)</f>
        <v>0</v>
      </c>
      <c r="O67" s="21">
        <f t="shared" si="27"/>
        <v>0.5</v>
      </c>
      <c r="P67" s="493">
        <f>IF(P$3&gt;1,P$3*0.25,0.25)</f>
        <v>0.5</v>
      </c>
      <c r="Q67" s="764">
        <v>0</v>
      </c>
      <c r="R67" s="630">
        <f>IF(R$3=1,P67+Q67+0.5,0)</f>
        <v>0</v>
      </c>
      <c r="S67" s="21">
        <f t="shared" si="29"/>
        <v>0.5</v>
      </c>
      <c r="T67" s="493">
        <f>IF(T$3&gt;1,T$3*0.25,0.25)</f>
        <v>0.5</v>
      </c>
      <c r="U67" s="764">
        <v>0</v>
      </c>
      <c r="V67" s="630">
        <f>IF(V$3=1,T67+U67+0.5,0)</f>
        <v>0</v>
      </c>
      <c r="W67" s="21">
        <f t="shared" si="31"/>
        <v>0.5</v>
      </c>
      <c r="X67" s="493">
        <f>IF(X$3&gt;1,X$3*0.25,0.25)</f>
        <v>0.5</v>
      </c>
      <c r="Y67" s="764">
        <v>0</v>
      </c>
      <c r="Z67" s="630">
        <f>IF(Z$3=1,X67+Y67+0.5,0)</f>
        <v>0</v>
      </c>
      <c r="AA67" s="21">
        <f t="shared" si="33"/>
        <v>0.5</v>
      </c>
      <c r="AB67" s="493">
        <f>IF(AB$3&gt;1,AB$3*0.25,0.25)</f>
        <v>0.5</v>
      </c>
      <c r="AC67" s="764">
        <v>0</v>
      </c>
      <c r="AD67" s="630">
        <f>IF(AD$3=1,AB67+AC67+0.5,0)</f>
        <v>0</v>
      </c>
      <c r="AE67" s="21">
        <f t="shared" si="35"/>
        <v>0.5</v>
      </c>
      <c r="AF67" s="493">
        <f>IF(AF$3&gt;1,AF$3*0.25,0.25)</f>
        <v>0.5</v>
      </c>
      <c r="AG67" s="764">
        <v>0</v>
      </c>
      <c r="AH67" s="630">
        <f>IF(AH$3=1,AF67+AG67+0.5,0)</f>
        <v>0</v>
      </c>
      <c r="AI67" s="21">
        <f t="shared" si="37"/>
        <v>0.5</v>
      </c>
    </row>
    <row r="68" spans="1:35" ht="15.6" customHeight="1" x14ac:dyDescent="0.25">
      <c r="A68" s="1933"/>
      <c r="B68" s="19" t="s">
        <v>34</v>
      </c>
      <c r="C68" s="22"/>
      <c r="D68" s="493">
        <f>IF(D$3&gt;1,D$3*0.25,0.25)</f>
        <v>0.5</v>
      </c>
      <c r="E68" s="764">
        <v>0</v>
      </c>
      <c r="F68" s="630">
        <f>IF(F$3=1,D68+E68+0.5,0)</f>
        <v>0</v>
      </c>
      <c r="G68" s="21">
        <f t="shared" si="24"/>
        <v>0.5</v>
      </c>
      <c r="H68" s="493">
        <f>IF(H$3&gt;1,H$3*0.25,0.25)</f>
        <v>0.5</v>
      </c>
      <c r="I68" s="764">
        <v>0</v>
      </c>
      <c r="J68" s="630">
        <f>IF(J$3=1,H68+I68+0.5,0)</f>
        <v>0</v>
      </c>
      <c r="K68" s="21">
        <f t="shared" si="7"/>
        <v>0.5</v>
      </c>
      <c r="L68" s="493">
        <f>IF(L$3&gt;1,L$3*0.25,0.25)</f>
        <v>0.5</v>
      </c>
      <c r="M68" s="764">
        <v>0</v>
      </c>
      <c r="N68" s="630">
        <f>IF(N$3=1,L68+M68+0.5,0)</f>
        <v>0</v>
      </c>
      <c r="O68" s="21">
        <f t="shared" si="27"/>
        <v>0.5</v>
      </c>
      <c r="P68" s="493">
        <f>IF(P$3&gt;1,P$3*0.25,0.25)</f>
        <v>0.5</v>
      </c>
      <c r="Q68" s="764">
        <v>0</v>
      </c>
      <c r="R68" s="630">
        <f>IF(R$3=1,P68+Q68+0.5,0)</f>
        <v>0</v>
      </c>
      <c r="S68" s="21">
        <f t="shared" si="29"/>
        <v>0.5</v>
      </c>
      <c r="T68" s="493">
        <f>IF(T$3&gt;1,T$3*0.25,0.25)</f>
        <v>0.5</v>
      </c>
      <c r="U68" s="764">
        <v>0</v>
      </c>
      <c r="V68" s="630">
        <f>IF(V$3=1,T68+U68+0.5,0)</f>
        <v>0</v>
      </c>
      <c r="W68" s="21">
        <f t="shared" si="31"/>
        <v>0.5</v>
      </c>
      <c r="X68" s="493">
        <f>IF(X$3&gt;1,X$3*0.25,0.25)</f>
        <v>0.5</v>
      </c>
      <c r="Y68" s="764">
        <v>0</v>
      </c>
      <c r="Z68" s="630">
        <f>IF(Z$3=1,X68+Y68+0.5,0)</f>
        <v>0</v>
      </c>
      <c r="AA68" s="21">
        <f t="shared" si="33"/>
        <v>0.5</v>
      </c>
      <c r="AB68" s="493">
        <f>IF(AB$3&gt;1,AB$3*0.25,0.25)</f>
        <v>0.5</v>
      </c>
      <c r="AC68" s="764">
        <v>0</v>
      </c>
      <c r="AD68" s="630">
        <f>IF(AD$3=1,AB68+AC68+0.5,0)</f>
        <v>0</v>
      </c>
      <c r="AE68" s="21">
        <f t="shared" si="35"/>
        <v>0.5</v>
      </c>
      <c r="AF68" s="493">
        <f>IF(AF$3&gt;1,AF$3*0.25,0.25)</f>
        <v>0.5</v>
      </c>
      <c r="AG68" s="764">
        <v>0</v>
      </c>
      <c r="AH68" s="630">
        <f>IF(AH$3=1,AF68+AG68+0.5,0)</f>
        <v>0</v>
      </c>
      <c r="AI68" s="21">
        <f t="shared" si="37"/>
        <v>0.5</v>
      </c>
    </row>
    <row r="69" spans="1:35" ht="15.6" customHeight="1" x14ac:dyDescent="0.25">
      <c r="A69" s="1936" t="s">
        <v>533</v>
      </c>
      <c r="B69" s="1721" t="s">
        <v>32</v>
      </c>
      <c r="C69" s="22"/>
      <c r="D69" s="1707">
        <f>IF($D$3&gt;1,$D$3*0.5+2,2)</f>
        <v>3</v>
      </c>
      <c r="E69" s="1708">
        <v>0</v>
      </c>
      <c r="F69" s="1702">
        <f t="shared" ref="F69:F72" si="46">$F$3*0.25</f>
        <v>0</v>
      </c>
      <c r="G69" s="1699">
        <f t="shared" si="24"/>
        <v>3</v>
      </c>
      <c r="H69" s="1707">
        <f>IF($D$3&gt;1,$D$3*0.5+2,2)</f>
        <v>3</v>
      </c>
      <c r="I69" s="1708">
        <v>0</v>
      </c>
      <c r="J69" s="1702">
        <f t="shared" ref="J69:J72" si="47">$F$3*0.25</f>
        <v>0</v>
      </c>
      <c r="K69" s="1699">
        <f t="shared" si="7"/>
        <v>3</v>
      </c>
      <c r="L69" s="1707">
        <f>IF($D$3&gt;1,$D$3*0.5+2,2)</f>
        <v>3</v>
      </c>
      <c r="M69" s="1708">
        <v>0</v>
      </c>
      <c r="N69" s="1702">
        <f t="shared" ref="N69:N72" si="48">$F$3*0.25</f>
        <v>0</v>
      </c>
      <c r="O69" s="1699">
        <f t="shared" si="27"/>
        <v>3</v>
      </c>
      <c r="P69" s="1707">
        <f>IF($D$3&gt;1,$D$3*0.5+2,2)</f>
        <v>3</v>
      </c>
      <c r="Q69" s="1708">
        <v>0</v>
      </c>
      <c r="R69" s="1702">
        <f t="shared" ref="R69:R72" si="49">$F$3*0.25</f>
        <v>0</v>
      </c>
      <c r="S69" s="1699">
        <f t="shared" si="29"/>
        <v>3</v>
      </c>
      <c r="T69" s="1707">
        <f>IF($D$3&gt;1,$D$3*0.5+2,2)</f>
        <v>3</v>
      </c>
      <c r="U69" s="1708">
        <v>0</v>
      </c>
      <c r="V69" s="1702">
        <f t="shared" ref="V69:V72" si="50">$F$3*0.25</f>
        <v>0</v>
      </c>
      <c r="W69" s="1699">
        <f t="shared" si="31"/>
        <v>3</v>
      </c>
      <c r="X69" s="1707">
        <f>IF($D$3&gt;1,$D$3*0.5+2,2)</f>
        <v>3</v>
      </c>
      <c r="Y69" s="1708">
        <v>0</v>
      </c>
      <c r="Z69" s="1702">
        <f t="shared" ref="Z69:Z72" si="51">$F$3*0.25</f>
        <v>0</v>
      </c>
      <c r="AA69" s="1699">
        <f t="shared" si="33"/>
        <v>3</v>
      </c>
      <c r="AB69" s="1707">
        <f>IF($D$3&gt;1,$D$3*0.5+2,2)</f>
        <v>3</v>
      </c>
      <c r="AC69" s="1708">
        <v>0</v>
      </c>
      <c r="AD69" s="1702">
        <f t="shared" ref="AD69:AD72" si="52">$F$3*0.25</f>
        <v>0</v>
      </c>
      <c r="AE69" s="1699">
        <f t="shared" si="35"/>
        <v>3</v>
      </c>
      <c r="AF69" s="1707">
        <f>IF($D$3&gt;1,$D$3*0.5+2,2)</f>
        <v>3</v>
      </c>
      <c r="AG69" s="1708">
        <v>0</v>
      </c>
      <c r="AH69" s="1702">
        <f t="shared" ref="AH69:AH72" si="53">$F$3*0.25</f>
        <v>0</v>
      </c>
      <c r="AI69" s="1699">
        <f t="shared" si="37"/>
        <v>3</v>
      </c>
    </row>
    <row r="70" spans="1:35" ht="15.6" customHeight="1" x14ac:dyDescent="0.25">
      <c r="A70" s="1936"/>
      <c r="B70" s="19" t="s">
        <v>33</v>
      </c>
      <c r="C70" s="22"/>
      <c r="D70" s="482" t="s">
        <v>1768</v>
      </c>
      <c r="E70" s="482" t="s">
        <v>1768</v>
      </c>
      <c r="F70" s="482" t="s">
        <v>1768</v>
      </c>
      <c r="G70" s="21">
        <f t="shared" si="24"/>
        <v>0</v>
      </c>
      <c r="H70" s="482" t="s">
        <v>1768</v>
      </c>
      <c r="I70" s="482" t="s">
        <v>1768</v>
      </c>
      <c r="J70" s="482" t="s">
        <v>1768</v>
      </c>
      <c r="K70" s="21">
        <f t="shared" si="7"/>
        <v>0</v>
      </c>
      <c r="L70" s="482" t="s">
        <v>1768</v>
      </c>
      <c r="M70" s="482" t="s">
        <v>1768</v>
      </c>
      <c r="N70" s="482" t="s">
        <v>1768</v>
      </c>
      <c r="O70" s="21">
        <f t="shared" si="27"/>
        <v>0</v>
      </c>
      <c r="P70" s="482" t="s">
        <v>1768</v>
      </c>
      <c r="Q70" s="482" t="s">
        <v>1768</v>
      </c>
      <c r="R70" s="482" t="s">
        <v>1768</v>
      </c>
      <c r="S70" s="21">
        <f t="shared" si="29"/>
        <v>0</v>
      </c>
      <c r="T70" s="482" t="s">
        <v>1768</v>
      </c>
      <c r="U70" s="482" t="s">
        <v>1768</v>
      </c>
      <c r="V70" s="482" t="s">
        <v>1768</v>
      </c>
      <c r="W70" s="21">
        <f t="shared" si="31"/>
        <v>0</v>
      </c>
      <c r="X70" s="482" t="s">
        <v>1768</v>
      </c>
      <c r="Y70" s="482" t="s">
        <v>1768</v>
      </c>
      <c r="Z70" s="482" t="s">
        <v>1768</v>
      </c>
      <c r="AA70" s="21">
        <f t="shared" si="33"/>
        <v>0</v>
      </c>
      <c r="AB70" s="482" t="s">
        <v>1768</v>
      </c>
      <c r="AC70" s="482" t="s">
        <v>1768</v>
      </c>
      <c r="AD70" s="482" t="s">
        <v>1768</v>
      </c>
      <c r="AE70" s="21">
        <f t="shared" si="35"/>
        <v>0</v>
      </c>
      <c r="AF70" s="482" t="s">
        <v>1768</v>
      </c>
      <c r="AG70" s="482" t="s">
        <v>1768</v>
      </c>
      <c r="AH70" s="482" t="s">
        <v>1768</v>
      </c>
      <c r="AI70" s="21">
        <f t="shared" si="37"/>
        <v>0</v>
      </c>
    </row>
    <row r="71" spans="1:35" ht="15.6" customHeight="1" x14ac:dyDescent="0.25">
      <c r="A71" s="1936"/>
      <c r="B71" s="19" t="s">
        <v>34</v>
      </c>
      <c r="C71" s="22"/>
      <c r="D71" s="482" t="s">
        <v>1768</v>
      </c>
      <c r="E71" s="482" t="s">
        <v>1768</v>
      </c>
      <c r="F71" s="482" t="s">
        <v>1768</v>
      </c>
      <c r="G71" s="21">
        <f t="shared" si="24"/>
        <v>0</v>
      </c>
      <c r="H71" s="482" t="s">
        <v>1768</v>
      </c>
      <c r="I71" s="482" t="s">
        <v>1768</v>
      </c>
      <c r="J71" s="482" t="s">
        <v>1768</v>
      </c>
      <c r="K71" s="21">
        <f t="shared" si="7"/>
        <v>0</v>
      </c>
      <c r="L71" s="482" t="s">
        <v>1768</v>
      </c>
      <c r="M71" s="482" t="s">
        <v>1768</v>
      </c>
      <c r="N71" s="482" t="s">
        <v>1768</v>
      </c>
      <c r="O71" s="21">
        <f t="shared" si="27"/>
        <v>0</v>
      </c>
      <c r="P71" s="482" t="s">
        <v>1768</v>
      </c>
      <c r="Q71" s="482" t="s">
        <v>1768</v>
      </c>
      <c r="R71" s="482" t="s">
        <v>1768</v>
      </c>
      <c r="S71" s="21">
        <f t="shared" si="29"/>
        <v>0</v>
      </c>
      <c r="T71" s="482" t="s">
        <v>1768</v>
      </c>
      <c r="U71" s="482" t="s">
        <v>1768</v>
      </c>
      <c r="V71" s="482" t="s">
        <v>1768</v>
      </c>
      <c r="W71" s="21">
        <f t="shared" si="31"/>
        <v>0</v>
      </c>
      <c r="X71" s="482" t="s">
        <v>1768</v>
      </c>
      <c r="Y71" s="482" t="s">
        <v>1768</v>
      </c>
      <c r="Z71" s="482" t="s">
        <v>1768</v>
      </c>
      <c r="AA71" s="21">
        <f t="shared" si="33"/>
        <v>0</v>
      </c>
      <c r="AB71" s="482" t="s">
        <v>1768</v>
      </c>
      <c r="AC71" s="482" t="s">
        <v>1768</v>
      </c>
      <c r="AD71" s="482" t="s">
        <v>1768</v>
      </c>
      <c r="AE71" s="21">
        <f t="shared" si="35"/>
        <v>0</v>
      </c>
      <c r="AF71" s="482" t="s">
        <v>1768</v>
      </c>
      <c r="AG71" s="482" t="s">
        <v>1768</v>
      </c>
      <c r="AH71" s="482" t="s">
        <v>1768</v>
      </c>
      <c r="AI71" s="21">
        <f t="shared" si="37"/>
        <v>0</v>
      </c>
    </row>
    <row r="72" spans="1:35" ht="15.6" customHeight="1" x14ac:dyDescent="0.25">
      <c r="A72" s="1933" t="s">
        <v>534</v>
      </c>
      <c r="B72" s="1721" t="s">
        <v>32</v>
      </c>
      <c r="C72" s="22"/>
      <c r="D72" s="1707">
        <f>IF($D$3&gt;1,$D$3*0.5+2,2)</f>
        <v>3</v>
      </c>
      <c r="E72" s="1708">
        <v>0</v>
      </c>
      <c r="F72" s="1702">
        <f t="shared" si="46"/>
        <v>0</v>
      </c>
      <c r="G72" s="1699">
        <f t="shared" si="24"/>
        <v>3</v>
      </c>
      <c r="H72" s="1707">
        <f>IF($D$3&gt;1,$D$3*0.5+2,2)</f>
        <v>3</v>
      </c>
      <c r="I72" s="1708">
        <v>0</v>
      </c>
      <c r="J72" s="1702">
        <f t="shared" si="47"/>
        <v>0</v>
      </c>
      <c r="K72" s="1699">
        <f t="shared" si="7"/>
        <v>3</v>
      </c>
      <c r="L72" s="1707">
        <f>IF($D$3&gt;1,$D$3*0.5+2,2)</f>
        <v>3</v>
      </c>
      <c r="M72" s="1708">
        <v>0</v>
      </c>
      <c r="N72" s="1702">
        <f t="shared" si="48"/>
        <v>0</v>
      </c>
      <c r="O72" s="1699">
        <f t="shared" si="27"/>
        <v>3</v>
      </c>
      <c r="P72" s="1707">
        <f>IF($D$3&gt;1,$D$3*0.5+2,2)</f>
        <v>3</v>
      </c>
      <c r="Q72" s="1708">
        <v>0</v>
      </c>
      <c r="R72" s="1702">
        <f t="shared" si="49"/>
        <v>0</v>
      </c>
      <c r="S72" s="1699">
        <f t="shared" si="29"/>
        <v>3</v>
      </c>
      <c r="T72" s="1707">
        <f>IF($D$3&gt;1,$D$3*0.5+2,2)</f>
        <v>3</v>
      </c>
      <c r="U72" s="1708">
        <v>0</v>
      </c>
      <c r="V72" s="1702">
        <f t="shared" si="50"/>
        <v>0</v>
      </c>
      <c r="W72" s="1699">
        <f t="shared" si="31"/>
        <v>3</v>
      </c>
      <c r="X72" s="1707">
        <f>IF($D$3&gt;1,$D$3*0.5+2,2)</f>
        <v>3</v>
      </c>
      <c r="Y72" s="1708">
        <v>0</v>
      </c>
      <c r="Z72" s="1702">
        <f t="shared" si="51"/>
        <v>0</v>
      </c>
      <c r="AA72" s="1699">
        <f t="shared" si="33"/>
        <v>3</v>
      </c>
      <c r="AB72" s="1707">
        <f>IF($D$3&gt;1,$D$3*0.5+2,2)</f>
        <v>3</v>
      </c>
      <c r="AC72" s="1708">
        <v>0</v>
      </c>
      <c r="AD72" s="1702">
        <f t="shared" si="52"/>
        <v>0</v>
      </c>
      <c r="AE72" s="1699">
        <f t="shared" si="35"/>
        <v>3</v>
      </c>
      <c r="AF72" s="1707">
        <f>IF($D$3&gt;1,$D$3*0.5+2,2)</f>
        <v>3</v>
      </c>
      <c r="AG72" s="1708">
        <v>0</v>
      </c>
      <c r="AH72" s="1702">
        <f t="shared" si="53"/>
        <v>0</v>
      </c>
      <c r="AI72" s="1699">
        <f t="shared" si="37"/>
        <v>3</v>
      </c>
    </row>
    <row r="73" spans="1:35" ht="15.6" customHeight="1" x14ac:dyDescent="0.25">
      <c r="A73" s="1933"/>
      <c r="B73" s="19" t="s">
        <v>33</v>
      </c>
      <c r="C73" s="22"/>
      <c r="D73" s="482" t="s">
        <v>1768</v>
      </c>
      <c r="E73" s="482" t="s">
        <v>1768</v>
      </c>
      <c r="F73" s="482" t="s">
        <v>1768</v>
      </c>
      <c r="G73" s="21">
        <f t="shared" si="24"/>
        <v>0</v>
      </c>
      <c r="H73" s="482" t="s">
        <v>1768</v>
      </c>
      <c r="I73" s="482" t="s">
        <v>1768</v>
      </c>
      <c r="J73" s="482" t="s">
        <v>1768</v>
      </c>
      <c r="K73" s="21">
        <f t="shared" si="7"/>
        <v>0</v>
      </c>
      <c r="L73" s="482" t="s">
        <v>1768</v>
      </c>
      <c r="M73" s="482" t="s">
        <v>1768</v>
      </c>
      <c r="N73" s="482" t="s">
        <v>1768</v>
      </c>
      <c r="O73" s="21">
        <f t="shared" si="27"/>
        <v>0</v>
      </c>
      <c r="P73" s="482" t="s">
        <v>1768</v>
      </c>
      <c r="Q73" s="482" t="s">
        <v>1768</v>
      </c>
      <c r="R73" s="482" t="s">
        <v>1768</v>
      </c>
      <c r="S73" s="21">
        <f t="shared" si="29"/>
        <v>0</v>
      </c>
      <c r="T73" s="482" t="s">
        <v>1768</v>
      </c>
      <c r="U73" s="482" t="s">
        <v>1768</v>
      </c>
      <c r="V73" s="482" t="s">
        <v>1768</v>
      </c>
      <c r="W73" s="21">
        <f t="shared" si="31"/>
        <v>0</v>
      </c>
      <c r="X73" s="482" t="s">
        <v>1768</v>
      </c>
      <c r="Y73" s="482" t="s">
        <v>1768</v>
      </c>
      <c r="Z73" s="482" t="s">
        <v>1768</v>
      </c>
      <c r="AA73" s="21">
        <f t="shared" si="33"/>
        <v>0</v>
      </c>
      <c r="AB73" s="482" t="s">
        <v>1768</v>
      </c>
      <c r="AC73" s="482" t="s">
        <v>1768</v>
      </c>
      <c r="AD73" s="482" t="s">
        <v>1768</v>
      </c>
      <c r="AE73" s="21">
        <f t="shared" si="35"/>
        <v>0</v>
      </c>
      <c r="AF73" s="482" t="s">
        <v>1768</v>
      </c>
      <c r="AG73" s="482" t="s">
        <v>1768</v>
      </c>
      <c r="AH73" s="482" t="s">
        <v>1768</v>
      </c>
      <c r="AI73" s="21">
        <f t="shared" si="37"/>
        <v>0</v>
      </c>
    </row>
    <row r="74" spans="1:35" ht="15.6" customHeight="1" x14ac:dyDescent="0.25">
      <c r="A74" s="1933"/>
      <c r="B74" s="19" t="s">
        <v>34</v>
      </c>
      <c r="C74" s="22"/>
      <c r="D74" s="482" t="s">
        <v>1768</v>
      </c>
      <c r="E74" s="482" t="s">
        <v>1768</v>
      </c>
      <c r="F74" s="482" t="s">
        <v>1768</v>
      </c>
      <c r="G74" s="21">
        <f t="shared" si="24"/>
        <v>0</v>
      </c>
      <c r="H74" s="482" t="s">
        <v>1768</v>
      </c>
      <c r="I74" s="482" t="s">
        <v>1768</v>
      </c>
      <c r="J74" s="482" t="s">
        <v>1768</v>
      </c>
      <c r="K74" s="21">
        <f t="shared" si="7"/>
        <v>0</v>
      </c>
      <c r="L74" s="482" t="s">
        <v>1768</v>
      </c>
      <c r="M74" s="482" t="s">
        <v>1768</v>
      </c>
      <c r="N74" s="482" t="s">
        <v>1768</v>
      </c>
      <c r="O74" s="21">
        <f t="shared" si="27"/>
        <v>0</v>
      </c>
      <c r="P74" s="482" t="s">
        <v>1768</v>
      </c>
      <c r="Q74" s="482" t="s">
        <v>1768</v>
      </c>
      <c r="R74" s="482" t="s">
        <v>1768</v>
      </c>
      <c r="S74" s="21">
        <f t="shared" si="29"/>
        <v>0</v>
      </c>
      <c r="T74" s="482" t="s">
        <v>1768</v>
      </c>
      <c r="U74" s="482" t="s">
        <v>1768</v>
      </c>
      <c r="V74" s="482" t="s">
        <v>1768</v>
      </c>
      <c r="W74" s="21">
        <f t="shared" si="31"/>
        <v>0</v>
      </c>
      <c r="X74" s="482" t="s">
        <v>1768</v>
      </c>
      <c r="Y74" s="482" t="s">
        <v>1768</v>
      </c>
      <c r="Z74" s="482" t="s">
        <v>1768</v>
      </c>
      <c r="AA74" s="21">
        <f t="shared" si="33"/>
        <v>0</v>
      </c>
      <c r="AB74" s="482" t="s">
        <v>1768</v>
      </c>
      <c r="AC74" s="482" t="s">
        <v>1768</v>
      </c>
      <c r="AD74" s="482" t="s">
        <v>1768</v>
      </c>
      <c r="AE74" s="21">
        <f t="shared" si="35"/>
        <v>0</v>
      </c>
      <c r="AF74" s="482" t="s">
        <v>1768</v>
      </c>
      <c r="AG74" s="482" t="s">
        <v>1768</v>
      </c>
      <c r="AH74" s="482" t="s">
        <v>1768</v>
      </c>
      <c r="AI74" s="21">
        <f t="shared" si="37"/>
        <v>0</v>
      </c>
    </row>
    <row r="75" spans="1:35" x14ac:dyDescent="0.25">
      <c r="A75" s="1933" t="s">
        <v>21</v>
      </c>
      <c r="B75" s="1721" t="s">
        <v>32</v>
      </c>
      <c r="C75" s="22"/>
      <c r="D75" s="1707" t="s">
        <v>90</v>
      </c>
      <c r="E75" s="1708" t="s">
        <v>90</v>
      </c>
      <c r="F75" s="1709" t="s">
        <v>90</v>
      </c>
      <c r="G75" s="1699">
        <f t="shared" si="24"/>
        <v>0</v>
      </c>
      <c r="H75" s="1707" t="s">
        <v>90</v>
      </c>
      <c r="I75" s="1708" t="s">
        <v>90</v>
      </c>
      <c r="J75" s="1709" t="s">
        <v>90</v>
      </c>
      <c r="K75" s="1699">
        <f t="shared" si="7"/>
        <v>0</v>
      </c>
      <c r="L75" s="1707" t="s">
        <v>90</v>
      </c>
      <c r="M75" s="1708" t="s">
        <v>90</v>
      </c>
      <c r="N75" s="1709" t="s">
        <v>90</v>
      </c>
      <c r="O75" s="1699">
        <f t="shared" si="27"/>
        <v>0</v>
      </c>
      <c r="P75" s="1707" t="s">
        <v>90</v>
      </c>
      <c r="Q75" s="1708" t="s">
        <v>90</v>
      </c>
      <c r="R75" s="1709" t="s">
        <v>90</v>
      </c>
      <c r="S75" s="1699">
        <f t="shared" si="29"/>
        <v>0</v>
      </c>
      <c r="T75" s="1707" t="s">
        <v>90</v>
      </c>
      <c r="U75" s="1708" t="s">
        <v>90</v>
      </c>
      <c r="V75" s="1709" t="s">
        <v>90</v>
      </c>
      <c r="W75" s="1699">
        <f t="shared" si="31"/>
        <v>0</v>
      </c>
      <c r="X75" s="1707" t="s">
        <v>90</v>
      </c>
      <c r="Y75" s="1708" t="s">
        <v>90</v>
      </c>
      <c r="Z75" s="1709" t="s">
        <v>90</v>
      </c>
      <c r="AA75" s="1699">
        <f t="shared" si="33"/>
        <v>0</v>
      </c>
      <c r="AB75" s="1707" t="s">
        <v>90</v>
      </c>
      <c r="AC75" s="1708" t="s">
        <v>90</v>
      </c>
      <c r="AD75" s="1709" t="s">
        <v>90</v>
      </c>
      <c r="AE75" s="1699">
        <f t="shared" si="35"/>
        <v>0</v>
      </c>
      <c r="AF75" s="1707" t="s">
        <v>90</v>
      </c>
      <c r="AG75" s="1708" t="s">
        <v>90</v>
      </c>
      <c r="AH75" s="1709" t="s">
        <v>90</v>
      </c>
      <c r="AI75" s="1699">
        <f t="shared" si="37"/>
        <v>0</v>
      </c>
    </row>
    <row r="76" spans="1:35" x14ac:dyDescent="0.25">
      <c r="A76" s="1933"/>
      <c r="B76" s="19" t="s">
        <v>33</v>
      </c>
      <c r="C76" s="22"/>
      <c r="D76" s="821" t="s">
        <v>90</v>
      </c>
      <c r="E76" s="814" t="s">
        <v>90</v>
      </c>
      <c r="F76" s="819" t="s">
        <v>90</v>
      </c>
      <c r="G76" s="21">
        <f t="shared" si="24"/>
        <v>0</v>
      </c>
      <c r="H76" s="821" t="s">
        <v>90</v>
      </c>
      <c r="I76" s="814" t="s">
        <v>90</v>
      </c>
      <c r="J76" s="819" t="s">
        <v>90</v>
      </c>
      <c r="K76" s="21">
        <f t="shared" si="7"/>
        <v>0</v>
      </c>
      <c r="L76" s="821" t="s">
        <v>90</v>
      </c>
      <c r="M76" s="814" t="s">
        <v>90</v>
      </c>
      <c r="N76" s="819" t="s">
        <v>90</v>
      </c>
      <c r="O76" s="21">
        <f t="shared" si="27"/>
        <v>0</v>
      </c>
      <c r="P76" s="821" t="s">
        <v>90</v>
      </c>
      <c r="Q76" s="814" t="s">
        <v>90</v>
      </c>
      <c r="R76" s="819" t="s">
        <v>90</v>
      </c>
      <c r="S76" s="21">
        <f t="shared" si="29"/>
        <v>0</v>
      </c>
      <c r="T76" s="821" t="s">
        <v>90</v>
      </c>
      <c r="U76" s="814" t="s">
        <v>90</v>
      </c>
      <c r="V76" s="819" t="s">
        <v>90</v>
      </c>
      <c r="W76" s="21">
        <f t="shared" si="31"/>
        <v>0</v>
      </c>
      <c r="X76" s="821" t="s">
        <v>90</v>
      </c>
      <c r="Y76" s="814" t="s">
        <v>90</v>
      </c>
      <c r="Z76" s="819" t="s">
        <v>90</v>
      </c>
      <c r="AA76" s="21">
        <f t="shared" si="33"/>
        <v>0</v>
      </c>
      <c r="AB76" s="821" t="s">
        <v>90</v>
      </c>
      <c r="AC76" s="814" t="s">
        <v>90</v>
      </c>
      <c r="AD76" s="819" t="s">
        <v>90</v>
      </c>
      <c r="AE76" s="21">
        <f t="shared" si="35"/>
        <v>0</v>
      </c>
      <c r="AF76" s="821" t="s">
        <v>90</v>
      </c>
      <c r="AG76" s="814" t="s">
        <v>90</v>
      </c>
      <c r="AH76" s="819" t="s">
        <v>90</v>
      </c>
      <c r="AI76" s="21">
        <f t="shared" si="37"/>
        <v>0</v>
      </c>
    </row>
    <row r="77" spans="1:35" x14ac:dyDescent="0.25">
      <c r="A77" s="1933"/>
      <c r="B77" s="13" t="s">
        <v>34</v>
      </c>
      <c r="C77" s="22"/>
      <c r="D77" s="821" t="s">
        <v>90</v>
      </c>
      <c r="E77" s="814" t="s">
        <v>90</v>
      </c>
      <c r="F77" s="819" t="s">
        <v>90</v>
      </c>
      <c r="G77" s="77">
        <f t="shared" si="24"/>
        <v>0</v>
      </c>
      <c r="H77" s="821" t="s">
        <v>90</v>
      </c>
      <c r="I77" s="814" t="s">
        <v>90</v>
      </c>
      <c r="J77" s="819" t="s">
        <v>90</v>
      </c>
      <c r="K77" s="77">
        <f t="shared" si="7"/>
        <v>0</v>
      </c>
      <c r="L77" s="821" t="s">
        <v>90</v>
      </c>
      <c r="M77" s="814" t="s">
        <v>90</v>
      </c>
      <c r="N77" s="819" t="s">
        <v>90</v>
      </c>
      <c r="O77" s="77">
        <f t="shared" si="27"/>
        <v>0</v>
      </c>
      <c r="P77" s="821" t="s">
        <v>90</v>
      </c>
      <c r="Q77" s="814" t="s">
        <v>90</v>
      </c>
      <c r="R77" s="819" t="s">
        <v>90</v>
      </c>
      <c r="S77" s="77">
        <f t="shared" si="29"/>
        <v>0</v>
      </c>
      <c r="T77" s="821" t="s">
        <v>90</v>
      </c>
      <c r="U77" s="814" t="s">
        <v>90</v>
      </c>
      <c r="V77" s="819" t="s">
        <v>90</v>
      </c>
      <c r="W77" s="77">
        <f t="shared" si="31"/>
        <v>0</v>
      </c>
      <c r="X77" s="821" t="s">
        <v>90</v>
      </c>
      <c r="Y77" s="814" t="s">
        <v>90</v>
      </c>
      <c r="Z77" s="819" t="s">
        <v>90</v>
      </c>
      <c r="AA77" s="77">
        <f t="shared" si="33"/>
        <v>0</v>
      </c>
      <c r="AB77" s="821" t="s">
        <v>90</v>
      </c>
      <c r="AC77" s="814" t="s">
        <v>90</v>
      </c>
      <c r="AD77" s="819" t="s">
        <v>90</v>
      </c>
      <c r="AE77" s="77">
        <f t="shared" si="35"/>
        <v>0</v>
      </c>
      <c r="AF77" s="821" t="s">
        <v>90</v>
      </c>
      <c r="AG77" s="814" t="s">
        <v>90</v>
      </c>
      <c r="AH77" s="819" t="s">
        <v>90</v>
      </c>
      <c r="AI77" s="77">
        <f t="shared" si="37"/>
        <v>0</v>
      </c>
    </row>
    <row r="78" spans="1:35" x14ac:dyDescent="0.25">
      <c r="A78" s="1933" t="s">
        <v>181</v>
      </c>
      <c r="B78" s="1721" t="s">
        <v>32</v>
      </c>
      <c r="C78" s="22"/>
      <c r="D78" s="1707">
        <f t="shared" ref="D78:D81" si="54">$D$3*0.25</f>
        <v>0.5</v>
      </c>
      <c r="E78" s="1708">
        <v>0</v>
      </c>
      <c r="F78" s="1709">
        <v>0</v>
      </c>
      <c r="G78" s="1713">
        <f t="shared" si="24"/>
        <v>0.5</v>
      </c>
      <c r="H78" s="1707">
        <f t="shared" ref="H78:H81" si="55">$D$3*0.25</f>
        <v>0.5</v>
      </c>
      <c r="I78" s="1708">
        <v>0</v>
      </c>
      <c r="J78" s="1709">
        <v>0</v>
      </c>
      <c r="K78" s="1713">
        <f t="shared" si="7"/>
        <v>0.5</v>
      </c>
      <c r="L78" s="1707">
        <f t="shared" ref="L78:L81" si="56">$D$3*0.25</f>
        <v>0.5</v>
      </c>
      <c r="M78" s="1708">
        <v>0</v>
      </c>
      <c r="N78" s="1709">
        <v>0</v>
      </c>
      <c r="O78" s="1713">
        <f t="shared" si="27"/>
        <v>0.5</v>
      </c>
      <c r="P78" s="1707">
        <f t="shared" ref="P78:P81" si="57">$D$3*0.25</f>
        <v>0.5</v>
      </c>
      <c r="Q78" s="1708">
        <v>0</v>
      </c>
      <c r="R78" s="1709">
        <v>0</v>
      </c>
      <c r="S78" s="1713">
        <f t="shared" si="29"/>
        <v>0.5</v>
      </c>
      <c r="T78" s="1707">
        <f t="shared" ref="T78:T81" si="58">$D$3*0.25</f>
        <v>0.5</v>
      </c>
      <c r="U78" s="1708">
        <v>0</v>
      </c>
      <c r="V78" s="1709">
        <v>0</v>
      </c>
      <c r="W78" s="1713">
        <f t="shared" si="31"/>
        <v>0.5</v>
      </c>
      <c r="X78" s="1707">
        <f t="shared" ref="X78:X81" si="59">$D$3*0.25</f>
        <v>0.5</v>
      </c>
      <c r="Y78" s="1708">
        <v>0</v>
      </c>
      <c r="Z78" s="1709">
        <v>0</v>
      </c>
      <c r="AA78" s="1713">
        <f t="shared" si="33"/>
        <v>0.5</v>
      </c>
      <c r="AB78" s="1707">
        <f t="shared" ref="AB78:AB81" si="60">$D$3*0.25</f>
        <v>0.5</v>
      </c>
      <c r="AC78" s="1708">
        <v>0</v>
      </c>
      <c r="AD78" s="1709">
        <v>0</v>
      </c>
      <c r="AE78" s="1713">
        <f t="shared" si="35"/>
        <v>0.5</v>
      </c>
      <c r="AF78" s="1707">
        <f t="shared" ref="AF78:AF81" si="61">$D$3*0.25</f>
        <v>0.5</v>
      </c>
      <c r="AG78" s="1708">
        <v>0</v>
      </c>
      <c r="AH78" s="1709">
        <v>0</v>
      </c>
      <c r="AI78" s="1713">
        <f t="shared" si="37"/>
        <v>0.5</v>
      </c>
    </row>
    <row r="79" spans="1:35" x14ac:dyDescent="0.25">
      <c r="A79" s="1933"/>
      <c r="B79" s="19" t="s">
        <v>33</v>
      </c>
      <c r="C79" s="22"/>
      <c r="D79" s="493">
        <f>IF(D$3&gt;1,D$3*0.25,0.5)</f>
        <v>0.5</v>
      </c>
      <c r="E79" s="814">
        <v>0</v>
      </c>
      <c r="F79" s="630">
        <f>IF(F$3=1,D79+E79+0.5,0)</f>
        <v>0</v>
      </c>
      <c r="G79" s="77">
        <f t="shared" si="24"/>
        <v>0.5</v>
      </c>
      <c r="H79" s="493">
        <f>IF(H$3&gt;1,H$3*0.25,0.5)</f>
        <v>0.5</v>
      </c>
      <c r="I79" s="814">
        <v>0</v>
      </c>
      <c r="J79" s="630">
        <f>IF(J$3=1,H79+I79+0.5,0)</f>
        <v>0</v>
      </c>
      <c r="K79" s="77">
        <f t="shared" si="7"/>
        <v>0.5</v>
      </c>
      <c r="L79" s="493">
        <f>IF(L$3&gt;1,L$3*0.25,0.5)</f>
        <v>0.5</v>
      </c>
      <c r="M79" s="814">
        <v>0</v>
      </c>
      <c r="N79" s="630">
        <f>IF(N$3=1,L79+M79+0.5,0)</f>
        <v>0</v>
      </c>
      <c r="O79" s="77">
        <f t="shared" si="27"/>
        <v>0.5</v>
      </c>
      <c r="P79" s="493">
        <f>IF(P$3&gt;1,P$3*0.25,0.5)</f>
        <v>0.5</v>
      </c>
      <c r="Q79" s="814">
        <v>0</v>
      </c>
      <c r="R79" s="630">
        <f>IF(R$3=1,P79+Q79+0.5,0)</f>
        <v>0</v>
      </c>
      <c r="S79" s="77">
        <f t="shared" si="29"/>
        <v>0.5</v>
      </c>
      <c r="T79" s="493">
        <f>IF(T$3&gt;1,T$3*0.25,0.5)</f>
        <v>0.5</v>
      </c>
      <c r="U79" s="814">
        <v>0</v>
      </c>
      <c r="V79" s="630">
        <f>IF(V$3=1,T79+U79+0.5,0)</f>
        <v>0</v>
      </c>
      <c r="W79" s="77">
        <f t="shared" si="31"/>
        <v>0.5</v>
      </c>
      <c r="X79" s="493">
        <f>IF(X$3&gt;1,X$3*0.25,0.5)</f>
        <v>0.5</v>
      </c>
      <c r="Y79" s="814">
        <v>0</v>
      </c>
      <c r="Z79" s="630">
        <f>IF(Z$3=1,X79+Y79+0.5,0)</f>
        <v>0</v>
      </c>
      <c r="AA79" s="77">
        <f t="shared" si="33"/>
        <v>0.5</v>
      </c>
      <c r="AB79" s="493">
        <f>IF(AB$3&gt;1,AB$3*0.25,0.5)</f>
        <v>0.5</v>
      </c>
      <c r="AC79" s="814">
        <v>0</v>
      </c>
      <c r="AD79" s="630">
        <f>IF(AD$3=1,AB79+AC79+0.5,0)</f>
        <v>0</v>
      </c>
      <c r="AE79" s="77">
        <f t="shared" si="35"/>
        <v>0.5</v>
      </c>
      <c r="AF79" s="493">
        <f>IF(AF$3&gt;1,AF$3*0.25,0.5)</f>
        <v>0.5</v>
      </c>
      <c r="AG79" s="814">
        <v>0</v>
      </c>
      <c r="AH79" s="630">
        <f>IF(AH$3=1,AF79+AG79+0.5,0)</f>
        <v>0</v>
      </c>
      <c r="AI79" s="77">
        <f t="shared" si="37"/>
        <v>0.5</v>
      </c>
    </row>
    <row r="80" spans="1:35" x14ac:dyDescent="0.25">
      <c r="A80" s="1933"/>
      <c r="B80" s="19" t="s">
        <v>34</v>
      </c>
      <c r="C80" s="22"/>
      <c r="D80" s="493">
        <f>IF(D$3&gt;1,D$3*0.25,0.5)</f>
        <v>0.5</v>
      </c>
      <c r="E80" s="814">
        <v>0</v>
      </c>
      <c r="F80" s="630">
        <f>IF(F$3=1,D80+E80+0.5,0)</f>
        <v>0</v>
      </c>
      <c r="G80" s="77">
        <f t="shared" si="24"/>
        <v>0.5</v>
      </c>
      <c r="H80" s="493">
        <f>IF(H$3&gt;1,H$3*0.25,0.5)</f>
        <v>0.5</v>
      </c>
      <c r="I80" s="814">
        <v>0</v>
      </c>
      <c r="J80" s="630">
        <f>IF(J$3=1,H80+I80+0.5,0)</f>
        <v>0</v>
      </c>
      <c r="K80" s="77">
        <f t="shared" si="7"/>
        <v>0.5</v>
      </c>
      <c r="L80" s="493">
        <f>IF(L$3&gt;1,L$3*0.25,0.5)</f>
        <v>0.5</v>
      </c>
      <c r="M80" s="814">
        <v>0</v>
      </c>
      <c r="N80" s="630">
        <f>IF(N$3=1,L80+M80+0.5,0)</f>
        <v>0</v>
      </c>
      <c r="O80" s="77">
        <f t="shared" si="27"/>
        <v>0.5</v>
      </c>
      <c r="P80" s="493">
        <f>IF(P$3&gt;1,P$3*0.25,0.5)</f>
        <v>0.5</v>
      </c>
      <c r="Q80" s="814">
        <v>0</v>
      </c>
      <c r="R80" s="630">
        <f>IF(R$3=1,P80+Q80+0.5,0)</f>
        <v>0</v>
      </c>
      <c r="S80" s="77">
        <f t="shared" si="29"/>
        <v>0.5</v>
      </c>
      <c r="T80" s="493">
        <f>IF(T$3&gt;1,T$3*0.25,0.5)</f>
        <v>0.5</v>
      </c>
      <c r="U80" s="814">
        <v>0</v>
      </c>
      <c r="V80" s="630">
        <f>IF(V$3=1,T80+U80+0.5,0)</f>
        <v>0</v>
      </c>
      <c r="W80" s="77">
        <f t="shared" si="31"/>
        <v>0.5</v>
      </c>
      <c r="X80" s="493">
        <f>IF(X$3&gt;1,X$3*0.25,0.5)</f>
        <v>0.5</v>
      </c>
      <c r="Y80" s="814">
        <v>0</v>
      </c>
      <c r="Z80" s="630">
        <f>IF(Z$3=1,X80+Y80+0.5,0)</f>
        <v>0</v>
      </c>
      <c r="AA80" s="77">
        <f t="shared" si="33"/>
        <v>0.5</v>
      </c>
      <c r="AB80" s="493">
        <f>IF(AB$3&gt;1,AB$3*0.25,0.5)</f>
        <v>0.5</v>
      </c>
      <c r="AC80" s="814">
        <v>0</v>
      </c>
      <c r="AD80" s="630">
        <f>IF(AD$3=1,AB80+AC80+0.5,0)</f>
        <v>0</v>
      </c>
      <c r="AE80" s="77">
        <f t="shared" si="35"/>
        <v>0.5</v>
      </c>
      <c r="AF80" s="493">
        <f>IF(AF$3&gt;1,AF$3*0.25,0.5)</f>
        <v>0.5</v>
      </c>
      <c r="AG80" s="814">
        <v>0</v>
      </c>
      <c r="AH80" s="630">
        <f>IF(AH$3=1,AF80+AG80+0.5,0)</f>
        <v>0</v>
      </c>
      <c r="AI80" s="77">
        <f t="shared" si="37"/>
        <v>0.5</v>
      </c>
    </row>
    <row r="81" spans="1:35" x14ac:dyDescent="0.25">
      <c r="A81" s="1933" t="s">
        <v>182</v>
      </c>
      <c r="B81" s="1721" t="s">
        <v>32</v>
      </c>
      <c r="C81" s="22"/>
      <c r="D81" s="1707">
        <f t="shared" si="54"/>
        <v>0.5</v>
      </c>
      <c r="E81" s="1708">
        <v>0</v>
      </c>
      <c r="F81" s="1709">
        <v>0</v>
      </c>
      <c r="G81" s="1713">
        <f t="shared" si="24"/>
        <v>0.5</v>
      </c>
      <c r="H81" s="1707">
        <f t="shared" si="55"/>
        <v>0.5</v>
      </c>
      <c r="I81" s="1708">
        <v>0</v>
      </c>
      <c r="J81" s="1709">
        <v>0</v>
      </c>
      <c r="K81" s="1713">
        <f t="shared" si="7"/>
        <v>0.5</v>
      </c>
      <c r="L81" s="1707">
        <f t="shared" si="56"/>
        <v>0.5</v>
      </c>
      <c r="M81" s="1708">
        <v>0</v>
      </c>
      <c r="N81" s="1709">
        <v>0</v>
      </c>
      <c r="O81" s="1713">
        <f t="shared" si="27"/>
        <v>0.5</v>
      </c>
      <c r="P81" s="1707">
        <f t="shared" si="57"/>
        <v>0.5</v>
      </c>
      <c r="Q81" s="1708">
        <v>0</v>
      </c>
      <c r="R81" s="1709">
        <v>0</v>
      </c>
      <c r="S81" s="1713">
        <f t="shared" si="29"/>
        <v>0.5</v>
      </c>
      <c r="T81" s="1707">
        <f t="shared" si="58"/>
        <v>0.5</v>
      </c>
      <c r="U81" s="1708">
        <v>0</v>
      </c>
      <c r="V81" s="1709">
        <v>0</v>
      </c>
      <c r="W81" s="1713">
        <f t="shared" si="31"/>
        <v>0.5</v>
      </c>
      <c r="X81" s="1707">
        <f t="shared" si="59"/>
        <v>0.5</v>
      </c>
      <c r="Y81" s="1708">
        <v>0</v>
      </c>
      <c r="Z81" s="1709">
        <v>0</v>
      </c>
      <c r="AA81" s="1713">
        <f t="shared" si="33"/>
        <v>0.5</v>
      </c>
      <c r="AB81" s="1707">
        <f t="shared" si="60"/>
        <v>0.5</v>
      </c>
      <c r="AC81" s="1708">
        <v>0</v>
      </c>
      <c r="AD81" s="1709">
        <v>0</v>
      </c>
      <c r="AE81" s="1713">
        <f t="shared" si="35"/>
        <v>0.5</v>
      </c>
      <c r="AF81" s="1707">
        <f t="shared" si="61"/>
        <v>0.5</v>
      </c>
      <c r="AG81" s="1708">
        <v>0</v>
      </c>
      <c r="AH81" s="1709">
        <v>0</v>
      </c>
      <c r="AI81" s="1713">
        <f t="shared" si="37"/>
        <v>0.5</v>
      </c>
    </row>
    <row r="82" spans="1:35" x14ac:dyDescent="0.25">
      <c r="A82" s="1933"/>
      <c r="B82" s="19" t="s">
        <v>33</v>
      </c>
      <c r="C82" s="22"/>
      <c r="D82" s="493">
        <f>IF(D$3&gt;1,D$3*0.25,0.5)</f>
        <v>0.5</v>
      </c>
      <c r="E82" s="489">
        <v>0</v>
      </c>
      <c r="F82" s="630">
        <f>IF(F$3=1,D82+E82+0.5,0)</f>
        <v>0</v>
      </c>
      <c r="G82" s="77">
        <f t="shared" si="24"/>
        <v>0.5</v>
      </c>
      <c r="H82" s="493">
        <f>IF(H$3&gt;1,H$3*0.25,0.5)</f>
        <v>0.5</v>
      </c>
      <c r="I82" s="489">
        <v>0</v>
      </c>
      <c r="J82" s="630">
        <f>IF(J$3=1,H82+I82+0.5,0)</f>
        <v>0</v>
      </c>
      <c r="K82" s="77">
        <f t="shared" si="7"/>
        <v>0.5</v>
      </c>
      <c r="L82" s="493">
        <f>IF(L$3&gt;1,L$3*0.25,0.5)</f>
        <v>0.5</v>
      </c>
      <c r="M82" s="489">
        <v>0</v>
      </c>
      <c r="N82" s="630">
        <f>IF(N$3=1,L82+M82+0.5,0)</f>
        <v>0</v>
      </c>
      <c r="O82" s="77">
        <f t="shared" si="27"/>
        <v>0.5</v>
      </c>
      <c r="P82" s="493">
        <f>IF(P$3&gt;1,P$3*0.25,0.5)</f>
        <v>0.5</v>
      </c>
      <c r="Q82" s="489">
        <v>0</v>
      </c>
      <c r="R82" s="630">
        <f>IF(R$3=1,P82+Q82+0.5,0)</f>
        <v>0</v>
      </c>
      <c r="S82" s="77">
        <f t="shared" si="29"/>
        <v>0.5</v>
      </c>
      <c r="T82" s="493">
        <f>IF(T$3&gt;1,T$3*0.25,0.5)</f>
        <v>0.5</v>
      </c>
      <c r="U82" s="489">
        <v>0</v>
      </c>
      <c r="V82" s="630">
        <f>IF(V$3=1,T82+U82+0.5,0)</f>
        <v>0</v>
      </c>
      <c r="W82" s="77">
        <f t="shared" si="31"/>
        <v>0.5</v>
      </c>
      <c r="X82" s="493">
        <f>IF(X$3&gt;1,X$3*0.25,0.5)</f>
        <v>0.5</v>
      </c>
      <c r="Y82" s="489">
        <v>0</v>
      </c>
      <c r="Z82" s="630">
        <f>IF(Z$3=1,X82+Y82+0.5,0)</f>
        <v>0</v>
      </c>
      <c r="AA82" s="77">
        <f t="shared" si="33"/>
        <v>0.5</v>
      </c>
      <c r="AB82" s="493">
        <f>IF(AB$3&gt;1,AB$3*0.25,0.5)</f>
        <v>0.5</v>
      </c>
      <c r="AC82" s="489">
        <v>0</v>
      </c>
      <c r="AD82" s="630">
        <f>IF(AD$3=1,AB82+AC82+0.5,0)</f>
        <v>0</v>
      </c>
      <c r="AE82" s="77">
        <f t="shared" si="35"/>
        <v>0.5</v>
      </c>
      <c r="AF82" s="493">
        <f>IF(AF$3&gt;1,AF$3*0.25,0.5)</f>
        <v>0.5</v>
      </c>
      <c r="AG82" s="489">
        <v>0</v>
      </c>
      <c r="AH82" s="630">
        <f>IF(AH$3=1,AF82+AG82+0.5,0)</f>
        <v>0</v>
      </c>
      <c r="AI82" s="77">
        <f t="shared" si="37"/>
        <v>0.5</v>
      </c>
    </row>
    <row r="83" spans="1:35" x14ac:dyDescent="0.25">
      <c r="A83" s="1933"/>
      <c r="B83" s="19" t="s">
        <v>34</v>
      </c>
      <c r="C83" s="22"/>
      <c r="D83" s="493">
        <f>IF(D$3&gt;1,D$3*0.25,0.5)</f>
        <v>0.5</v>
      </c>
      <c r="E83" s="489">
        <v>0</v>
      </c>
      <c r="F83" s="630">
        <f>IF(F$3=1,D83+E83+0.5,0)</f>
        <v>0</v>
      </c>
      <c r="G83" s="77">
        <f t="shared" si="24"/>
        <v>0.5</v>
      </c>
      <c r="H83" s="493">
        <f>IF(H$3&gt;1,H$3*0.25,0.5)</f>
        <v>0.5</v>
      </c>
      <c r="I83" s="489">
        <v>0</v>
      </c>
      <c r="J83" s="630">
        <f>IF(J$3=1,H83+I83+0.5,0)</f>
        <v>0</v>
      </c>
      <c r="K83" s="77">
        <f t="shared" si="7"/>
        <v>0.5</v>
      </c>
      <c r="L83" s="493">
        <f>IF(L$3&gt;1,L$3*0.25,0.5)</f>
        <v>0.5</v>
      </c>
      <c r="M83" s="489">
        <v>0</v>
      </c>
      <c r="N83" s="630">
        <f>IF(N$3=1,L83+M83+0.5,0)</f>
        <v>0</v>
      </c>
      <c r="O83" s="77">
        <f t="shared" si="27"/>
        <v>0.5</v>
      </c>
      <c r="P83" s="493">
        <f>IF(P$3&gt;1,P$3*0.25,0.5)</f>
        <v>0.5</v>
      </c>
      <c r="Q83" s="489">
        <v>0</v>
      </c>
      <c r="R83" s="630">
        <f>IF(R$3=1,P83+Q83+0.5,0)</f>
        <v>0</v>
      </c>
      <c r="S83" s="77">
        <f t="shared" si="29"/>
        <v>0.5</v>
      </c>
      <c r="T83" s="493">
        <f>IF(T$3&gt;1,T$3*0.25,0.5)</f>
        <v>0.5</v>
      </c>
      <c r="U83" s="489">
        <v>0</v>
      </c>
      <c r="V83" s="630">
        <f>IF(V$3=1,T83+U83+0.5,0)</f>
        <v>0</v>
      </c>
      <c r="W83" s="77">
        <f t="shared" si="31"/>
        <v>0.5</v>
      </c>
      <c r="X83" s="493">
        <f>IF(X$3&gt;1,X$3*0.25,0.5)</f>
        <v>0.5</v>
      </c>
      <c r="Y83" s="489">
        <v>0</v>
      </c>
      <c r="Z83" s="630">
        <f>IF(Z$3=1,X83+Y83+0.5,0)</f>
        <v>0</v>
      </c>
      <c r="AA83" s="77">
        <f t="shared" si="33"/>
        <v>0.5</v>
      </c>
      <c r="AB83" s="493">
        <f>IF(AB$3&gt;1,AB$3*0.25,0.5)</f>
        <v>0.5</v>
      </c>
      <c r="AC83" s="489">
        <v>0</v>
      </c>
      <c r="AD83" s="630">
        <f>IF(AD$3=1,AB83+AC83+0.5,0)</f>
        <v>0</v>
      </c>
      <c r="AE83" s="77">
        <f t="shared" si="35"/>
        <v>0.5</v>
      </c>
      <c r="AF83" s="493">
        <f>IF(AF$3&gt;1,AF$3*0.25,0.5)</f>
        <v>0.5</v>
      </c>
      <c r="AG83" s="489">
        <v>0</v>
      </c>
      <c r="AH83" s="630">
        <f>IF(AH$3=1,AF83+AG83+0.5,0)</f>
        <v>0</v>
      </c>
      <c r="AI83" s="77">
        <f t="shared" si="37"/>
        <v>0.5</v>
      </c>
    </row>
    <row r="84" spans="1:35" x14ac:dyDescent="0.25">
      <c r="A84" s="1935" t="s">
        <v>183</v>
      </c>
      <c r="B84" s="1721" t="s">
        <v>32</v>
      </c>
      <c r="C84" s="22"/>
      <c r="D84" s="1707">
        <f>D$3*0.25</f>
        <v>0.5</v>
      </c>
      <c r="E84" s="1708">
        <v>0</v>
      </c>
      <c r="F84" s="1709">
        <v>0</v>
      </c>
      <c r="G84" s="1713">
        <f t="shared" si="24"/>
        <v>0.5</v>
      </c>
      <c r="H84" s="1707">
        <f>H$3*0.25</f>
        <v>0.5</v>
      </c>
      <c r="I84" s="1708">
        <v>0</v>
      </c>
      <c r="J84" s="1709">
        <v>0</v>
      </c>
      <c r="K84" s="1713">
        <f t="shared" si="7"/>
        <v>0.5</v>
      </c>
      <c r="L84" s="1707">
        <f>L$3*0.25</f>
        <v>0.5</v>
      </c>
      <c r="M84" s="1708">
        <v>0</v>
      </c>
      <c r="N84" s="1709">
        <v>0</v>
      </c>
      <c r="O84" s="1713">
        <f t="shared" si="27"/>
        <v>0.5</v>
      </c>
      <c r="P84" s="1707">
        <f>P$3*0.25</f>
        <v>0.5</v>
      </c>
      <c r="Q84" s="1708">
        <v>0</v>
      </c>
      <c r="R84" s="1709">
        <v>0</v>
      </c>
      <c r="S84" s="1713">
        <f t="shared" si="29"/>
        <v>0.5</v>
      </c>
      <c r="T84" s="1707">
        <f>T$3*0.25</f>
        <v>0.5</v>
      </c>
      <c r="U84" s="1708">
        <v>0</v>
      </c>
      <c r="V84" s="1709">
        <v>0</v>
      </c>
      <c r="W84" s="1713">
        <f t="shared" si="31"/>
        <v>0.5</v>
      </c>
      <c r="X84" s="1707">
        <f>X$3*0.25</f>
        <v>0.5</v>
      </c>
      <c r="Y84" s="1708">
        <v>0</v>
      </c>
      <c r="Z84" s="1709">
        <v>0</v>
      </c>
      <c r="AA84" s="1713">
        <f t="shared" si="33"/>
        <v>0.5</v>
      </c>
      <c r="AB84" s="1707">
        <f>AB$3*0.25</f>
        <v>0.5</v>
      </c>
      <c r="AC84" s="1708">
        <v>0</v>
      </c>
      <c r="AD84" s="1709">
        <v>0</v>
      </c>
      <c r="AE84" s="1713">
        <f t="shared" si="35"/>
        <v>0.5</v>
      </c>
      <c r="AF84" s="1707">
        <f>AF$3*0.25</f>
        <v>0.5</v>
      </c>
      <c r="AG84" s="1708">
        <v>0</v>
      </c>
      <c r="AH84" s="1709">
        <v>0</v>
      </c>
      <c r="AI84" s="1713">
        <f t="shared" si="37"/>
        <v>0.5</v>
      </c>
    </row>
    <row r="85" spans="1:35" x14ac:dyDescent="0.25">
      <c r="A85" s="1935"/>
      <c r="B85" s="19" t="s">
        <v>33</v>
      </c>
      <c r="C85" s="22"/>
      <c r="D85" s="493">
        <f>IF(D$3&gt;1,D$3*0.25,0.25)</f>
        <v>0.5</v>
      </c>
      <c r="E85" s="814">
        <v>0</v>
      </c>
      <c r="F85" s="630">
        <f>IF(F$3=1,D85+E85+0.5,0)</f>
        <v>0</v>
      </c>
      <c r="G85" s="77">
        <f t="shared" si="24"/>
        <v>0.5</v>
      </c>
      <c r="H85" s="493">
        <f>IF(H$3&gt;1,H$3*0.25,0.25)</f>
        <v>0.5</v>
      </c>
      <c r="I85" s="814">
        <v>0</v>
      </c>
      <c r="J85" s="630">
        <f>IF(J$3=1,H85+I85+0.5,0)</f>
        <v>0</v>
      </c>
      <c r="K85" s="77">
        <f t="shared" si="7"/>
        <v>0.5</v>
      </c>
      <c r="L85" s="493">
        <f>IF(L$3&gt;1,L$3*0.25,0.25)</f>
        <v>0.5</v>
      </c>
      <c r="M85" s="814">
        <v>0</v>
      </c>
      <c r="N85" s="630">
        <f>IF(N$3=1,L85+M85+0.5,0)</f>
        <v>0</v>
      </c>
      <c r="O85" s="77">
        <f t="shared" si="27"/>
        <v>0.5</v>
      </c>
      <c r="P85" s="493">
        <f>IF(P$3&gt;1,P$3*0.25,0.25)</f>
        <v>0.5</v>
      </c>
      <c r="Q85" s="814">
        <v>0</v>
      </c>
      <c r="R85" s="630">
        <f>IF(R$3=1,P85+Q85+0.5,0)</f>
        <v>0</v>
      </c>
      <c r="S85" s="77">
        <f t="shared" si="29"/>
        <v>0.5</v>
      </c>
      <c r="T85" s="493">
        <f>IF(T$3&gt;1,T$3*0.25,0.25)</f>
        <v>0.5</v>
      </c>
      <c r="U85" s="814">
        <v>0</v>
      </c>
      <c r="V85" s="630">
        <f>IF(V$3=1,T85+U85+0.5,0)</f>
        <v>0</v>
      </c>
      <c r="W85" s="77">
        <f t="shared" si="31"/>
        <v>0.5</v>
      </c>
      <c r="X85" s="493">
        <f>IF(X$3&gt;1,X$3*0.25,0.25)</f>
        <v>0.5</v>
      </c>
      <c r="Y85" s="814">
        <v>0</v>
      </c>
      <c r="Z85" s="630">
        <f>IF(Z$3=1,X85+Y85+0.5,0)</f>
        <v>0</v>
      </c>
      <c r="AA85" s="77">
        <f t="shared" si="33"/>
        <v>0.5</v>
      </c>
      <c r="AB85" s="493">
        <f>IF(AB$3&gt;1,AB$3*0.25,0.25)</f>
        <v>0.5</v>
      </c>
      <c r="AC85" s="814">
        <v>0</v>
      </c>
      <c r="AD85" s="630">
        <f>IF(AD$3=1,AB85+AC85+0.5,0)</f>
        <v>0</v>
      </c>
      <c r="AE85" s="77">
        <f t="shared" si="35"/>
        <v>0.5</v>
      </c>
      <c r="AF85" s="493">
        <f>IF(AF$3&gt;1,AF$3*0.25,0.25)</f>
        <v>0.5</v>
      </c>
      <c r="AG85" s="814">
        <v>0</v>
      </c>
      <c r="AH85" s="630">
        <f>IF(AH$3=1,AF85+AG85+0.5,0)</f>
        <v>0</v>
      </c>
      <c r="AI85" s="77">
        <f t="shared" si="37"/>
        <v>0.5</v>
      </c>
    </row>
    <row r="86" spans="1:35" ht="15.75" thickBot="1" x14ac:dyDescent="0.3">
      <c r="A86" s="1935"/>
      <c r="B86" s="13" t="s">
        <v>34</v>
      </c>
      <c r="C86" s="23"/>
      <c r="D86" s="493">
        <f>IF(D$3&gt;1,D$3*0.25,0.25)</f>
        <v>0.5</v>
      </c>
      <c r="E86" s="917">
        <v>0</v>
      </c>
      <c r="F86" s="630">
        <f>IF(F$3=1,D86+E86+0.5,0)</f>
        <v>0</v>
      </c>
      <c r="G86" s="24">
        <f t="shared" si="24"/>
        <v>0.5</v>
      </c>
      <c r="H86" s="493">
        <f>IF(H$3&gt;1,H$3*0.25,0.25)</f>
        <v>0.5</v>
      </c>
      <c r="I86" s="917">
        <v>0</v>
      </c>
      <c r="J86" s="630">
        <f>IF(J$3=1,H86+I86+0.5,0)</f>
        <v>0</v>
      </c>
      <c r="K86" s="24">
        <f t="shared" si="7"/>
        <v>0.5</v>
      </c>
      <c r="L86" s="493">
        <f>IF(L$3&gt;1,L$3*0.25,0.25)</f>
        <v>0.5</v>
      </c>
      <c r="M86" s="917">
        <v>0</v>
      </c>
      <c r="N86" s="630">
        <f>IF(N$3=1,L86+M86+0.5,0)</f>
        <v>0</v>
      </c>
      <c r="O86" s="24">
        <f t="shared" si="27"/>
        <v>0.5</v>
      </c>
      <c r="P86" s="493">
        <f>IF(P$3&gt;1,P$3*0.25,0.25)</f>
        <v>0.5</v>
      </c>
      <c r="Q86" s="917">
        <v>0</v>
      </c>
      <c r="R86" s="630">
        <f>IF(R$3=1,P86+Q86+0.5,0)</f>
        <v>0</v>
      </c>
      <c r="S86" s="24">
        <f t="shared" si="29"/>
        <v>0.5</v>
      </c>
      <c r="T86" s="493">
        <f>IF(T$3&gt;1,T$3*0.25,0.25)</f>
        <v>0.5</v>
      </c>
      <c r="U86" s="917">
        <v>0</v>
      </c>
      <c r="V86" s="630">
        <f>IF(V$3=1,T86+U86+0.5,0)</f>
        <v>0</v>
      </c>
      <c r="W86" s="24">
        <f t="shared" si="31"/>
        <v>0.5</v>
      </c>
      <c r="X86" s="493">
        <f>IF(X$3&gt;1,X$3*0.25,0.25)</f>
        <v>0.5</v>
      </c>
      <c r="Y86" s="917">
        <v>0</v>
      </c>
      <c r="Z86" s="630">
        <f>IF(Z$3=1,X86+Y86+0.5,0)</f>
        <v>0</v>
      </c>
      <c r="AA86" s="24">
        <f t="shared" si="33"/>
        <v>0.5</v>
      </c>
      <c r="AB86" s="493">
        <f>IF(AB$3&gt;1,AB$3*0.25,0.25)</f>
        <v>0.5</v>
      </c>
      <c r="AC86" s="917">
        <v>0</v>
      </c>
      <c r="AD86" s="630">
        <f>IF(AD$3=1,AB86+AC86+0.5,0)</f>
        <v>0</v>
      </c>
      <c r="AE86" s="24">
        <f t="shared" si="35"/>
        <v>0.5</v>
      </c>
      <c r="AF86" s="493">
        <f>IF(AF$3&gt;1,AF$3*0.25,0.25)</f>
        <v>0.5</v>
      </c>
      <c r="AG86" s="917">
        <v>0</v>
      </c>
      <c r="AH86" s="630">
        <f>IF(AH$3=1,AF86+AG86+0.5,0)</f>
        <v>0</v>
      </c>
      <c r="AI86" s="24">
        <f t="shared" si="37"/>
        <v>0.5</v>
      </c>
    </row>
    <row r="87" spans="1:35" ht="16.5" thickBot="1" x14ac:dyDescent="0.3">
      <c r="A87" s="330" t="s">
        <v>22</v>
      </c>
      <c r="B87" s="329"/>
      <c r="C87" s="329"/>
      <c r="D87" s="329"/>
      <c r="E87" s="329"/>
      <c r="F87" s="327"/>
      <c r="G87" s="327"/>
      <c r="H87" s="329"/>
      <c r="I87" s="329"/>
      <c r="J87" s="327"/>
      <c r="K87" s="327"/>
      <c r="L87" s="329"/>
      <c r="M87" s="329"/>
      <c r="N87" s="327"/>
      <c r="O87" s="327"/>
      <c r="P87" s="329"/>
      <c r="Q87" s="329"/>
      <c r="R87" s="327"/>
      <c r="S87" s="327"/>
      <c r="T87" s="329"/>
      <c r="U87" s="329"/>
      <c r="V87" s="327"/>
      <c r="W87" s="327"/>
      <c r="X87" s="329"/>
      <c r="Y87" s="329"/>
      <c r="Z87" s="327"/>
      <c r="AA87" s="327"/>
      <c r="AB87" s="329"/>
      <c r="AC87" s="329"/>
      <c r="AD87" s="327"/>
      <c r="AE87" s="327"/>
      <c r="AF87" s="329"/>
      <c r="AG87" s="329"/>
      <c r="AH87" s="327"/>
      <c r="AI87" s="396"/>
    </row>
    <row r="88" spans="1:35" ht="15.75" thickBot="1" x14ac:dyDescent="0.3">
      <c r="A88" s="1932" t="s">
        <v>23</v>
      </c>
      <c r="B88" s="1718" t="s">
        <v>32</v>
      </c>
      <c r="C88" s="324"/>
      <c r="D88" s="1714">
        <v>0.25</v>
      </c>
      <c r="E88" s="1704">
        <v>0</v>
      </c>
      <c r="F88" s="1705">
        <v>0</v>
      </c>
      <c r="G88" s="1706">
        <f t="shared" ref="G88:G93" si="62" xml:space="preserve"> SUM(D88:F88) + $C88</f>
        <v>0.25</v>
      </c>
      <c r="H88" s="1714">
        <v>0.25</v>
      </c>
      <c r="I88" s="1704">
        <v>0</v>
      </c>
      <c r="J88" s="1705">
        <v>0</v>
      </c>
      <c r="K88" s="1715">
        <f t="shared" si="7"/>
        <v>0.25</v>
      </c>
      <c r="L88" s="1714">
        <v>0.25</v>
      </c>
      <c r="M88" s="1704">
        <v>0</v>
      </c>
      <c r="N88" s="1705">
        <v>0</v>
      </c>
      <c r="O88" s="1706">
        <f t="shared" ref="O88:O93" si="63" xml:space="preserve"> SUM(L88:N88) + $C88</f>
        <v>0.25</v>
      </c>
      <c r="P88" s="1714">
        <v>0.25</v>
      </c>
      <c r="Q88" s="1704">
        <v>0</v>
      </c>
      <c r="R88" s="1705">
        <v>0</v>
      </c>
      <c r="S88" s="1754">
        <f t="shared" ref="S88:S93" si="64" xml:space="preserve"> SUM(P88:R88) + $C88</f>
        <v>0.25</v>
      </c>
      <c r="T88" s="1714">
        <v>0.25</v>
      </c>
      <c r="U88" s="1704">
        <v>0</v>
      </c>
      <c r="V88" s="1705">
        <v>0</v>
      </c>
      <c r="W88" s="1754">
        <f t="shared" ref="W88:W93" si="65" xml:space="preserve"> SUM(T88:V88) + $C88</f>
        <v>0.25</v>
      </c>
      <c r="X88" s="1714">
        <v>0.25</v>
      </c>
      <c r="Y88" s="1704">
        <v>0</v>
      </c>
      <c r="Z88" s="1705">
        <v>0</v>
      </c>
      <c r="AA88" s="1706">
        <f t="shared" ref="AA88:AA105" si="66" xml:space="preserve"> SUM(X88:Z88) + $C88</f>
        <v>0.25</v>
      </c>
      <c r="AB88" s="1714">
        <v>0.25</v>
      </c>
      <c r="AC88" s="1704">
        <v>0</v>
      </c>
      <c r="AD88" s="1705">
        <v>0</v>
      </c>
      <c r="AE88" s="1706">
        <f t="shared" ref="AE88:AE93" si="67" xml:space="preserve"> SUM(AB88:AD88) + $C88</f>
        <v>0.25</v>
      </c>
      <c r="AF88" s="1714">
        <v>0.25</v>
      </c>
      <c r="AG88" s="1704">
        <v>0</v>
      </c>
      <c r="AH88" s="1705">
        <v>0</v>
      </c>
      <c r="AI88" s="1706">
        <f t="shared" ref="AI88:AI93" si="68" xml:space="preserve"> SUM(AF88:AH88) + $C88</f>
        <v>0.25</v>
      </c>
    </row>
    <row r="89" spans="1:35" x14ac:dyDescent="0.25">
      <c r="A89" s="1932"/>
      <c r="B89" s="19" t="s">
        <v>33</v>
      </c>
      <c r="C89" s="22"/>
      <c r="D89" s="482" t="s">
        <v>1768</v>
      </c>
      <c r="E89" s="482" t="s">
        <v>1768</v>
      </c>
      <c r="F89" s="482" t="s">
        <v>1768</v>
      </c>
      <c r="G89" s="21">
        <f t="shared" si="62"/>
        <v>0</v>
      </c>
      <c r="H89" s="482" t="s">
        <v>1768</v>
      </c>
      <c r="I89" s="482" t="s">
        <v>1768</v>
      </c>
      <c r="J89" s="482" t="s">
        <v>1768</v>
      </c>
      <c r="K89" s="16">
        <f t="shared" si="7"/>
        <v>0</v>
      </c>
      <c r="L89" s="482" t="s">
        <v>1768</v>
      </c>
      <c r="M89" s="482" t="s">
        <v>1768</v>
      </c>
      <c r="N89" s="482" t="s">
        <v>1768</v>
      </c>
      <c r="O89" s="619">
        <f t="shared" si="63"/>
        <v>0</v>
      </c>
      <c r="P89" s="482" t="s">
        <v>1768</v>
      </c>
      <c r="Q89" s="482" t="s">
        <v>1768</v>
      </c>
      <c r="R89" s="482" t="s">
        <v>1768</v>
      </c>
      <c r="S89" s="683">
        <f t="shared" si="64"/>
        <v>0</v>
      </c>
      <c r="T89" s="482" t="s">
        <v>1768</v>
      </c>
      <c r="U89" s="482" t="s">
        <v>1768</v>
      </c>
      <c r="V89" s="482" t="s">
        <v>1768</v>
      </c>
      <c r="W89" s="683">
        <f t="shared" si="65"/>
        <v>0</v>
      </c>
      <c r="X89" s="482" t="s">
        <v>1768</v>
      </c>
      <c r="Y89" s="482" t="s">
        <v>1768</v>
      </c>
      <c r="Z89" s="482" t="s">
        <v>1768</v>
      </c>
      <c r="AA89" s="619">
        <f t="shared" si="66"/>
        <v>0</v>
      </c>
      <c r="AB89" s="482" t="s">
        <v>1768</v>
      </c>
      <c r="AC89" s="482" t="s">
        <v>1768</v>
      </c>
      <c r="AD89" s="482" t="s">
        <v>1768</v>
      </c>
      <c r="AE89" s="619">
        <f t="shared" si="67"/>
        <v>0</v>
      </c>
      <c r="AF89" s="482" t="s">
        <v>1768</v>
      </c>
      <c r="AG89" s="482" t="s">
        <v>1768</v>
      </c>
      <c r="AH89" s="482" t="s">
        <v>1768</v>
      </c>
      <c r="AI89" s="619">
        <f t="shared" si="68"/>
        <v>0</v>
      </c>
    </row>
    <row r="90" spans="1:35" x14ac:dyDescent="0.25">
      <c r="A90" s="1932"/>
      <c r="B90" s="19" t="s">
        <v>34</v>
      </c>
      <c r="C90" s="22"/>
      <c r="D90" s="482" t="s">
        <v>1768</v>
      </c>
      <c r="E90" s="482" t="s">
        <v>1768</v>
      </c>
      <c r="F90" s="482" t="s">
        <v>1768</v>
      </c>
      <c r="G90" s="21">
        <f t="shared" si="62"/>
        <v>0</v>
      </c>
      <c r="H90" s="482" t="s">
        <v>1768</v>
      </c>
      <c r="I90" s="482" t="s">
        <v>1768</v>
      </c>
      <c r="J90" s="482" t="s">
        <v>1768</v>
      </c>
      <c r="K90" s="16">
        <f t="shared" si="7"/>
        <v>0</v>
      </c>
      <c r="L90" s="482" t="s">
        <v>1768</v>
      </c>
      <c r="M90" s="482" t="s">
        <v>1768</v>
      </c>
      <c r="N90" s="482" t="s">
        <v>1768</v>
      </c>
      <c r="O90" s="619">
        <f t="shared" si="63"/>
        <v>0</v>
      </c>
      <c r="P90" s="482" t="s">
        <v>1768</v>
      </c>
      <c r="Q90" s="482" t="s">
        <v>1768</v>
      </c>
      <c r="R90" s="482" t="s">
        <v>1768</v>
      </c>
      <c r="S90" s="619">
        <f t="shared" si="64"/>
        <v>0</v>
      </c>
      <c r="T90" s="482" t="s">
        <v>1768</v>
      </c>
      <c r="U90" s="482" t="s">
        <v>1768</v>
      </c>
      <c r="V90" s="482" t="s">
        <v>1768</v>
      </c>
      <c r="W90" s="619">
        <f t="shared" si="65"/>
        <v>0</v>
      </c>
      <c r="X90" s="482" t="s">
        <v>1768</v>
      </c>
      <c r="Y90" s="482" t="s">
        <v>1768</v>
      </c>
      <c r="Z90" s="482" t="s">
        <v>1768</v>
      </c>
      <c r="AA90" s="619">
        <f t="shared" si="66"/>
        <v>0</v>
      </c>
      <c r="AB90" s="482" t="s">
        <v>1768</v>
      </c>
      <c r="AC90" s="482" t="s">
        <v>1768</v>
      </c>
      <c r="AD90" s="482" t="s">
        <v>1768</v>
      </c>
      <c r="AE90" s="619">
        <f t="shared" si="67"/>
        <v>0</v>
      </c>
      <c r="AF90" s="482" t="s">
        <v>1768</v>
      </c>
      <c r="AG90" s="482" t="s">
        <v>1768</v>
      </c>
      <c r="AH90" s="482" t="s">
        <v>1768</v>
      </c>
      <c r="AI90" s="619">
        <f t="shared" si="68"/>
        <v>0</v>
      </c>
    </row>
    <row r="91" spans="1:35" x14ac:dyDescent="0.25">
      <c r="A91" s="1933" t="s">
        <v>24</v>
      </c>
      <c r="B91" s="1721" t="s">
        <v>32</v>
      </c>
      <c r="C91" s="22"/>
      <c r="D91" s="1707">
        <v>6</v>
      </c>
      <c r="E91" s="1701">
        <f>IF($E$3&gt;1,8,4)</f>
        <v>4</v>
      </c>
      <c r="F91" s="1709">
        <f>0.5*$F$3</f>
        <v>0</v>
      </c>
      <c r="G91" s="1699">
        <f t="shared" si="62"/>
        <v>10</v>
      </c>
      <c r="H91" s="1707">
        <v>6</v>
      </c>
      <c r="I91" s="1701">
        <f>IF($E$3&gt;1,8,4)</f>
        <v>4</v>
      </c>
      <c r="J91" s="1709">
        <f>0.5*$F$3</f>
        <v>0</v>
      </c>
      <c r="K91" s="1716">
        <f t="shared" si="7"/>
        <v>10</v>
      </c>
      <c r="L91" s="1707">
        <v>6</v>
      </c>
      <c r="M91" s="1701">
        <f>IF($E$3&gt;1,8,4)</f>
        <v>4</v>
      </c>
      <c r="N91" s="1709">
        <f>0.5*$F$3</f>
        <v>0</v>
      </c>
      <c r="O91" s="1699">
        <f t="shared" si="63"/>
        <v>10</v>
      </c>
      <c r="P91" s="1707">
        <v>6</v>
      </c>
      <c r="Q91" s="1701">
        <f>IF($E$3&gt;1,8,4)</f>
        <v>4</v>
      </c>
      <c r="R91" s="1709">
        <f>0.5*$F$3</f>
        <v>0</v>
      </c>
      <c r="S91" s="1699">
        <f t="shared" si="64"/>
        <v>10</v>
      </c>
      <c r="T91" s="1707">
        <v>6</v>
      </c>
      <c r="U91" s="1701">
        <f>IF($E$3&gt;1,8,4)</f>
        <v>4</v>
      </c>
      <c r="V91" s="1709">
        <f>0.5*$F$3</f>
        <v>0</v>
      </c>
      <c r="W91" s="1699">
        <f t="shared" si="65"/>
        <v>10</v>
      </c>
      <c r="X91" s="1707">
        <v>6</v>
      </c>
      <c r="Y91" s="1701">
        <f>IF($E$3&gt;1,8,4)</f>
        <v>4</v>
      </c>
      <c r="Z91" s="1709">
        <f>0.5*$F$3</f>
        <v>0</v>
      </c>
      <c r="AA91" s="1699">
        <f t="shared" si="66"/>
        <v>10</v>
      </c>
      <c r="AB91" s="1707">
        <v>6</v>
      </c>
      <c r="AC91" s="1701">
        <f>IF($E$3&gt;1,8,4)</f>
        <v>4</v>
      </c>
      <c r="AD91" s="1709">
        <f>0.5*$F$3</f>
        <v>0</v>
      </c>
      <c r="AE91" s="1699">
        <f t="shared" si="67"/>
        <v>10</v>
      </c>
      <c r="AF91" s="1707">
        <v>6</v>
      </c>
      <c r="AG91" s="1701">
        <f>IF($E$3&gt;1,8,4)</f>
        <v>4</v>
      </c>
      <c r="AH91" s="1709">
        <f>0.5*$F$3</f>
        <v>0</v>
      </c>
      <c r="AI91" s="1699">
        <f t="shared" si="68"/>
        <v>10</v>
      </c>
    </row>
    <row r="92" spans="1:35" x14ac:dyDescent="0.25">
      <c r="A92" s="1933"/>
      <c r="B92" s="19" t="s">
        <v>33</v>
      </c>
      <c r="C92" s="22"/>
      <c r="D92" s="482">
        <v>1</v>
      </c>
      <c r="E92" s="478">
        <f>IF(E$3&gt;1,0.25*E$3,0.5)</f>
        <v>0.5</v>
      </c>
      <c r="F92" s="630">
        <f>IF(F$3=1,D92+E92+6,0)</f>
        <v>0</v>
      </c>
      <c r="G92" s="21">
        <f t="shared" si="62"/>
        <v>1.5</v>
      </c>
      <c r="H92" s="482">
        <v>1</v>
      </c>
      <c r="I92" s="478">
        <f>IF(I$3&gt;1,0.25*I$3,0.5)</f>
        <v>0.5</v>
      </c>
      <c r="J92" s="630">
        <f>IF(J$3=1,H92+I92+6,0)</f>
        <v>0</v>
      </c>
      <c r="K92" s="16">
        <f t="shared" si="7"/>
        <v>1.5</v>
      </c>
      <c r="L92" s="482">
        <v>1</v>
      </c>
      <c r="M92" s="478">
        <f>IF(M$3&gt;1,0.25*M$3,0.5)</f>
        <v>0.5</v>
      </c>
      <c r="N92" s="630">
        <f>IF(N$3=1,L92+M92+6,0)</f>
        <v>0</v>
      </c>
      <c r="O92" s="619">
        <f t="shared" si="63"/>
        <v>1.5</v>
      </c>
      <c r="P92" s="482">
        <v>1</v>
      </c>
      <c r="Q92" s="478">
        <f>IF(Q$3&gt;1,0.25*Q$3,0.5)</f>
        <v>0.5</v>
      </c>
      <c r="R92" s="630">
        <f>IF(R$3=1,P92+Q92+6,0)</f>
        <v>0</v>
      </c>
      <c r="S92" s="619">
        <f t="shared" si="64"/>
        <v>1.5</v>
      </c>
      <c r="T92" s="482">
        <v>1</v>
      </c>
      <c r="U92" s="478">
        <f>IF(U$3&gt;1,0.25*U$3,0.5)</f>
        <v>0.5</v>
      </c>
      <c r="V92" s="630">
        <f>IF(V$3=1,T92+U92+6,0)</f>
        <v>0</v>
      </c>
      <c r="W92" s="619">
        <f t="shared" si="65"/>
        <v>1.5</v>
      </c>
      <c r="X92" s="482">
        <v>1</v>
      </c>
      <c r="Y92" s="478">
        <f>IF(Y$3&gt;1,0.25*Y$3,0.5)</f>
        <v>0.5</v>
      </c>
      <c r="Z92" s="630">
        <f>IF(Z$3=1,X92+Y92+6,0)</f>
        <v>0</v>
      </c>
      <c r="AA92" s="619">
        <f t="shared" si="66"/>
        <v>1.5</v>
      </c>
      <c r="AB92" s="482">
        <v>1</v>
      </c>
      <c r="AC92" s="478">
        <f>IF(AC$3&gt;1,0.25*AC$3,0.5)</f>
        <v>0.5</v>
      </c>
      <c r="AD92" s="630">
        <f>IF(AD$3=1,AB92+AC92+6,0)</f>
        <v>0</v>
      </c>
      <c r="AE92" s="619">
        <f t="shared" si="67"/>
        <v>1.5</v>
      </c>
      <c r="AF92" s="482">
        <v>1</v>
      </c>
      <c r="AG92" s="478">
        <f>IF(AG$3&gt;1,0.25*AG$3,0.5)</f>
        <v>0.5</v>
      </c>
      <c r="AH92" s="630">
        <f>IF(AH$3=1,AF92+AG92+6,0)</f>
        <v>0</v>
      </c>
      <c r="AI92" s="619">
        <f t="shared" si="68"/>
        <v>1.5</v>
      </c>
    </row>
    <row r="93" spans="1:35" x14ac:dyDescent="0.25">
      <c r="A93" s="1933"/>
      <c r="B93" s="19" t="s">
        <v>34</v>
      </c>
      <c r="C93" s="22"/>
      <c r="D93" s="482">
        <v>2</v>
      </c>
      <c r="E93" s="478">
        <f>IF(E$3&gt;1,0.25*E$3,0.5)</f>
        <v>0.5</v>
      </c>
      <c r="F93" s="630">
        <f>IF(F$3=1,D93+E93+8,0)</f>
        <v>0</v>
      </c>
      <c r="G93" s="21">
        <f t="shared" si="62"/>
        <v>2.5</v>
      </c>
      <c r="H93" s="482">
        <v>2</v>
      </c>
      <c r="I93" s="478">
        <f>IF(I$3&gt;1,0.25*I$3,0.5)</f>
        <v>0.5</v>
      </c>
      <c r="J93" s="630">
        <f>IF(J$3=1,H93+I93+8,0)</f>
        <v>0</v>
      </c>
      <c r="K93" s="16">
        <f t="shared" si="7"/>
        <v>2.5</v>
      </c>
      <c r="L93" s="482">
        <v>2</v>
      </c>
      <c r="M93" s="478">
        <f>IF(M$3&gt;1,0.25*M$3,0.5)</f>
        <v>0.5</v>
      </c>
      <c r="N93" s="630">
        <f>IF(N$3=1,L93+M93+8,0)</f>
        <v>0</v>
      </c>
      <c r="O93" s="619">
        <f t="shared" si="63"/>
        <v>2.5</v>
      </c>
      <c r="P93" s="482">
        <v>2</v>
      </c>
      <c r="Q93" s="478">
        <f>IF(Q$3&gt;1,0.25*Q$3,0.5)</f>
        <v>0.5</v>
      </c>
      <c r="R93" s="630">
        <f>IF(R$3=1,P93+Q93+8,0)</f>
        <v>0</v>
      </c>
      <c r="S93" s="619">
        <f t="shared" si="64"/>
        <v>2.5</v>
      </c>
      <c r="T93" s="482">
        <v>2</v>
      </c>
      <c r="U93" s="478">
        <f>IF(U$3&gt;1,0.25*U$3,0.5)</f>
        <v>0.5</v>
      </c>
      <c r="V93" s="630">
        <f>IF(V$3=1,T93+U93+8,0)</f>
        <v>0</v>
      </c>
      <c r="W93" s="619">
        <f t="shared" si="65"/>
        <v>2.5</v>
      </c>
      <c r="X93" s="482">
        <v>2</v>
      </c>
      <c r="Y93" s="478">
        <f>IF(Y$3&gt;1,0.25*Y$3,0.5)</f>
        <v>0.5</v>
      </c>
      <c r="Z93" s="630">
        <f>IF(Z$3=1,X93+Y93+8,0)</f>
        <v>0</v>
      </c>
      <c r="AA93" s="619">
        <f t="shared" si="66"/>
        <v>2.5</v>
      </c>
      <c r="AB93" s="482">
        <v>2</v>
      </c>
      <c r="AC93" s="478">
        <f>IF(AC$3&gt;1,0.25*AC$3,0.5)</f>
        <v>0.5</v>
      </c>
      <c r="AD93" s="630">
        <f>IF(AD$3=1,AB93+AC93+8,0)</f>
        <v>0</v>
      </c>
      <c r="AE93" s="619">
        <f t="shared" si="67"/>
        <v>2.5</v>
      </c>
      <c r="AF93" s="482">
        <v>2</v>
      </c>
      <c r="AG93" s="478">
        <f>IF(AG$3&gt;1,0.25*AG$3,0.5)</f>
        <v>0.5</v>
      </c>
      <c r="AH93" s="630">
        <f>IF(AH$3=1,AF93+AG93+8,0)</f>
        <v>0</v>
      </c>
      <c r="AI93" s="619">
        <f t="shared" si="68"/>
        <v>2.5</v>
      </c>
    </row>
    <row r="94" spans="1:35" x14ac:dyDescent="0.25">
      <c r="A94" s="1933" t="s">
        <v>25</v>
      </c>
      <c r="B94" s="1721" t="s">
        <v>32</v>
      </c>
      <c r="C94" s="22"/>
      <c r="D94" s="1707">
        <v>0</v>
      </c>
      <c r="E94" s="1701">
        <f>IF(E$3&gt;1,8,6)</f>
        <v>6</v>
      </c>
      <c r="F94" s="1709">
        <v>0</v>
      </c>
      <c r="G94" s="1699">
        <f t="shared" ref="G94:G105" si="69" xml:space="preserve"> SUM(D94:F94) + $C94</f>
        <v>6</v>
      </c>
      <c r="H94" s="1707">
        <v>0</v>
      </c>
      <c r="I94" s="1701">
        <f>IF(I$3&gt;1,8,6)</f>
        <v>6</v>
      </c>
      <c r="J94" s="1709">
        <v>0</v>
      </c>
      <c r="K94" s="1716">
        <f t="shared" ref="K94:K105" si="70" xml:space="preserve"> SUM(H94:J94) + $C94</f>
        <v>6</v>
      </c>
      <c r="L94" s="1707">
        <v>0</v>
      </c>
      <c r="M94" s="1701">
        <f>IF(M$3&gt;1,8,6)</f>
        <v>6</v>
      </c>
      <c r="N94" s="1709">
        <v>0</v>
      </c>
      <c r="O94" s="1699">
        <f t="shared" ref="O94:O105" si="71" xml:space="preserve"> SUM(L94:N94) + $C94</f>
        <v>6</v>
      </c>
      <c r="P94" s="1707">
        <v>0</v>
      </c>
      <c r="Q94" s="1701">
        <f>IF(Q$3&gt;1,8,6)</f>
        <v>6</v>
      </c>
      <c r="R94" s="1709">
        <v>0</v>
      </c>
      <c r="S94" s="1699">
        <f t="shared" ref="S94:S105" si="72" xml:space="preserve"> SUM(P94:R94) + $C94</f>
        <v>6</v>
      </c>
      <c r="T94" s="1707">
        <v>0</v>
      </c>
      <c r="U94" s="1701">
        <f>IF(U$3&gt;1,8,6)</f>
        <v>6</v>
      </c>
      <c r="V94" s="1709">
        <v>0</v>
      </c>
      <c r="W94" s="1699">
        <f t="shared" ref="W94:W105" si="73" xml:space="preserve"> SUM(T94:V94) + $C94</f>
        <v>6</v>
      </c>
      <c r="X94" s="1707">
        <v>0</v>
      </c>
      <c r="Y94" s="1701">
        <f>IF(Y$3&gt;1,8,6)</f>
        <v>6</v>
      </c>
      <c r="Z94" s="1709">
        <v>0</v>
      </c>
      <c r="AA94" s="1699">
        <f t="shared" si="66"/>
        <v>6</v>
      </c>
      <c r="AB94" s="1707">
        <v>0</v>
      </c>
      <c r="AC94" s="1701">
        <f>IF(AC$3&gt;1,8,6)</f>
        <v>6</v>
      </c>
      <c r="AD94" s="1709">
        <v>0</v>
      </c>
      <c r="AE94" s="1699">
        <f t="shared" ref="AE94:AE105" si="74" xml:space="preserve"> SUM(AB94:AD94) + $C94</f>
        <v>6</v>
      </c>
      <c r="AF94" s="1707">
        <v>0</v>
      </c>
      <c r="AG94" s="1701">
        <f>IF(AG$3&gt;1,8,6)</f>
        <v>6</v>
      </c>
      <c r="AH94" s="1709">
        <v>0</v>
      </c>
      <c r="AI94" s="1699">
        <f t="shared" ref="AI94:AI105" si="75" xml:space="preserve"> SUM(AF94:AH94) + $C94</f>
        <v>6</v>
      </c>
    </row>
    <row r="95" spans="1:35" x14ac:dyDescent="0.25">
      <c r="A95" s="1933"/>
      <c r="B95" s="19" t="s">
        <v>33</v>
      </c>
      <c r="C95" s="22"/>
      <c r="D95" s="482">
        <v>1</v>
      </c>
      <c r="E95" s="478">
        <f>IF(E$3&gt;1,0.25*E$3,0.5)</f>
        <v>0.5</v>
      </c>
      <c r="F95" s="630">
        <f>IF(F$3=1,D95+E95+6,0)</f>
        <v>0</v>
      </c>
      <c r="G95" s="21">
        <f t="shared" si="69"/>
        <v>1.5</v>
      </c>
      <c r="H95" s="482">
        <v>1</v>
      </c>
      <c r="I95" s="478">
        <f>IF(I$3&gt;1,0.25*I$3,0.5)</f>
        <v>0.5</v>
      </c>
      <c r="J95" s="630">
        <f>IF(J$3=1,H95+I95+6,0)</f>
        <v>0</v>
      </c>
      <c r="K95" s="16">
        <f t="shared" si="70"/>
        <v>1.5</v>
      </c>
      <c r="L95" s="482">
        <v>1</v>
      </c>
      <c r="M95" s="478">
        <f>IF(M$3&gt;1,0.25*M$3,0.5)</f>
        <v>0.5</v>
      </c>
      <c r="N95" s="630">
        <f>IF(N$3=1,L95+M95+6,0)</f>
        <v>0</v>
      </c>
      <c r="O95" s="619">
        <f t="shared" si="71"/>
        <v>1.5</v>
      </c>
      <c r="P95" s="482">
        <v>1</v>
      </c>
      <c r="Q95" s="478">
        <f>IF(Q$3&gt;1,0.25*Q$3,0.5)</f>
        <v>0.5</v>
      </c>
      <c r="R95" s="630">
        <f>IF(R$3=1,P95+Q95+6,0)</f>
        <v>0</v>
      </c>
      <c r="S95" s="619">
        <f t="shared" si="72"/>
        <v>1.5</v>
      </c>
      <c r="T95" s="482">
        <v>1</v>
      </c>
      <c r="U95" s="478">
        <f>IF(U$3&gt;1,0.25*U$3,0.5)</f>
        <v>0.5</v>
      </c>
      <c r="V95" s="630">
        <f>IF(V$3=1,T95+U95+6,0)</f>
        <v>0</v>
      </c>
      <c r="W95" s="619">
        <f t="shared" si="73"/>
        <v>1.5</v>
      </c>
      <c r="X95" s="482">
        <v>1</v>
      </c>
      <c r="Y95" s="478">
        <f>IF(Y$3&gt;1,0.25*Y$3,0.5)</f>
        <v>0.5</v>
      </c>
      <c r="Z95" s="630">
        <f>IF(Z$3=1,X95+Y95+6,0)</f>
        <v>0</v>
      </c>
      <c r="AA95" s="619">
        <f t="shared" si="66"/>
        <v>1.5</v>
      </c>
      <c r="AB95" s="482">
        <v>1</v>
      </c>
      <c r="AC95" s="478">
        <f>IF(AC$3&gt;1,0.25*AC$3,0.5)</f>
        <v>0.5</v>
      </c>
      <c r="AD95" s="630">
        <f>IF(AD$3=1,AB95+AC95+6,0)</f>
        <v>0</v>
      </c>
      <c r="AE95" s="619">
        <f t="shared" si="74"/>
        <v>1.5</v>
      </c>
      <c r="AF95" s="482">
        <v>1</v>
      </c>
      <c r="AG95" s="478">
        <f>IF(AG$3&gt;1,0.25*AG$3,0.5)</f>
        <v>0.5</v>
      </c>
      <c r="AH95" s="630">
        <f>IF(AH$3=1,AF95+AG95+6,0)</f>
        <v>0</v>
      </c>
      <c r="AI95" s="619">
        <f t="shared" si="75"/>
        <v>1.5</v>
      </c>
    </row>
    <row r="96" spans="1:35" x14ac:dyDescent="0.25">
      <c r="A96" s="1933"/>
      <c r="B96" s="19" t="s">
        <v>34</v>
      </c>
      <c r="C96" s="22"/>
      <c r="D96" s="482">
        <v>2</v>
      </c>
      <c r="E96" s="478">
        <f>IF(E$3&gt;1,0.25*E$3,0.5)</f>
        <v>0.5</v>
      </c>
      <c r="F96" s="630">
        <f>IF(F$3=1,D96+E96+8,0)</f>
        <v>0</v>
      </c>
      <c r="G96" s="21">
        <f t="shared" si="69"/>
        <v>2.5</v>
      </c>
      <c r="H96" s="482">
        <v>2</v>
      </c>
      <c r="I96" s="478">
        <f>IF(I$3&gt;1,0.25*I$3,0.5)</f>
        <v>0.5</v>
      </c>
      <c r="J96" s="630">
        <f>IF(J$3=1,H96+I96+8,0)</f>
        <v>0</v>
      </c>
      <c r="K96" s="16">
        <f t="shared" si="70"/>
        <v>2.5</v>
      </c>
      <c r="L96" s="482">
        <v>2</v>
      </c>
      <c r="M96" s="478">
        <f>IF(M$3&gt;1,0.25*M$3,0.5)</f>
        <v>0.5</v>
      </c>
      <c r="N96" s="630">
        <f>IF(N$3=1,L96+M96+8,0)</f>
        <v>0</v>
      </c>
      <c r="O96" s="619">
        <f t="shared" si="71"/>
        <v>2.5</v>
      </c>
      <c r="P96" s="482">
        <v>2</v>
      </c>
      <c r="Q96" s="478">
        <f>IF(Q$3&gt;1,0.25*Q$3,0.5)</f>
        <v>0.5</v>
      </c>
      <c r="R96" s="630">
        <f>IF(R$3=1,P96+Q96+8,0)</f>
        <v>0</v>
      </c>
      <c r="S96" s="619">
        <f t="shared" si="72"/>
        <v>2.5</v>
      </c>
      <c r="T96" s="482">
        <v>2</v>
      </c>
      <c r="U96" s="478">
        <f>IF(U$3&gt;1,0.25*U$3,0.5)</f>
        <v>0.5</v>
      </c>
      <c r="V96" s="630">
        <f>IF(V$3=1,T96+U96+8,0)</f>
        <v>0</v>
      </c>
      <c r="W96" s="619">
        <f t="shared" si="73"/>
        <v>2.5</v>
      </c>
      <c r="X96" s="482">
        <v>2</v>
      </c>
      <c r="Y96" s="478">
        <f>IF(Y$3&gt;1,0.25*Y$3,0.5)</f>
        <v>0.5</v>
      </c>
      <c r="Z96" s="630">
        <f>IF(Z$3=1,X96+Y96+8,0)</f>
        <v>0</v>
      </c>
      <c r="AA96" s="619">
        <f t="shared" si="66"/>
        <v>2.5</v>
      </c>
      <c r="AB96" s="482">
        <v>2</v>
      </c>
      <c r="AC96" s="478">
        <f>IF(AC$3&gt;1,0.25*AC$3,0.5)</f>
        <v>0.5</v>
      </c>
      <c r="AD96" s="630">
        <f>IF(AD$3=1,AB96+AC96+8,0)</f>
        <v>0</v>
      </c>
      <c r="AE96" s="619">
        <f t="shared" si="74"/>
        <v>2.5</v>
      </c>
      <c r="AF96" s="482">
        <v>2</v>
      </c>
      <c r="AG96" s="478">
        <f>IF(AG$3&gt;1,0.25*AG$3,0.5)</f>
        <v>0.5</v>
      </c>
      <c r="AH96" s="630">
        <f>IF(AH$3=1,AF96+AG96+8,0)</f>
        <v>0</v>
      </c>
      <c r="AI96" s="619">
        <f t="shared" si="75"/>
        <v>2.5</v>
      </c>
    </row>
    <row r="97" spans="1:35" x14ac:dyDescent="0.25">
      <c r="A97" s="1933" t="s">
        <v>26</v>
      </c>
      <c r="B97" s="1721" t="s">
        <v>32</v>
      </c>
      <c r="C97" s="22"/>
      <c r="D97" s="1707">
        <v>6</v>
      </c>
      <c r="E97" s="1701">
        <v>0</v>
      </c>
      <c r="F97" s="1709">
        <v>0</v>
      </c>
      <c r="G97" s="1699">
        <f t="shared" si="69"/>
        <v>6</v>
      </c>
      <c r="H97" s="1707">
        <v>6</v>
      </c>
      <c r="I97" s="1701">
        <v>0</v>
      </c>
      <c r="J97" s="1709">
        <v>0</v>
      </c>
      <c r="K97" s="1716">
        <f t="shared" si="70"/>
        <v>6</v>
      </c>
      <c r="L97" s="1707">
        <v>6</v>
      </c>
      <c r="M97" s="1701">
        <v>0</v>
      </c>
      <c r="N97" s="1709">
        <v>0</v>
      </c>
      <c r="O97" s="1699">
        <f t="shared" si="71"/>
        <v>6</v>
      </c>
      <c r="P97" s="1707">
        <v>6</v>
      </c>
      <c r="Q97" s="1701">
        <v>0</v>
      </c>
      <c r="R97" s="1709">
        <v>0</v>
      </c>
      <c r="S97" s="1699">
        <f t="shared" si="72"/>
        <v>6</v>
      </c>
      <c r="T97" s="1707">
        <v>6</v>
      </c>
      <c r="U97" s="1701">
        <v>0</v>
      </c>
      <c r="V97" s="1709">
        <v>0</v>
      </c>
      <c r="W97" s="1699">
        <f t="shared" si="73"/>
        <v>6</v>
      </c>
      <c r="X97" s="1707">
        <v>6</v>
      </c>
      <c r="Y97" s="1701">
        <v>0</v>
      </c>
      <c r="Z97" s="1709">
        <v>0</v>
      </c>
      <c r="AA97" s="1699">
        <f t="shared" si="66"/>
        <v>6</v>
      </c>
      <c r="AB97" s="1707">
        <v>6</v>
      </c>
      <c r="AC97" s="1701">
        <v>0</v>
      </c>
      <c r="AD97" s="1709">
        <v>0</v>
      </c>
      <c r="AE97" s="1699">
        <f t="shared" si="74"/>
        <v>6</v>
      </c>
      <c r="AF97" s="1707">
        <v>6</v>
      </c>
      <c r="AG97" s="1701">
        <v>0</v>
      </c>
      <c r="AH97" s="1709">
        <v>0</v>
      </c>
      <c r="AI97" s="1699">
        <f t="shared" si="75"/>
        <v>6</v>
      </c>
    </row>
    <row r="98" spans="1:35" x14ac:dyDescent="0.25">
      <c r="A98" s="1933"/>
      <c r="B98" s="19" t="s">
        <v>33</v>
      </c>
      <c r="C98" s="22"/>
      <c r="D98" s="482">
        <v>1</v>
      </c>
      <c r="E98" s="486">
        <v>0</v>
      </c>
      <c r="F98" s="630">
        <f>IF(F$3=1,D98+E98+4,0)</f>
        <v>0</v>
      </c>
      <c r="G98" s="21">
        <f t="shared" si="69"/>
        <v>1</v>
      </c>
      <c r="H98" s="482">
        <v>1</v>
      </c>
      <c r="I98" s="486">
        <v>0</v>
      </c>
      <c r="J98" s="630">
        <f>IF(J$3=1,H98+I98+4,0)</f>
        <v>0</v>
      </c>
      <c r="K98" s="16">
        <f t="shared" si="70"/>
        <v>1</v>
      </c>
      <c r="L98" s="482">
        <v>1</v>
      </c>
      <c r="M98" s="486">
        <v>0</v>
      </c>
      <c r="N98" s="630">
        <f>IF(N$3=1,L98+M98+4,0)</f>
        <v>0</v>
      </c>
      <c r="O98" s="619">
        <f t="shared" si="71"/>
        <v>1</v>
      </c>
      <c r="P98" s="482">
        <v>1</v>
      </c>
      <c r="Q98" s="486">
        <v>0</v>
      </c>
      <c r="R98" s="630">
        <f>IF(R$3=1,P98+Q98+4,0)</f>
        <v>0</v>
      </c>
      <c r="S98" s="619">
        <f t="shared" si="72"/>
        <v>1</v>
      </c>
      <c r="T98" s="482">
        <v>1</v>
      </c>
      <c r="U98" s="486">
        <v>0</v>
      </c>
      <c r="V98" s="630">
        <f>IF(V$3=1,T98+U98+4,0)</f>
        <v>0</v>
      </c>
      <c r="W98" s="619">
        <f t="shared" si="73"/>
        <v>1</v>
      </c>
      <c r="X98" s="482">
        <v>1</v>
      </c>
      <c r="Y98" s="486">
        <v>0</v>
      </c>
      <c r="Z98" s="630">
        <f>IF(Z$3=1,X98+Y98+4,0)</f>
        <v>0</v>
      </c>
      <c r="AA98" s="619">
        <f t="shared" si="66"/>
        <v>1</v>
      </c>
      <c r="AB98" s="482">
        <v>1</v>
      </c>
      <c r="AC98" s="486">
        <v>0</v>
      </c>
      <c r="AD98" s="630">
        <f>IF(AD$3=1,AB98+AC98+4,0)</f>
        <v>0</v>
      </c>
      <c r="AE98" s="619">
        <f t="shared" si="74"/>
        <v>1</v>
      </c>
      <c r="AF98" s="482">
        <v>1</v>
      </c>
      <c r="AG98" s="486">
        <v>0</v>
      </c>
      <c r="AH98" s="630">
        <f>IF(AH$3=1,AF98+AG98+4,0)</f>
        <v>0</v>
      </c>
      <c r="AI98" s="619">
        <f t="shared" si="75"/>
        <v>1</v>
      </c>
    </row>
    <row r="99" spans="1:35" x14ac:dyDescent="0.25">
      <c r="A99" s="1933"/>
      <c r="B99" s="19" t="s">
        <v>34</v>
      </c>
      <c r="C99" s="22"/>
      <c r="D99" s="482">
        <v>2</v>
      </c>
      <c r="E99" s="486">
        <v>0</v>
      </c>
      <c r="F99" s="630">
        <f>IF(F$3=1,D99+E99+6,0)</f>
        <v>0</v>
      </c>
      <c r="G99" s="21">
        <f t="shared" si="69"/>
        <v>2</v>
      </c>
      <c r="H99" s="482">
        <v>2</v>
      </c>
      <c r="I99" s="486">
        <v>0</v>
      </c>
      <c r="J99" s="630">
        <f>IF(J$3=1,H99+I99+6,0)</f>
        <v>0</v>
      </c>
      <c r="K99" s="16">
        <f t="shared" si="70"/>
        <v>2</v>
      </c>
      <c r="L99" s="482">
        <v>2</v>
      </c>
      <c r="M99" s="486">
        <v>0</v>
      </c>
      <c r="N99" s="630">
        <f>IF(N$3=1,L99+M99+6,0)</f>
        <v>0</v>
      </c>
      <c r="O99" s="619">
        <f t="shared" si="71"/>
        <v>2</v>
      </c>
      <c r="P99" s="482">
        <v>2</v>
      </c>
      <c r="Q99" s="486">
        <v>0</v>
      </c>
      <c r="R99" s="630">
        <f>IF(R$3=1,P99+Q99+6,0)</f>
        <v>0</v>
      </c>
      <c r="S99" s="619">
        <f t="shared" si="72"/>
        <v>2</v>
      </c>
      <c r="T99" s="482">
        <v>2</v>
      </c>
      <c r="U99" s="486">
        <v>0</v>
      </c>
      <c r="V99" s="630">
        <f>IF(V$3=1,T99+U99+6,0)</f>
        <v>0</v>
      </c>
      <c r="W99" s="619">
        <f t="shared" si="73"/>
        <v>2</v>
      </c>
      <c r="X99" s="482">
        <v>2</v>
      </c>
      <c r="Y99" s="486">
        <v>0</v>
      </c>
      <c r="Z99" s="630">
        <f>IF(Z$3=1,X99+Y99+6,0)</f>
        <v>0</v>
      </c>
      <c r="AA99" s="619">
        <f t="shared" si="66"/>
        <v>2</v>
      </c>
      <c r="AB99" s="482">
        <v>2</v>
      </c>
      <c r="AC99" s="486">
        <v>0</v>
      </c>
      <c r="AD99" s="630">
        <f>IF(AD$3=1,AB99+AC99+6,0)</f>
        <v>0</v>
      </c>
      <c r="AE99" s="619">
        <f t="shared" si="74"/>
        <v>2</v>
      </c>
      <c r="AF99" s="482">
        <v>2</v>
      </c>
      <c r="AG99" s="486">
        <v>0</v>
      </c>
      <c r="AH99" s="630">
        <f>IF(AH$3=1,AF99+AG99+6,0)</f>
        <v>0</v>
      </c>
      <c r="AI99" s="619">
        <f t="shared" si="75"/>
        <v>2</v>
      </c>
    </row>
    <row r="100" spans="1:35" x14ac:dyDescent="0.25">
      <c r="A100" s="1933" t="s">
        <v>27</v>
      </c>
      <c r="B100" s="1721" t="s">
        <v>32</v>
      </c>
      <c r="C100" s="22"/>
      <c r="D100" s="1707">
        <f>IF($D$3&gt;1,4,2)</f>
        <v>4</v>
      </c>
      <c r="E100" s="1707">
        <v>0</v>
      </c>
      <c r="F100" s="1717">
        <v>0</v>
      </c>
      <c r="G100" s="1699">
        <f t="shared" si="69"/>
        <v>4</v>
      </c>
      <c r="H100" s="1707">
        <f>IF($D$3&gt;1,4,2)</f>
        <v>4</v>
      </c>
      <c r="I100" s="1707">
        <v>0</v>
      </c>
      <c r="J100" s="1717">
        <v>0</v>
      </c>
      <c r="K100" s="1716">
        <f t="shared" si="70"/>
        <v>4</v>
      </c>
      <c r="L100" s="1707">
        <f>IF($D$3&gt;1,4,2)</f>
        <v>4</v>
      </c>
      <c r="M100" s="1707">
        <v>0</v>
      </c>
      <c r="N100" s="1717">
        <v>0</v>
      </c>
      <c r="O100" s="1699">
        <f t="shared" si="71"/>
        <v>4</v>
      </c>
      <c r="P100" s="1707">
        <f>IF($D$3&gt;1,4,2)</f>
        <v>4</v>
      </c>
      <c r="Q100" s="1707">
        <v>0</v>
      </c>
      <c r="R100" s="1717">
        <v>0</v>
      </c>
      <c r="S100" s="1699">
        <f t="shared" si="72"/>
        <v>4</v>
      </c>
      <c r="T100" s="1707">
        <f>IF($D$3&gt;1,4,2)</f>
        <v>4</v>
      </c>
      <c r="U100" s="1707">
        <v>0</v>
      </c>
      <c r="V100" s="1717">
        <v>0</v>
      </c>
      <c r="W100" s="1699">
        <f t="shared" si="73"/>
        <v>4</v>
      </c>
      <c r="X100" s="1707">
        <f>IF($D$3&gt;1,4,2)</f>
        <v>4</v>
      </c>
      <c r="Y100" s="1707">
        <v>0</v>
      </c>
      <c r="Z100" s="1717">
        <v>0</v>
      </c>
      <c r="AA100" s="1699">
        <f t="shared" si="66"/>
        <v>4</v>
      </c>
      <c r="AB100" s="1707">
        <f>IF($D$3&gt;1,4,2)</f>
        <v>4</v>
      </c>
      <c r="AC100" s="1707">
        <v>0</v>
      </c>
      <c r="AD100" s="1717">
        <v>0</v>
      </c>
      <c r="AE100" s="1699">
        <f t="shared" si="74"/>
        <v>4</v>
      </c>
      <c r="AF100" s="1707">
        <f>IF($D$3&gt;1,4,2)</f>
        <v>4</v>
      </c>
      <c r="AG100" s="1707">
        <v>0</v>
      </c>
      <c r="AH100" s="1717">
        <v>0</v>
      </c>
      <c r="AI100" s="1699">
        <f t="shared" si="75"/>
        <v>4</v>
      </c>
    </row>
    <row r="101" spans="1:35" x14ac:dyDescent="0.25">
      <c r="A101" s="1933"/>
      <c r="B101" s="19" t="s">
        <v>33</v>
      </c>
      <c r="C101" s="22"/>
      <c r="D101" s="493">
        <f>IF(D$3&gt;1,D$3*0.25+1,1)</f>
        <v>1.5</v>
      </c>
      <c r="E101" s="482">
        <v>0</v>
      </c>
      <c r="F101" s="630">
        <f>IF(F$3=1,D101+E101+4,0)</f>
        <v>0</v>
      </c>
      <c r="G101" s="21">
        <f t="shared" si="69"/>
        <v>1.5</v>
      </c>
      <c r="H101" s="493">
        <f>IF(H$3&gt;1,H$3*0.25+1,1)</f>
        <v>1.5</v>
      </c>
      <c r="I101" s="482">
        <v>0</v>
      </c>
      <c r="J101" s="630">
        <f>IF(J$3=1,H101+I101+4,0)</f>
        <v>0</v>
      </c>
      <c r="K101" s="16">
        <f t="shared" si="70"/>
        <v>1.5</v>
      </c>
      <c r="L101" s="493">
        <f>IF(L$3&gt;1,L$3*0.25+1,1)</f>
        <v>1.5</v>
      </c>
      <c r="M101" s="482">
        <v>0</v>
      </c>
      <c r="N101" s="630">
        <f>IF(N$3=1,L101+M101+4,0)</f>
        <v>0</v>
      </c>
      <c r="O101" s="619">
        <f t="shared" si="71"/>
        <v>1.5</v>
      </c>
      <c r="P101" s="493">
        <f>IF(P$3&gt;1,P$3*0.25+1,1)</f>
        <v>1.5</v>
      </c>
      <c r="Q101" s="482">
        <v>0</v>
      </c>
      <c r="R101" s="630">
        <f>IF(R$3=1,P101+Q101+4,0)</f>
        <v>0</v>
      </c>
      <c r="S101" s="619">
        <f t="shared" si="72"/>
        <v>1.5</v>
      </c>
      <c r="T101" s="493">
        <f>IF(T$3&gt;1,T$3*0.25+1,1)</f>
        <v>1.5</v>
      </c>
      <c r="U101" s="482">
        <v>0</v>
      </c>
      <c r="V101" s="630">
        <f>IF(V$3=1,T101+U101+4,0)</f>
        <v>0</v>
      </c>
      <c r="W101" s="619">
        <f t="shared" si="73"/>
        <v>1.5</v>
      </c>
      <c r="X101" s="493">
        <f>IF(X$3&gt;1,X$3*0.25+1,1)</f>
        <v>1.5</v>
      </c>
      <c r="Y101" s="482">
        <v>0</v>
      </c>
      <c r="Z101" s="630">
        <f>IF(Z$3=1,X101+Y101+4,0)</f>
        <v>0</v>
      </c>
      <c r="AA101" s="619">
        <f t="shared" si="66"/>
        <v>1.5</v>
      </c>
      <c r="AB101" s="493">
        <f>IF(AB$3&gt;1,AB$3*0.25+1,1)</f>
        <v>1.5</v>
      </c>
      <c r="AC101" s="482">
        <v>0</v>
      </c>
      <c r="AD101" s="630">
        <f>IF(AD$3=1,AB101+AC101+4,0)</f>
        <v>0</v>
      </c>
      <c r="AE101" s="619">
        <f t="shared" si="74"/>
        <v>1.5</v>
      </c>
      <c r="AF101" s="493">
        <f>IF(AF$3&gt;1,AF$3*0.25+1,1)</f>
        <v>1.5</v>
      </c>
      <c r="AG101" s="482">
        <v>0</v>
      </c>
      <c r="AH101" s="630">
        <f>IF(AH$3=1,AF101+AG101+4,0)</f>
        <v>0</v>
      </c>
      <c r="AI101" s="619">
        <f t="shared" si="75"/>
        <v>1.5</v>
      </c>
    </row>
    <row r="102" spans="1:35" x14ac:dyDescent="0.25">
      <c r="A102" s="1933"/>
      <c r="B102" s="19" t="s">
        <v>34</v>
      </c>
      <c r="C102" s="22"/>
      <c r="D102" s="493">
        <f>IF(D$3&gt;1,D$3*0.25+2,2)</f>
        <v>2.5</v>
      </c>
      <c r="E102" s="482">
        <v>0</v>
      </c>
      <c r="F102" s="630">
        <f>IF(F$3=1,D102+E102+6,0)</f>
        <v>0</v>
      </c>
      <c r="G102" s="21">
        <f t="shared" si="69"/>
        <v>2.5</v>
      </c>
      <c r="H102" s="493">
        <f>IF(H$3&gt;1,H$3*0.25+2,2)</f>
        <v>2.5</v>
      </c>
      <c r="I102" s="482">
        <v>0</v>
      </c>
      <c r="J102" s="630">
        <f>IF(J$3=1,H102+I102+6,0)</f>
        <v>0</v>
      </c>
      <c r="K102" s="16">
        <f t="shared" si="70"/>
        <v>2.5</v>
      </c>
      <c r="L102" s="493">
        <f>IF(L$3&gt;1,L$3*0.25+2,2)</f>
        <v>2.5</v>
      </c>
      <c r="M102" s="482">
        <v>0</v>
      </c>
      <c r="N102" s="630">
        <f>IF(N$3=1,L102+M102+6,0)</f>
        <v>0</v>
      </c>
      <c r="O102" s="619">
        <f t="shared" si="71"/>
        <v>2.5</v>
      </c>
      <c r="P102" s="493">
        <f>IF(P$3&gt;1,P$3*0.25+2,2)</f>
        <v>2.5</v>
      </c>
      <c r="Q102" s="482">
        <v>0</v>
      </c>
      <c r="R102" s="630">
        <f>IF(R$3=1,P102+Q102+6,0)</f>
        <v>0</v>
      </c>
      <c r="S102" s="619">
        <f t="shared" si="72"/>
        <v>2.5</v>
      </c>
      <c r="T102" s="493">
        <f>IF(T$3&gt;1,T$3*0.25+2,2)</f>
        <v>2.5</v>
      </c>
      <c r="U102" s="482">
        <v>0</v>
      </c>
      <c r="V102" s="630">
        <f>IF(V$3=1,T102+U102+6,0)</f>
        <v>0</v>
      </c>
      <c r="W102" s="619">
        <f t="shared" si="73"/>
        <v>2.5</v>
      </c>
      <c r="X102" s="493">
        <f>IF(X$3&gt;1,X$3*0.25+2,2)</f>
        <v>2.5</v>
      </c>
      <c r="Y102" s="482">
        <v>0</v>
      </c>
      <c r="Z102" s="630">
        <f>IF(Z$3=1,X102+Y102+6,0)</f>
        <v>0</v>
      </c>
      <c r="AA102" s="619">
        <f t="shared" si="66"/>
        <v>2.5</v>
      </c>
      <c r="AB102" s="493">
        <f>IF(AB$3&gt;1,AB$3*0.25+2,2)</f>
        <v>2.5</v>
      </c>
      <c r="AC102" s="482">
        <v>0</v>
      </c>
      <c r="AD102" s="630">
        <f>IF(AD$3=1,AB102+AC102+6,0)</f>
        <v>0</v>
      </c>
      <c r="AE102" s="619">
        <f t="shared" si="74"/>
        <v>2.5</v>
      </c>
      <c r="AF102" s="493">
        <f>IF(AF$3&gt;1,AF$3*0.25+2,2)</f>
        <v>2.5</v>
      </c>
      <c r="AG102" s="482">
        <v>0</v>
      </c>
      <c r="AH102" s="630">
        <f>IF(AH$3=1,AF102+AG102+6,0)</f>
        <v>0</v>
      </c>
      <c r="AI102" s="619">
        <f t="shared" si="75"/>
        <v>2.5</v>
      </c>
    </row>
    <row r="103" spans="1:35" x14ac:dyDescent="0.25">
      <c r="A103" s="1932" t="s">
        <v>28</v>
      </c>
      <c r="B103" s="1721" t="s">
        <v>32</v>
      </c>
      <c r="C103" s="22"/>
      <c r="D103" s="1707">
        <v>2</v>
      </c>
      <c r="E103" s="1701">
        <f>IF($E$3&gt;1,2,1)</f>
        <v>1</v>
      </c>
      <c r="F103" s="1709">
        <f>0.25*F$3</f>
        <v>0</v>
      </c>
      <c r="G103" s="1699">
        <f t="shared" si="69"/>
        <v>3</v>
      </c>
      <c r="H103" s="1707">
        <v>2</v>
      </c>
      <c r="I103" s="1701">
        <f>IF($E$3&gt;1,2,1)</f>
        <v>1</v>
      </c>
      <c r="J103" s="1709">
        <f>0.25*J$3</f>
        <v>0</v>
      </c>
      <c r="K103" s="1716">
        <f t="shared" si="70"/>
        <v>3</v>
      </c>
      <c r="L103" s="1707">
        <v>2</v>
      </c>
      <c r="M103" s="1701">
        <f>IF($E$3&gt;1,2,1)</f>
        <v>1</v>
      </c>
      <c r="N103" s="1709">
        <f>0.25*N$3</f>
        <v>0</v>
      </c>
      <c r="O103" s="1699">
        <f t="shared" si="71"/>
        <v>3</v>
      </c>
      <c r="P103" s="1707">
        <v>2</v>
      </c>
      <c r="Q103" s="1701">
        <f>IF($E$3&gt;1,2,1)</f>
        <v>1</v>
      </c>
      <c r="R103" s="1709">
        <f>0.25*R$3</f>
        <v>0</v>
      </c>
      <c r="S103" s="1699">
        <f t="shared" si="72"/>
        <v>3</v>
      </c>
      <c r="T103" s="1707">
        <v>2</v>
      </c>
      <c r="U103" s="1701">
        <f>IF($E$3&gt;1,2,1)</f>
        <v>1</v>
      </c>
      <c r="V103" s="1709">
        <f>0.25*V$3</f>
        <v>0</v>
      </c>
      <c r="W103" s="1699">
        <f t="shared" si="73"/>
        <v>3</v>
      </c>
      <c r="X103" s="1707">
        <v>2</v>
      </c>
      <c r="Y103" s="1701">
        <f>IF($E$3&gt;1,2,1)</f>
        <v>1</v>
      </c>
      <c r="Z103" s="1709">
        <f>0.25*Z$3</f>
        <v>0</v>
      </c>
      <c r="AA103" s="1699">
        <f t="shared" si="66"/>
        <v>3</v>
      </c>
      <c r="AB103" s="1707">
        <v>2</v>
      </c>
      <c r="AC103" s="1701">
        <f>IF($E$3&gt;1,2,1)</f>
        <v>1</v>
      </c>
      <c r="AD103" s="1709">
        <f>0.25*AD$3</f>
        <v>0</v>
      </c>
      <c r="AE103" s="1699">
        <f t="shared" si="74"/>
        <v>3</v>
      </c>
      <c r="AF103" s="1707">
        <v>2</v>
      </c>
      <c r="AG103" s="1701">
        <f>IF($E$3&gt;1,2,1)</f>
        <v>1</v>
      </c>
      <c r="AH103" s="1709">
        <f>0.25*AH$3</f>
        <v>0</v>
      </c>
      <c r="AI103" s="1699">
        <f t="shared" si="75"/>
        <v>3</v>
      </c>
    </row>
    <row r="104" spans="1:35" x14ac:dyDescent="0.25">
      <c r="A104" s="1932"/>
      <c r="B104" s="19" t="s">
        <v>33</v>
      </c>
      <c r="C104" s="22"/>
      <c r="D104" s="482">
        <v>1</v>
      </c>
      <c r="E104" s="482">
        <v>0</v>
      </c>
      <c r="F104" s="630">
        <f>IF(F$3=1,D104+E104+4,0)</f>
        <v>0</v>
      </c>
      <c r="G104" s="21">
        <f t="shared" si="69"/>
        <v>1</v>
      </c>
      <c r="H104" s="482">
        <v>1</v>
      </c>
      <c r="I104" s="482">
        <v>0</v>
      </c>
      <c r="J104" s="630">
        <f>IF(J$3=1,H104+I104+4,0)</f>
        <v>0</v>
      </c>
      <c r="K104" s="16">
        <f t="shared" si="70"/>
        <v>1</v>
      </c>
      <c r="L104" s="482">
        <v>1</v>
      </c>
      <c r="M104" s="482">
        <v>0</v>
      </c>
      <c r="N104" s="630">
        <f>IF(N$3=1,L104+M104+4,0)</f>
        <v>0</v>
      </c>
      <c r="O104" s="619">
        <f t="shared" si="71"/>
        <v>1</v>
      </c>
      <c r="P104" s="482">
        <v>1</v>
      </c>
      <c r="Q104" s="482">
        <v>0</v>
      </c>
      <c r="R104" s="630">
        <f>IF(R$3=1,P104+Q104+4,0)</f>
        <v>0</v>
      </c>
      <c r="S104" s="619">
        <f t="shared" si="72"/>
        <v>1</v>
      </c>
      <c r="T104" s="482">
        <v>1</v>
      </c>
      <c r="U104" s="482">
        <v>0</v>
      </c>
      <c r="V104" s="630">
        <f>IF(V$3=1,T104+U104+4,0)</f>
        <v>0</v>
      </c>
      <c r="W104" s="619">
        <f t="shared" si="73"/>
        <v>1</v>
      </c>
      <c r="X104" s="482">
        <v>1</v>
      </c>
      <c r="Y104" s="482">
        <v>0</v>
      </c>
      <c r="Z104" s="630">
        <f>IF(Z$3=1,X104+Y104+4,0)</f>
        <v>0</v>
      </c>
      <c r="AA104" s="619">
        <f t="shared" si="66"/>
        <v>1</v>
      </c>
      <c r="AB104" s="482">
        <v>1</v>
      </c>
      <c r="AC104" s="482">
        <v>0</v>
      </c>
      <c r="AD104" s="630">
        <f>IF(AD$3=1,AB104+AC104+4,0)</f>
        <v>0</v>
      </c>
      <c r="AE104" s="619">
        <f t="shared" si="74"/>
        <v>1</v>
      </c>
      <c r="AF104" s="482">
        <v>1</v>
      </c>
      <c r="AG104" s="482">
        <v>0</v>
      </c>
      <c r="AH104" s="630">
        <f>IF(AH$3=1,AF104+AG104+4,0)</f>
        <v>0</v>
      </c>
      <c r="AI104" s="619">
        <f t="shared" si="75"/>
        <v>1</v>
      </c>
    </row>
    <row r="105" spans="1:35" ht="15.75" thickBot="1" x14ac:dyDescent="0.3">
      <c r="A105" s="1934"/>
      <c r="B105" s="20" t="s">
        <v>34</v>
      </c>
      <c r="C105" s="23"/>
      <c r="D105" s="507">
        <v>2</v>
      </c>
      <c r="E105" s="491">
        <v>0</v>
      </c>
      <c r="F105" s="1695">
        <f>IF(F$3=1,D105+E105+6,0)</f>
        <v>0</v>
      </c>
      <c r="G105" s="24">
        <f t="shared" si="69"/>
        <v>2</v>
      </c>
      <c r="H105" s="507">
        <v>2</v>
      </c>
      <c r="I105" s="491">
        <v>0</v>
      </c>
      <c r="J105" s="1695">
        <f>IF(J$3=1,H105+I105+6,0)</f>
        <v>0</v>
      </c>
      <c r="K105" s="17">
        <f t="shared" si="70"/>
        <v>2</v>
      </c>
      <c r="L105" s="507">
        <v>2</v>
      </c>
      <c r="M105" s="491">
        <v>0</v>
      </c>
      <c r="N105" s="1695">
        <f>IF(N$3=1,L105+M105+6,0)</f>
        <v>0</v>
      </c>
      <c r="O105" s="622">
        <f t="shared" si="71"/>
        <v>2</v>
      </c>
      <c r="P105" s="507">
        <v>2</v>
      </c>
      <c r="Q105" s="491">
        <v>0</v>
      </c>
      <c r="R105" s="1695">
        <f>IF(R$3=1,P105+Q105+6,0)</f>
        <v>0</v>
      </c>
      <c r="S105" s="622">
        <f t="shared" si="72"/>
        <v>2</v>
      </c>
      <c r="T105" s="507">
        <v>2</v>
      </c>
      <c r="U105" s="491">
        <v>0</v>
      </c>
      <c r="V105" s="1695">
        <f>IF(V$3=1,T105+U105+6,0)</f>
        <v>0</v>
      </c>
      <c r="W105" s="622">
        <f t="shared" si="73"/>
        <v>2</v>
      </c>
      <c r="X105" s="507">
        <v>2</v>
      </c>
      <c r="Y105" s="491">
        <v>0</v>
      </c>
      <c r="Z105" s="1695">
        <f>IF(Z$3=1,X105+Y105+6,0)</f>
        <v>0</v>
      </c>
      <c r="AA105" s="622">
        <f t="shared" si="66"/>
        <v>2</v>
      </c>
      <c r="AB105" s="507">
        <v>2</v>
      </c>
      <c r="AC105" s="491">
        <v>0</v>
      </c>
      <c r="AD105" s="1695">
        <f>IF(AD$3=1,AB105+AC105+6,0)</f>
        <v>0</v>
      </c>
      <c r="AE105" s="622">
        <f t="shared" si="74"/>
        <v>2</v>
      </c>
      <c r="AF105" s="507">
        <v>2</v>
      </c>
      <c r="AG105" s="491">
        <v>0</v>
      </c>
      <c r="AH105" s="1695">
        <f>IF(AH$3=1,AF105+AG105+6,0)</f>
        <v>0</v>
      </c>
      <c r="AI105" s="622">
        <f t="shared" si="75"/>
        <v>2</v>
      </c>
    </row>
    <row r="107" spans="1:35" ht="15.75" x14ac:dyDescent="0.25">
      <c r="A107" s="1691" t="s">
        <v>1702</v>
      </c>
      <c r="B107" s="1691" t="s">
        <v>1703</v>
      </c>
      <c r="D107" s="1696"/>
      <c r="E107" t="s">
        <v>1704</v>
      </c>
    </row>
    <row r="108" spans="1:35" ht="101.45" customHeight="1" x14ac:dyDescent="0.25">
      <c r="A108" s="1692" t="s">
        <v>549</v>
      </c>
      <c r="B108" s="1692" t="s">
        <v>1781</v>
      </c>
    </row>
    <row r="109" spans="1:35" ht="60" x14ac:dyDescent="0.25">
      <c r="A109" s="1692" t="s">
        <v>1767</v>
      </c>
      <c r="B109" s="1692" t="s">
        <v>1705</v>
      </c>
    </row>
    <row r="110" spans="1:35" ht="60" x14ac:dyDescent="0.25">
      <c r="A110" s="1692" t="s">
        <v>1706</v>
      </c>
      <c r="B110" s="1692" t="s">
        <v>1816</v>
      </c>
    </row>
    <row r="112" spans="1:35" s="1690" customFormat="1" ht="19.899999999999999" customHeight="1" x14ac:dyDescent="0.25">
      <c r="A112" s="1693" t="s">
        <v>89</v>
      </c>
    </row>
    <row r="113" spans="1:8" s="1690" customFormat="1" ht="19.899999999999999" customHeight="1" x14ac:dyDescent="0.25">
      <c r="A113" s="1930" t="str">
        <f>A5</f>
        <v>ТЗ</v>
      </c>
      <c r="B113" s="1931"/>
      <c r="D113" s="1694" t="s">
        <v>66</v>
      </c>
      <c r="E113" s="1694" t="s">
        <v>65</v>
      </c>
      <c r="F113" s="1694" t="s">
        <v>64</v>
      </c>
    </row>
    <row r="114" spans="1:8" s="1690" customFormat="1" ht="19.899999999999999" customHeight="1" x14ac:dyDescent="0.25">
      <c r="A114" s="132" t="s">
        <v>1707</v>
      </c>
      <c r="B114" s="905" t="s">
        <v>33</v>
      </c>
      <c r="D114" s="880"/>
      <c r="E114" s="880"/>
      <c r="F114" s="814" t="s">
        <v>1806</v>
      </c>
    </row>
    <row r="115" spans="1:8" s="1690" customFormat="1" ht="19.899999999999999" customHeight="1" x14ac:dyDescent="0.25">
      <c r="A115" s="132" t="s">
        <v>1708</v>
      </c>
      <c r="B115" s="905" t="s">
        <v>34</v>
      </c>
      <c r="D115" s="880"/>
      <c r="E115" s="880"/>
      <c r="F115" s="814" t="s">
        <v>1804</v>
      </c>
    </row>
    <row r="116" spans="1:8" s="1690" customFormat="1" ht="19.899999999999999" customHeight="1" x14ac:dyDescent="0.25">
      <c r="A116" s="1930" t="str">
        <f>A8</f>
        <v>ФТТ</v>
      </c>
      <c r="B116" s="1931"/>
      <c r="D116" s="1694" t="s">
        <v>66</v>
      </c>
      <c r="E116" s="1694" t="s">
        <v>65</v>
      </c>
      <c r="F116" s="1694" t="s">
        <v>64</v>
      </c>
    </row>
    <row r="117" spans="1:8" s="1690" customFormat="1" ht="19.899999999999999" customHeight="1" x14ac:dyDescent="0.25">
      <c r="A117" s="132" t="s">
        <v>1709</v>
      </c>
      <c r="B117" s="905" t="s">
        <v>33</v>
      </c>
      <c r="D117" s="880"/>
      <c r="E117" s="814"/>
      <c r="F117" s="814" t="s">
        <v>1806</v>
      </c>
    </row>
    <row r="118" spans="1:8" s="1690" customFormat="1" ht="19.899999999999999" customHeight="1" x14ac:dyDescent="0.25">
      <c r="A118" s="132" t="s">
        <v>1710</v>
      </c>
      <c r="B118" s="905" t="s">
        <v>34</v>
      </c>
      <c r="D118" s="880"/>
      <c r="E118" s="814"/>
      <c r="F118" s="814" t="s">
        <v>1804</v>
      </c>
    </row>
    <row r="119" spans="1:8" ht="19.899999999999999" customHeight="1" x14ac:dyDescent="0.25">
      <c r="A119" s="1930" t="str">
        <f>A12</f>
        <v>Пояснительная записка к эскизному проекту</v>
      </c>
      <c r="B119" s="1931"/>
      <c r="D119" s="1694" t="s">
        <v>66</v>
      </c>
      <c r="E119" s="1694" t="s">
        <v>65</v>
      </c>
      <c r="F119" s="1694" t="s">
        <v>64</v>
      </c>
      <c r="G119" s="1690"/>
      <c r="H119" s="1690"/>
    </row>
    <row r="120" spans="1:8" ht="19.899999999999999" customHeight="1" x14ac:dyDescent="0.25">
      <c r="A120" s="132" t="s">
        <v>1711</v>
      </c>
      <c r="B120" s="905" t="s">
        <v>33</v>
      </c>
      <c r="D120" s="129"/>
      <c r="E120" s="814" t="s">
        <v>1770</v>
      </c>
      <c r="F120" s="814" t="s">
        <v>1809</v>
      </c>
      <c r="G120" s="1690"/>
      <c r="H120" s="1690"/>
    </row>
    <row r="121" spans="1:8" ht="19.899999999999999" customHeight="1" x14ac:dyDescent="0.25">
      <c r="A121" s="132" t="s">
        <v>1712</v>
      </c>
      <c r="B121" s="905" t="s">
        <v>34</v>
      </c>
      <c r="D121" s="129"/>
      <c r="E121" s="814" t="s">
        <v>1770</v>
      </c>
      <c r="F121" s="814" t="s">
        <v>1810</v>
      </c>
      <c r="G121" s="1690"/>
      <c r="H121" s="1690"/>
    </row>
    <row r="122" spans="1:8" s="1690" customFormat="1" ht="19.899999999999999" customHeight="1" x14ac:dyDescent="0.25">
      <c r="A122" s="1930" t="str">
        <f>A19</f>
        <v xml:space="preserve">Ведомость покупных изделий </v>
      </c>
      <c r="B122" s="1931"/>
      <c r="D122" s="1694" t="s">
        <v>66</v>
      </c>
      <c r="E122" s="1694" t="s">
        <v>65</v>
      </c>
      <c r="F122" s="1694" t="s">
        <v>64</v>
      </c>
    </row>
    <row r="123" spans="1:8" s="1690" customFormat="1" ht="19.899999999999999" customHeight="1" x14ac:dyDescent="0.25">
      <c r="A123" s="132" t="s">
        <v>1713</v>
      </c>
      <c r="B123" s="905" t="s">
        <v>33</v>
      </c>
      <c r="D123" s="814" t="s">
        <v>1769</v>
      </c>
      <c r="E123" s="814"/>
      <c r="F123" s="129"/>
    </row>
    <row r="124" spans="1:8" s="1690" customFormat="1" ht="19.899999999999999" customHeight="1" x14ac:dyDescent="0.25">
      <c r="A124" s="132" t="s">
        <v>1714</v>
      </c>
      <c r="B124" s="905" t="s">
        <v>34</v>
      </c>
      <c r="D124" s="814" t="s">
        <v>1769</v>
      </c>
      <c r="E124" s="814"/>
      <c r="F124" s="129"/>
    </row>
    <row r="125" spans="1:8" s="1690" customFormat="1" ht="19.899999999999999" customHeight="1" x14ac:dyDescent="0.25">
      <c r="A125" s="1930" t="str">
        <f>A22</f>
        <v xml:space="preserve">Пояснительная записка к техническому проекту </v>
      </c>
      <c r="B125" s="1931"/>
      <c r="D125" s="1694" t="s">
        <v>66</v>
      </c>
      <c r="E125" s="1694" t="s">
        <v>65</v>
      </c>
      <c r="F125" s="1694" t="s">
        <v>64</v>
      </c>
    </row>
    <row r="126" spans="1:8" ht="19.899999999999999" customHeight="1" x14ac:dyDescent="0.25">
      <c r="A126" s="132" t="s">
        <v>1715</v>
      </c>
      <c r="B126" s="905" t="s">
        <v>33</v>
      </c>
      <c r="D126" s="129"/>
      <c r="E126" s="814" t="s">
        <v>1770</v>
      </c>
      <c r="F126" s="814" t="s">
        <v>1809</v>
      </c>
      <c r="G126" s="1690"/>
      <c r="H126" s="1690"/>
    </row>
    <row r="127" spans="1:8" ht="19.899999999999999" customHeight="1" x14ac:dyDescent="0.25">
      <c r="A127" s="132" t="s">
        <v>1716</v>
      </c>
      <c r="B127" s="905" t="s">
        <v>34</v>
      </c>
      <c r="D127" s="129"/>
      <c r="E127" s="814" t="s">
        <v>1770</v>
      </c>
      <c r="F127" s="814" t="s">
        <v>1810</v>
      </c>
      <c r="G127" s="1690"/>
      <c r="H127" s="1690"/>
    </row>
    <row r="128" spans="1:8" ht="19.899999999999999" customHeight="1" x14ac:dyDescent="0.25">
      <c r="A128" s="1930" t="str">
        <f>A25</f>
        <v xml:space="preserve">Описание комплекса технических средств </v>
      </c>
      <c r="B128" s="1931"/>
      <c r="D128" s="1694" t="s">
        <v>66</v>
      </c>
      <c r="E128" s="1694" t="s">
        <v>65</v>
      </c>
      <c r="F128" s="1694" t="s">
        <v>64</v>
      </c>
      <c r="G128" s="1690"/>
      <c r="H128" s="1690"/>
    </row>
    <row r="129" spans="1:8" ht="19.899999999999999" customHeight="1" x14ac:dyDescent="0.25">
      <c r="A129" s="132" t="s">
        <v>1717</v>
      </c>
      <c r="B129" s="905" t="s">
        <v>33</v>
      </c>
      <c r="D129" s="129"/>
      <c r="E129" s="129"/>
      <c r="F129" s="814" t="s">
        <v>1800</v>
      </c>
      <c r="G129" s="1690"/>
      <c r="H129" s="1690"/>
    </row>
    <row r="130" spans="1:8" ht="19.899999999999999" customHeight="1" x14ac:dyDescent="0.25">
      <c r="A130" s="132" t="s">
        <v>1718</v>
      </c>
      <c r="B130" s="905" t="s">
        <v>34</v>
      </c>
      <c r="D130" s="129"/>
      <c r="E130" s="129"/>
      <c r="F130" s="814" t="s">
        <v>1799</v>
      </c>
      <c r="G130" s="1690"/>
      <c r="H130" s="1690"/>
    </row>
    <row r="131" spans="1:8" ht="19.899999999999999" customHeight="1" x14ac:dyDescent="0.25">
      <c r="A131" s="1930" t="str">
        <f>A28</f>
        <v xml:space="preserve">Описание программного обеспечения </v>
      </c>
      <c r="B131" s="1931"/>
      <c r="D131" s="1694" t="s">
        <v>66</v>
      </c>
      <c r="E131" s="1694" t="s">
        <v>65</v>
      </c>
      <c r="F131" s="1694" t="s">
        <v>64</v>
      </c>
      <c r="G131" s="1690"/>
      <c r="H131" s="1690"/>
    </row>
    <row r="132" spans="1:8" ht="19.899999999999999" customHeight="1" x14ac:dyDescent="0.25">
      <c r="A132" s="132" t="s">
        <v>1719</v>
      </c>
      <c r="B132" s="905" t="s">
        <v>33</v>
      </c>
      <c r="D132" s="129"/>
      <c r="E132" s="814" t="s">
        <v>1771</v>
      </c>
      <c r="F132" s="814" t="s">
        <v>1806</v>
      </c>
      <c r="G132" s="1690"/>
      <c r="H132" s="1690"/>
    </row>
    <row r="133" spans="1:8" ht="19.899999999999999" customHeight="1" x14ac:dyDescent="0.25">
      <c r="A133" s="132" t="s">
        <v>1720</v>
      </c>
      <c r="B133" s="905" t="s">
        <v>34</v>
      </c>
      <c r="D133" s="129"/>
      <c r="E133" s="814" t="s">
        <v>1771</v>
      </c>
      <c r="F133" s="814" t="s">
        <v>1804</v>
      </c>
      <c r="G133" s="1690"/>
      <c r="H133" s="1690"/>
    </row>
    <row r="134" spans="1:8" ht="19.899999999999999" customHeight="1" x14ac:dyDescent="0.25">
      <c r="A134" s="1930" t="str">
        <f>A31</f>
        <v>Схема структурная</v>
      </c>
      <c r="B134" s="1931"/>
      <c r="D134" s="1694" t="s">
        <v>66</v>
      </c>
      <c r="E134" s="1694" t="s">
        <v>65</v>
      </c>
      <c r="F134" s="1694" t="s">
        <v>64</v>
      </c>
      <c r="G134" s="1690"/>
      <c r="H134" s="1690"/>
    </row>
    <row r="135" spans="1:8" ht="19.899999999999999" customHeight="1" x14ac:dyDescent="0.25">
      <c r="A135" s="132" t="s">
        <v>1721</v>
      </c>
      <c r="B135" s="905" t="s">
        <v>33</v>
      </c>
      <c r="D135" s="814" t="s">
        <v>1773</v>
      </c>
      <c r="E135" s="129"/>
      <c r="F135" s="814" t="s">
        <v>1806</v>
      </c>
      <c r="G135" s="1690"/>
      <c r="H135" s="1690"/>
    </row>
    <row r="136" spans="1:8" ht="19.899999999999999" customHeight="1" x14ac:dyDescent="0.25">
      <c r="A136" s="132" t="s">
        <v>1722</v>
      </c>
      <c r="B136" s="905" t="s">
        <v>34</v>
      </c>
      <c r="D136" s="814" t="s">
        <v>1773</v>
      </c>
      <c r="E136" s="129"/>
      <c r="F136" s="814" t="s">
        <v>1804</v>
      </c>
      <c r="G136" s="1690"/>
      <c r="H136" s="1690"/>
    </row>
    <row r="137" spans="1:8" ht="19.899999999999999" customHeight="1" x14ac:dyDescent="0.25">
      <c r="A137" s="1930" t="str">
        <f>A34</f>
        <v>Схема функциональная</v>
      </c>
      <c r="B137" s="1931"/>
      <c r="D137" s="1694" t="s">
        <v>66</v>
      </c>
      <c r="E137" s="1694" t="s">
        <v>65</v>
      </c>
      <c r="F137" s="1694" t="s">
        <v>64</v>
      </c>
      <c r="G137" s="1690"/>
      <c r="H137" s="1690"/>
    </row>
    <row r="138" spans="1:8" ht="19.899999999999999" customHeight="1" x14ac:dyDescent="0.25">
      <c r="A138" s="132" t="s">
        <v>1723</v>
      </c>
      <c r="B138" s="905" t="s">
        <v>33</v>
      </c>
      <c r="D138" s="129"/>
      <c r="E138" s="814" t="s">
        <v>1772</v>
      </c>
      <c r="F138" s="814" t="s">
        <v>1806</v>
      </c>
      <c r="G138" s="1690"/>
      <c r="H138" s="1690"/>
    </row>
    <row r="139" spans="1:8" ht="19.899999999999999" customHeight="1" x14ac:dyDescent="0.25">
      <c r="A139" s="132" t="s">
        <v>1724</v>
      </c>
      <c r="B139" s="905" t="s">
        <v>34</v>
      </c>
      <c r="D139" s="129"/>
      <c r="E139" s="814" t="s">
        <v>1772</v>
      </c>
      <c r="F139" s="814" t="s">
        <v>1823</v>
      </c>
      <c r="G139" s="1690"/>
      <c r="H139" s="1690"/>
    </row>
    <row r="140" spans="1:8" ht="19.899999999999999" customHeight="1" x14ac:dyDescent="0.25">
      <c r="A140" s="1930" t="str">
        <f>A38</f>
        <v xml:space="preserve">Пояснительная записка к технорабочему проекту </v>
      </c>
      <c r="B140" s="1931"/>
      <c r="D140" s="1694" t="s">
        <v>66</v>
      </c>
      <c r="E140" s="1694" t="s">
        <v>65</v>
      </c>
      <c r="F140" s="1694" t="s">
        <v>64</v>
      </c>
      <c r="G140" s="1690"/>
      <c r="H140" s="1690"/>
    </row>
    <row r="141" spans="1:8" ht="19.899999999999999" customHeight="1" x14ac:dyDescent="0.25">
      <c r="A141" s="132" t="s">
        <v>1725</v>
      </c>
      <c r="B141" s="905" t="s">
        <v>33</v>
      </c>
      <c r="D141" s="129"/>
      <c r="E141" s="814" t="s">
        <v>1770</v>
      </c>
      <c r="F141" s="814" t="s">
        <v>1825</v>
      </c>
      <c r="G141" s="1690"/>
      <c r="H141" s="1690"/>
    </row>
    <row r="142" spans="1:8" ht="19.899999999999999" customHeight="1" x14ac:dyDescent="0.25">
      <c r="A142" s="132" t="s">
        <v>1726</v>
      </c>
      <c r="B142" s="905" t="s">
        <v>34</v>
      </c>
      <c r="D142" s="129"/>
      <c r="E142" s="814" t="s">
        <v>1770</v>
      </c>
      <c r="F142" s="814" t="s">
        <v>1820</v>
      </c>
      <c r="G142" s="1690"/>
      <c r="H142" s="1690"/>
    </row>
    <row r="143" spans="1:8" ht="19.899999999999999" customHeight="1" x14ac:dyDescent="0.25">
      <c r="A143" s="1930" t="str">
        <f>A42</f>
        <v>Спецификация оборудования</v>
      </c>
      <c r="B143" s="1931"/>
      <c r="D143" s="1694" t="s">
        <v>66</v>
      </c>
      <c r="E143" s="1694" t="s">
        <v>65</v>
      </c>
      <c r="F143" s="1694" t="s">
        <v>64</v>
      </c>
      <c r="G143" s="1690"/>
      <c r="H143" s="1690"/>
    </row>
    <row r="144" spans="1:8" ht="19.899999999999999" customHeight="1" x14ac:dyDescent="0.25">
      <c r="A144" s="132" t="s">
        <v>1727</v>
      </c>
      <c r="B144" s="905" t="s">
        <v>33</v>
      </c>
      <c r="D144" s="814" t="s">
        <v>1769</v>
      </c>
      <c r="E144" s="129"/>
      <c r="F144" s="129"/>
      <c r="G144" s="1690"/>
      <c r="H144" s="1690"/>
    </row>
    <row r="145" spans="1:8" ht="19.899999999999999" customHeight="1" x14ac:dyDescent="0.25">
      <c r="A145" s="132" t="s">
        <v>1728</v>
      </c>
      <c r="B145" s="905" t="s">
        <v>34</v>
      </c>
      <c r="D145" s="814" t="s">
        <v>1769</v>
      </c>
      <c r="E145" s="129"/>
      <c r="F145" s="129"/>
      <c r="G145" s="1690"/>
      <c r="H145" s="1690"/>
    </row>
    <row r="146" spans="1:8" ht="19.899999999999999" customHeight="1" x14ac:dyDescent="0.25">
      <c r="A146" s="1930" t="str">
        <f>A45</f>
        <v>Инструкция по установке и настройке</v>
      </c>
      <c r="B146" s="1931"/>
      <c r="D146" s="1694" t="s">
        <v>66</v>
      </c>
      <c r="E146" s="1694" t="s">
        <v>65</v>
      </c>
      <c r="F146" s="1694" t="s">
        <v>64</v>
      </c>
      <c r="G146" s="1690"/>
      <c r="H146" s="1690"/>
    </row>
    <row r="147" spans="1:8" ht="19.899999999999999" customHeight="1" x14ac:dyDescent="0.25">
      <c r="A147" s="132" t="s">
        <v>1729</v>
      </c>
      <c r="B147" s="905" t="s">
        <v>33</v>
      </c>
      <c r="D147" s="129"/>
      <c r="E147" s="814" t="s">
        <v>1772</v>
      </c>
      <c r="F147" s="814" t="s">
        <v>1806</v>
      </c>
      <c r="G147" s="1690"/>
      <c r="H147" s="1690"/>
    </row>
    <row r="148" spans="1:8" ht="19.899999999999999" customHeight="1" x14ac:dyDescent="0.25">
      <c r="A148" s="132" t="s">
        <v>1730</v>
      </c>
      <c r="B148" s="905" t="s">
        <v>34</v>
      </c>
      <c r="D148" s="129"/>
      <c r="E148" s="814" t="s">
        <v>1772</v>
      </c>
      <c r="F148" s="814" t="s">
        <v>1806</v>
      </c>
      <c r="G148" s="1690"/>
      <c r="H148" s="1690"/>
    </row>
    <row r="149" spans="1:8" ht="19.899999999999999" customHeight="1" x14ac:dyDescent="0.25">
      <c r="A149" s="1930" t="str">
        <f>A48</f>
        <v>Схема соединений внешних проводок</v>
      </c>
      <c r="B149" s="1931"/>
      <c r="D149" s="1694" t="s">
        <v>66</v>
      </c>
      <c r="E149" s="1694" t="s">
        <v>65</v>
      </c>
      <c r="F149" s="1694" t="s">
        <v>64</v>
      </c>
      <c r="G149" s="1690"/>
      <c r="H149" s="1690"/>
    </row>
    <row r="150" spans="1:8" ht="19.899999999999999" customHeight="1" x14ac:dyDescent="0.25">
      <c r="A150" s="132" t="s">
        <v>1731</v>
      </c>
      <c r="B150" s="905" t="s">
        <v>33</v>
      </c>
      <c r="D150" s="814" t="s">
        <v>1769</v>
      </c>
      <c r="E150" s="129"/>
      <c r="F150" s="814" t="s">
        <v>1800</v>
      </c>
      <c r="G150" s="1690"/>
      <c r="H150" s="1690"/>
    </row>
    <row r="151" spans="1:8" ht="19.899999999999999" customHeight="1" x14ac:dyDescent="0.25">
      <c r="A151" s="132" t="s">
        <v>1732</v>
      </c>
      <c r="B151" s="905" t="s">
        <v>34</v>
      </c>
      <c r="D151" s="814" t="s">
        <v>1769</v>
      </c>
      <c r="E151" s="129"/>
      <c r="F151" s="814" t="s">
        <v>1800</v>
      </c>
      <c r="G151" s="1690"/>
      <c r="H151" s="1690"/>
    </row>
    <row r="152" spans="1:8" ht="19.899999999999999" customHeight="1" x14ac:dyDescent="0.25">
      <c r="A152" s="1930" t="str">
        <f>A51</f>
        <v>Таблица соединений и подключений</v>
      </c>
      <c r="B152" s="1931"/>
      <c r="D152" s="1694" t="s">
        <v>66</v>
      </c>
      <c r="E152" s="1694" t="s">
        <v>65</v>
      </c>
      <c r="F152" s="1694" t="s">
        <v>64</v>
      </c>
      <c r="G152" s="1690"/>
      <c r="H152" s="1690"/>
    </row>
    <row r="153" spans="1:8" ht="19.899999999999999" customHeight="1" x14ac:dyDescent="0.25">
      <c r="A153" s="132" t="s">
        <v>1733</v>
      </c>
      <c r="B153" s="905" t="s">
        <v>33</v>
      </c>
      <c r="D153" s="814" t="s">
        <v>1769</v>
      </c>
      <c r="E153" s="129"/>
      <c r="F153" s="814" t="s">
        <v>1800</v>
      </c>
      <c r="G153" s="1690"/>
      <c r="H153" s="1690"/>
    </row>
    <row r="154" spans="1:8" ht="19.899999999999999" customHeight="1" x14ac:dyDescent="0.25">
      <c r="A154" s="132" t="s">
        <v>1734</v>
      </c>
      <c r="B154" s="905" t="s">
        <v>34</v>
      </c>
      <c r="D154" s="814" t="s">
        <v>1769</v>
      </c>
      <c r="E154" s="129"/>
      <c r="F154" s="814" t="s">
        <v>1800</v>
      </c>
      <c r="G154" s="1690"/>
      <c r="H154" s="1690"/>
    </row>
    <row r="155" spans="1:8" ht="19.899999999999999" customHeight="1" x14ac:dyDescent="0.25">
      <c r="A155" s="1930" t="str">
        <f>A54</f>
        <v>План расположения</v>
      </c>
      <c r="B155" s="1931"/>
      <c r="D155" s="1694" t="s">
        <v>66</v>
      </c>
      <c r="E155" s="1694" t="s">
        <v>65</v>
      </c>
      <c r="F155" s="1694" t="s">
        <v>64</v>
      </c>
      <c r="G155" s="1690"/>
      <c r="H155" s="1690"/>
    </row>
    <row r="156" spans="1:8" ht="19.899999999999999" customHeight="1" x14ac:dyDescent="0.25">
      <c r="A156" s="132" t="s">
        <v>1735</v>
      </c>
      <c r="B156" s="905" t="s">
        <v>33</v>
      </c>
      <c r="D156" s="814" t="s">
        <v>1773</v>
      </c>
      <c r="E156" s="129"/>
      <c r="F156" s="814" t="s">
        <v>1800</v>
      </c>
      <c r="G156" s="1690"/>
      <c r="H156" s="1690"/>
    </row>
    <row r="157" spans="1:8" ht="19.899999999999999" customHeight="1" x14ac:dyDescent="0.25">
      <c r="A157" s="132" t="s">
        <v>1736</v>
      </c>
      <c r="B157" s="905" t="s">
        <v>34</v>
      </c>
      <c r="D157" s="814" t="s">
        <v>1773</v>
      </c>
      <c r="E157" s="129"/>
      <c r="F157" s="814" t="s">
        <v>1800</v>
      </c>
      <c r="G157" s="1690"/>
      <c r="H157" s="1690"/>
    </row>
    <row r="158" spans="1:8" ht="19.899999999999999" customHeight="1" x14ac:dyDescent="0.25">
      <c r="A158" s="1930" t="str">
        <f>A57</f>
        <v>Паспорт</v>
      </c>
      <c r="B158" s="1931"/>
      <c r="D158" s="1694" t="s">
        <v>66</v>
      </c>
      <c r="E158" s="1694" t="s">
        <v>65</v>
      </c>
      <c r="F158" s="1694" t="s">
        <v>64</v>
      </c>
      <c r="G158" s="1690"/>
      <c r="H158" s="1690"/>
    </row>
    <row r="159" spans="1:8" ht="19.899999999999999" customHeight="1" x14ac:dyDescent="0.25">
      <c r="A159" s="132" t="s">
        <v>1744</v>
      </c>
      <c r="B159" s="905" t="s">
        <v>33</v>
      </c>
      <c r="D159" s="129"/>
      <c r="E159" s="814" t="s">
        <v>1770</v>
      </c>
      <c r="F159" s="814" t="s">
        <v>1809</v>
      </c>
      <c r="G159" s="1690"/>
      <c r="H159" s="1690"/>
    </row>
    <row r="160" spans="1:8" ht="19.899999999999999" customHeight="1" x14ac:dyDescent="0.25">
      <c r="A160" s="132" t="s">
        <v>1743</v>
      </c>
      <c r="B160" s="905" t="s">
        <v>34</v>
      </c>
      <c r="D160" s="129"/>
      <c r="E160" s="814" t="s">
        <v>1770</v>
      </c>
      <c r="F160" s="814" t="s">
        <v>1820</v>
      </c>
      <c r="G160" s="1690"/>
      <c r="H160" s="1690"/>
    </row>
    <row r="161" spans="1:8" ht="19.899999999999999" customHeight="1" x14ac:dyDescent="0.25">
      <c r="A161" s="1930" t="str">
        <f>A60</f>
        <v>ПиМИ</v>
      </c>
      <c r="B161" s="1931"/>
      <c r="D161" s="1694" t="s">
        <v>66</v>
      </c>
      <c r="E161" s="1694" t="s">
        <v>65</v>
      </c>
      <c r="F161" s="1694" t="s">
        <v>64</v>
      </c>
      <c r="G161" s="1690"/>
      <c r="H161" s="1690"/>
    </row>
    <row r="162" spans="1:8" ht="19.899999999999999" customHeight="1" x14ac:dyDescent="0.25">
      <c r="A162" s="132" t="s">
        <v>1742</v>
      </c>
      <c r="B162" s="905" t="s">
        <v>33</v>
      </c>
      <c r="D162" s="129"/>
      <c r="E162" s="814" t="s">
        <v>1772</v>
      </c>
      <c r="F162" s="814" t="s">
        <v>1806</v>
      </c>
      <c r="G162" s="1690"/>
      <c r="H162" s="1690"/>
    </row>
    <row r="163" spans="1:8" ht="19.899999999999999" customHeight="1" x14ac:dyDescent="0.25">
      <c r="A163" s="132" t="s">
        <v>1741</v>
      </c>
      <c r="B163" s="905" t="s">
        <v>34</v>
      </c>
      <c r="D163" s="129"/>
      <c r="E163" s="814" t="s">
        <v>1772</v>
      </c>
      <c r="F163" s="814" t="s">
        <v>1807</v>
      </c>
      <c r="G163" s="1690"/>
      <c r="H163" s="1690"/>
    </row>
    <row r="164" spans="1:8" ht="19.899999999999999" customHeight="1" x14ac:dyDescent="0.25">
      <c r="A164" s="1930" t="str">
        <f>A63</f>
        <v>Технические условия для монтажа оборудования</v>
      </c>
      <c r="B164" s="1931"/>
      <c r="D164" s="1694" t="s">
        <v>66</v>
      </c>
      <c r="E164" s="1694" t="s">
        <v>65</v>
      </c>
      <c r="F164" s="1694" t="s">
        <v>64</v>
      </c>
      <c r="G164" s="1690"/>
      <c r="H164" s="1690"/>
    </row>
    <row r="165" spans="1:8" ht="19.899999999999999" customHeight="1" x14ac:dyDescent="0.25">
      <c r="A165" s="132" t="s">
        <v>1740</v>
      </c>
      <c r="B165" s="905" t="s">
        <v>33</v>
      </c>
      <c r="D165" s="814"/>
      <c r="E165" s="129"/>
      <c r="F165" s="129"/>
      <c r="G165" s="1690"/>
      <c r="H165" s="1690"/>
    </row>
    <row r="166" spans="1:8" ht="19.899999999999999" customHeight="1" x14ac:dyDescent="0.25">
      <c r="A166" s="132" t="s">
        <v>1739</v>
      </c>
      <c r="B166" s="905" t="s">
        <v>34</v>
      </c>
      <c r="D166" s="814"/>
      <c r="E166" s="129"/>
      <c r="F166" s="129"/>
      <c r="G166" s="1690"/>
      <c r="H166" s="1690"/>
    </row>
    <row r="167" spans="1:8" ht="19.899999999999999" customHeight="1" x14ac:dyDescent="0.25">
      <c r="A167" s="1930" t="str">
        <f>A66</f>
        <v>Эскизная схема расположения оборудования</v>
      </c>
      <c r="B167" s="1931"/>
      <c r="D167" s="1694" t="s">
        <v>66</v>
      </c>
      <c r="E167" s="1694" t="s">
        <v>65</v>
      </c>
      <c r="F167" s="1694" t="s">
        <v>64</v>
      </c>
      <c r="G167" s="1690"/>
      <c r="H167" s="1690"/>
    </row>
    <row r="168" spans="1:8" ht="19.899999999999999" customHeight="1" x14ac:dyDescent="0.25">
      <c r="A168" s="132" t="s">
        <v>1737</v>
      </c>
      <c r="B168" s="905" t="s">
        <v>33</v>
      </c>
      <c r="D168" s="814" t="s">
        <v>1773</v>
      </c>
      <c r="E168" s="129"/>
      <c r="F168" s="814" t="s">
        <v>1800</v>
      </c>
      <c r="G168" s="1690"/>
      <c r="H168" s="1690"/>
    </row>
    <row r="169" spans="1:8" ht="19.899999999999999" customHeight="1" x14ac:dyDescent="0.25">
      <c r="A169" s="132" t="s">
        <v>1738</v>
      </c>
      <c r="B169" s="905" t="s">
        <v>34</v>
      </c>
      <c r="D169" s="814" t="s">
        <v>1773</v>
      </c>
      <c r="E169" s="129"/>
      <c r="F169" s="814" t="s">
        <v>1800</v>
      </c>
      <c r="G169" s="1690"/>
      <c r="H169" s="1690"/>
    </row>
    <row r="170" spans="1:8" ht="19.899999999999999" customHeight="1" x14ac:dyDescent="0.25">
      <c r="A170" s="1930" t="str">
        <f>A69</f>
        <v>Сетевая схема L2</v>
      </c>
      <c r="B170" s="1931"/>
      <c r="D170" s="1694" t="s">
        <v>66</v>
      </c>
      <c r="E170" s="1694" t="s">
        <v>65</v>
      </c>
      <c r="F170" s="1694" t="s">
        <v>64</v>
      </c>
      <c r="G170" s="1690"/>
      <c r="H170" s="1690"/>
    </row>
    <row r="171" spans="1:8" ht="19.899999999999999" customHeight="1" x14ac:dyDescent="0.25">
      <c r="A171" s="132" t="s">
        <v>1745</v>
      </c>
      <c r="B171" s="905" t="s">
        <v>33</v>
      </c>
      <c r="D171" s="129"/>
      <c r="E171" s="129"/>
      <c r="F171" s="129"/>
      <c r="G171" s="1690"/>
      <c r="H171" s="1690"/>
    </row>
    <row r="172" spans="1:8" ht="19.899999999999999" customHeight="1" x14ac:dyDescent="0.25">
      <c r="A172" s="132" t="s">
        <v>1746</v>
      </c>
      <c r="B172" s="905" t="s">
        <v>34</v>
      </c>
      <c r="D172" s="129"/>
      <c r="E172" s="129"/>
      <c r="F172" s="129"/>
      <c r="G172" s="1690"/>
      <c r="H172" s="1690"/>
    </row>
    <row r="173" spans="1:8" ht="19.899999999999999" customHeight="1" x14ac:dyDescent="0.25">
      <c r="A173" s="1930" t="str">
        <f>A72</f>
        <v>Сетевая схема L3</v>
      </c>
      <c r="B173" s="1931"/>
      <c r="D173" s="1694" t="s">
        <v>66</v>
      </c>
      <c r="E173" s="1694" t="s">
        <v>65</v>
      </c>
      <c r="F173" s="1694" t="s">
        <v>64</v>
      </c>
      <c r="G173" s="1690"/>
      <c r="H173" s="1690"/>
    </row>
    <row r="174" spans="1:8" ht="19.899999999999999" customHeight="1" x14ac:dyDescent="0.25">
      <c r="A174" s="132" t="s">
        <v>1747</v>
      </c>
      <c r="B174" s="905" t="s">
        <v>33</v>
      </c>
      <c r="D174" s="129"/>
      <c r="E174" s="129"/>
      <c r="F174" s="129"/>
      <c r="G174" s="1690"/>
      <c r="H174" s="1690"/>
    </row>
    <row r="175" spans="1:8" ht="19.899999999999999" customHeight="1" x14ac:dyDescent="0.25">
      <c r="A175" s="132" t="s">
        <v>1748</v>
      </c>
      <c r="B175" s="905" t="s">
        <v>34</v>
      </c>
      <c r="D175" s="129"/>
      <c r="E175" s="129"/>
      <c r="F175" s="129"/>
      <c r="G175" s="1690"/>
      <c r="H175" s="1690"/>
    </row>
    <row r="176" spans="1:8" ht="19.899999999999999" customHeight="1" x14ac:dyDescent="0.25">
      <c r="A176" s="1930" t="str">
        <f>A78</f>
        <v>Принципиальная схема электропитания оборудования (СБ)</v>
      </c>
      <c r="B176" s="1931"/>
      <c r="D176" s="1694" t="s">
        <v>66</v>
      </c>
      <c r="E176" s="1694" t="s">
        <v>65</v>
      </c>
      <c r="F176" s="1694" t="s">
        <v>64</v>
      </c>
      <c r="G176" s="1690"/>
      <c r="H176" s="1690"/>
    </row>
    <row r="177" spans="1:8" ht="19.899999999999999" customHeight="1" x14ac:dyDescent="0.25">
      <c r="A177" s="132" t="s">
        <v>1749</v>
      </c>
      <c r="B177" s="905" t="s">
        <v>33</v>
      </c>
      <c r="D177" s="814" t="s">
        <v>1769</v>
      </c>
      <c r="E177" s="129"/>
      <c r="F177" s="814" t="s">
        <v>1800</v>
      </c>
      <c r="G177" s="1690"/>
      <c r="H177" s="1690"/>
    </row>
    <row r="178" spans="1:8" ht="19.899999999999999" customHeight="1" x14ac:dyDescent="0.25">
      <c r="A178" s="132" t="s">
        <v>1750</v>
      </c>
      <c r="B178" s="905" t="s">
        <v>34</v>
      </c>
      <c r="D178" s="814" t="s">
        <v>1769</v>
      </c>
      <c r="E178" s="129"/>
      <c r="F178" s="814" t="s">
        <v>1800</v>
      </c>
      <c r="G178" s="1690"/>
      <c r="H178" s="1690"/>
    </row>
    <row r="179" spans="1:8" ht="19.899999999999999" customHeight="1" x14ac:dyDescent="0.25">
      <c r="A179" s="1930" t="str">
        <f>A81</f>
        <v>Схема подключения внешних проводок (С5)</v>
      </c>
      <c r="B179" s="1931"/>
      <c r="D179" s="1694" t="s">
        <v>66</v>
      </c>
      <c r="E179" s="1694" t="s">
        <v>65</v>
      </c>
      <c r="F179" s="1694" t="s">
        <v>64</v>
      </c>
      <c r="G179" s="1690"/>
      <c r="H179" s="1690"/>
    </row>
    <row r="180" spans="1:8" ht="19.899999999999999" customHeight="1" x14ac:dyDescent="0.25">
      <c r="A180" s="132" t="s">
        <v>1751</v>
      </c>
      <c r="B180" s="905" t="s">
        <v>33</v>
      </c>
      <c r="D180" s="814" t="s">
        <v>1769</v>
      </c>
      <c r="E180" s="129"/>
      <c r="F180" s="814" t="s">
        <v>1800</v>
      </c>
      <c r="G180" s="1690"/>
      <c r="H180" s="1690"/>
    </row>
    <row r="181" spans="1:8" ht="19.899999999999999" customHeight="1" x14ac:dyDescent="0.25">
      <c r="A181" s="132" t="s">
        <v>1752</v>
      </c>
      <c r="B181" s="905" t="s">
        <v>34</v>
      </c>
      <c r="D181" s="814" t="s">
        <v>1769</v>
      </c>
      <c r="E181" s="129"/>
      <c r="F181" s="814" t="s">
        <v>1800</v>
      </c>
      <c r="G181" s="1690"/>
      <c r="H181" s="1690"/>
    </row>
    <row r="182" spans="1:8" ht="19.899999999999999" customHeight="1" x14ac:dyDescent="0.25">
      <c r="A182" s="1930" t="str">
        <f>A84</f>
        <v>Чертеж установки технических средств (СА)</v>
      </c>
      <c r="B182" s="1931"/>
      <c r="D182" s="1694" t="s">
        <v>66</v>
      </c>
      <c r="E182" s="1694" t="s">
        <v>65</v>
      </c>
      <c r="F182" s="1694" t="s">
        <v>64</v>
      </c>
      <c r="G182" s="1690"/>
      <c r="H182" s="1690"/>
    </row>
    <row r="183" spans="1:8" ht="19.899999999999999" customHeight="1" x14ac:dyDescent="0.25">
      <c r="A183" s="132" t="s">
        <v>1753</v>
      </c>
      <c r="B183" s="905" t="s">
        <v>33</v>
      </c>
      <c r="D183" s="814" t="s">
        <v>1773</v>
      </c>
      <c r="E183" s="129"/>
      <c r="F183" s="814" t="s">
        <v>1800</v>
      </c>
      <c r="G183" s="1690"/>
      <c r="H183" s="1690"/>
    </row>
    <row r="184" spans="1:8" ht="19.899999999999999" customHeight="1" x14ac:dyDescent="0.25">
      <c r="A184" s="132" t="s">
        <v>1754</v>
      </c>
      <c r="B184" s="905" t="s">
        <v>34</v>
      </c>
      <c r="D184" s="814" t="s">
        <v>1773</v>
      </c>
      <c r="E184" s="129"/>
      <c r="F184" s="814" t="s">
        <v>1800</v>
      </c>
      <c r="G184" s="1690"/>
      <c r="H184" s="1690"/>
    </row>
    <row r="185" spans="1:8" ht="19.899999999999999" customHeight="1" x14ac:dyDescent="0.25">
      <c r="A185" s="1930" t="str">
        <f>A88</f>
        <v xml:space="preserve">Ведомость эксплуатационных документов </v>
      </c>
      <c r="B185" s="1931"/>
      <c r="D185" s="1694" t="s">
        <v>66</v>
      </c>
      <c r="E185" s="1694" t="s">
        <v>65</v>
      </c>
      <c r="F185" s="1694" t="s">
        <v>64</v>
      </c>
      <c r="G185" s="1690"/>
      <c r="H185" s="1690"/>
    </row>
    <row r="186" spans="1:8" ht="19.899999999999999" customHeight="1" x14ac:dyDescent="0.25">
      <c r="A186" s="132" t="s">
        <v>1755</v>
      </c>
      <c r="B186" s="905" t="s">
        <v>33</v>
      </c>
      <c r="D186" s="129"/>
      <c r="E186" s="129"/>
      <c r="F186" s="129"/>
      <c r="G186" s="1690"/>
      <c r="H186" s="1690"/>
    </row>
    <row r="187" spans="1:8" ht="19.899999999999999" customHeight="1" x14ac:dyDescent="0.25">
      <c r="A187" s="132" t="s">
        <v>1756</v>
      </c>
      <c r="B187" s="905" t="s">
        <v>34</v>
      </c>
      <c r="D187" s="129"/>
      <c r="E187" s="129"/>
      <c r="F187" s="129"/>
      <c r="G187" s="1690"/>
      <c r="H187" s="1690"/>
    </row>
    <row r="188" spans="1:8" ht="19.899999999999999" customHeight="1" x14ac:dyDescent="0.25">
      <c r="A188" s="1930" t="str">
        <f>A91</f>
        <v>Руководство администратора</v>
      </c>
      <c r="B188" s="1931"/>
      <c r="D188" s="1694" t="s">
        <v>66</v>
      </c>
      <c r="E188" s="1694" t="s">
        <v>65</v>
      </c>
      <c r="F188" s="1694" t="s">
        <v>64</v>
      </c>
      <c r="G188" s="1690"/>
      <c r="H188" s="1690"/>
    </row>
    <row r="189" spans="1:8" ht="19.899999999999999" customHeight="1" x14ac:dyDescent="0.25">
      <c r="A189" s="132" t="s">
        <v>1757</v>
      </c>
      <c r="B189" s="905" t="s">
        <v>33</v>
      </c>
      <c r="D189" s="129"/>
      <c r="E189" s="814" t="s">
        <v>1772</v>
      </c>
      <c r="F189" s="814" t="s">
        <v>1807</v>
      </c>
      <c r="G189" s="1690"/>
      <c r="H189" s="1690"/>
    </row>
    <row r="190" spans="1:8" ht="19.899999999999999" customHeight="1" x14ac:dyDescent="0.25">
      <c r="A190" s="132" t="s">
        <v>1758</v>
      </c>
      <c r="B190" s="905" t="s">
        <v>34</v>
      </c>
      <c r="D190" s="129"/>
      <c r="E190" s="814" t="s">
        <v>1772</v>
      </c>
      <c r="F190" s="814" t="s">
        <v>1805</v>
      </c>
      <c r="G190" s="1690"/>
      <c r="H190" s="1690"/>
    </row>
    <row r="191" spans="1:8" ht="19.899999999999999" customHeight="1" x14ac:dyDescent="0.25">
      <c r="A191" s="1930" t="str">
        <f>A94</f>
        <v xml:space="preserve">Руководство пользователя </v>
      </c>
      <c r="B191" s="1931"/>
      <c r="D191" s="1694" t="s">
        <v>66</v>
      </c>
      <c r="E191" s="1694" t="s">
        <v>65</v>
      </c>
      <c r="F191" s="1694" t="s">
        <v>64</v>
      </c>
      <c r="G191" s="1690"/>
      <c r="H191" s="1690"/>
    </row>
    <row r="192" spans="1:8" ht="19.899999999999999" customHeight="1" x14ac:dyDescent="0.25">
      <c r="A192" s="132" t="s">
        <v>1759</v>
      </c>
      <c r="B192" s="905" t="s">
        <v>33</v>
      </c>
      <c r="D192" s="129"/>
      <c r="E192" s="814" t="s">
        <v>1772</v>
      </c>
      <c r="F192" s="814" t="s">
        <v>1807</v>
      </c>
      <c r="G192" s="1690"/>
      <c r="H192" s="1690"/>
    </row>
    <row r="193" spans="1:8" ht="19.899999999999999" customHeight="1" x14ac:dyDescent="0.25">
      <c r="A193" s="132" t="s">
        <v>1760</v>
      </c>
      <c r="B193" s="905" t="s">
        <v>34</v>
      </c>
      <c r="D193" s="129"/>
      <c r="E193" s="814" t="s">
        <v>1772</v>
      </c>
      <c r="F193" s="814" t="s">
        <v>1805</v>
      </c>
      <c r="G193" s="1690"/>
      <c r="H193" s="1690"/>
    </row>
    <row r="194" spans="1:8" ht="19.899999999999999" customHeight="1" x14ac:dyDescent="0.25">
      <c r="A194" s="1930" t="str">
        <f>A97</f>
        <v>Руководство по мониторингу</v>
      </c>
      <c r="B194" s="1931"/>
      <c r="D194" s="1694" t="s">
        <v>66</v>
      </c>
      <c r="E194" s="1694" t="s">
        <v>65</v>
      </c>
      <c r="F194" s="1694" t="s">
        <v>64</v>
      </c>
      <c r="G194" s="1690"/>
      <c r="H194" s="1690"/>
    </row>
    <row r="195" spans="1:8" ht="19.899999999999999" customHeight="1" x14ac:dyDescent="0.25">
      <c r="A195" s="132" t="s">
        <v>1761</v>
      </c>
      <c r="B195" s="905" t="s">
        <v>33</v>
      </c>
      <c r="D195" s="129"/>
      <c r="E195" s="129"/>
      <c r="F195" s="814" t="s">
        <v>1804</v>
      </c>
      <c r="G195" s="1690"/>
      <c r="H195" s="1690"/>
    </row>
    <row r="196" spans="1:8" ht="19.899999999999999" customHeight="1" x14ac:dyDescent="0.25">
      <c r="A196" s="132" t="s">
        <v>1762</v>
      </c>
      <c r="B196" s="905" t="s">
        <v>34</v>
      </c>
      <c r="D196" s="129"/>
      <c r="E196" s="129"/>
      <c r="F196" s="814" t="s">
        <v>1807</v>
      </c>
      <c r="G196" s="1690"/>
      <c r="H196" s="1690"/>
    </row>
    <row r="197" spans="1:8" ht="19.899999999999999" customHeight="1" x14ac:dyDescent="0.25">
      <c r="A197" s="1930" t="str">
        <f>A100</f>
        <v>План резервного копирования</v>
      </c>
      <c r="B197" s="1931"/>
      <c r="D197" s="1694" t="s">
        <v>66</v>
      </c>
      <c r="E197" s="1694" t="s">
        <v>65</v>
      </c>
      <c r="F197" s="1694" t="s">
        <v>64</v>
      </c>
      <c r="G197" s="1690"/>
      <c r="H197" s="1690"/>
    </row>
    <row r="198" spans="1:8" ht="19.899999999999999" customHeight="1" x14ac:dyDescent="0.25">
      <c r="A198" s="132" t="s">
        <v>1763</v>
      </c>
      <c r="B198" s="905" t="s">
        <v>33</v>
      </c>
      <c r="D198" s="814" t="s">
        <v>1797</v>
      </c>
      <c r="E198" s="129"/>
      <c r="F198" s="814" t="s">
        <v>1804</v>
      </c>
      <c r="G198" s="1690"/>
      <c r="H198" s="1690"/>
    </row>
    <row r="199" spans="1:8" ht="19.899999999999999" customHeight="1" x14ac:dyDescent="0.25">
      <c r="A199" s="132" t="s">
        <v>1764</v>
      </c>
      <c r="B199" s="905" t="s">
        <v>34</v>
      </c>
      <c r="D199" s="814" t="s">
        <v>1812</v>
      </c>
      <c r="E199" s="129"/>
      <c r="F199" s="814" t="s">
        <v>1807</v>
      </c>
      <c r="G199" s="1690"/>
      <c r="H199" s="1690"/>
    </row>
    <row r="200" spans="1:8" ht="19.899999999999999" customHeight="1" x14ac:dyDescent="0.25">
      <c r="A200" s="1930" t="str">
        <f>A103</f>
        <v>План опытной эксплуатации</v>
      </c>
      <c r="B200" s="1931"/>
      <c r="D200" s="1694" t="s">
        <v>66</v>
      </c>
      <c r="E200" s="1694" t="s">
        <v>65</v>
      </c>
      <c r="F200" s="1694" t="s">
        <v>64</v>
      </c>
      <c r="G200" s="1690"/>
      <c r="H200" s="1690"/>
    </row>
    <row r="201" spans="1:8" ht="19.899999999999999" customHeight="1" x14ac:dyDescent="0.25">
      <c r="A201" s="132" t="s">
        <v>1765</v>
      </c>
      <c r="B201" s="905" t="s">
        <v>33</v>
      </c>
      <c r="D201" s="129"/>
      <c r="E201" s="129"/>
      <c r="F201" s="814" t="s">
        <v>1778</v>
      </c>
      <c r="G201" s="1690"/>
      <c r="H201" s="1690"/>
    </row>
    <row r="202" spans="1:8" ht="19.899999999999999" customHeight="1" x14ac:dyDescent="0.25">
      <c r="A202" s="132" t="s">
        <v>1766</v>
      </c>
      <c r="B202" s="905" t="s">
        <v>34</v>
      </c>
      <c r="D202" s="129"/>
      <c r="E202" s="129"/>
      <c r="F202" s="814" t="s">
        <v>1779</v>
      </c>
      <c r="G202" s="1690"/>
      <c r="H202" s="1690"/>
    </row>
  </sheetData>
  <autoFilter ref="A2:AI105" xr:uid="{00000000-0001-0000-0B00-000000000000}"/>
  <customSheetViews>
    <customSheetView guid="{B91A3F61-3B23-46E3-9B55-19B17EB6638A}" scale="115" state="hidden" topLeftCell="B1">
      <pane ySplit="1" topLeftCell="A2" activePane="bottomLeft" state="frozen"/>
      <selection pane="bottomLeft" activeCell="D2" sqref="D2"/>
      <pageMargins left="0.7" right="0.7" top="0.75" bottom="0.75" header="0.3" footer="0.3"/>
      <pageSetup paperSize="9" orientation="portrait" r:id="rId1"/>
    </customSheetView>
    <customSheetView guid="{F5CB9414-DBF4-48FF-9213-FFE745451535}" scale="115" state="hidden" topLeftCell="B1">
      <pane ySplit="1" topLeftCell="A2" activePane="bottomLeft" state="frozen"/>
      <selection pane="bottomLeft" activeCell="D2" sqref="D2"/>
      <pageMargins left="0.7" right="0.7" top="0.75" bottom="0.75" header="0.3" footer="0.3"/>
      <pageSetup paperSize="9" orientation="portrait" r:id="rId2"/>
    </customSheetView>
    <customSheetView guid="{A1A876F1-3EAA-4E5F-BD51-8B131AB8854B}" scale="115" state="hidden" topLeftCell="B1">
      <pane ySplit="1" topLeftCell="A2" activePane="bottomLeft" state="frozen"/>
      <selection pane="bottomLeft" activeCell="D2" sqref="D2"/>
      <pageMargins left="0.7" right="0.7" top="0.75" bottom="0.75" header="0.3" footer="0.3"/>
      <pageSetup paperSize="9" orientation="portrait" r:id="rId3"/>
    </customSheetView>
    <customSheetView guid="{18A094BB-EA3E-4938-9069-21F549B37E23}" scale="115" state="hidden" topLeftCell="B1">
      <pane ySplit="1" topLeftCell="A2" activePane="bottomLeft" state="frozen"/>
      <selection pane="bottomLeft" activeCell="D2" sqref="D2"/>
      <pageMargins left="0.7" right="0.7" top="0.75" bottom="0.75" header="0.3" footer="0.3"/>
      <pageSetup paperSize="9" orientation="portrait" r:id="rId4"/>
    </customSheetView>
  </customSheetViews>
  <mergeCells count="79">
    <mergeCell ref="AB1:AE1"/>
    <mergeCell ref="AE2:AE3"/>
    <mergeCell ref="AF1:AI1"/>
    <mergeCell ref="AI2:AI3"/>
    <mergeCell ref="L1:O1"/>
    <mergeCell ref="O2:O3"/>
    <mergeCell ref="X1:AA1"/>
    <mergeCell ref="AA2:AA3"/>
    <mergeCell ref="P1:S1"/>
    <mergeCell ref="S2:S3"/>
    <mergeCell ref="T1:W1"/>
    <mergeCell ref="W2:W3"/>
    <mergeCell ref="D1:G1"/>
    <mergeCell ref="G2:G3"/>
    <mergeCell ref="A48:A50"/>
    <mergeCell ref="H1:K1"/>
    <mergeCell ref="A8:A10"/>
    <mergeCell ref="A12:A14"/>
    <mergeCell ref="A19:A21"/>
    <mergeCell ref="A22:A24"/>
    <mergeCell ref="A16:A18"/>
    <mergeCell ref="K2:K3"/>
    <mergeCell ref="C2:C3"/>
    <mergeCell ref="A42:A44"/>
    <mergeCell ref="A45:A47"/>
    <mergeCell ref="A25:A27"/>
    <mergeCell ref="A28:A30"/>
    <mergeCell ref="A31:A33"/>
    <mergeCell ref="A34:A36"/>
    <mergeCell ref="A38:A40"/>
    <mergeCell ref="A51:A53"/>
    <mergeCell ref="A54:A56"/>
    <mergeCell ref="A57:A59"/>
    <mergeCell ref="A5:A7"/>
    <mergeCell ref="A60:A62"/>
    <mergeCell ref="A97:A99"/>
    <mergeCell ref="A100:A102"/>
    <mergeCell ref="A103:A105"/>
    <mergeCell ref="A75:A77"/>
    <mergeCell ref="A88:A90"/>
    <mergeCell ref="A91:A93"/>
    <mergeCell ref="A94:A96"/>
    <mergeCell ref="A78:A80"/>
    <mergeCell ref="A81:A83"/>
    <mergeCell ref="A84:A86"/>
    <mergeCell ref="A63:A65"/>
    <mergeCell ref="A66:A68"/>
    <mergeCell ref="A69:A71"/>
    <mergeCell ref="A72:A74"/>
    <mergeCell ref="A194:B194"/>
    <mergeCell ref="A197:B197"/>
    <mergeCell ref="A200:B200"/>
    <mergeCell ref="A176:B176"/>
    <mergeCell ref="A179:B179"/>
    <mergeCell ref="A182:B182"/>
    <mergeCell ref="A185:B185"/>
    <mergeCell ref="A134:B134"/>
    <mergeCell ref="A137:B137"/>
    <mergeCell ref="A140:B140"/>
    <mergeCell ref="A188:B188"/>
    <mergeCell ref="A191:B191"/>
    <mergeCell ref="A149:B149"/>
    <mergeCell ref="A152:B152"/>
    <mergeCell ref="A155:B155"/>
    <mergeCell ref="A158:B158"/>
    <mergeCell ref="A143:B143"/>
    <mergeCell ref="A146:B146"/>
    <mergeCell ref="A161:B161"/>
    <mergeCell ref="A164:B164"/>
    <mergeCell ref="A167:B167"/>
    <mergeCell ref="A170:B170"/>
    <mergeCell ref="A173:B173"/>
    <mergeCell ref="A113:B113"/>
    <mergeCell ref="A116:B116"/>
    <mergeCell ref="A119:B119"/>
    <mergeCell ref="A128:B128"/>
    <mergeCell ref="A131:B131"/>
    <mergeCell ref="A122:B122"/>
    <mergeCell ref="A125:B125"/>
  </mergeCells>
  <pageMargins left="0.7" right="0.7" top="0.75" bottom="0.75" header="0.3" footer="0.3"/>
  <pageSetup paperSize="9" orientation="portrait"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30">
    <tabColor theme="7" tint="0.59999389629810485"/>
  </sheetPr>
  <dimension ref="A1:G80"/>
  <sheetViews>
    <sheetView workbookViewId="0">
      <selection activeCell="I20" sqref="I20"/>
    </sheetView>
  </sheetViews>
  <sheetFormatPr defaultColWidth="9.28515625" defaultRowHeight="15" x14ac:dyDescent="0.25"/>
  <cols>
    <col min="1" max="1" width="15" style="237" customWidth="1"/>
    <col min="2" max="2" width="9.28515625" style="237"/>
    <col min="3" max="3" width="53.42578125" style="237" customWidth="1"/>
    <col min="4" max="4" width="18.42578125" style="237" customWidth="1"/>
    <col min="5" max="5" width="18.42578125" style="238" customWidth="1"/>
    <col min="6" max="6" width="18.42578125" style="239" customWidth="1"/>
    <col min="7" max="7" width="18.42578125" style="238" customWidth="1"/>
  </cols>
  <sheetData>
    <row r="1" spans="1:7" x14ac:dyDescent="0.25">
      <c r="A1" s="1948" t="s">
        <v>211</v>
      </c>
      <c r="B1" s="1948"/>
      <c r="C1" s="1948"/>
      <c r="D1" s="1948"/>
      <c r="E1" s="1948"/>
      <c r="F1" s="1948"/>
      <c r="G1" s="1948"/>
    </row>
    <row r="2" spans="1:7" ht="30" x14ac:dyDescent="0.25">
      <c r="A2" s="231" t="s">
        <v>212</v>
      </c>
      <c r="B2" s="231" t="s">
        <v>213</v>
      </c>
      <c r="C2" s="231" t="s">
        <v>214</v>
      </c>
      <c r="D2" s="231" t="s">
        <v>215</v>
      </c>
      <c r="E2" s="232" t="s">
        <v>216</v>
      </c>
      <c r="F2" s="233" t="s">
        <v>217</v>
      </c>
      <c r="G2" s="232" t="s">
        <v>38</v>
      </c>
    </row>
    <row r="3" spans="1:7" x14ac:dyDescent="0.25">
      <c r="A3" s="234"/>
      <c r="B3" s="234"/>
      <c r="C3" s="234"/>
      <c r="D3" s="234"/>
      <c r="E3" s="235"/>
      <c r="F3" s="236"/>
      <c r="G3" s="235"/>
    </row>
    <row r="4" spans="1:7" x14ac:dyDescent="0.25">
      <c r="A4" s="234"/>
      <c r="B4" s="234"/>
      <c r="C4" s="234"/>
      <c r="D4" s="234"/>
      <c r="E4" s="235"/>
      <c r="F4" s="236"/>
      <c r="G4" s="235"/>
    </row>
    <row r="5" spans="1:7" x14ac:dyDescent="0.25">
      <c r="A5" s="234"/>
      <c r="B5" s="234"/>
      <c r="C5" s="234"/>
      <c r="D5" s="234"/>
      <c r="E5" s="235"/>
      <c r="F5" s="236"/>
      <c r="G5" s="235"/>
    </row>
    <row r="6" spans="1:7" x14ac:dyDescent="0.25">
      <c r="A6" s="234"/>
      <c r="B6" s="234"/>
      <c r="C6" s="234"/>
      <c r="D6" s="234"/>
      <c r="E6" s="235"/>
      <c r="F6" s="236"/>
      <c r="G6" s="235"/>
    </row>
    <row r="7" spans="1:7" x14ac:dyDescent="0.25">
      <c r="A7" s="234"/>
      <c r="B7" s="234"/>
      <c r="C7" s="234"/>
      <c r="D7" s="234"/>
      <c r="E7" s="235"/>
      <c r="F7" s="236"/>
      <c r="G7" s="235"/>
    </row>
    <row r="8" spans="1:7" x14ac:dyDescent="0.25">
      <c r="A8" s="234"/>
      <c r="B8" s="234"/>
      <c r="C8" s="234"/>
      <c r="D8" s="234"/>
      <c r="E8" s="235"/>
      <c r="F8" s="236"/>
      <c r="G8" s="235"/>
    </row>
    <row r="9" spans="1:7" x14ac:dyDescent="0.25">
      <c r="A9" s="234"/>
      <c r="B9" s="234"/>
      <c r="C9" s="234"/>
      <c r="D9" s="234"/>
      <c r="E9" s="235"/>
      <c r="F9" s="236"/>
      <c r="G9" s="235"/>
    </row>
    <row r="10" spans="1:7" x14ac:dyDescent="0.25">
      <c r="A10" s="234"/>
      <c r="B10" s="234"/>
      <c r="C10" s="234"/>
      <c r="D10" s="234"/>
      <c r="E10" s="235"/>
      <c r="F10" s="236"/>
      <c r="G10" s="235"/>
    </row>
    <row r="11" spans="1:7" x14ac:dyDescent="0.25">
      <c r="A11" s="234"/>
      <c r="B11" s="234"/>
      <c r="C11" s="234"/>
      <c r="D11" s="234"/>
      <c r="E11" s="235"/>
      <c r="F11" s="236"/>
      <c r="G11" s="235"/>
    </row>
    <row r="12" spans="1:7" x14ac:dyDescent="0.25">
      <c r="A12" s="234"/>
      <c r="B12" s="234"/>
      <c r="C12" s="234"/>
      <c r="D12" s="234"/>
      <c r="E12" s="235"/>
      <c r="F12" s="236"/>
      <c r="G12" s="235"/>
    </row>
    <row r="13" spans="1:7" x14ac:dyDescent="0.25">
      <c r="A13" s="234"/>
      <c r="B13" s="234"/>
      <c r="C13" s="234"/>
      <c r="D13" s="234"/>
      <c r="E13" s="235"/>
      <c r="F13" s="236"/>
      <c r="G13" s="235"/>
    </row>
    <row r="14" spans="1:7" x14ac:dyDescent="0.25">
      <c r="A14" s="234"/>
      <c r="B14" s="234"/>
      <c r="C14" s="234"/>
      <c r="D14" s="234"/>
      <c r="E14" s="235"/>
      <c r="F14" s="236"/>
      <c r="G14" s="235"/>
    </row>
    <row r="15" spans="1:7" x14ac:dyDescent="0.25">
      <c r="A15" s="234"/>
      <c r="B15" s="234"/>
      <c r="C15" s="234"/>
      <c r="D15" s="234"/>
      <c r="E15" s="235"/>
      <c r="F15" s="236"/>
      <c r="G15" s="235"/>
    </row>
    <row r="16" spans="1:7" x14ac:dyDescent="0.25">
      <c r="A16" s="234"/>
      <c r="B16" s="234"/>
      <c r="C16" s="234"/>
      <c r="D16" s="234"/>
      <c r="E16" s="235"/>
      <c r="F16" s="236"/>
      <c r="G16" s="235"/>
    </row>
    <row r="17" spans="1:7" x14ac:dyDescent="0.25">
      <c r="A17" s="234"/>
      <c r="B17" s="234"/>
      <c r="C17" s="234"/>
      <c r="D17" s="234"/>
      <c r="E17" s="235"/>
      <c r="F17" s="236"/>
      <c r="G17" s="235"/>
    </row>
    <row r="18" spans="1:7" x14ac:dyDescent="0.25">
      <c r="A18" s="234"/>
      <c r="B18" s="234"/>
      <c r="C18" s="234"/>
      <c r="D18" s="234"/>
      <c r="E18" s="235"/>
      <c r="F18" s="236"/>
      <c r="G18" s="235"/>
    </row>
    <row r="19" spans="1:7" x14ac:dyDescent="0.25">
      <c r="A19" s="234"/>
      <c r="B19" s="234"/>
      <c r="C19" s="234"/>
      <c r="D19" s="234"/>
      <c r="E19" s="235"/>
      <c r="F19" s="236"/>
      <c r="G19" s="235"/>
    </row>
    <row r="20" spans="1:7" x14ac:dyDescent="0.25">
      <c r="A20" s="234"/>
      <c r="B20" s="234"/>
      <c r="C20" s="234"/>
      <c r="D20" s="234"/>
      <c r="E20" s="235"/>
      <c r="F20" s="236"/>
      <c r="G20" s="235"/>
    </row>
    <row r="21" spans="1:7" x14ac:dyDescent="0.25">
      <c r="A21" s="234"/>
      <c r="B21" s="234"/>
      <c r="C21" s="234"/>
      <c r="D21" s="234"/>
      <c r="E21" s="235"/>
      <c r="F21" s="236"/>
      <c r="G21" s="235"/>
    </row>
    <row r="22" spans="1:7" x14ac:dyDescent="0.25">
      <c r="A22" s="234"/>
      <c r="B22" s="234"/>
      <c r="C22" s="234"/>
      <c r="D22" s="234"/>
      <c r="E22" s="235"/>
      <c r="F22" s="236"/>
      <c r="G22" s="235"/>
    </row>
    <row r="23" spans="1:7" x14ac:dyDescent="0.25">
      <c r="A23" s="234"/>
      <c r="B23" s="234"/>
      <c r="C23" s="234"/>
      <c r="D23" s="234"/>
      <c r="E23" s="235"/>
      <c r="F23" s="236"/>
      <c r="G23" s="235"/>
    </row>
    <row r="24" spans="1:7" x14ac:dyDescent="0.25">
      <c r="A24" s="234"/>
      <c r="B24" s="234"/>
      <c r="C24" s="234"/>
      <c r="D24" s="234"/>
      <c r="E24" s="235"/>
      <c r="F24" s="236"/>
      <c r="G24" s="235"/>
    </row>
    <row r="25" spans="1:7" x14ac:dyDescent="0.25">
      <c r="A25" s="234"/>
      <c r="B25" s="234"/>
      <c r="C25" s="234"/>
      <c r="D25" s="234"/>
      <c r="E25" s="235"/>
      <c r="F25" s="236"/>
      <c r="G25" s="235"/>
    </row>
    <row r="26" spans="1:7" x14ac:dyDescent="0.25">
      <c r="A26" s="234"/>
      <c r="B26" s="234"/>
      <c r="C26" s="234"/>
      <c r="D26" s="234"/>
      <c r="E26" s="235"/>
      <c r="F26" s="236"/>
      <c r="G26" s="235"/>
    </row>
    <row r="27" spans="1:7" x14ac:dyDescent="0.25">
      <c r="A27" s="234"/>
      <c r="B27" s="234"/>
      <c r="C27" s="234"/>
      <c r="D27" s="234"/>
      <c r="E27" s="235"/>
      <c r="F27" s="236"/>
      <c r="G27" s="235"/>
    </row>
    <row r="28" spans="1:7" x14ac:dyDescent="0.25">
      <c r="A28" s="234"/>
      <c r="B28" s="234"/>
      <c r="C28" s="234"/>
      <c r="D28" s="234"/>
      <c r="E28" s="235"/>
      <c r="F28" s="236"/>
      <c r="G28" s="235"/>
    </row>
    <row r="29" spans="1:7" x14ac:dyDescent="0.25">
      <c r="A29" s="234"/>
      <c r="B29" s="234"/>
      <c r="C29" s="234"/>
      <c r="D29" s="234"/>
      <c r="E29" s="235"/>
      <c r="F29" s="236"/>
      <c r="G29" s="235"/>
    </row>
    <row r="30" spans="1:7" x14ac:dyDescent="0.25">
      <c r="A30" s="234"/>
      <c r="B30" s="234"/>
      <c r="C30" s="234"/>
      <c r="D30" s="234"/>
      <c r="E30" s="235"/>
      <c r="F30" s="236"/>
      <c r="G30" s="235"/>
    </row>
    <row r="31" spans="1:7" x14ac:dyDescent="0.25">
      <c r="A31" s="234"/>
      <c r="B31" s="234"/>
      <c r="C31" s="234"/>
      <c r="D31" s="234"/>
      <c r="E31" s="235"/>
      <c r="F31" s="236"/>
      <c r="G31" s="235"/>
    </row>
    <row r="32" spans="1:7" x14ac:dyDescent="0.25">
      <c r="A32" s="234"/>
      <c r="B32" s="234"/>
      <c r="C32" s="234"/>
      <c r="D32" s="234"/>
      <c r="E32" s="235"/>
      <c r="F32" s="236"/>
      <c r="G32" s="235"/>
    </row>
    <row r="33" spans="1:7" x14ac:dyDescent="0.25">
      <c r="A33" s="234"/>
      <c r="B33" s="234"/>
      <c r="C33" s="234"/>
      <c r="D33" s="234"/>
      <c r="E33" s="235"/>
      <c r="F33" s="236"/>
      <c r="G33" s="235"/>
    </row>
    <row r="34" spans="1:7" x14ac:dyDescent="0.25">
      <c r="A34" s="234"/>
      <c r="B34" s="234"/>
      <c r="C34" s="234"/>
      <c r="D34" s="234"/>
      <c r="E34" s="235"/>
      <c r="F34" s="236"/>
      <c r="G34" s="235"/>
    </row>
    <row r="35" spans="1:7" x14ac:dyDescent="0.25">
      <c r="A35" s="234"/>
      <c r="B35" s="234"/>
      <c r="C35" s="234"/>
      <c r="D35" s="234"/>
      <c r="E35" s="235"/>
      <c r="F35" s="236"/>
      <c r="G35" s="235"/>
    </row>
    <row r="36" spans="1:7" x14ac:dyDescent="0.25">
      <c r="A36" s="234"/>
      <c r="B36" s="234"/>
      <c r="C36" s="234"/>
      <c r="D36" s="234"/>
      <c r="E36" s="235"/>
      <c r="F36" s="236"/>
      <c r="G36" s="235"/>
    </row>
    <row r="37" spans="1:7" x14ac:dyDescent="0.25">
      <c r="A37" s="234"/>
      <c r="B37" s="234"/>
      <c r="C37" s="234"/>
      <c r="D37" s="234"/>
      <c r="E37" s="235"/>
      <c r="F37" s="236"/>
      <c r="G37" s="235"/>
    </row>
    <row r="38" spans="1:7" x14ac:dyDescent="0.25">
      <c r="A38" s="234"/>
      <c r="B38" s="234"/>
      <c r="C38" s="234"/>
      <c r="D38" s="234"/>
      <c r="E38" s="235"/>
      <c r="F38" s="236"/>
      <c r="G38" s="235"/>
    </row>
    <row r="39" spans="1:7" x14ac:dyDescent="0.25">
      <c r="A39" s="234"/>
      <c r="B39" s="234"/>
      <c r="C39" s="234"/>
      <c r="D39" s="234"/>
      <c r="E39" s="235"/>
      <c r="F39" s="236"/>
      <c r="G39" s="235"/>
    </row>
    <row r="40" spans="1:7" x14ac:dyDescent="0.25">
      <c r="A40" s="234"/>
      <c r="B40" s="234"/>
      <c r="C40" s="234"/>
      <c r="D40" s="234"/>
      <c r="E40" s="235"/>
      <c r="F40" s="236"/>
      <c r="G40" s="235"/>
    </row>
    <row r="41" spans="1:7" x14ac:dyDescent="0.25">
      <c r="A41" s="234"/>
      <c r="B41" s="234"/>
      <c r="C41" s="234"/>
      <c r="D41" s="234"/>
      <c r="E41" s="235"/>
      <c r="F41" s="236"/>
      <c r="G41" s="235"/>
    </row>
    <row r="42" spans="1:7" x14ac:dyDescent="0.25">
      <c r="A42" s="234"/>
      <c r="B42" s="234"/>
      <c r="C42" s="234"/>
      <c r="D42" s="234"/>
      <c r="E42" s="235"/>
      <c r="F42" s="236"/>
      <c r="G42" s="235"/>
    </row>
    <row r="43" spans="1:7" x14ac:dyDescent="0.25">
      <c r="A43" s="234"/>
      <c r="B43" s="234"/>
      <c r="C43" s="234"/>
      <c r="D43" s="234"/>
      <c r="E43" s="235"/>
      <c r="F43" s="236"/>
      <c r="G43" s="235"/>
    </row>
    <row r="44" spans="1:7" x14ac:dyDescent="0.25">
      <c r="A44" s="234"/>
      <c r="B44" s="234"/>
      <c r="C44" s="234"/>
      <c r="D44" s="234"/>
      <c r="E44" s="235"/>
      <c r="F44" s="236"/>
      <c r="G44" s="235"/>
    </row>
    <row r="45" spans="1:7" x14ac:dyDescent="0.25">
      <c r="A45" s="234"/>
      <c r="B45" s="234"/>
      <c r="C45" s="234"/>
      <c r="D45" s="234"/>
      <c r="E45" s="235"/>
      <c r="F45" s="236"/>
      <c r="G45" s="235"/>
    </row>
    <row r="46" spans="1:7" x14ac:dyDescent="0.25">
      <c r="A46" s="234"/>
      <c r="B46" s="234"/>
      <c r="C46" s="234"/>
      <c r="D46" s="234"/>
      <c r="E46" s="235"/>
      <c r="F46" s="236"/>
      <c r="G46" s="235"/>
    </row>
    <row r="47" spans="1:7" x14ac:dyDescent="0.25">
      <c r="A47" s="234"/>
      <c r="B47" s="234"/>
      <c r="C47" s="234"/>
      <c r="D47" s="234"/>
      <c r="E47" s="235"/>
      <c r="F47" s="236"/>
      <c r="G47" s="235"/>
    </row>
    <row r="48" spans="1:7" x14ac:dyDescent="0.25">
      <c r="A48" s="234"/>
      <c r="B48" s="234"/>
      <c r="C48" s="234"/>
      <c r="D48" s="234"/>
      <c r="E48" s="235"/>
      <c r="F48" s="236"/>
      <c r="G48" s="235"/>
    </row>
    <row r="49" spans="1:7" x14ac:dyDescent="0.25">
      <c r="A49" s="234"/>
      <c r="B49" s="234"/>
      <c r="C49" s="234"/>
      <c r="D49" s="234"/>
      <c r="E49" s="235"/>
      <c r="F49" s="236"/>
      <c r="G49" s="235"/>
    </row>
    <row r="50" spans="1:7" x14ac:dyDescent="0.25">
      <c r="A50" s="234"/>
      <c r="B50" s="234"/>
      <c r="C50" s="234"/>
      <c r="D50" s="234"/>
      <c r="E50" s="235"/>
      <c r="F50" s="236"/>
      <c r="G50" s="235"/>
    </row>
    <row r="51" spans="1:7" x14ac:dyDescent="0.25">
      <c r="A51" s="234"/>
      <c r="B51" s="234"/>
      <c r="C51" s="234"/>
      <c r="D51" s="234"/>
      <c r="E51" s="235"/>
      <c r="F51" s="236"/>
      <c r="G51" s="235"/>
    </row>
    <row r="52" spans="1:7" x14ac:dyDescent="0.25">
      <c r="A52" s="234"/>
      <c r="B52" s="234"/>
      <c r="C52" s="234"/>
      <c r="D52" s="234"/>
      <c r="E52" s="235"/>
      <c r="F52" s="236"/>
      <c r="G52" s="235"/>
    </row>
    <row r="53" spans="1:7" x14ac:dyDescent="0.25">
      <c r="A53" s="234"/>
      <c r="B53" s="234"/>
      <c r="C53" s="234"/>
      <c r="D53" s="234"/>
      <c r="E53" s="235"/>
      <c r="F53" s="236"/>
      <c r="G53" s="235"/>
    </row>
    <row r="54" spans="1:7" x14ac:dyDescent="0.25">
      <c r="A54" s="234"/>
      <c r="B54" s="234"/>
      <c r="C54" s="234"/>
      <c r="D54" s="234"/>
      <c r="E54" s="235"/>
      <c r="F54" s="236"/>
      <c r="G54" s="235"/>
    </row>
    <row r="55" spans="1:7" x14ac:dyDescent="0.25">
      <c r="A55" s="234"/>
      <c r="B55" s="234"/>
      <c r="C55" s="234"/>
      <c r="D55" s="234"/>
      <c r="E55" s="235"/>
      <c r="F55" s="236"/>
      <c r="G55" s="235"/>
    </row>
    <row r="56" spans="1:7" x14ac:dyDescent="0.25">
      <c r="A56" s="234"/>
      <c r="B56" s="234"/>
      <c r="C56" s="234"/>
      <c r="D56" s="234"/>
      <c r="E56" s="235"/>
      <c r="F56" s="236"/>
      <c r="G56" s="235"/>
    </row>
    <row r="57" spans="1:7" x14ac:dyDescent="0.25">
      <c r="A57" s="234"/>
      <c r="B57" s="234"/>
      <c r="C57" s="234"/>
      <c r="D57" s="234"/>
      <c r="E57" s="235"/>
      <c r="F57" s="236"/>
      <c r="G57" s="235"/>
    </row>
    <row r="58" spans="1:7" x14ac:dyDescent="0.25">
      <c r="A58" s="234"/>
      <c r="B58" s="234"/>
      <c r="C58" s="234"/>
      <c r="D58" s="234"/>
      <c r="E58" s="235"/>
      <c r="F58" s="236"/>
      <c r="G58" s="235"/>
    </row>
    <row r="59" spans="1:7" x14ac:dyDescent="0.25">
      <c r="A59" s="234"/>
      <c r="B59" s="234"/>
      <c r="C59" s="234"/>
      <c r="D59" s="234"/>
      <c r="E59" s="235"/>
      <c r="F59" s="236"/>
      <c r="G59" s="235"/>
    </row>
    <row r="60" spans="1:7" x14ac:dyDescent="0.25">
      <c r="A60" s="234"/>
      <c r="B60" s="234"/>
      <c r="C60" s="234"/>
      <c r="D60" s="234"/>
      <c r="E60" s="235"/>
      <c r="F60" s="236"/>
      <c r="G60" s="235"/>
    </row>
    <row r="61" spans="1:7" x14ac:dyDescent="0.25">
      <c r="A61" s="234"/>
      <c r="B61" s="234"/>
      <c r="C61" s="234"/>
      <c r="D61" s="234"/>
      <c r="E61" s="235"/>
      <c r="F61" s="236"/>
      <c r="G61" s="235"/>
    </row>
    <row r="62" spans="1:7" x14ac:dyDescent="0.25">
      <c r="A62" s="234"/>
      <c r="B62" s="234"/>
      <c r="C62" s="234"/>
      <c r="D62" s="234"/>
      <c r="E62" s="235"/>
      <c r="F62" s="236"/>
      <c r="G62" s="235"/>
    </row>
    <row r="63" spans="1:7" x14ac:dyDescent="0.25">
      <c r="A63" s="234"/>
      <c r="B63" s="234"/>
      <c r="C63" s="234"/>
      <c r="D63" s="234"/>
      <c r="E63" s="235"/>
      <c r="F63" s="236"/>
      <c r="G63" s="235"/>
    </row>
    <row r="64" spans="1:7" x14ac:dyDescent="0.25">
      <c r="A64" s="234"/>
      <c r="B64" s="234"/>
      <c r="C64" s="234"/>
      <c r="D64" s="234"/>
      <c r="E64" s="235"/>
      <c r="F64" s="236"/>
      <c r="G64" s="235"/>
    </row>
    <row r="65" spans="1:7" x14ac:dyDescent="0.25">
      <c r="A65" s="234"/>
      <c r="B65" s="234"/>
      <c r="C65" s="234"/>
      <c r="D65" s="234"/>
      <c r="E65" s="235"/>
      <c r="F65" s="236"/>
      <c r="G65" s="235"/>
    </row>
    <row r="66" spans="1:7" x14ac:dyDescent="0.25">
      <c r="A66" s="234"/>
      <c r="B66" s="234"/>
      <c r="C66" s="234"/>
      <c r="D66" s="234"/>
      <c r="E66" s="235"/>
      <c r="F66" s="236"/>
      <c r="G66" s="235"/>
    </row>
    <row r="67" spans="1:7" x14ac:dyDescent="0.25">
      <c r="A67" s="234"/>
      <c r="B67" s="234"/>
      <c r="C67" s="234"/>
      <c r="D67" s="234"/>
      <c r="E67" s="235"/>
      <c r="F67" s="236"/>
      <c r="G67" s="235"/>
    </row>
    <row r="68" spans="1:7" x14ac:dyDescent="0.25">
      <c r="A68" s="234"/>
      <c r="B68" s="234"/>
      <c r="C68" s="234"/>
      <c r="D68" s="234"/>
      <c r="E68" s="235"/>
      <c r="F68" s="236"/>
      <c r="G68" s="235"/>
    </row>
    <row r="69" spans="1:7" x14ac:dyDescent="0.25">
      <c r="A69" s="234"/>
      <c r="B69" s="234"/>
      <c r="C69" s="234"/>
      <c r="D69" s="234"/>
      <c r="E69" s="235"/>
      <c r="F69" s="236"/>
      <c r="G69" s="235"/>
    </row>
    <row r="70" spans="1:7" x14ac:dyDescent="0.25">
      <c r="A70" s="234"/>
      <c r="B70" s="234"/>
      <c r="C70" s="234"/>
      <c r="D70" s="234"/>
      <c r="E70" s="235"/>
      <c r="F70" s="236"/>
      <c r="G70" s="235"/>
    </row>
    <row r="71" spans="1:7" x14ac:dyDescent="0.25">
      <c r="A71" s="234"/>
      <c r="B71" s="234"/>
      <c r="C71" s="234"/>
      <c r="D71" s="234"/>
      <c r="E71" s="235"/>
      <c r="F71" s="236"/>
      <c r="G71" s="235"/>
    </row>
    <row r="72" spans="1:7" x14ac:dyDescent="0.25">
      <c r="A72" s="234"/>
      <c r="B72" s="234"/>
      <c r="C72" s="234"/>
      <c r="D72" s="234"/>
      <c r="E72" s="235"/>
      <c r="F72" s="236"/>
      <c r="G72" s="235"/>
    </row>
    <row r="73" spans="1:7" x14ac:dyDescent="0.25">
      <c r="A73" s="234"/>
      <c r="B73" s="234"/>
      <c r="C73" s="234"/>
      <c r="D73" s="234"/>
      <c r="E73" s="235"/>
      <c r="F73" s="236"/>
      <c r="G73" s="235"/>
    </row>
    <row r="74" spans="1:7" x14ac:dyDescent="0.25">
      <c r="A74" s="234"/>
      <c r="B74" s="234"/>
      <c r="C74" s="234"/>
      <c r="D74" s="234"/>
      <c r="E74" s="235"/>
      <c r="F74" s="236"/>
      <c r="G74" s="235"/>
    </row>
    <row r="75" spans="1:7" x14ac:dyDescent="0.25">
      <c r="A75" s="234"/>
      <c r="B75" s="234"/>
      <c r="C75" s="234"/>
      <c r="D75" s="234"/>
      <c r="E75" s="235"/>
      <c r="F75" s="236"/>
      <c r="G75" s="235"/>
    </row>
    <row r="76" spans="1:7" x14ac:dyDescent="0.25">
      <c r="A76" s="234"/>
      <c r="B76" s="234"/>
      <c r="C76" s="234"/>
      <c r="D76" s="234"/>
      <c r="E76" s="235"/>
      <c r="F76" s="236"/>
      <c r="G76" s="235"/>
    </row>
    <row r="77" spans="1:7" x14ac:dyDescent="0.25">
      <c r="A77" s="234"/>
      <c r="B77" s="234"/>
      <c r="C77" s="234"/>
      <c r="D77" s="234"/>
      <c r="E77" s="235"/>
      <c r="F77" s="236"/>
      <c r="G77" s="235"/>
    </row>
    <row r="78" spans="1:7" x14ac:dyDescent="0.25">
      <c r="A78" s="234"/>
      <c r="B78" s="234"/>
      <c r="C78" s="234"/>
      <c r="D78" s="234"/>
      <c r="E78" s="235"/>
      <c r="F78" s="236"/>
      <c r="G78" s="235"/>
    </row>
    <row r="79" spans="1:7" x14ac:dyDescent="0.25">
      <c r="A79" s="234"/>
      <c r="B79" s="234"/>
      <c r="C79" s="234"/>
      <c r="D79" s="234"/>
      <c r="E79" s="235"/>
      <c r="F79" s="236"/>
      <c r="G79" s="235"/>
    </row>
    <row r="80" spans="1:7" x14ac:dyDescent="0.25">
      <c r="A80" s="234"/>
      <c r="B80" s="234"/>
      <c r="C80" s="234"/>
      <c r="D80" s="234"/>
      <c r="E80" s="235"/>
      <c r="F80" s="236"/>
      <c r="G80" s="235"/>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35">
    <tabColor theme="3" tint="0.59999389629810485"/>
  </sheetPr>
  <dimension ref="A1:BA47"/>
  <sheetViews>
    <sheetView zoomScale="85" zoomScaleNormal="85" workbookViewId="0">
      <pane xSplit="4" ySplit="3" topLeftCell="R4" activePane="bottomRight" state="frozen"/>
      <selection activeCell="D32" sqref="D32"/>
      <selection pane="topRight" activeCell="D32" sqref="D32"/>
      <selection pane="bottomLeft" activeCell="D32" sqref="D32"/>
      <selection pane="bottomRight" activeCell="AY14" sqref="AY14"/>
    </sheetView>
  </sheetViews>
  <sheetFormatPr defaultColWidth="9.28515625" defaultRowHeight="15" x14ac:dyDescent="0.25"/>
  <cols>
    <col min="1" max="1" width="50.42578125" style="179" bestFit="1" customWidth="1"/>
    <col min="2" max="2" width="13.5703125" style="179" customWidth="1"/>
    <col min="3" max="3" width="24.28515625" style="150" bestFit="1" customWidth="1"/>
    <col min="4" max="4" width="24.28515625" style="150" customWidth="1"/>
    <col min="5" max="8" width="17.5703125" style="150" hidden="1" customWidth="1"/>
    <col min="9" max="9" width="20.7109375" style="150" hidden="1" customWidth="1"/>
    <col min="10" max="17" width="17.5703125" style="150" hidden="1" customWidth="1"/>
    <col min="18" max="21" width="17.5703125" style="150" customWidth="1"/>
    <col min="22" max="25" width="17.5703125" style="150" hidden="1" customWidth="1"/>
    <col min="26" max="26" width="17.5703125" style="150" customWidth="1"/>
    <col min="27" max="50" width="17.5703125" style="150" hidden="1" customWidth="1"/>
    <col min="51" max="51" width="18.28515625" style="150" customWidth="1"/>
    <col min="52" max="52" width="20.42578125" style="150" customWidth="1"/>
    <col min="53" max="53" width="19.28515625" style="150" customWidth="1"/>
    <col min="54" max="16384" width="9.28515625" style="150"/>
  </cols>
  <sheetData>
    <row r="1" spans="1:51" ht="18" thickBot="1" x14ac:dyDescent="0.35">
      <c r="A1" s="146"/>
      <c r="B1" s="257"/>
      <c r="C1" s="147"/>
      <c r="D1" s="148">
        <v>255400</v>
      </c>
      <c r="E1" s="149" t="s">
        <v>145</v>
      </c>
      <c r="F1" s="149" t="s">
        <v>145</v>
      </c>
      <c r="G1" s="149" t="s">
        <v>145</v>
      </c>
      <c r="H1" s="149"/>
      <c r="I1" s="149" t="s">
        <v>146</v>
      </c>
      <c r="J1" s="149" t="s">
        <v>146</v>
      </c>
      <c r="K1" s="149"/>
      <c r="L1" s="149" t="s">
        <v>146</v>
      </c>
      <c r="M1" s="149" t="s">
        <v>146</v>
      </c>
      <c r="N1" s="149" t="s">
        <v>146</v>
      </c>
      <c r="O1" s="149" t="s">
        <v>146</v>
      </c>
      <c r="P1" s="149" t="s">
        <v>146</v>
      </c>
      <c r="Q1" s="149" t="s">
        <v>146</v>
      </c>
      <c r="R1" s="149" t="s">
        <v>146</v>
      </c>
      <c r="S1" s="149" t="s">
        <v>146</v>
      </c>
      <c r="T1" s="149" t="s">
        <v>146</v>
      </c>
      <c r="U1" s="149" t="s">
        <v>146</v>
      </c>
      <c r="V1" s="149" t="s">
        <v>145</v>
      </c>
      <c r="W1" s="149" t="s">
        <v>145</v>
      </c>
      <c r="X1" s="149" t="s">
        <v>146</v>
      </c>
      <c r="Y1" s="149" t="s">
        <v>146</v>
      </c>
      <c r="Z1" s="149" t="s">
        <v>146</v>
      </c>
      <c r="AA1" s="149" t="s">
        <v>145</v>
      </c>
      <c r="AB1" s="149" t="s">
        <v>145</v>
      </c>
      <c r="AC1" s="149" t="s">
        <v>145</v>
      </c>
      <c r="AD1" s="149" t="s">
        <v>145</v>
      </c>
      <c r="AE1" s="149" t="s">
        <v>145</v>
      </c>
      <c r="AF1" s="149" t="s">
        <v>145</v>
      </c>
      <c r="AG1" s="149" t="s">
        <v>145</v>
      </c>
      <c r="AH1" s="149" t="s">
        <v>145</v>
      </c>
      <c r="AI1" s="149" t="s">
        <v>145</v>
      </c>
      <c r="AJ1" s="149" t="s">
        <v>145</v>
      </c>
      <c r="AK1" s="149" t="s">
        <v>145</v>
      </c>
      <c r="AL1" s="149" t="s">
        <v>145</v>
      </c>
      <c r="AM1" s="149" t="s">
        <v>145</v>
      </c>
      <c r="AN1" s="149" t="s">
        <v>145</v>
      </c>
      <c r="AO1" s="149" t="s">
        <v>145</v>
      </c>
      <c r="AP1" s="149" t="s">
        <v>145</v>
      </c>
      <c r="AQ1" s="149" t="s">
        <v>145</v>
      </c>
      <c r="AR1" s="149" t="s">
        <v>145</v>
      </c>
      <c r="AS1" s="149" t="s">
        <v>145</v>
      </c>
      <c r="AT1" s="149" t="s">
        <v>145</v>
      </c>
      <c r="AU1" s="149" t="s">
        <v>145</v>
      </c>
      <c r="AV1" s="149" t="s">
        <v>145</v>
      </c>
      <c r="AW1" s="149" t="s">
        <v>145</v>
      </c>
      <c r="AX1" s="149" t="s">
        <v>145</v>
      </c>
    </row>
    <row r="2" spans="1:51" ht="15.75" customHeight="1" thickBot="1" x14ac:dyDescent="0.3">
      <c r="A2" s="1956" t="s">
        <v>147</v>
      </c>
      <c r="B2" s="1963" t="s">
        <v>272</v>
      </c>
      <c r="C2" s="1958" t="s">
        <v>148</v>
      </c>
      <c r="D2" s="1958" t="s">
        <v>149</v>
      </c>
      <c r="E2" s="1960" t="s">
        <v>150</v>
      </c>
      <c r="F2" s="1961"/>
      <c r="G2" s="1961"/>
      <c r="H2" s="1961"/>
      <c r="I2" s="1961"/>
      <c r="J2" s="1962" t="s">
        <v>151</v>
      </c>
      <c r="K2" s="1962"/>
      <c r="L2" s="1962"/>
      <c r="M2" s="1962"/>
      <c r="N2" s="1962"/>
      <c r="O2" s="1949" t="s">
        <v>152</v>
      </c>
      <c r="P2" s="1950"/>
      <c r="Q2" s="1950"/>
      <c r="R2" s="1950"/>
      <c r="S2" s="1950"/>
      <c r="T2" s="1950"/>
      <c r="U2" s="1950"/>
      <c r="V2" s="1950"/>
      <c r="W2" s="1950"/>
      <c r="X2" s="1950"/>
      <c r="Y2" s="1950"/>
      <c r="Z2" s="1950"/>
      <c r="AA2" s="1950"/>
      <c r="AB2" s="1950"/>
      <c r="AC2" s="1950"/>
      <c r="AD2" s="1950"/>
      <c r="AE2" s="1950"/>
      <c r="AF2" s="1950"/>
      <c r="AG2" s="1951"/>
      <c r="AH2" s="1952" t="s">
        <v>252</v>
      </c>
      <c r="AI2" s="1953"/>
      <c r="AJ2" s="1953"/>
      <c r="AK2" s="1954" t="s">
        <v>253</v>
      </c>
      <c r="AL2" s="1954"/>
      <c r="AM2" s="1955" t="s">
        <v>271</v>
      </c>
      <c r="AN2" s="1955"/>
      <c r="AO2" s="1955"/>
      <c r="AP2" s="1955"/>
      <c r="AQ2" s="1955"/>
      <c r="AR2" s="1955"/>
      <c r="AS2" s="1955"/>
      <c r="AT2" s="1955"/>
      <c r="AU2" s="1955"/>
      <c r="AV2" s="1955"/>
      <c r="AW2" s="1955"/>
      <c r="AX2" s="1955"/>
      <c r="AY2" s="151"/>
    </row>
    <row r="3" spans="1:51" ht="120.75" thickBot="1" x14ac:dyDescent="0.3">
      <c r="A3" s="1957"/>
      <c r="B3" s="1964"/>
      <c r="C3" s="1959"/>
      <c r="D3" s="1959"/>
      <c r="E3" s="256" t="s">
        <v>274</v>
      </c>
      <c r="F3" s="256" t="s">
        <v>248</v>
      </c>
      <c r="G3" s="256" t="s">
        <v>153</v>
      </c>
      <c r="H3" s="256" t="s">
        <v>247</v>
      </c>
      <c r="I3" s="256" t="s">
        <v>154</v>
      </c>
      <c r="J3" s="152" t="s">
        <v>155</v>
      </c>
      <c r="K3" s="152" t="s">
        <v>249</v>
      </c>
      <c r="L3" s="152" t="s">
        <v>250</v>
      </c>
      <c r="M3" s="152" t="s">
        <v>120</v>
      </c>
      <c r="N3" s="152" t="s">
        <v>157</v>
      </c>
      <c r="O3" s="153" t="s">
        <v>53</v>
      </c>
      <c r="P3" s="154" t="s">
        <v>158</v>
      </c>
      <c r="Q3" s="154" t="s">
        <v>159</v>
      </c>
      <c r="R3" s="155" t="s">
        <v>160</v>
      </c>
      <c r="S3" s="155" t="s">
        <v>162</v>
      </c>
      <c r="T3" s="155" t="s">
        <v>161</v>
      </c>
      <c r="U3" s="155" t="s">
        <v>162</v>
      </c>
      <c r="V3" s="156" t="s">
        <v>163</v>
      </c>
      <c r="W3" s="156" t="s">
        <v>164</v>
      </c>
      <c r="X3" s="153" t="s">
        <v>165</v>
      </c>
      <c r="Y3" s="153" t="s">
        <v>166</v>
      </c>
      <c r="Z3" s="157" t="s">
        <v>167</v>
      </c>
      <c r="AA3" s="158" t="s">
        <v>168</v>
      </c>
      <c r="AB3" s="158" t="s">
        <v>169</v>
      </c>
      <c r="AC3" s="158" t="s">
        <v>170</v>
      </c>
      <c r="AD3" s="158" t="s">
        <v>251</v>
      </c>
      <c r="AE3" s="159" t="s">
        <v>171</v>
      </c>
      <c r="AF3" s="159" t="s">
        <v>172</v>
      </c>
      <c r="AG3" s="159" t="s">
        <v>173</v>
      </c>
      <c r="AH3" s="159" t="s">
        <v>254</v>
      </c>
      <c r="AI3" s="159" t="s">
        <v>255</v>
      </c>
      <c r="AJ3" s="159" t="s">
        <v>256</v>
      </c>
      <c r="AK3" s="159" t="s">
        <v>257</v>
      </c>
      <c r="AL3" s="159" t="s">
        <v>258</v>
      </c>
      <c r="AM3" s="159" t="s">
        <v>259</v>
      </c>
      <c r="AN3" s="159" t="s">
        <v>260</v>
      </c>
      <c r="AO3" s="159" t="s">
        <v>261</v>
      </c>
      <c r="AP3" s="159" t="s">
        <v>262</v>
      </c>
      <c r="AQ3" s="159" t="s">
        <v>263</v>
      </c>
      <c r="AR3" s="159" t="s">
        <v>264</v>
      </c>
      <c r="AS3" s="159" t="s">
        <v>267</v>
      </c>
      <c r="AT3" s="159" t="s">
        <v>268</v>
      </c>
      <c r="AU3" s="159" t="s">
        <v>266</v>
      </c>
      <c r="AV3" s="159" t="s">
        <v>265</v>
      </c>
      <c r="AW3" s="159" t="s">
        <v>269</v>
      </c>
      <c r="AX3" s="159" t="s">
        <v>270</v>
      </c>
      <c r="AY3" s="160" t="s">
        <v>174</v>
      </c>
    </row>
    <row r="4" spans="1:51" ht="15.75" x14ac:dyDescent="0.25">
      <c r="A4" s="161" t="e">
        <f t="array" ref="A4:A17">NoBlanks('Файл оценки'!#REF!)</f>
        <v>#VALUE!</v>
      </c>
      <c r="B4" s="258"/>
      <c r="C4" s="162" t="e">
        <f t="shared" ref="C4:C42" si="0">SUM(E4:AX4)</f>
        <v>#REF!</v>
      </c>
      <c r="D4" s="163" t="e">
        <f>AY4/SUM($AY$4:$AY$42)</f>
        <v>#REF!</v>
      </c>
      <c r="E4" s="164"/>
      <c r="F4" s="164"/>
      <c r="G4" s="164"/>
      <c r="H4" s="164"/>
      <c r="I4" s="164"/>
      <c r="J4" s="164" t="e">
        <f>SUMIFS('Файл оценки'!#REF!,'Файл оценки'!#REF!,'Трудозатраты ПК'!$A4,'Файл оценки'!#REF!,'Трудозатраты ПК'!J$46)</f>
        <v>#REF!</v>
      </c>
      <c r="K4" s="164" t="e">
        <f>SUMIFS('Файл оценки'!#REF!,'Файл оценки'!#REF!,'Трудозатраты ПК'!$A4,'Файл оценки'!#REF!,'Трудозатраты ПК'!K$46)</f>
        <v>#REF!</v>
      </c>
      <c r="L4" s="164" t="e">
        <f>SUMIFS('Файл оценки'!#REF!,'Файл оценки'!#REF!,'Трудозатраты ПК'!$A4,'Файл оценки'!#REF!,'Трудозатраты ПК'!L$46)</f>
        <v>#REF!</v>
      </c>
      <c r="M4" s="164" t="e">
        <f>SUMIFS('Файл оценки'!#REF!,'Файл оценки'!#REF!,'Трудозатраты ПК'!$A4,'Файл оценки'!#REF!,'Трудозатраты ПК'!M$46)</f>
        <v>#REF!</v>
      </c>
      <c r="N4" s="164" t="e">
        <f>SUMIFS('Файл оценки'!#REF!,'Файл оценки'!#REF!,'Трудозатраты ПК'!$A4,'Файл оценки'!#REF!,'Трудозатраты ПК'!N$46)</f>
        <v>#REF!</v>
      </c>
      <c r="O4" s="164" t="e">
        <f>SUMIFS('Файл оценки'!#REF!,'Файл оценки'!#REF!,'Трудозатраты ПК'!$A4,'Файл оценки'!#REF!,'Трудозатраты ПК'!O$46)</f>
        <v>#REF!</v>
      </c>
      <c r="P4" s="164" t="e">
        <f>SUMIFS('Файл оценки'!#REF!,'Файл оценки'!#REF!,'Трудозатраты ПК'!$A4,'Файл оценки'!#REF!,'Трудозатраты ПК'!P$46)</f>
        <v>#REF!</v>
      </c>
      <c r="Q4" s="164" t="e">
        <f>SUMIFS('Файл оценки'!#REF!,'Файл оценки'!#REF!,'Трудозатраты ПК'!$A4,'Файл оценки'!#REF!,'Трудозатраты ПК'!Q$46)</f>
        <v>#REF!</v>
      </c>
      <c r="R4" s="164" t="e">
        <f>SUMIFS('Файл оценки'!#REF!,'Файл оценки'!#REF!,'Трудозатраты ПК'!$A4,'Файл оценки'!#REF!,'Трудозатраты ПК'!R$46)</f>
        <v>#REF!</v>
      </c>
      <c r="S4" s="164" t="e">
        <f>SUMIFS('Файл оценки'!#REF!,'Файл оценки'!#REF!,'Трудозатраты ПК'!$A4,'Файл оценки'!#REF!,'Трудозатраты ПК'!S$46)</f>
        <v>#REF!</v>
      </c>
      <c r="T4" s="164" t="e">
        <f>SUMIFS('Файл оценки'!#REF!,'Файл оценки'!#REF!,'Трудозатраты ПК'!$A4,'Файл оценки'!#REF!,'Трудозатраты ПК'!T$46)</f>
        <v>#REF!</v>
      </c>
      <c r="U4" s="164" t="e">
        <f>SUMIFS('Файл оценки'!#REF!,'Файл оценки'!#REF!,'Трудозатраты ПК'!$A4,'Файл оценки'!#REF!,'Трудозатраты ПК'!U$46)</f>
        <v>#REF!</v>
      </c>
      <c r="V4" s="164" t="e">
        <f>SUMIFS('Файл оценки'!#REF!,'Файл оценки'!#REF!,'Трудозатраты ПК'!$A4,'Файл оценки'!#REF!,'Трудозатраты ПК'!V$46)</f>
        <v>#REF!</v>
      </c>
      <c r="W4" s="164" t="e">
        <f>SUMIFS('Файл оценки'!#REF!,'Файл оценки'!#REF!,'Трудозатраты ПК'!$A4,'Файл оценки'!#REF!,'Трудозатраты ПК'!W$46)</f>
        <v>#REF!</v>
      </c>
      <c r="X4" s="164" t="e">
        <f>SUMIFS('Файл оценки'!#REF!,'Файл оценки'!#REF!,'Трудозатраты ПК'!$A4,'Файл оценки'!#REF!,'Трудозатраты ПК'!X$46)</f>
        <v>#REF!</v>
      </c>
      <c r="Y4" s="164" t="e">
        <f>SUMIFS('Файл оценки'!#REF!,'Файл оценки'!#REF!,'Трудозатраты ПК'!$A4,'Файл оценки'!#REF!,'Трудозатраты ПК'!Y$46)</f>
        <v>#REF!</v>
      </c>
      <c r="Z4" s="164" t="e">
        <f>SUMIFS('Файл оценки'!#REF!,'Файл оценки'!#REF!,'Трудозатраты ПК'!$A4,'Файл оценки'!#REF!,'Трудозатраты ПК'!Z$46)</f>
        <v>#REF!</v>
      </c>
      <c r="AA4" s="164" t="e">
        <f>SUMIFS('Файл оценки'!#REF!,'Файл оценки'!#REF!,'Трудозатраты ПК'!$A4,'Файл оценки'!#REF!,'Трудозатраты ПК'!AA$46)</f>
        <v>#REF!</v>
      </c>
      <c r="AB4" s="164" t="e">
        <f>SUMIFS('Файл оценки'!#REF!,'Файл оценки'!#REF!,'Трудозатраты ПК'!$A4,'Файл оценки'!#REF!,'Трудозатраты ПК'!AB$46)</f>
        <v>#REF!</v>
      </c>
      <c r="AC4" s="164" t="e">
        <f>SUMIFS('Файл оценки'!#REF!,'Файл оценки'!#REF!,'Трудозатраты ПК'!$A4,'Файл оценки'!#REF!,'Трудозатраты ПК'!AC$46)</f>
        <v>#REF!</v>
      </c>
      <c r="AD4" s="164" t="e">
        <f>SUMIFS('Файл оценки'!#REF!,'Файл оценки'!#REF!,'Трудозатраты ПК'!$A4,'Файл оценки'!#REF!,'Трудозатраты ПК'!AD$46)</f>
        <v>#REF!</v>
      </c>
      <c r="AE4" s="164" t="e">
        <f>SUMIFS('Файл оценки'!#REF!,'Файл оценки'!#REF!,'Трудозатраты ПК'!$A4,'Файл оценки'!#REF!,'Трудозатраты ПК'!AE$46)</f>
        <v>#REF!</v>
      </c>
      <c r="AF4" s="164" t="e">
        <f>SUMIFS('Файл оценки'!#REF!,'Файл оценки'!#REF!,'Трудозатраты ПК'!$A4,'Файл оценки'!#REF!,'Трудозатраты ПК'!AF$46)</f>
        <v>#REF!</v>
      </c>
      <c r="AG4" s="164" t="e">
        <f>SUMIFS('Файл оценки'!#REF!,'Файл оценки'!#REF!,'Трудозатраты ПК'!$A4,'Файл оценки'!#REF!,'Трудозатраты ПК'!AG$46)</f>
        <v>#REF!</v>
      </c>
      <c r="AH4" s="164" t="e">
        <f>SUMIFS('Файл оценки'!#REF!,'Файл оценки'!#REF!,'Трудозатраты ПК'!$A4,'Файл оценки'!#REF!,'Трудозатраты ПК'!AH$46)</f>
        <v>#REF!</v>
      </c>
      <c r="AI4" s="164" t="e">
        <f>SUMIFS('Файл оценки'!#REF!,'Файл оценки'!#REF!,'Трудозатраты ПК'!$A4,'Файл оценки'!#REF!,'Трудозатраты ПК'!AI$46)</f>
        <v>#REF!</v>
      </c>
      <c r="AJ4" s="164" t="e">
        <f>SUMIFS('Файл оценки'!#REF!,'Файл оценки'!#REF!,'Трудозатраты ПК'!$A4,'Файл оценки'!#REF!,'Трудозатраты ПК'!AJ$46)</f>
        <v>#REF!</v>
      </c>
      <c r="AK4" s="164" t="e">
        <f>SUMIFS('Файл оценки'!#REF!,'Файл оценки'!#REF!,'Трудозатраты ПК'!$A4,'Файл оценки'!#REF!,'Трудозатраты ПК'!AK$46)</f>
        <v>#REF!</v>
      </c>
      <c r="AL4" s="164" t="e">
        <f>SUMIFS('Файл оценки'!#REF!,'Файл оценки'!#REF!,'Трудозатраты ПК'!$A4,'Файл оценки'!#REF!,'Трудозатраты ПК'!AL$46)</f>
        <v>#REF!</v>
      </c>
      <c r="AM4" s="164" t="e">
        <f>SUMIFS('Файл оценки'!#REF!,'Файл оценки'!#REF!,'Трудозатраты ПК'!$A4,'Файл оценки'!#REF!,'Трудозатраты ПК'!AM$46)</f>
        <v>#REF!</v>
      </c>
      <c r="AN4" s="164" t="e">
        <f>SUMIFS('Файл оценки'!#REF!,'Файл оценки'!#REF!,'Трудозатраты ПК'!$A4,'Файл оценки'!#REF!,'Трудозатраты ПК'!AN$46)</f>
        <v>#REF!</v>
      </c>
      <c r="AO4" s="164" t="e">
        <f>SUMIFS('Файл оценки'!#REF!,'Файл оценки'!#REF!,'Трудозатраты ПК'!$A4,'Файл оценки'!#REF!,'Трудозатраты ПК'!AO$46)</f>
        <v>#REF!</v>
      </c>
      <c r="AP4" s="164" t="e">
        <f>SUMIFS('Файл оценки'!#REF!,'Файл оценки'!#REF!,'Трудозатраты ПК'!$A4,'Файл оценки'!#REF!,'Трудозатраты ПК'!AP$46)</f>
        <v>#REF!</v>
      </c>
      <c r="AQ4" s="164" t="e">
        <f>SUMIFS('Файл оценки'!#REF!,'Файл оценки'!#REF!,'Трудозатраты ПК'!$A4,'Файл оценки'!#REF!,'Трудозатраты ПК'!AQ$46)</f>
        <v>#REF!</v>
      </c>
      <c r="AR4" s="164" t="e">
        <f>SUMIFS('Файл оценки'!#REF!,'Файл оценки'!#REF!,'Трудозатраты ПК'!$A4,'Файл оценки'!#REF!,'Трудозатраты ПК'!AR$46)</f>
        <v>#REF!</v>
      </c>
      <c r="AS4" s="164" t="e">
        <f>SUMIFS('Файл оценки'!#REF!,'Файл оценки'!#REF!,'Трудозатраты ПК'!$A4,'Файл оценки'!#REF!,'Трудозатраты ПК'!AS$46)</f>
        <v>#REF!</v>
      </c>
      <c r="AT4" s="164" t="e">
        <f>SUMIFS('Файл оценки'!#REF!,'Файл оценки'!#REF!,'Трудозатраты ПК'!$A4,'Файл оценки'!#REF!,'Трудозатраты ПК'!AT$46)</f>
        <v>#REF!</v>
      </c>
      <c r="AU4" s="164" t="e">
        <f>SUMIFS('Файл оценки'!#REF!,'Файл оценки'!#REF!,'Трудозатраты ПК'!$A4,'Файл оценки'!#REF!,'Трудозатраты ПК'!AU$46)</f>
        <v>#REF!</v>
      </c>
      <c r="AV4" s="164" t="e">
        <f>SUMIFS('Файл оценки'!#REF!,'Файл оценки'!#REF!,'Трудозатраты ПК'!$A4,'Файл оценки'!#REF!,'Трудозатраты ПК'!AV$46)</f>
        <v>#REF!</v>
      </c>
      <c r="AW4" s="164" t="e">
        <f>SUMIFS('Файл оценки'!#REF!,'Файл оценки'!#REF!,'Трудозатраты ПК'!$A4,'Файл оценки'!#REF!,'Трудозатраты ПК'!AW$46)</f>
        <v>#REF!</v>
      </c>
      <c r="AX4" s="164" t="e">
        <f>SUMIFS('Файл оценки'!#REF!,'Файл оценки'!#REF!,'Трудозатраты ПК'!$A4,'Файл оценки'!#REF!,'Трудозатраты ПК'!AX$46)</f>
        <v>#REF!</v>
      </c>
      <c r="AY4" s="165" t="e">
        <f t="shared" ref="AY4:AY42" si="1">(Z4*$Z$44+Y4*$Y$44+X4*$X$44+W4*$W$44+V4*$V$44+U4*$U$44+T4*$T$44+R4*$R$44+Q4*$Q$44+P4*$P$44+O4*$O$44+N4*$N$44+M4*$M$44+L4*$L$44+J4*$J$44+I4*$I$44+G4*$G$44+F4*$F$44+E4*$E$44+AA4*$AA$44+AB4*$AB$44+AC4*$AC$44+AE4*$AE$44+AF4*$AF$44+AX4*$AX$44)/$C$47</f>
        <v>#REF!</v>
      </c>
    </row>
    <row r="5" spans="1:51" ht="15.75" x14ac:dyDescent="0.25">
      <c r="A5" s="161" t="e">
        <v>#VALUE!</v>
      </c>
      <c r="B5" s="258"/>
      <c r="C5" s="162" t="e">
        <f t="shared" si="0"/>
        <v>#REF!</v>
      </c>
      <c r="D5" s="163" t="e">
        <f t="shared" ref="D5:D42" si="2">AY5/SUM($AY$4:$AY$42)</f>
        <v>#REF!</v>
      </c>
      <c r="E5" s="164"/>
      <c r="F5" s="164"/>
      <c r="G5" s="164"/>
      <c r="H5" s="164"/>
      <c r="I5" s="164"/>
      <c r="J5" s="164" t="e">
        <f>SUMIFS('Файл оценки'!#REF!,'Файл оценки'!#REF!,'Трудозатраты ПК'!$A5,'Файл оценки'!#REF!,'Трудозатраты ПК'!J$46)</f>
        <v>#REF!</v>
      </c>
      <c r="K5" s="164" t="e">
        <f>SUMIFS('Файл оценки'!#REF!,'Файл оценки'!#REF!,'Трудозатраты ПК'!$A5,'Файл оценки'!#REF!,'Трудозатраты ПК'!K$46)</f>
        <v>#REF!</v>
      </c>
      <c r="L5" s="164" t="e">
        <f>SUMIFS('Файл оценки'!#REF!,'Файл оценки'!#REF!,'Трудозатраты ПК'!$A5,'Файл оценки'!#REF!,'Трудозатраты ПК'!L$46)</f>
        <v>#REF!</v>
      </c>
      <c r="M5" s="164" t="e">
        <f>SUMIFS('Файл оценки'!#REF!,'Файл оценки'!#REF!,'Трудозатраты ПК'!$A5,'Файл оценки'!#REF!,'Трудозатраты ПК'!M$46)</f>
        <v>#REF!</v>
      </c>
      <c r="N5" s="164" t="e">
        <f>SUMIFS('Файл оценки'!#REF!,'Файл оценки'!#REF!,'Трудозатраты ПК'!$A5,'Файл оценки'!#REF!,'Трудозатраты ПК'!N$46)</f>
        <v>#REF!</v>
      </c>
      <c r="O5" s="164" t="e">
        <f>SUMIFS('Файл оценки'!#REF!,'Файл оценки'!#REF!,'Трудозатраты ПК'!$A5,'Файл оценки'!#REF!,'Трудозатраты ПК'!O$46)</f>
        <v>#REF!</v>
      </c>
      <c r="P5" s="164" t="e">
        <f>SUMIFS('Файл оценки'!#REF!,'Файл оценки'!#REF!,'Трудозатраты ПК'!$A5,'Файл оценки'!#REF!,'Трудозатраты ПК'!P$46)</f>
        <v>#REF!</v>
      </c>
      <c r="Q5" s="164" t="e">
        <f>SUMIFS('Файл оценки'!#REF!,'Файл оценки'!#REF!,'Трудозатраты ПК'!$A5,'Файл оценки'!#REF!,'Трудозатраты ПК'!Q$46)</f>
        <v>#REF!</v>
      </c>
      <c r="R5" s="164" t="e">
        <f>SUMIFS('Файл оценки'!#REF!,'Файл оценки'!#REF!,'Трудозатраты ПК'!$A5,'Файл оценки'!#REF!,'Трудозатраты ПК'!R$46)</f>
        <v>#REF!</v>
      </c>
      <c r="S5" s="164" t="e">
        <f>SUMIFS('Файл оценки'!#REF!,'Файл оценки'!#REF!,'Трудозатраты ПК'!$A5,'Файл оценки'!#REF!,'Трудозатраты ПК'!S$46)</f>
        <v>#REF!</v>
      </c>
      <c r="T5" s="164" t="e">
        <f>SUMIFS('Файл оценки'!#REF!,'Файл оценки'!#REF!,'Трудозатраты ПК'!$A5,'Файл оценки'!#REF!,'Трудозатраты ПК'!T$46)</f>
        <v>#REF!</v>
      </c>
      <c r="U5" s="164" t="e">
        <f>SUMIFS('Файл оценки'!#REF!,'Файл оценки'!#REF!,'Трудозатраты ПК'!$A5,'Файл оценки'!#REF!,'Трудозатраты ПК'!U$46)</f>
        <v>#REF!</v>
      </c>
      <c r="V5" s="164" t="e">
        <f>SUMIFS('Файл оценки'!#REF!,'Файл оценки'!#REF!,'Трудозатраты ПК'!$A5,'Файл оценки'!#REF!,'Трудозатраты ПК'!V$46)</f>
        <v>#REF!</v>
      </c>
      <c r="W5" s="164" t="e">
        <f>SUMIFS('Файл оценки'!#REF!,'Файл оценки'!#REF!,'Трудозатраты ПК'!$A5,'Файл оценки'!#REF!,'Трудозатраты ПК'!W$46)</f>
        <v>#REF!</v>
      </c>
      <c r="X5" s="164" t="e">
        <f>SUMIFS('Файл оценки'!#REF!,'Файл оценки'!#REF!,'Трудозатраты ПК'!$A5,'Файл оценки'!#REF!,'Трудозатраты ПК'!X$46)</f>
        <v>#REF!</v>
      </c>
      <c r="Y5" s="164" t="e">
        <f>SUMIFS('Файл оценки'!#REF!,'Файл оценки'!#REF!,'Трудозатраты ПК'!$A5,'Файл оценки'!#REF!,'Трудозатраты ПК'!Y$46)</f>
        <v>#REF!</v>
      </c>
      <c r="Z5" s="164" t="e">
        <f>SUMIFS('Файл оценки'!#REF!,'Файл оценки'!#REF!,'Трудозатраты ПК'!$A5,'Файл оценки'!#REF!,'Трудозатраты ПК'!Z$46)</f>
        <v>#REF!</v>
      </c>
      <c r="AA5" s="164" t="e">
        <f>SUMIFS('Файл оценки'!#REF!,'Файл оценки'!#REF!,'Трудозатраты ПК'!$A5,'Файл оценки'!#REF!,'Трудозатраты ПК'!AA$46)</f>
        <v>#REF!</v>
      </c>
      <c r="AB5" s="164" t="e">
        <f>SUMIFS('Файл оценки'!#REF!,'Файл оценки'!#REF!,'Трудозатраты ПК'!$A5,'Файл оценки'!#REF!,'Трудозатраты ПК'!AB$46)</f>
        <v>#REF!</v>
      </c>
      <c r="AC5" s="164" t="e">
        <f>SUMIFS('Файл оценки'!#REF!,'Файл оценки'!#REF!,'Трудозатраты ПК'!$A5,'Файл оценки'!#REF!,'Трудозатраты ПК'!AC$46)</f>
        <v>#REF!</v>
      </c>
      <c r="AD5" s="164" t="e">
        <f>SUMIFS('Файл оценки'!#REF!,'Файл оценки'!#REF!,'Трудозатраты ПК'!$A5,'Файл оценки'!#REF!,'Трудозатраты ПК'!AD$46)</f>
        <v>#REF!</v>
      </c>
      <c r="AE5" s="164" t="e">
        <f>SUMIFS('Файл оценки'!#REF!,'Файл оценки'!#REF!,'Трудозатраты ПК'!$A5,'Файл оценки'!#REF!,'Трудозатраты ПК'!AE$46)</f>
        <v>#REF!</v>
      </c>
      <c r="AF5" s="164" t="e">
        <f>SUMIFS('Файл оценки'!#REF!,'Файл оценки'!#REF!,'Трудозатраты ПК'!$A5,'Файл оценки'!#REF!,'Трудозатраты ПК'!AF$46)</f>
        <v>#REF!</v>
      </c>
      <c r="AG5" s="164" t="e">
        <f>SUMIFS('Файл оценки'!#REF!,'Файл оценки'!#REF!,'Трудозатраты ПК'!$A5,'Файл оценки'!#REF!,'Трудозатраты ПК'!AG$46)</f>
        <v>#REF!</v>
      </c>
      <c r="AH5" s="164" t="e">
        <f>SUMIFS('Файл оценки'!#REF!,'Файл оценки'!#REF!,'Трудозатраты ПК'!$A5,'Файл оценки'!#REF!,'Трудозатраты ПК'!AH$46)</f>
        <v>#REF!</v>
      </c>
      <c r="AI5" s="164" t="e">
        <f>SUMIFS('Файл оценки'!#REF!,'Файл оценки'!#REF!,'Трудозатраты ПК'!$A5,'Файл оценки'!#REF!,'Трудозатраты ПК'!AI$46)</f>
        <v>#REF!</v>
      </c>
      <c r="AJ5" s="164" t="e">
        <f>SUMIFS('Файл оценки'!#REF!,'Файл оценки'!#REF!,'Трудозатраты ПК'!$A5,'Файл оценки'!#REF!,'Трудозатраты ПК'!AJ$46)</f>
        <v>#REF!</v>
      </c>
      <c r="AK5" s="164" t="e">
        <f>SUMIFS('Файл оценки'!#REF!,'Файл оценки'!#REF!,'Трудозатраты ПК'!$A5,'Файл оценки'!#REF!,'Трудозатраты ПК'!AK$46)</f>
        <v>#REF!</v>
      </c>
      <c r="AL5" s="164" t="e">
        <f>SUMIFS('Файл оценки'!#REF!,'Файл оценки'!#REF!,'Трудозатраты ПК'!$A5,'Файл оценки'!#REF!,'Трудозатраты ПК'!AL$46)</f>
        <v>#REF!</v>
      </c>
      <c r="AM5" s="164" t="e">
        <f>SUMIFS('Файл оценки'!#REF!,'Файл оценки'!#REF!,'Трудозатраты ПК'!$A5,'Файл оценки'!#REF!,'Трудозатраты ПК'!AM$46)</f>
        <v>#REF!</v>
      </c>
      <c r="AN5" s="164" t="e">
        <f>SUMIFS('Файл оценки'!#REF!,'Файл оценки'!#REF!,'Трудозатраты ПК'!$A5,'Файл оценки'!#REF!,'Трудозатраты ПК'!AN$46)</f>
        <v>#REF!</v>
      </c>
      <c r="AO5" s="164" t="e">
        <f>SUMIFS('Файл оценки'!#REF!,'Файл оценки'!#REF!,'Трудозатраты ПК'!$A5,'Файл оценки'!#REF!,'Трудозатраты ПК'!AO$46)</f>
        <v>#REF!</v>
      </c>
      <c r="AP5" s="164" t="e">
        <f>SUMIFS('Файл оценки'!#REF!,'Файл оценки'!#REF!,'Трудозатраты ПК'!$A5,'Файл оценки'!#REF!,'Трудозатраты ПК'!AP$46)</f>
        <v>#REF!</v>
      </c>
      <c r="AQ5" s="164" t="e">
        <f>SUMIFS('Файл оценки'!#REF!,'Файл оценки'!#REF!,'Трудозатраты ПК'!$A5,'Файл оценки'!#REF!,'Трудозатраты ПК'!AQ$46)</f>
        <v>#REF!</v>
      </c>
      <c r="AR5" s="164" t="e">
        <f>SUMIFS('Файл оценки'!#REF!,'Файл оценки'!#REF!,'Трудозатраты ПК'!$A5,'Файл оценки'!#REF!,'Трудозатраты ПК'!AR$46)</f>
        <v>#REF!</v>
      </c>
      <c r="AS5" s="164" t="e">
        <f>SUMIFS('Файл оценки'!#REF!,'Файл оценки'!#REF!,'Трудозатраты ПК'!$A5,'Файл оценки'!#REF!,'Трудозатраты ПК'!AS$46)</f>
        <v>#REF!</v>
      </c>
      <c r="AT5" s="164" t="e">
        <f>SUMIFS('Файл оценки'!#REF!,'Файл оценки'!#REF!,'Трудозатраты ПК'!$A5,'Файл оценки'!#REF!,'Трудозатраты ПК'!AT$46)</f>
        <v>#REF!</v>
      </c>
      <c r="AU5" s="164" t="e">
        <f>SUMIFS('Файл оценки'!#REF!,'Файл оценки'!#REF!,'Трудозатраты ПК'!$A5,'Файл оценки'!#REF!,'Трудозатраты ПК'!AU$46)</f>
        <v>#REF!</v>
      </c>
      <c r="AV5" s="164" t="e">
        <f>SUMIFS('Файл оценки'!#REF!,'Файл оценки'!#REF!,'Трудозатраты ПК'!$A5,'Файл оценки'!#REF!,'Трудозатраты ПК'!AV$46)</f>
        <v>#REF!</v>
      </c>
      <c r="AW5" s="164" t="e">
        <f>SUMIFS('Файл оценки'!#REF!,'Файл оценки'!#REF!,'Трудозатраты ПК'!$A5,'Файл оценки'!#REF!,'Трудозатраты ПК'!AW$46)</f>
        <v>#REF!</v>
      </c>
      <c r="AX5" s="164" t="e">
        <f>SUMIFS('Файл оценки'!#REF!,'Файл оценки'!#REF!,'Трудозатраты ПК'!$A5,'Файл оценки'!#REF!,'Трудозатраты ПК'!AX$46)</f>
        <v>#REF!</v>
      </c>
      <c r="AY5" s="165" t="e">
        <f t="shared" si="1"/>
        <v>#REF!</v>
      </c>
    </row>
    <row r="6" spans="1:51" ht="15.75" x14ac:dyDescent="0.25">
      <c r="A6" s="161" t="e">
        <v>#VALUE!</v>
      </c>
      <c r="B6" s="258"/>
      <c r="C6" s="162" t="e">
        <f t="shared" si="0"/>
        <v>#REF!</v>
      </c>
      <c r="D6" s="163" t="e">
        <f t="shared" si="2"/>
        <v>#REF!</v>
      </c>
      <c r="E6" s="164"/>
      <c r="F6" s="164"/>
      <c r="G6" s="164"/>
      <c r="H6" s="164"/>
      <c r="I6" s="164"/>
      <c r="J6" s="164" t="e">
        <f>SUMIFS('Файл оценки'!#REF!,'Файл оценки'!#REF!,'Трудозатраты ПК'!$A6,'Файл оценки'!#REF!,'Трудозатраты ПК'!J$46)</f>
        <v>#REF!</v>
      </c>
      <c r="K6" s="164" t="e">
        <f>SUMIFS('Файл оценки'!#REF!,'Файл оценки'!#REF!,'Трудозатраты ПК'!$A6,'Файл оценки'!#REF!,'Трудозатраты ПК'!K$46)</f>
        <v>#REF!</v>
      </c>
      <c r="L6" s="164" t="e">
        <f>SUMIFS('Файл оценки'!#REF!,'Файл оценки'!#REF!,'Трудозатраты ПК'!$A6,'Файл оценки'!#REF!,'Трудозатраты ПК'!L$46)</f>
        <v>#REF!</v>
      </c>
      <c r="M6" s="164" t="e">
        <f>SUMIFS('Файл оценки'!#REF!,'Файл оценки'!#REF!,'Трудозатраты ПК'!$A6,'Файл оценки'!#REF!,'Трудозатраты ПК'!M$46)</f>
        <v>#REF!</v>
      </c>
      <c r="N6" s="164" t="e">
        <f>SUMIFS('Файл оценки'!#REF!,'Файл оценки'!#REF!,'Трудозатраты ПК'!$A6,'Файл оценки'!#REF!,'Трудозатраты ПК'!N$46)</f>
        <v>#REF!</v>
      </c>
      <c r="O6" s="164" t="e">
        <f>SUMIFS('Файл оценки'!#REF!,'Файл оценки'!#REF!,'Трудозатраты ПК'!$A6,'Файл оценки'!#REF!,'Трудозатраты ПК'!O$46)</f>
        <v>#REF!</v>
      </c>
      <c r="P6" s="164" t="e">
        <f>SUMIFS('Файл оценки'!#REF!,'Файл оценки'!#REF!,'Трудозатраты ПК'!$A6,'Файл оценки'!#REF!,'Трудозатраты ПК'!P$46)</f>
        <v>#REF!</v>
      </c>
      <c r="Q6" s="164" t="e">
        <f>SUMIFS('Файл оценки'!#REF!,'Файл оценки'!#REF!,'Трудозатраты ПК'!$A6,'Файл оценки'!#REF!,'Трудозатраты ПК'!Q$46)</f>
        <v>#REF!</v>
      </c>
      <c r="R6" s="164" t="e">
        <f>SUMIFS('Файл оценки'!#REF!,'Файл оценки'!#REF!,'Трудозатраты ПК'!$A6,'Файл оценки'!#REF!,'Трудозатраты ПК'!R$46)</f>
        <v>#REF!</v>
      </c>
      <c r="S6" s="164" t="e">
        <f>SUMIFS('Файл оценки'!#REF!,'Файл оценки'!#REF!,'Трудозатраты ПК'!$A6,'Файл оценки'!#REF!,'Трудозатраты ПК'!S$46)</f>
        <v>#REF!</v>
      </c>
      <c r="T6" s="164" t="e">
        <f>SUMIFS('Файл оценки'!#REF!,'Файл оценки'!#REF!,'Трудозатраты ПК'!$A6,'Файл оценки'!#REF!,'Трудозатраты ПК'!T$46)</f>
        <v>#REF!</v>
      </c>
      <c r="U6" s="164" t="e">
        <f>SUMIFS('Файл оценки'!#REF!,'Файл оценки'!#REF!,'Трудозатраты ПК'!$A6,'Файл оценки'!#REF!,'Трудозатраты ПК'!U$46)</f>
        <v>#REF!</v>
      </c>
      <c r="V6" s="164" t="e">
        <f>SUMIFS('Файл оценки'!#REF!,'Файл оценки'!#REF!,'Трудозатраты ПК'!$A6,'Файл оценки'!#REF!,'Трудозатраты ПК'!V$46)</f>
        <v>#REF!</v>
      </c>
      <c r="W6" s="164" t="e">
        <f>SUMIFS('Файл оценки'!#REF!,'Файл оценки'!#REF!,'Трудозатраты ПК'!$A6,'Файл оценки'!#REF!,'Трудозатраты ПК'!W$46)</f>
        <v>#REF!</v>
      </c>
      <c r="X6" s="164" t="e">
        <f>SUMIFS('Файл оценки'!#REF!,'Файл оценки'!#REF!,'Трудозатраты ПК'!$A6,'Файл оценки'!#REF!,'Трудозатраты ПК'!X$46)</f>
        <v>#REF!</v>
      </c>
      <c r="Y6" s="164" t="e">
        <f>SUMIFS('Файл оценки'!#REF!,'Файл оценки'!#REF!,'Трудозатраты ПК'!$A6,'Файл оценки'!#REF!,'Трудозатраты ПК'!Y$46)</f>
        <v>#REF!</v>
      </c>
      <c r="Z6" s="164" t="e">
        <f>SUMIFS('Файл оценки'!#REF!,'Файл оценки'!#REF!,'Трудозатраты ПК'!$A6,'Файл оценки'!#REF!,'Трудозатраты ПК'!Z$46)</f>
        <v>#REF!</v>
      </c>
      <c r="AA6" s="164" t="e">
        <f>SUMIFS('Файл оценки'!#REF!,'Файл оценки'!#REF!,'Трудозатраты ПК'!$A6,'Файл оценки'!#REF!,'Трудозатраты ПК'!AA$46)</f>
        <v>#REF!</v>
      </c>
      <c r="AB6" s="164" t="e">
        <f>SUMIFS('Файл оценки'!#REF!,'Файл оценки'!#REF!,'Трудозатраты ПК'!$A6,'Файл оценки'!#REF!,'Трудозатраты ПК'!AB$46)</f>
        <v>#REF!</v>
      </c>
      <c r="AC6" s="164" t="e">
        <f>SUMIFS('Файл оценки'!#REF!,'Файл оценки'!#REF!,'Трудозатраты ПК'!$A6,'Файл оценки'!#REF!,'Трудозатраты ПК'!AC$46)</f>
        <v>#REF!</v>
      </c>
      <c r="AD6" s="164" t="e">
        <f>SUMIFS('Файл оценки'!#REF!,'Файл оценки'!#REF!,'Трудозатраты ПК'!$A6,'Файл оценки'!#REF!,'Трудозатраты ПК'!AD$46)</f>
        <v>#REF!</v>
      </c>
      <c r="AE6" s="164" t="e">
        <f>SUMIFS('Файл оценки'!#REF!,'Файл оценки'!#REF!,'Трудозатраты ПК'!$A6,'Файл оценки'!#REF!,'Трудозатраты ПК'!AE$46)</f>
        <v>#REF!</v>
      </c>
      <c r="AF6" s="164" t="e">
        <f>SUMIFS('Файл оценки'!#REF!,'Файл оценки'!#REF!,'Трудозатраты ПК'!$A6,'Файл оценки'!#REF!,'Трудозатраты ПК'!AF$46)</f>
        <v>#REF!</v>
      </c>
      <c r="AG6" s="164" t="e">
        <f>SUMIFS('Файл оценки'!#REF!,'Файл оценки'!#REF!,'Трудозатраты ПК'!$A6,'Файл оценки'!#REF!,'Трудозатраты ПК'!AG$46)</f>
        <v>#REF!</v>
      </c>
      <c r="AH6" s="164" t="e">
        <f>SUMIFS('Файл оценки'!#REF!,'Файл оценки'!#REF!,'Трудозатраты ПК'!$A6,'Файл оценки'!#REF!,'Трудозатраты ПК'!AH$46)</f>
        <v>#REF!</v>
      </c>
      <c r="AI6" s="164" t="e">
        <f>SUMIFS('Файл оценки'!#REF!,'Файл оценки'!#REF!,'Трудозатраты ПК'!$A6,'Файл оценки'!#REF!,'Трудозатраты ПК'!AI$46)</f>
        <v>#REF!</v>
      </c>
      <c r="AJ6" s="164" t="e">
        <f>SUMIFS('Файл оценки'!#REF!,'Файл оценки'!#REF!,'Трудозатраты ПК'!$A6,'Файл оценки'!#REF!,'Трудозатраты ПК'!AJ$46)</f>
        <v>#REF!</v>
      </c>
      <c r="AK6" s="164" t="e">
        <f>SUMIFS('Файл оценки'!#REF!,'Файл оценки'!#REF!,'Трудозатраты ПК'!$A6,'Файл оценки'!#REF!,'Трудозатраты ПК'!AK$46)</f>
        <v>#REF!</v>
      </c>
      <c r="AL6" s="164" t="e">
        <f>SUMIFS('Файл оценки'!#REF!,'Файл оценки'!#REF!,'Трудозатраты ПК'!$A6,'Файл оценки'!#REF!,'Трудозатраты ПК'!AL$46)</f>
        <v>#REF!</v>
      </c>
      <c r="AM6" s="164" t="e">
        <f>SUMIFS('Файл оценки'!#REF!,'Файл оценки'!#REF!,'Трудозатраты ПК'!$A6,'Файл оценки'!#REF!,'Трудозатраты ПК'!AM$46)</f>
        <v>#REF!</v>
      </c>
      <c r="AN6" s="164" t="e">
        <f>SUMIFS('Файл оценки'!#REF!,'Файл оценки'!#REF!,'Трудозатраты ПК'!$A6,'Файл оценки'!#REF!,'Трудозатраты ПК'!AN$46)</f>
        <v>#REF!</v>
      </c>
      <c r="AO6" s="164" t="e">
        <f>SUMIFS('Файл оценки'!#REF!,'Файл оценки'!#REF!,'Трудозатраты ПК'!$A6,'Файл оценки'!#REF!,'Трудозатраты ПК'!AO$46)</f>
        <v>#REF!</v>
      </c>
      <c r="AP6" s="164" t="e">
        <f>SUMIFS('Файл оценки'!#REF!,'Файл оценки'!#REF!,'Трудозатраты ПК'!$A6,'Файл оценки'!#REF!,'Трудозатраты ПК'!AP$46)</f>
        <v>#REF!</v>
      </c>
      <c r="AQ6" s="164" t="e">
        <f>SUMIFS('Файл оценки'!#REF!,'Файл оценки'!#REF!,'Трудозатраты ПК'!$A6,'Файл оценки'!#REF!,'Трудозатраты ПК'!AQ$46)</f>
        <v>#REF!</v>
      </c>
      <c r="AR6" s="164" t="e">
        <f>SUMIFS('Файл оценки'!#REF!,'Файл оценки'!#REF!,'Трудозатраты ПК'!$A6,'Файл оценки'!#REF!,'Трудозатраты ПК'!AR$46)</f>
        <v>#REF!</v>
      </c>
      <c r="AS6" s="164" t="e">
        <f>SUMIFS('Файл оценки'!#REF!,'Файл оценки'!#REF!,'Трудозатраты ПК'!$A6,'Файл оценки'!#REF!,'Трудозатраты ПК'!AS$46)</f>
        <v>#REF!</v>
      </c>
      <c r="AT6" s="164" t="e">
        <f>SUMIFS('Файл оценки'!#REF!,'Файл оценки'!#REF!,'Трудозатраты ПК'!$A6,'Файл оценки'!#REF!,'Трудозатраты ПК'!AT$46)</f>
        <v>#REF!</v>
      </c>
      <c r="AU6" s="164" t="e">
        <f>SUMIFS('Файл оценки'!#REF!,'Файл оценки'!#REF!,'Трудозатраты ПК'!$A6,'Файл оценки'!#REF!,'Трудозатраты ПК'!AU$46)</f>
        <v>#REF!</v>
      </c>
      <c r="AV6" s="164" t="e">
        <f>SUMIFS('Файл оценки'!#REF!,'Файл оценки'!#REF!,'Трудозатраты ПК'!$A6,'Файл оценки'!#REF!,'Трудозатраты ПК'!AV$46)</f>
        <v>#REF!</v>
      </c>
      <c r="AW6" s="164" t="e">
        <f>SUMIFS('Файл оценки'!#REF!,'Файл оценки'!#REF!,'Трудозатраты ПК'!$A6,'Файл оценки'!#REF!,'Трудозатраты ПК'!AW$46)</f>
        <v>#REF!</v>
      </c>
      <c r="AX6" s="164" t="e">
        <f>SUMIFS('Файл оценки'!#REF!,'Файл оценки'!#REF!,'Трудозатраты ПК'!$A6,'Файл оценки'!#REF!,'Трудозатраты ПК'!AX$46)</f>
        <v>#REF!</v>
      </c>
      <c r="AY6" s="165" t="e">
        <f t="shared" si="1"/>
        <v>#REF!</v>
      </c>
    </row>
    <row r="7" spans="1:51" ht="15.75" x14ac:dyDescent="0.25">
      <c r="A7" s="161" t="e">
        <v>#VALUE!</v>
      </c>
      <c r="B7" s="258"/>
      <c r="C7" s="162" t="e">
        <f t="shared" si="0"/>
        <v>#REF!</v>
      </c>
      <c r="D7" s="163" t="e">
        <f t="shared" si="2"/>
        <v>#REF!</v>
      </c>
      <c r="E7" s="164"/>
      <c r="F7" s="164"/>
      <c r="G7" s="164"/>
      <c r="H7" s="164"/>
      <c r="I7" s="164"/>
      <c r="J7" s="164" t="e">
        <f>SUMIFS('Файл оценки'!#REF!,'Файл оценки'!#REF!,'Трудозатраты ПК'!$A7,'Файл оценки'!#REF!,'Трудозатраты ПК'!J$46)</f>
        <v>#REF!</v>
      </c>
      <c r="K7" s="164" t="e">
        <f>SUMIFS('Файл оценки'!#REF!,'Файл оценки'!#REF!,'Трудозатраты ПК'!$A7,'Файл оценки'!#REF!,'Трудозатраты ПК'!K$46)</f>
        <v>#REF!</v>
      </c>
      <c r="L7" s="164" t="e">
        <f>SUMIFS('Файл оценки'!#REF!,'Файл оценки'!#REF!,'Трудозатраты ПК'!$A7,'Файл оценки'!#REF!,'Трудозатраты ПК'!L$46)</f>
        <v>#REF!</v>
      </c>
      <c r="M7" s="164" t="e">
        <f>SUMIFS('Файл оценки'!#REF!,'Файл оценки'!#REF!,'Трудозатраты ПК'!$A7,'Файл оценки'!#REF!,'Трудозатраты ПК'!M$46)</f>
        <v>#REF!</v>
      </c>
      <c r="N7" s="164" t="e">
        <f>SUMIFS('Файл оценки'!#REF!,'Файл оценки'!#REF!,'Трудозатраты ПК'!$A7,'Файл оценки'!#REF!,'Трудозатраты ПК'!N$46)</f>
        <v>#REF!</v>
      </c>
      <c r="O7" s="164" t="e">
        <f>SUMIFS('Файл оценки'!#REF!,'Файл оценки'!#REF!,'Трудозатраты ПК'!$A7,'Файл оценки'!#REF!,'Трудозатраты ПК'!O$46)</f>
        <v>#REF!</v>
      </c>
      <c r="P7" s="164" t="e">
        <f>SUMIFS('Файл оценки'!#REF!,'Файл оценки'!#REF!,'Трудозатраты ПК'!$A7,'Файл оценки'!#REF!,'Трудозатраты ПК'!P$46)</f>
        <v>#REF!</v>
      </c>
      <c r="Q7" s="164" t="e">
        <f>SUMIFS('Файл оценки'!#REF!,'Файл оценки'!#REF!,'Трудозатраты ПК'!$A7,'Файл оценки'!#REF!,'Трудозатраты ПК'!Q$46)</f>
        <v>#REF!</v>
      </c>
      <c r="R7" s="164" t="e">
        <f>SUMIFS('Файл оценки'!#REF!,'Файл оценки'!#REF!,'Трудозатраты ПК'!$A7,'Файл оценки'!#REF!,'Трудозатраты ПК'!R$46)</f>
        <v>#REF!</v>
      </c>
      <c r="S7" s="164" t="e">
        <f>SUMIFS('Файл оценки'!#REF!,'Файл оценки'!#REF!,'Трудозатраты ПК'!$A7,'Файл оценки'!#REF!,'Трудозатраты ПК'!S$46)</f>
        <v>#REF!</v>
      </c>
      <c r="T7" s="164" t="e">
        <f>SUMIFS('Файл оценки'!#REF!,'Файл оценки'!#REF!,'Трудозатраты ПК'!$A7,'Файл оценки'!#REF!,'Трудозатраты ПК'!T$46)</f>
        <v>#REF!</v>
      </c>
      <c r="U7" s="164" t="e">
        <f>SUMIFS('Файл оценки'!#REF!,'Файл оценки'!#REF!,'Трудозатраты ПК'!$A7,'Файл оценки'!#REF!,'Трудозатраты ПК'!U$46)</f>
        <v>#REF!</v>
      </c>
      <c r="V7" s="164" t="e">
        <f>SUMIFS('Файл оценки'!#REF!,'Файл оценки'!#REF!,'Трудозатраты ПК'!$A7,'Файл оценки'!#REF!,'Трудозатраты ПК'!V$46)</f>
        <v>#REF!</v>
      </c>
      <c r="W7" s="164" t="e">
        <f>SUMIFS('Файл оценки'!#REF!,'Файл оценки'!#REF!,'Трудозатраты ПК'!$A7,'Файл оценки'!#REF!,'Трудозатраты ПК'!W$46)</f>
        <v>#REF!</v>
      </c>
      <c r="X7" s="164" t="e">
        <f>SUMIFS('Файл оценки'!#REF!,'Файл оценки'!#REF!,'Трудозатраты ПК'!$A7,'Файл оценки'!#REF!,'Трудозатраты ПК'!X$46)</f>
        <v>#REF!</v>
      </c>
      <c r="Y7" s="164" t="e">
        <f>SUMIFS('Файл оценки'!#REF!,'Файл оценки'!#REF!,'Трудозатраты ПК'!$A7,'Файл оценки'!#REF!,'Трудозатраты ПК'!Y$46)</f>
        <v>#REF!</v>
      </c>
      <c r="Z7" s="164" t="e">
        <f>SUMIFS('Файл оценки'!#REF!,'Файл оценки'!#REF!,'Трудозатраты ПК'!$A7,'Файл оценки'!#REF!,'Трудозатраты ПК'!Z$46)</f>
        <v>#REF!</v>
      </c>
      <c r="AA7" s="164" t="e">
        <f>SUMIFS('Файл оценки'!#REF!,'Файл оценки'!#REF!,'Трудозатраты ПК'!$A7,'Файл оценки'!#REF!,'Трудозатраты ПК'!AA$46)</f>
        <v>#REF!</v>
      </c>
      <c r="AB7" s="164" t="e">
        <f>SUMIFS('Файл оценки'!#REF!,'Файл оценки'!#REF!,'Трудозатраты ПК'!$A7,'Файл оценки'!#REF!,'Трудозатраты ПК'!AB$46)</f>
        <v>#REF!</v>
      </c>
      <c r="AC7" s="164" t="e">
        <f>SUMIFS('Файл оценки'!#REF!,'Файл оценки'!#REF!,'Трудозатраты ПК'!$A7,'Файл оценки'!#REF!,'Трудозатраты ПК'!AC$46)</f>
        <v>#REF!</v>
      </c>
      <c r="AD7" s="164" t="e">
        <f>SUMIFS('Файл оценки'!#REF!,'Файл оценки'!#REF!,'Трудозатраты ПК'!$A7,'Файл оценки'!#REF!,'Трудозатраты ПК'!AD$46)</f>
        <v>#REF!</v>
      </c>
      <c r="AE7" s="164" t="e">
        <f>SUMIFS('Файл оценки'!#REF!,'Файл оценки'!#REF!,'Трудозатраты ПК'!$A7,'Файл оценки'!#REF!,'Трудозатраты ПК'!AE$46)</f>
        <v>#REF!</v>
      </c>
      <c r="AF7" s="164" t="e">
        <f>SUMIFS('Файл оценки'!#REF!,'Файл оценки'!#REF!,'Трудозатраты ПК'!$A7,'Файл оценки'!#REF!,'Трудозатраты ПК'!AF$46)</f>
        <v>#REF!</v>
      </c>
      <c r="AG7" s="164" t="e">
        <f>SUMIFS('Файл оценки'!#REF!,'Файл оценки'!#REF!,'Трудозатраты ПК'!$A7,'Файл оценки'!#REF!,'Трудозатраты ПК'!AG$46)</f>
        <v>#REF!</v>
      </c>
      <c r="AH7" s="164" t="e">
        <f>SUMIFS('Файл оценки'!#REF!,'Файл оценки'!#REF!,'Трудозатраты ПК'!$A7,'Файл оценки'!#REF!,'Трудозатраты ПК'!AH$46)</f>
        <v>#REF!</v>
      </c>
      <c r="AI7" s="164" t="e">
        <f>SUMIFS('Файл оценки'!#REF!,'Файл оценки'!#REF!,'Трудозатраты ПК'!$A7,'Файл оценки'!#REF!,'Трудозатраты ПК'!AI$46)</f>
        <v>#REF!</v>
      </c>
      <c r="AJ7" s="164" t="e">
        <f>SUMIFS('Файл оценки'!#REF!,'Файл оценки'!#REF!,'Трудозатраты ПК'!$A7,'Файл оценки'!#REF!,'Трудозатраты ПК'!AJ$46)</f>
        <v>#REF!</v>
      </c>
      <c r="AK7" s="164" t="e">
        <f>SUMIFS('Файл оценки'!#REF!,'Файл оценки'!#REF!,'Трудозатраты ПК'!$A7,'Файл оценки'!#REF!,'Трудозатраты ПК'!AK$46)</f>
        <v>#REF!</v>
      </c>
      <c r="AL7" s="164" t="e">
        <f>SUMIFS('Файл оценки'!#REF!,'Файл оценки'!#REF!,'Трудозатраты ПК'!$A7,'Файл оценки'!#REF!,'Трудозатраты ПК'!AL$46)</f>
        <v>#REF!</v>
      </c>
      <c r="AM7" s="164" t="e">
        <f>SUMIFS('Файл оценки'!#REF!,'Файл оценки'!#REF!,'Трудозатраты ПК'!$A7,'Файл оценки'!#REF!,'Трудозатраты ПК'!AM$46)</f>
        <v>#REF!</v>
      </c>
      <c r="AN7" s="164" t="e">
        <f>SUMIFS('Файл оценки'!#REF!,'Файл оценки'!#REF!,'Трудозатраты ПК'!$A7,'Файл оценки'!#REF!,'Трудозатраты ПК'!AN$46)</f>
        <v>#REF!</v>
      </c>
      <c r="AO7" s="164" t="e">
        <f>SUMIFS('Файл оценки'!#REF!,'Файл оценки'!#REF!,'Трудозатраты ПК'!$A7,'Файл оценки'!#REF!,'Трудозатраты ПК'!AO$46)</f>
        <v>#REF!</v>
      </c>
      <c r="AP7" s="164" t="e">
        <f>SUMIFS('Файл оценки'!#REF!,'Файл оценки'!#REF!,'Трудозатраты ПК'!$A7,'Файл оценки'!#REF!,'Трудозатраты ПК'!AP$46)</f>
        <v>#REF!</v>
      </c>
      <c r="AQ7" s="164" t="e">
        <f>SUMIFS('Файл оценки'!#REF!,'Файл оценки'!#REF!,'Трудозатраты ПК'!$A7,'Файл оценки'!#REF!,'Трудозатраты ПК'!AQ$46)</f>
        <v>#REF!</v>
      </c>
      <c r="AR7" s="164" t="e">
        <f>SUMIFS('Файл оценки'!#REF!,'Файл оценки'!#REF!,'Трудозатраты ПК'!$A7,'Файл оценки'!#REF!,'Трудозатраты ПК'!AR$46)</f>
        <v>#REF!</v>
      </c>
      <c r="AS7" s="164" t="e">
        <f>SUMIFS('Файл оценки'!#REF!,'Файл оценки'!#REF!,'Трудозатраты ПК'!$A7,'Файл оценки'!#REF!,'Трудозатраты ПК'!AS$46)</f>
        <v>#REF!</v>
      </c>
      <c r="AT7" s="164" t="e">
        <f>SUMIFS('Файл оценки'!#REF!,'Файл оценки'!#REF!,'Трудозатраты ПК'!$A7,'Файл оценки'!#REF!,'Трудозатраты ПК'!AT$46)</f>
        <v>#REF!</v>
      </c>
      <c r="AU7" s="164" t="e">
        <f>SUMIFS('Файл оценки'!#REF!,'Файл оценки'!#REF!,'Трудозатраты ПК'!$A7,'Файл оценки'!#REF!,'Трудозатраты ПК'!AU$46)</f>
        <v>#REF!</v>
      </c>
      <c r="AV7" s="164" t="e">
        <f>SUMIFS('Файл оценки'!#REF!,'Файл оценки'!#REF!,'Трудозатраты ПК'!$A7,'Файл оценки'!#REF!,'Трудозатраты ПК'!AV$46)</f>
        <v>#REF!</v>
      </c>
      <c r="AW7" s="164" t="e">
        <f>SUMIFS('Файл оценки'!#REF!,'Файл оценки'!#REF!,'Трудозатраты ПК'!$A7,'Файл оценки'!#REF!,'Трудозатраты ПК'!AW$46)</f>
        <v>#REF!</v>
      </c>
      <c r="AX7" s="164" t="e">
        <f>SUMIFS('Файл оценки'!#REF!,'Файл оценки'!#REF!,'Трудозатраты ПК'!$A7,'Файл оценки'!#REF!,'Трудозатраты ПК'!AX$46)</f>
        <v>#REF!</v>
      </c>
      <c r="AY7" s="165" t="e">
        <f t="shared" si="1"/>
        <v>#REF!</v>
      </c>
    </row>
    <row r="8" spans="1:51" ht="15.75" x14ac:dyDescent="0.25">
      <c r="A8" s="161" t="e">
        <v>#VALUE!</v>
      </c>
      <c r="B8" s="258"/>
      <c r="C8" s="162" t="e">
        <f t="shared" si="0"/>
        <v>#REF!</v>
      </c>
      <c r="D8" s="163" t="e">
        <f t="shared" si="2"/>
        <v>#REF!</v>
      </c>
      <c r="E8" s="164"/>
      <c r="F8" s="164"/>
      <c r="G8" s="164"/>
      <c r="H8" s="164"/>
      <c r="I8" s="164"/>
      <c r="J8" s="164" t="e">
        <f>SUMIFS('Файл оценки'!#REF!,'Файл оценки'!#REF!,'Трудозатраты ПК'!$A8,'Файл оценки'!#REF!,'Трудозатраты ПК'!J$46)</f>
        <v>#REF!</v>
      </c>
      <c r="K8" s="164" t="e">
        <f>SUMIFS('Файл оценки'!#REF!,'Файл оценки'!#REF!,'Трудозатраты ПК'!$A8,'Файл оценки'!#REF!,'Трудозатраты ПК'!K$46)</f>
        <v>#REF!</v>
      </c>
      <c r="L8" s="164" t="e">
        <f>SUMIFS('Файл оценки'!#REF!,'Файл оценки'!#REF!,'Трудозатраты ПК'!$A8,'Файл оценки'!#REF!,'Трудозатраты ПК'!L$46)</f>
        <v>#REF!</v>
      </c>
      <c r="M8" s="164" t="e">
        <f>SUMIFS('Файл оценки'!#REF!,'Файл оценки'!#REF!,'Трудозатраты ПК'!$A8,'Файл оценки'!#REF!,'Трудозатраты ПК'!M$46)</f>
        <v>#REF!</v>
      </c>
      <c r="N8" s="164" t="e">
        <f>SUMIFS('Файл оценки'!#REF!,'Файл оценки'!#REF!,'Трудозатраты ПК'!$A8,'Файл оценки'!#REF!,'Трудозатраты ПК'!N$46)</f>
        <v>#REF!</v>
      </c>
      <c r="O8" s="164" t="e">
        <f>SUMIFS('Файл оценки'!#REF!,'Файл оценки'!#REF!,'Трудозатраты ПК'!$A8,'Файл оценки'!#REF!,'Трудозатраты ПК'!O$46)</f>
        <v>#REF!</v>
      </c>
      <c r="P8" s="164" t="e">
        <f>SUMIFS('Файл оценки'!#REF!,'Файл оценки'!#REF!,'Трудозатраты ПК'!$A8,'Файл оценки'!#REF!,'Трудозатраты ПК'!P$46)</f>
        <v>#REF!</v>
      </c>
      <c r="Q8" s="164" t="e">
        <f>SUMIFS('Файл оценки'!#REF!,'Файл оценки'!#REF!,'Трудозатраты ПК'!$A8,'Файл оценки'!#REF!,'Трудозатраты ПК'!Q$46)</f>
        <v>#REF!</v>
      </c>
      <c r="R8" s="164" t="e">
        <f>SUMIFS('Файл оценки'!#REF!,'Файл оценки'!#REF!,'Трудозатраты ПК'!$A8,'Файл оценки'!#REF!,'Трудозатраты ПК'!R$46)</f>
        <v>#REF!</v>
      </c>
      <c r="S8" s="164" t="e">
        <f>SUMIFS('Файл оценки'!#REF!,'Файл оценки'!#REF!,'Трудозатраты ПК'!$A8,'Файл оценки'!#REF!,'Трудозатраты ПК'!S$46)</f>
        <v>#REF!</v>
      </c>
      <c r="T8" s="164" t="e">
        <f>SUMIFS('Файл оценки'!#REF!,'Файл оценки'!#REF!,'Трудозатраты ПК'!$A8,'Файл оценки'!#REF!,'Трудозатраты ПК'!T$46)</f>
        <v>#REF!</v>
      </c>
      <c r="U8" s="164" t="e">
        <f>SUMIFS('Файл оценки'!#REF!,'Файл оценки'!#REF!,'Трудозатраты ПК'!$A8,'Файл оценки'!#REF!,'Трудозатраты ПК'!U$46)</f>
        <v>#REF!</v>
      </c>
      <c r="V8" s="164" t="e">
        <f>SUMIFS('Файл оценки'!#REF!,'Файл оценки'!#REF!,'Трудозатраты ПК'!$A8,'Файл оценки'!#REF!,'Трудозатраты ПК'!V$46)</f>
        <v>#REF!</v>
      </c>
      <c r="W8" s="164" t="e">
        <f>SUMIFS('Файл оценки'!#REF!,'Файл оценки'!#REF!,'Трудозатраты ПК'!$A8,'Файл оценки'!#REF!,'Трудозатраты ПК'!W$46)</f>
        <v>#REF!</v>
      </c>
      <c r="X8" s="164" t="e">
        <f>SUMIFS('Файл оценки'!#REF!,'Файл оценки'!#REF!,'Трудозатраты ПК'!$A8,'Файл оценки'!#REF!,'Трудозатраты ПК'!X$46)</f>
        <v>#REF!</v>
      </c>
      <c r="Y8" s="164" t="e">
        <f>SUMIFS('Файл оценки'!#REF!,'Файл оценки'!#REF!,'Трудозатраты ПК'!$A8,'Файл оценки'!#REF!,'Трудозатраты ПК'!Y$46)</f>
        <v>#REF!</v>
      </c>
      <c r="Z8" s="164" t="e">
        <f>SUMIFS('Файл оценки'!#REF!,'Файл оценки'!#REF!,'Трудозатраты ПК'!$A8,'Файл оценки'!#REF!,'Трудозатраты ПК'!Z$46)</f>
        <v>#REF!</v>
      </c>
      <c r="AA8" s="164" t="e">
        <f>SUMIFS('Файл оценки'!#REF!,'Файл оценки'!#REF!,'Трудозатраты ПК'!$A8,'Файл оценки'!#REF!,'Трудозатраты ПК'!AA$46)</f>
        <v>#REF!</v>
      </c>
      <c r="AB8" s="164" t="e">
        <f>SUMIFS('Файл оценки'!#REF!,'Файл оценки'!#REF!,'Трудозатраты ПК'!$A8,'Файл оценки'!#REF!,'Трудозатраты ПК'!AB$46)</f>
        <v>#REF!</v>
      </c>
      <c r="AC8" s="164" t="e">
        <f>SUMIFS('Файл оценки'!#REF!,'Файл оценки'!#REF!,'Трудозатраты ПК'!$A8,'Файл оценки'!#REF!,'Трудозатраты ПК'!AC$46)</f>
        <v>#REF!</v>
      </c>
      <c r="AD8" s="164" t="e">
        <f>SUMIFS('Файл оценки'!#REF!,'Файл оценки'!#REF!,'Трудозатраты ПК'!$A8,'Файл оценки'!#REF!,'Трудозатраты ПК'!AD$46)</f>
        <v>#REF!</v>
      </c>
      <c r="AE8" s="164" t="e">
        <f>SUMIFS('Файл оценки'!#REF!,'Файл оценки'!#REF!,'Трудозатраты ПК'!$A8,'Файл оценки'!#REF!,'Трудозатраты ПК'!AE$46)</f>
        <v>#REF!</v>
      </c>
      <c r="AF8" s="164" t="e">
        <f>SUMIFS('Файл оценки'!#REF!,'Файл оценки'!#REF!,'Трудозатраты ПК'!$A8,'Файл оценки'!#REF!,'Трудозатраты ПК'!AF$46)</f>
        <v>#REF!</v>
      </c>
      <c r="AG8" s="164" t="e">
        <f>SUMIFS('Файл оценки'!#REF!,'Файл оценки'!#REF!,'Трудозатраты ПК'!$A8,'Файл оценки'!#REF!,'Трудозатраты ПК'!AG$46)</f>
        <v>#REF!</v>
      </c>
      <c r="AH8" s="164" t="e">
        <f>SUMIFS('Файл оценки'!#REF!,'Файл оценки'!#REF!,'Трудозатраты ПК'!$A8,'Файл оценки'!#REF!,'Трудозатраты ПК'!AH$46)</f>
        <v>#REF!</v>
      </c>
      <c r="AI8" s="164" t="e">
        <f>SUMIFS('Файл оценки'!#REF!,'Файл оценки'!#REF!,'Трудозатраты ПК'!$A8,'Файл оценки'!#REF!,'Трудозатраты ПК'!AI$46)</f>
        <v>#REF!</v>
      </c>
      <c r="AJ8" s="164" t="e">
        <f>SUMIFS('Файл оценки'!#REF!,'Файл оценки'!#REF!,'Трудозатраты ПК'!$A8,'Файл оценки'!#REF!,'Трудозатраты ПК'!AJ$46)</f>
        <v>#REF!</v>
      </c>
      <c r="AK8" s="164" t="e">
        <f>SUMIFS('Файл оценки'!#REF!,'Файл оценки'!#REF!,'Трудозатраты ПК'!$A8,'Файл оценки'!#REF!,'Трудозатраты ПК'!AK$46)</f>
        <v>#REF!</v>
      </c>
      <c r="AL8" s="164" t="e">
        <f>SUMIFS('Файл оценки'!#REF!,'Файл оценки'!#REF!,'Трудозатраты ПК'!$A8,'Файл оценки'!#REF!,'Трудозатраты ПК'!AL$46)</f>
        <v>#REF!</v>
      </c>
      <c r="AM8" s="164" t="e">
        <f>SUMIFS('Файл оценки'!#REF!,'Файл оценки'!#REF!,'Трудозатраты ПК'!$A8,'Файл оценки'!#REF!,'Трудозатраты ПК'!AM$46)</f>
        <v>#REF!</v>
      </c>
      <c r="AN8" s="164" t="e">
        <f>SUMIFS('Файл оценки'!#REF!,'Файл оценки'!#REF!,'Трудозатраты ПК'!$A8,'Файл оценки'!#REF!,'Трудозатраты ПК'!AN$46)</f>
        <v>#REF!</v>
      </c>
      <c r="AO8" s="164" t="e">
        <f>SUMIFS('Файл оценки'!#REF!,'Файл оценки'!#REF!,'Трудозатраты ПК'!$A8,'Файл оценки'!#REF!,'Трудозатраты ПК'!AO$46)</f>
        <v>#REF!</v>
      </c>
      <c r="AP8" s="164" t="e">
        <f>SUMIFS('Файл оценки'!#REF!,'Файл оценки'!#REF!,'Трудозатраты ПК'!$A8,'Файл оценки'!#REF!,'Трудозатраты ПК'!AP$46)</f>
        <v>#REF!</v>
      </c>
      <c r="AQ8" s="164" t="e">
        <f>SUMIFS('Файл оценки'!#REF!,'Файл оценки'!#REF!,'Трудозатраты ПК'!$A8,'Файл оценки'!#REF!,'Трудозатраты ПК'!AQ$46)</f>
        <v>#REF!</v>
      </c>
      <c r="AR8" s="164" t="e">
        <f>SUMIFS('Файл оценки'!#REF!,'Файл оценки'!#REF!,'Трудозатраты ПК'!$A8,'Файл оценки'!#REF!,'Трудозатраты ПК'!AR$46)</f>
        <v>#REF!</v>
      </c>
      <c r="AS8" s="164" t="e">
        <f>SUMIFS('Файл оценки'!#REF!,'Файл оценки'!#REF!,'Трудозатраты ПК'!$A8,'Файл оценки'!#REF!,'Трудозатраты ПК'!AS$46)</f>
        <v>#REF!</v>
      </c>
      <c r="AT8" s="164" t="e">
        <f>SUMIFS('Файл оценки'!#REF!,'Файл оценки'!#REF!,'Трудозатраты ПК'!$A8,'Файл оценки'!#REF!,'Трудозатраты ПК'!AT$46)</f>
        <v>#REF!</v>
      </c>
      <c r="AU8" s="164" t="e">
        <f>SUMIFS('Файл оценки'!#REF!,'Файл оценки'!#REF!,'Трудозатраты ПК'!$A8,'Файл оценки'!#REF!,'Трудозатраты ПК'!AU$46)</f>
        <v>#REF!</v>
      </c>
      <c r="AV8" s="164" t="e">
        <f>SUMIFS('Файл оценки'!#REF!,'Файл оценки'!#REF!,'Трудозатраты ПК'!$A8,'Файл оценки'!#REF!,'Трудозатраты ПК'!AV$46)</f>
        <v>#REF!</v>
      </c>
      <c r="AW8" s="164" t="e">
        <f>SUMIFS('Файл оценки'!#REF!,'Файл оценки'!#REF!,'Трудозатраты ПК'!$A8,'Файл оценки'!#REF!,'Трудозатраты ПК'!AW$46)</f>
        <v>#REF!</v>
      </c>
      <c r="AX8" s="164" t="e">
        <f>SUMIFS('Файл оценки'!#REF!,'Файл оценки'!#REF!,'Трудозатраты ПК'!$A8,'Файл оценки'!#REF!,'Трудозатраты ПК'!AX$46)</f>
        <v>#REF!</v>
      </c>
      <c r="AY8" s="165" t="e">
        <f t="shared" si="1"/>
        <v>#REF!</v>
      </c>
    </row>
    <row r="9" spans="1:51" ht="15.75" x14ac:dyDescent="0.25">
      <c r="A9" s="161" t="e">
        <v>#VALUE!</v>
      </c>
      <c r="B9" s="258"/>
      <c r="C9" s="162" t="e">
        <f t="shared" si="0"/>
        <v>#REF!</v>
      </c>
      <c r="D9" s="163" t="e">
        <f t="shared" si="2"/>
        <v>#REF!</v>
      </c>
      <c r="E9" s="164"/>
      <c r="F9" s="164"/>
      <c r="G9" s="164"/>
      <c r="H9" s="164"/>
      <c r="I9" s="164"/>
      <c r="J9" s="164" t="e">
        <f>SUMIFS('Файл оценки'!#REF!,'Файл оценки'!#REF!,'Трудозатраты ПК'!$A9,'Файл оценки'!#REF!,'Трудозатраты ПК'!J$46)</f>
        <v>#REF!</v>
      </c>
      <c r="K9" s="164" t="e">
        <f>SUMIFS('Файл оценки'!#REF!,'Файл оценки'!#REF!,'Трудозатраты ПК'!$A9,'Файл оценки'!#REF!,'Трудозатраты ПК'!K$46)</f>
        <v>#REF!</v>
      </c>
      <c r="L9" s="164" t="e">
        <f>SUMIFS('Файл оценки'!#REF!,'Файл оценки'!#REF!,'Трудозатраты ПК'!$A9,'Файл оценки'!#REF!,'Трудозатраты ПК'!L$46)</f>
        <v>#REF!</v>
      </c>
      <c r="M9" s="164" t="e">
        <f>SUMIFS('Файл оценки'!#REF!,'Файл оценки'!#REF!,'Трудозатраты ПК'!$A9,'Файл оценки'!#REF!,'Трудозатраты ПК'!M$46)</f>
        <v>#REF!</v>
      </c>
      <c r="N9" s="164" t="e">
        <f>SUMIFS('Файл оценки'!#REF!,'Файл оценки'!#REF!,'Трудозатраты ПК'!$A9,'Файл оценки'!#REF!,'Трудозатраты ПК'!N$46)</f>
        <v>#REF!</v>
      </c>
      <c r="O9" s="164" t="e">
        <f>SUMIFS('Файл оценки'!#REF!,'Файл оценки'!#REF!,'Трудозатраты ПК'!$A9,'Файл оценки'!#REF!,'Трудозатраты ПК'!O$46)</f>
        <v>#REF!</v>
      </c>
      <c r="P9" s="164" t="e">
        <f>SUMIFS('Файл оценки'!#REF!,'Файл оценки'!#REF!,'Трудозатраты ПК'!$A9,'Файл оценки'!#REF!,'Трудозатраты ПК'!P$46)</f>
        <v>#REF!</v>
      </c>
      <c r="Q9" s="164" t="e">
        <f>SUMIFS('Файл оценки'!#REF!,'Файл оценки'!#REF!,'Трудозатраты ПК'!$A9,'Файл оценки'!#REF!,'Трудозатраты ПК'!Q$46)</f>
        <v>#REF!</v>
      </c>
      <c r="R9" s="164" t="e">
        <f>SUMIFS('Файл оценки'!#REF!,'Файл оценки'!#REF!,'Трудозатраты ПК'!$A9,'Файл оценки'!#REF!,'Трудозатраты ПК'!R$46)</f>
        <v>#REF!</v>
      </c>
      <c r="S9" s="164" t="e">
        <f>SUMIFS('Файл оценки'!#REF!,'Файл оценки'!#REF!,'Трудозатраты ПК'!$A9,'Файл оценки'!#REF!,'Трудозатраты ПК'!S$46)</f>
        <v>#REF!</v>
      </c>
      <c r="T9" s="164" t="e">
        <f>SUMIFS('Файл оценки'!#REF!,'Файл оценки'!#REF!,'Трудозатраты ПК'!$A9,'Файл оценки'!#REF!,'Трудозатраты ПК'!T$46)</f>
        <v>#REF!</v>
      </c>
      <c r="U9" s="164" t="e">
        <f>SUMIFS('Файл оценки'!#REF!,'Файл оценки'!#REF!,'Трудозатраты ПК'!$A9,'Файл оценки'!#REF!,'Трудозатраты ПК'!U$46)</f>
        <v>#REF!</v>
      </c>
      <c r="V9" s="164" t="e">
        <f>SUMIFS('Файл оценки'!#REF!,'Файл оценки'!#REF!,'Трудозатраты ПК'!$A9,'Файл оценки'!#REF!,'Трудозатраты ПК'!V$46)</f>
        <v>#REF!</v>
      </c>
      <c r="W9" s="164" t="e">
        <f>SUMIFS('Файл оценки'!#REF!,'Файл оценки'!#REF!,'Трудозатраты ПК'!$A9,'Файл оценки'!#REF!,'Трудозатраты ПК'!W$46)</f>
        <v>#REF!</v>
      </c>
      <c r="X9" s="164" t="e">
        <f>SUMIFS('Файл оценки'!#REF!,'Файл оценки'!#REF!,'Трудозатраты ПК'!$A9,'Файл оценки'!#REF!,'Трудозатраты ПК'!X$46)</f>
        <v>#REF!</v>
      </c>
      <c r="Y9" s="164" t="e">
        <f>SUMIFS('Файл оценки'!#REF!,'Файл оценки'!#REF!,'Трудозатраты ПК'!$A9,'Файл оценки'!#REF!,'Трудозатраты ПК'!Y$46)</f>
        <v>#REF!</v>
      </c>
      <c r="Z9" s="164" t="e">
        <f>SUMIFS('Файл оценки'!#REF!,'Файл оценки'!#REF!,'Трудозатраты ПК'!$A9,'Файл оценки'!#REF!,'Трудозатраты ПК'!Z$46)</f>
        <v>#REF!</v>
      </c>
      <c r="AA9" s="164" t="e">
        <f>SUMIFS('Файл оценки'!#REF!,'Файл оценки'!#REF!,'Трудозатраты ПК'!$A9,'Файл оценки'!#REF!,'Трудозатраты ПК'!AA$46)</f>
        <v>#REF!</v>
      </c>
      <c r="AB9" s="164" t="e">
        <f>SUMIFS('Файл оценки'!#REF!,'Файл оценки'!#REF!,'Трудозатраты ПК'!$A9,'Файл оценки'!#REF!,'Трудозатраты ПК'!AB$46)</f>
        <v>#REF!</v>
      </c>
      <c r="AC9" s="164" t="e">
        <f>SUMIFS('Файл оценки'!#REF!,'Файл оценки'!#REF!,'Трудозатраты ПК'!$A9,'Файл оценки'!#REF!,'Трудозатраты ПК'!AC$46)</f>
        <v>#REF!</v>
      </c>
      <c r="AD9" s="164" t="e">
        <f>SUMIFS('Файл оценки'!#REF!,'Файл оценки'!#REF!,'Трудозатраты ПК'!$A9,'Файл оценки'!#REF!,'Трудозатраты ПК'!AD$46)</f>
        <v>#REF!</v>
      </c>
      <c r="AE9" s="164" t="e">
        <f>SUMIFS('Файл оценки'!#REF!,'Файл оценки'!#REF!,'Трудозатраты ПК'!$A9,'Файл оценки'!#REF!,'Трудозатраты ПК'!AE$46)</f>
        <v>#REF!</v>
      </c>
      <c r="AF9" s="164" t="e">
        <f>SUMIFS('Файл оценки'!#REF!,'Файл оценки'!#REF!,'Трудозатраты ПК'!$A9,'Файл оценки'!#REF!,'Трудозатраты ПК'!AF$46)</f>
        <v>#REF!</v>
      </c>
      <c r="AG9" s="164" t="e">
        <f>SUMIFS('Файл оценки'!#REF!,'Файл оценки'!#REF!,'Трудозатраты ПК'!$A9,'Файл оценки'!#REF!,'Трудозатраты ПК'!AG$46)</f>
        <v>#REF!</v>
      </c>
      <c r="AH9" s="164" t="e">
        <f>SUMIFS('Файл оценки'!#REF!,'Файл оценки'!#REF!,'Трудозатраты ПК'!$A9,'Файл оценки'!#REF!,'Трудозатраты ПК'!AH$46)</f>
        <v>#REF!</v>
      </c>
      <c r="AI9" s="164" t="e">
        <f>SUMIFS('Файл оценки'!#REF!,'Файл оценки'!#REF!,'Трудозатраты ПК'!$A9,'Файл оценки'!#REF!,'Трудозатраты ПК'!AI$46)</f>
        <v>#REF!</v>
      </c>
      <c r="AJ9" s="164" t="e">
        <f>SUMIFS('Файл оценки'!#REF!,'Файл оценки'!#REF!,'Трудозатраты ПК'!$A9,'Файл оценки'!#REF!,'Трудозатраты ПК'!AJ$46)</f>
        <v>#REF!</v>
      </c>
      <c r="AK9" s="164" t="e">
        <f>SUMIFS('Файл оценки'!#REF!,'Файл оценки'!#REF!,'Трудозатраты ПК'!$A9,'Файл оценки'!#REF!,'Трудозатраты ПК'!AK$46)</f>
        <v>#REF!</v>
      </c>
      <c r="AL9" s="164" t="e">
        <f>SUMIFS('Файл оценки'!#REF!,'Файл оценки'!#REF!,'Трудозатраты ПК'!$A9,'Файл оценки'!#REF!,'Трудозатраты ПК'!AL$46)</f>
        <v>#REF!</v>
      </c>
      <c r="AM9" s="164" t="e">
        <f>SUMIFS('Файл оценки'!#REF!,'Файл оценки'!#REF!,'Трудозатраты ПК'!$A9,'Файл оценки'!#REF!,'Трудозатраты ПК'!AM$46)</f>
        <v>#REF!</v>
      </c>
      <c r="AN9" s="164" t="e">
        <f>SUMIFS('Файл оценки'!#REF!,'Файл оценки'!#REF!,'Трудозатраты ПК'!$A9,'Файл оценки'!#REF!,'Трудозатраты ПК'!AN$46)</f>
        <v>#REF!</v>
      </c>
      <c r="AO9" s="164" t="e">
        <f>SUMIFS('Файл оценки'!#REF!,'Файл оценки'!#REF!,'Трудозатраты ПК'!$A9,'Файл оценки'!#REF!,'Трудозатраты ПК'!AO$46)</f>
        <v>#REF!</v>
      </c>
      <c r="AP9" s="164" t="e">
        <f>SUMIFS('Файл оценки'!#REF!,'Файл оценки'!#REF!,'Трудозатраты ПК'!$A9,'Файл оценки'!#REF!,'Трудозатраты ПК'!AP$46)</f>
        <v>#REF!</v>
      </c>
      <c r="AQ9" s="164" t="e">
        <f>SUMIFS('Файл оценки'!#REF!,'Файл оценки'!#REF!,'Трудозатраты ПК'!$A9,'Файл оценки'!#REF!,'Трудозатраты ПК'!AQ$46)</f>
        <v>#REF!</v>
      </c>
      <c r="AR9" s="164" t="e">
        <f>SUMIFS('Файл оценки'!#REF!,'Файл оценки'!#REF!,'Трудозатраты ПК'!$A9,'Файл оценки'!#REF!,'Трудозатраты ПК'!AR$46)</f>
        <v>#REF!</v>
      </c>
      <c r="AS9" s="164" t="e">
        <f>SUMIFS('Файл оценки'!#REF!,'Файл оценки'!#REF!,'Трудозатраты ПК'!$A9,'Файл оценки'!#REF!,'Трудозатраты ПК'!AS$46)</f>
        <v>#REF!</v>
      </c>
      <c r="AT9" s="164" t="e">
        <f>SUMIFS('Файл оценки'!#REF!,'Файл оценки'!#REF!,'Трудозатраты ПК'!$A9,'Файл оценки'!#REF!,'Трудозатраты ПК'!AT$46)</f>
        <v>#REF!</v>
      </c>
      <c r="AU9" s="164" t="e">
        <f>SUMIFS('Файл оценки'!#REF!,'Файл оценки'!#REF!,'Трудозатраты ПК'!$A9,'Файл оценки'!#REF!,'Трудозатраты ПК'!AU$46)</f>
        <v>#REF!</v>
      </c>
      <c r="AV9" s="164" t="e">
        <f>SUMIFS('Файл оценки'!#REF!,'Файл оценки'!#REF!,'Трудозатраты ПК'!$A9,'Файл оценки'!#REF!,'Трудозатраты ПК'!AV$46)</f>
        <v>#REF!</v>
      </c>
      <c r="AW9" s="164" t="e">
        <f>SUMIFS('Файл оценки'!#REF!,'Файл оценки'!#REF!,'Трудозатраты ПК'!$A9,'Файл оценки'!#REF!,'Трудозатраты ПК'!AW$46)</f>
        <v>#REF!</v>
      </c>
      <c r="AX9" s="164" t="e">
        <f>SUMIFS('Файл оценки'!#REF!,'Файл оценки'!#REF!,'Трудозатраты ПК'!$A9,'Файл оценки'!#REF!,'Трудозатраты ПК'!AX$46)</f>
        <v>#REF!</v>
      </c>
      <c r="AY9" s="165" t="e">
        <f t="shared" si="1"/>
        <v>#REF!</v>
      </c>
    </row>
    <row r="10" spans="1:51" ht="15.75" x14ac:dyDescent="0.25">
      <c r="A10" s="161" t="e">
        <v>#VALUE!</v>
      </c>
      <c r="B10" s="258"/>
      <c r="C10" s="162" t="e">
        <f t="shared" si="0"/>
        <v>#REF!</v>
      </c>
      <c r="D10" s="163" t="e">
        <f t="shared" si="2"/>
        <v>#REF!</v>
      </c>
      <c r="E10" s="164"/>
      <c r="F10" s="164"/>
      <c r="G10" s="164"/>
      <c r="H10" s="164"/>
      <c r="I10" s="164"/>
      <c r="J10" s="164" t="e">
        <f>SUMIFS('Файл оценки'!#REF!,'Файл оценки'!#REF!,'Трудозатраты ПК'!$A10,'Файл оценки'!#REF!,'Трудозатраты ПК'!J$46)</f>
        <v>#REF!</v>
      </c>
      <c r="K10" s="164" t="e">
        <f>SUMIFS('Файл оценки'!#REF!,'Файл оценки'!#REF!,'Трудозатраты ПК'!$A10,'Файл оценки'!#REF!,'Трудозатраты ПК'!K$46)</f>
        <v>#REF!</v>
      </c>
      <c r="L10" s="164" t="e">
        <f>SUMIFS('Файл оценки'!#REF!,'Файл оценки'!#REF!,'Трудозатраты ПК'!$A10,'Файл оценки'!#REF!,'Трудозатраты ПК'!L$46)</f>
        <v>#REF!</v>
      </c>
      <c r="M10" s="164" t="e">
        <f>SUMIFS('Файл оценки'!#REF!,'Файл оценки'!#REF!,'Трудозатраты ПК'!$A10,'Файл оценки'!#REF!,'Трудозатраты ПК'!M$46)</f>
        <v>#REF!</v>
      </c>
      <c r="N10" s="164" t="e">
        <f>SUMIFS('Файл оценки'!#REF!,'Файл оценки'!#REF!,'Трудозатраты ПК'!$A10,'Файл оценки'!#REF!,'Трудозатраты ПК'!N$46)</f>
        <v>#REF!</v>
      </c>
      <c r="O10" s="164" t="e">
        <f>SUMIFS('Файл оценки'!#REF!,'Файл оценки'!#REF!,'Трудозатраты ПК'!$A10,'Файл оценки'!#REF!,'Трудозатраты ПК'!O$46)</f>
        <v>#REF!</v>
      </c>
      <c r="P10" s="164" t="e">
        <f>SUMIFS('Файл оценки'!#REF!,'Файл оценки'!#REF!,'Трудозатраты ПК'!$A10,'Файл оценки'!#REF!,'Трудозатраты ПК'!P$46)</f>
        <v>#REF!</v>
      </c>
      <c r="Q10" s="164" t="e">
        <f>SUMIFS('Файл оценки'!#REF!,'Файл оценки'!#REF!,'Трудозатраты ПК'!$A10,'Файл оценки'!#REF!,'Трудозатраты ПК'!Q$46)</f>
        <v>#REF!</v>
      </c>
      <c r="R10" s="164" t="e">
        <f>SUMIFS('Файл оценки'!#REF!,'Файл оценки'!#REF!,'Трудозатраты ПК'!$A10,'Файл оценки'!#REF!,'Трудозатраты ПК'!R$46)</f>
        <v>#REF!</v>
      </c>
      <c r="S10" s="164" t="e">
        <f>SUMIFS('Файл оценки'!#REF!,'Файл оценки'!#REF!,'Трудозатраты ПК'!$A10,'Файл оценки'!#REF!,'Трудозатраты ПК'!S$46)</f>
        <v>#REF!</v>
      </c>
      <c r="T10" s="164" t="e">
        <f>SUMIFS('Файл оценки'!#REF!,'Файл оценки'!#REF!,'Трудозатраты ПК'!$A10,'Файл оценки'!#REF!,'Трудозатраты ПК'!T$46)</f>
        <v>#REF!</v>
      </c>
      <c r="U10" s="164" t="e">
        <f>SUMIFS('Файл оценки'!#REF!,'Файл оценки'!#REF!,'Трудозатраты ПК'!$A10,'Файл оценки'!#REF!,'Трудозатраты ПК'!U$46)</f>
        <v>#REF!</v>
      </c>
      <c r="V10" s="164" t="e">
        <f>SUMIFS('Файл оценки'!#REF!,'Файл оценки'!#REF!,'Трудозатраты ПК'!$A10,'Файл оценки'!#REF!,'Трудозатраты ПК'!V$46)</f>
        <v>#REF!</v>
      </c>
      <c r="W10" s="164" t="e">
        <f>SUMIFS('Файл оценки'!#REF!,'Файл оценки'!#REF!,'Трудозатраты ПК'!$A10,'Файл оценки'!#REF!,'Трудозатраты ПК'!W$46)</f>
        <v>#REF!</v>
      </c>
      <c r="X10" s="164" t="e">
        <f>SUMIFS('Файл оценки'!#REF!,'Файл оценки'!#REF!,'Трудозатраты ПК'!$A10,'Файл оценки'!#REF!,'Трудозатраты ПК'!X$46)</f>
        <v>#REF!</v>
      </c>
      <c r="Y10" s="164" t="e">
        <f>SUMIFS('Файл оценки'!#REF!,'Файл оценки'!#REF!,'Трудозатраты ПК'!$A10,'Файл оценки'!#REF!,'Трудозатраты ПК'!Y$46)</f>
        <v>#REF!</v>
      </c>
      <c r="Z10" s="164" t="e">
        <f>SUMIFS('Файл оценки'!#REF!,'Файл оценки'!#REF!,'Трудозатраты ПК'!$A10,'Файл оценки'!#REF!,'Трудозатраты ПК'!Z$46)</f>
        <v>#REF!</v>
      </c>
      <c r="AA10" s="164" t="e">
        <f>SUMIFS('Файл оценки'!#REF!,'Файл оценки'!#REF!,'Трудозатраты ПК'!$A10,'Файл оценки'!#REF!,'Трудозатраты ПК'!AA$46)</f>
        <v>#REF!</v>
      </c>
      <c r="AB10" s="164" t="e">
        <f>SUMIFS('Файл оценки'!#REF!,'Файл оценки'!#REF!,'Трудозатраты ПК'!$A10,'Файл оценки'!#REF!,'Трудозатраты ПК'!AB$46)</f>
        <v>#REF!</v>
      </c>
      <c r="AC10" s="164" t="e">
        <f>SUMIFS('Файл оценки'!#REF!,'Файл оценки'!#REF!,'Трудозатраты ПК'!$A10,'Файл оценки'!#REF!,'Трудозатраты ПК'!AC$46)</f>
        <v>#REF!</v>
      </c>
      <c r="AD10" s="164" t="e">
        <f>SUMIFS('Файл оценки'!#REF!,'Файл оценки'!#REF!,'Трудозатраты ПК'!$A10,'Файл оценки'!#REF!,'Трудозатраты ПК'!AD$46)</f>
        <v>#REF!</v>
      </c>
      <c r="AE10" s="164" t="e">
        <f>SUMIFS('Файл оценки'!#REF!,'Файл оценки'!#REF!,'Трудозатраты ПК'!$A10,'Файл оценки'!#REF!,'Трудозатраты ПК'!AE$46)</f>
        <v>#REF!</v>
      </c>
      <c r="AF10" s="164" t="e">
        <f>SUMIFS('Файл оценки'!#REF!,'Файл оценки'!#REF!,'Трудозатраты ПК'!$A10,'Файл оценки'!#REF!,'Трудозатраты ПК'!AF$46)</f>
        <v>#REF!</v>
      </c>
      <c r="AG10" s="164" t="e">
        <f>SUMIFS('Файл оценки'!#REF!,'Файл оценки'!#REF!,'Трудозатраты ПК'!$A10,'Файл оценки'!#REF!,'Трудозатраты ПК'!AG$46)</f>
        <v>#REF!</v>
      </c>
      <c r="AH10" s="164" t="e">
        <f>SUMIFS('Файл оценки'!#REF!,'Файл оценки'!#REF!,'Трудозатраты ПК'!$A10,'Файл оценки'!#REF!,'Трудозатраты ПК'!AH$46)</f>
        <v>#REF!</v>
      </c>
      <c r="AI10" s="164" t="e">
        <f>SUMIFS('Файл оценки'!#REF!,'Файл оценки'!#REF!,'Трудозатраты ПК'!$A10,'Файл оценки'!#REF!,'Трудозатраты ПК'!AI$46)</f>
        <v>#REF!</v>
      </c>
      <c r="AJ10" s="164" t="e">
        <f>SUMIFS('Файл оценки'!#REF!,'Файл оценки'!#REF!,'Трудозатраты ПК'!$A10,'Файл оценки'!#REF!,'Трудозатраты ПК'!AJ$46)</f>
        <v>#REF!</v>
      </c>
      <c r="AK10" s="164" t="e">
        <f>SUMIFS('Файл оценки'!#REF!,'Файл оценки'!#REF!,'Трудозатраты ПК'!$A10,'Файл оценки'!#REF!,'Трудозатраты ПК'!AK$46)</f>
        <v>#REF!</v>
      </c>
      <c r="AL10" s="164" t="e">
        <f>SUMIFS('Файл оценки'!#REF!,'Файл оценки'!#REF!,'Трудозатраты ПК'!$A10,'Файл оценки'!#REF!,'Трудозатраты ПК'!AL$46)</f>
        <v>#REF!</v>
      </c>
      <c r="AM10" s="164" t="e">
        <f>SUMIFS('Файл оценки'!#REF!,'Файл оценки'!#REF!,'Трудозатраты ПК'!$A10,'Файл оценки'!#REF!,'Трудозатраты ПК'!AM$46)</f>
        <v>#REF!</v>
      </c>
      <c r="AN10" s="164" t="e">
        <f>SUMIFS('Файл оценки'!#REF!,'Файл оценки'!#REF!,'Трудозатраты ПК'!$A10,'Файл оценки'!#REF!,'Трудозатраты ПК'!AN$46)</f>
        <v>#REF!</v>
      </c>
      <c r="AO10" s="164" t="e">
        <f>SUMIFS('Файл оценки'!#REF!,'Файл оценки'!#REF!,'Трудозатраты ПК'!$A10,'Файл оценки'!#REF!,'Трудозатраты ПК'!AO$46)</f>
        <v>#REF!</v>
      </c>
      <c r="AP10" s="164" t="e">
        <f>SUMIFS('Файл оценки'!#REF!,'Файл оценки'!#REF!,'Трудозатраты ПК'!$A10,'Файл оценки'!#REF!,'Трудозатраты ПК'!AP$46)</f>
        <v>#REF!</v>
      </c>
      <c r="AQ10" s="164" t="e">
        <f>SUMIFS('Файл оценки'!#REF!,'Файл оценки'!#REF!,'Трудозатраты ПК'!$A10,'Файл оценки'!#REF!,'Трудозатраты ПК'!AQ$46)</f>
        <v>#REF!</v>
      </c>
      <c r="AR10" s="164" t="e">
        <f>SUMIFS('Файл оценки'!#REF!,'Файл оценки'!#REF!,'Трудозатраты ПК'!$A10,'Файл оценки'!#REF!,'Трудозатраты ПК'!AR$46)</f>
        <v>#REF!</v>
      </c>
      <c r="AS10" s="164" t="e">
        <f>SUMIFS('Файл оценки'!#REF!,'Файл оценки'!#REF!,'Трудозатраты ПК'!$A10,'Файл оценки'!#REF!,'Трудозатраты ПК'!AS$46)</f>
        <v>#REF!</v>
      </c>
      <c r="AT10" s="164" t="e">
        <f>SUMIFS('Файл оценки'!#REF!,'Файл оценки'!#REF!,'Трудозатраты ПК'!$A10,'Файл оценки'!#REF!,'Трудозатраты ПК'!AT$46)</f>
        <v>#REF!</v>
      </c>
      <c r="AU10" s="164" t="e">
        <f>SUMIFS('Файл оценки'!#REF!,'Файл оценки'!#REF!,'Трудозатраты ПК'!$A10,'Файл оценки'!#REF!,'Трудозатраты ПК'!AU$46)</f>
        <v>#REF!</v>
      </c>
      <c r="AV10" s="164" t="e">
        <f>SUMIFS('Файл оценки'!#REF!,'Файл оценки'!#REF!,'Трудозатраты ПК'!$A10,'Файл оценки'!#REF!,'Трудозатраты ПК'!AV$46)</f>
        <v>#REF!</v>
      </c>
      <c r="AW10" s="164" t="e">
        <f>SUMIFS('Файл оценки'!#REF!,'Файл оценки'!#REF!,'Трудозатраты ПК'!$A10,'Файл оценки'!#REF!,'Трудозатраты ПК'!AW$46)</f>
        <v>#REF!</v>
      </c>
      <c r="AX10" s="164" t="e">
        <f>SUMIFS('Файл оценки'!#REF!,'Файл оценки'!#REF!,'Трудозатраты ПК'!$A10,'Файл оценки'!#REF!,'Трудозатраты ПК'!AX$46)</f>
        <v>#REF!</v>
      </c>
      <c r="AY10" s="165" t="e">
        <f t="shared" si="1"/>
        <v>#REF!</v>
      </c>
    </row>
    <row r="11" spans="1:51" ht="15.75" x14ac:dyDescent="0.25">
      <c r="A11" s="161" t="e">
        <v>#VALUE!</v>
      </c>
      <c r="B11" s="258"/>
      <c r="C11" s="162" t="e">
        <f t="shared" si="0"/>
        <v>#REF!</v>
      </c>
      <c r="D11" s="163" t="e">
        <f t="shared" si="2"/>
        <v>#REF!</v>
      </c>
      <c r="E11" s="164"/>
      <c r="F11" s="164"/>
      <c r="G11" s="164"/>
      <c r="H11" s="164"/>
      <c r="I11" s="164"/>
      <c r="J11" s="164" t="e">
        <f>SUMIFS('Файл оценки'!#REF!,'Файл оценки'!#REF!,'Трудозатраты ПК'!$A11,'Файл оценки'!#REF!,'Трудозатраты ПК'!J$46)</f>
        <v>#REF!</v>
      </c>
      <c r="K11" s="164" t="e">
        <f>SUMIFS('Файл оценки'!#REF!,'Файл оценки'!#REF!,'Трудозатраты ПК'!$A11,'Файл оценки'!#REF!,'Трудозатраты ПК'!K$46)</f>
        <v>#REF!</v>
      </c>
      <c r="L11" s="164" t="e">
        <f>SUMIFS('Файл оценки'!#REF!,'Файл оценки'!#REF!,'Трудозатраты ПК'!$A11,'Файл оценки'!#REF!,'Трудозатраты ПК'!L$46)</f>
        <v>#REF!</v>
      </c>
      <c r="M11" s="164" t="e">
        <f>SUMIFS('Файл оценки'!#REF!,'Файл оценки'!#REF!,'Трудозатраты ПК'!$A11,'Файл оценки'!#REF!,'Трудозатраты ПК'!M$46)</f>
        <v>#REF!</v>
      </c>
      <c r="N11" s="164" t="e">
        <f>SUMIFS('Файл оценки'!#REF!,'Файл оценки'!#REF!,'Трудозатраты ПК'!$A11,'Файл оценки'!#REF!,'Трудозатраты ПК'!N$46)</f>
        <v>#REF!</v>
      </c>
      <c r="O11" s="164" t="e">
        <f>SUMIFS('Файл оценки'!#REF!,'Файл оценки'!#REF!,'Трудозатраты ПК'!$A11,'Файл оценки'!#REF!,'Трудозатраты ПК'!O$46)</f>
        <v>#REF!</v>
      </c>
      <c r="P11" s="164" t="e">
        <f>SUMIFS('Файл оценки'!#REF!,'Файл оценки'!#REF!,'Трудозатраты ПК'!$A11,'Файл оценки'!#REF!,'Трудозатраты ПК'!P$46)</f>
        <v>#REF!</v>
      </c>
      <c r="Q11" s="164" t="e">
        <f>SUMIFS('Файл оценки'!#REF!,'Файл оценки'!#REF!,'Трудозатраты ПК'!$A11,'Файл оценки'!#REF!,'Трудозатраты ПК'!Q$46)</f>
        <v>#REF!</v>
      </c>
      <c r="R11" s="164" t="e">
        <f>SUMIFS('Файл оценки'!#REF!,'Файл оценки'!#REF!,'Трудозатраты ПК'!$A11,'Файл оценки'!#REF!,'Трудозатраты ПК'!R$46)</f>
        <v>#REF!</v>
      </c>
      <c r="S11" s="164" t="e">
        <f>SUMIFS('Файл оценки'!#REF!,'Файл оценки'!#REF!,'Трудозатраты ПК'!$A11,'Файл оценки'!#REF!,'Трудозатраты ПК'!S$46)</f>
        <v>#REF!</v>
      </c>
      <c r="T11" s="164" t="e">
        <f>SUMIFS('Файл оценки'!#REF!,'Файл оценки'!#REF!,'Трудозатраты ПК'!$A11,'Файл оценки'!#REF!,'Трудозатраты ПК'!T$46)</f>
        <v>#REF!</v>
      </c>
      <c r="U11" s="164" t="e">
        <f>SUMIFS('Файл оценки'!#REF!,'Файл оценки'!#REF!,'Трудозатраты ПК'!$A11,'Файл оценки'!#REF!,'Трудозатраты ПК'!U$46)</f>
        <v>#REF!</v>
      </c>
      <c r="V11" s="164" t="e">
        <f>SUMIFS('Файл оценки'!#REF!,'Файл оценки'!#REF!,'Трудозатраты ПК'!$A11,'Файл оценки'!#REF!,'Трудозатраты ПК'!V$46)</f>
        <v>#REF!</v>
      </c>
      <c r="W11" s="164" t="e">
        <f>SUMIFS('Файл оценки'!#REF!,'Файл оценки'!#REF!,'Трудозатраты ПК'!$A11,'Файл оценки'!#REF!,'Трудозатраты ПК'!W$46)</f>
        <v>#REF!</v>
      </c>
      <c r="X11" s="164" t="e">
        <f>SUMIFS('Файл оценки'!#REF!,'Файл оценки'!#REF!,'Трудозатраты ПК'!$A11,'Файл оценки'!#REF!,'Трудозатраты ПК'!X$46)</f>
        <v>#REF!</v>
      </c>
      <c r="Y11" s="164" t="e">
        <f>SUMIFS('Файл оценки'!#REF!,'Файл оценки'!#REF!,'Трудозатраты ПК'!$A11,'Файл оценки'!#REF!,'Трудозатраты ПК'!Y$46)</f>
        <v>#REF!</v>
      </c>
      <c r="Z11" s="164" t="e">
        <f>SUMIFS('Файл оценки'!#REF!,'Файл оценки'!#REF!,'Трудозатраты ПК'!$A11,'Файл оценки'!#REF!,'Трудозатраты ПК'!Z$46)</f>
        <v>#REF!</v>
      </c>
      <c r="AA11" s="164" t="e">
        <f>SUMIFS('Файл оценки'!#REF!,'Файл оценки'!#REF!,'Трудозатраты ПК'!$A11,'Файл оценки'!#REF!,'Трудозатраты ПК'!AA$46)</f>
        <v>#REF!</v>
      </c>
      <c r="AB11" s="164" t="e">
        <f>SUMIFS('Файл оценки'!#REF!,'Файл оценки'!#REF!,'Трудозатраты ПК'!$A11,'Файл оценки'!#REF!,'Трудозатраты ПК'!AB$46)</f>
        <v>#REF!</v>
      </c>
      <c r="AC11" s="164" t="e">
        <f>SUMIFS('Файл оценки'!#REF!,'Файл оценки'!#REF!,'Трудозатраты ПК'!$A11,'Файл оценки'!#REF!,'Трудозатраты ПК'!AC$46)</f>
        <v>#REF!</v>
      </c>
      <c r="AD11" s="164" t="e">
        <f>SUMIFS('Файл оценки'!#REF!,'Файл оценки'!#REF!,'Трудозатраты ПК'!$A11,'Файл оценки'!#REF!,'Трудозатраты ПК'!AD$46)</f>
        <v>#REF!</v>
      </c>
      <c r="AE11" s="164" t="e">
        <f>SUMIFS('Файл оценки'!#REF!,'Файл оценки'!#REF!,'Трудозатраты ПК'!$A11,'Файл оценки'!#REF!,'Трудозатраты ПК'!AE$46)</f>
        <v>#REF!</v>
      </c>
      <c r="AF11" s="164" t="e">
        <f>SUMIFS('Файл оценки'!#REF!,'Файл оценки'!#REF!,'Трудозатраты ПК'!$A11,'Файл оценки'!#REF!,'Трудозатраты ПК'!AF$46)</f>
        <v>#REF!</v>
      </c>
      <c r="AG11" s="164" t="e">
        <f>SUMIFS('Файл оценки'!#REF!,'Файл оценки'!#REF!,'Трудозатраты ПК'!$A11,'Файл оценки'!#REF!,'Трудозатраты ПК'!AG$46)</f>
        <v>#REF!</v>
      </c>
      <c r="AH11" s="164" t="e">
        <f>SUMIFS('Файл оценки'!#REF!,'Файл оценки'!#REF!,'Трудозатраты ПК'!$A11,'Файл оценки'!#REF!,'Трудозатраты ПК'!AH$46)</f>
        <v>#REF!</v>
      </c>
      <c r="AI11" s="164" t="e">
        <f>SUMIFS('Файл оценки'!#REF!,'Файл оценки'!#REF!,'Трудозатраты ПК'!$A11,'Файл оценки'!#REF!,'Трудозатраты ПК'!AI$46)</f>
        <v>#REF!</v>
      </c>
      <c r="AJ11" s="164" t="e">
        <f>SUMIFS('Файл оценки'!#REF!,'Файл оценки'!#REF!,'Трудозатраты ПК'!$A11,'Файл оценки'!#REF!,'Трудозатраты ПК'!AJ$46)</f>
        <v>#REF!</v>
      </c>
      <c r="AK11" s="164" t="e">
        <f>SUMIFS('Файл оценки'!#REF!,'Файл оценки'!#REF!,'Трудозатраты ПК'!$A11,'Файл оценки'!#REF!,'Трудозатраты ПК'!AK$46)</f>
        <v>#REF!</v>
      </c>
      <c r="AL11" s="164" t="e">
        <f>SUMIFS('Файл оценки'!#REF!,'Файл оценки'!#REF!,'Трудозатраты ПК'!$A11,'Файл оценки'!#REF!,'Трудозатраты ПК'!AL$46)</f>
        <v>#REF!</v>
      </c>
      <c r="AM11" s="164" t="e">
        <f>SUMIFS('Файл оценки'!#REF!,'Файл оценки'!#REF!,'Трудозатраты ПК'!$A11,'Файл оценки'!#REF!,'Трудозатраты ПК'!AM$46)</f>
        <v>#REF!</v>
      </c>
      <c r="AN11" s="164" t="e">
        <f>SUMIFS('Файл оценки'!#REF!,'Файл оценки'!#REF!,'Трудозатраты ПК'!$A11,'Файл оценки'!#REF!,'Трудозатраты ПК'!AN$46)</f>
        <v>#REF!</v>
      </c>
      <c r="AO11" s="164" t="e">
        <f>SUMIFS('Файл оценки'!#REF!,'Файл оценки'!#REF!,'Трудозатраты ПК'!$A11,'Файл оценки'!#REF!,'Трудозатраты ПК'!AO$46)</f>
        <v>#REF!</v>
      </c>
      <c r="AP11" s="164" t="e">
        <f>SUMIFS('Файл оценки'!#REF!,'Файл оценки'!#REF!,'Трудозатраты ПК'!$A11,'Файл оценки'!#REF!,'Трудозатраты ПК'!AP$46)</f>
        <v>#REF!</v>
      </c>
      <c r="AQ11" s="164" t="e">
        <f>SUMIFS('Файл оценки'!#REF!,'Файл оценки'!#REF!,'Трудозатраты ПК'!$A11,'Файл оценки'!#REF!,'Трудозатраты ПК'!AQ$46)</f>
        <v>#REF!</v>
      </c>
      <c r="AR11" s="164" t="e">
        <f>SUMIFS('Файл оценки'!#REF!,'Файл оценки'!#REF!,'Трудозатраты ПК'!$A11,'Файл оценки'!#REF!,'Трудозатраты ПК'!AR$46)</f>
        <v>#REF!</v>
      </c>
      <c r="AS11" s="164" t="e">
        <f>SUMIFS('Файл оценки'!#REF!,'Файл оценки'!#REF!,'Трудозатраты ПК'!$A11,'Файл оценки'!#REF!,'Трудозатраты ПК'!AS$46)</f>
        <v>#REF!</v>
      </c>
      <c r="AT11" s="164" t="e">
        <f>SUMIFS('Файл оценки'!#REF!,'Файл оценки'!#REF!,'Трудозатраты ПК'!$A11,'Файл оценки'!#REF!,'Трудозатраты ПК'!AT$46)</f>
        <v>#REF!</v>
      </c>
      <c r="AU11" s="164" t="e">
        <f>SUMIFS('Файл оценки'!#REF!,'Файл оценки'!#REF!,'Трудозатраты ПК'!$A11,'Файл оценки'!#REF!,'Трудозатраты ПК'!AU$46)</f>
        <v>#REF!</v>
      </c>
      <c r="AV11" s="164" t="e">
        <f>SUMIFS('Файл оценки'!#REF!,'Файл оценки'!#REF!,'Трудозатраты ПК'!$A11,'Файл оценки'!#REF!,'Трудозатраты ПК'!AV$46)</f>
        <v>#REF!</v>
      </c>
      <c r="AW11" s="164" t="e">
        <f>SUMIFS('Файл оценки'!#REF!,'Файл оценки'!#REF!,'Трудозатраты ПК'!$A11,'Файл оценки'!#REF!,'Трудозатраты ПК'!AW$46)</f>
        <v>#REF!</v>
      </c>
      <c r="AX11" s="164" t="e">
        <f>SUMIFS('Файл оценки'!#REF!,'Файл оценки'!#REF!,'Трудозатраты ПК'!$A11,'Файл оценки'!#REF!,'Трудозатраты ПК'!AX$46)</f>
        <v>#REF!</v>
      </c>
      <c r="AY11" s="165" t="e">
        <f t="shared" si="1"/>
        <v>#REF!</v>
      </c>
    </row>
    <row r="12" spans="1:51" ht="15.75" x14ac:dyDescent="0.25">
      <c r="A12" s="161" t="e">
        <v>#VALUE!</v>
      </c>
      <c r="B12" s="258"/>
      <c r="C12" s="162" t="e">
        <f t="shared" si="0"/>
        <v>#REF!</v>
      </c>
      <c r="D12" s="163" t="e">
        <f t="shared" si="2"/>
        <v>#REF!</v>
      </c>
      <c r="E12" s="164"/>
      <c r="F12" s="164"/>
      <c r="G12" s="164"/>
      <c r="H12" s="164"/>
      <c r="I12" s="164"/>
      <c r="J12" s="164" t="e">
        <f>SUMIFS('Файл оценки'!#REF!,'Файл оценки'!#REF!,'Трудозатраты ПК'!$A12,'Файл оценки'!#REF!,'Трудозатраты ПК'!J$46)</f>
        <v>#REF!</v>
      </c>
      <c r="K12" s="164" t="e">
        <f>SUMIFS('Файл оценки'!#REF!,'Файл оценки'!#REF!,'Трудозатраты ПК'!$A12,'Файл оценки'!#REF!,'Трудозатраты ПК'!K$46)</f>
        <v>#REF!</v>
      </c>
      <c r="L12" s="164" t="e">
        <f>SUMIFS('Файл оценки'!#REF!,'Файл оценки'!#REF!,'Трудозатраты ПК'!$A12,'Файл оценки'!#REF!,'Трудозатраты ПК'!L$46)</f>
        <v>#REF!</v>
      </c>
      <c r="M12" s="164" t="e">
        <f>SUMIFS('Файл оценки'!#REF!,'Файл оценки'!#REF!,'Трудозатраты ПК'!$A12,'Файл оценки'!#REF!,'Трудозатраты ПК'!M$46)</f>
        <v>#REF!</v>
      </c>
      <c r="N12" s="164" t="e">
        <f>SUMIFS('Файл оценки'!#REF!,'Файл оценки'!#REF!,'Трудозатраты ПК'!$A12,'Файл оценки'!#REF!,'Трудозатраты ПК'!N$46)</f>
        <v>#REF!</v>
      </c>
      <c r="O12" s="164" t="e">
        <f>SUMIFS('Файл оценки'!#REF!,'Файл оценки'!#REF!,'Трудозатраты ПК'!$A12,'Файл оценки'!#REF!,'Трудозатраты ПК'!O$46)</f>
        <v>#REF!</v>
      </c>
      <c r="P12" s="164" t="e">
        <f>SUMIFS('Файл оценки'!#REF!,'Файл оценки'!#REF!,'Трудозатраты ПК'!$A12,'Файл оценки'!#REF!,'Трудозатраты ПК'!P$46)</f>
        <v>#REF!</v>
      </c>
      <c r="Q12" s="164" t="e">
        <f>SUMIFS('Файл оценки'!#REF!,'Файл оценки'!#REF!,'Трудозатраты ПК'!$A12,'Файл оценки'!#REF!,'Трудозатраты ПК'!Q$46)</f>
        <v>#REF!</v>
      </c>
      <c r="R12" s="164" t="e">
        <f>SUMIFS('Файл оценки'!#REF!,'Файл оценки'!#REF!,'Трудозатраты ПК'!$A12,'Файл оценки'!#REF!,'Трудозатраты ПК'!R$46)</f>
        <v>#REF!</v>
      </c>
      <c r="S12" s="164" t="e">
        <f>SUMIFS('Файл оценки'!#REF!,'Файл оценки'!#REF!,'Трудозатраты ПК'!$A12,'Файл оценки'!#REF!,'Трудозатраты ПК'!S$46)</f>
        <v>#REF!</v>
      </c>
      <c r="T12" s="164" t="e">
        <f>SUMIFS('Файл оценки'!#REF!,'Файл оценки'!#REF!,'Трудозатраты ПК'!$A12,'Файл оценки'!#REF!,'Трудозатраты ПК'!T$46)</f>
        <v>#REF!</v>
      </c>
      <c r="U12" s="164" t="e">
        <f>SUMIFS('Файл оценки'!#REF!,'Файл оценки'!#REF!,'Трудозатраты ПК'!$A12,'Файл оценки'!#REF!,'Трудозатраты ПК'!U$46)</f>
        <v>#REF!</v>
      </c>
      <c r="V12" s="164" t="e">
        <f>SUMIFS('Файл оценки'!#REF!,'Файл оценки'!#REF!,'Трудозатраты ПК'!$A12,'Файл оценки'!#REF!,'Трудозатраты ПК'!V$46)</f>
        <v>#REF!</v>
      </c>
      <c r="W12" s="164" t="e">
        <f>SUMIFS('Файл оценки'!#REF!,'Файл оценки'!#REF!,'Трудозатраты ПК'!$A12,'Файл оценки'!#REF!,'Трудозатраты ПК'!W$46)</f>
        <v>#REF!</v>
      </c>
      <c r="X12" s="164" t="e">
        <f>SUMIFS('Файл оценки'!#REF!,'Файл оценки'!#REF!,'Трудозатраты ПК'!$A12,'Файл оценки'!#REF!,'Трудозатраты ПК'!X$46)</f>
        <v>#REF!</v>
      </c>
      <c r="Y12" s="164" t="e">
        <f>SUMIFS('Файл оценки'!#REF!,'Файл оценки'!#REF!,'Трудозатраты ПК'!$A12,'Файл оценки'!#REF!,'Трудозатраты ПК'!Y$46)</f>
        <v>#REF!</v>
      </c>
      <c r="Z12" s="164" t="e">
        <f>SUMIFS('Файл оценки'!#REF!,'Файл оценки'!#REF!,'Трудозатраты ПК'!$A12,'Файл оценки'!#REF!,'Трудозатраты ПК'!Z$46)</f>
        <v>#REF!</v>
      </c>
      <c r="AA12" s="164" t="e">
        <f>SUMIFS('Файл оценки'!#REF!,'Файл оценки'!#REF!,'Трудозатраты ПК'!$A12,'Файл оценки'!#REF!,'Трудозатраты ПК'!AA$46)</f>
        <v>#REF!</v>
      </c>
      <c r="AB12" s="164" t="e">
        <f>SUMIFS('Файл оценки'!#REF!,'Файл оценки'!#REF!,'Трудозатраты ПК'!$A12,'Файл оценки'!#REF!,'Трудозатраты ПК'!AB$46)</f>
        <v>#REF!</v>
      </c>
      <c r="AC12" s="164" t="e">
        <f>SUMIFS('Файл оценки'!#REF!,'Файл оценки'!#REF!,'Трудозатраты ПК'!$A12,'Файл оценки'!#REF!,'Трудозатраты ПК'!AC$46)</f>
        <v>#REF!</v>
      </c>
      <c r="AD12" s="164" t="e">
        <f>SUMIFS('Файл оценки'!#REF!,'Файл оценки'!#REF!,'Трудозатраты ПК'!$A12,'Файл оценки'!#REF!,'Трудозатраты ПК'!AD$46)</f>
        <v>#REF!</v>
      </c>
      <c r="AE12" s="164" t="e">
        <f>SUMIFS('Файл оценки'!#REF!,'Файл оценки'!#REF!,'Трудозатраты ПК'!$A12,'Файл оценки'!#REF!,'Трудозатраты ПК'!AE$46)</f>
        <v>#REF!</v>
      </c>
      <c r="AF12" s="164" t="e">
        <f>SUMIFS('Файл оценки'!#REF!,'Файл оценки'!#REF!,'Трудозатраты ПК'!$A12,'Файл оценки'!#REF!,'Трудозатраты ПК'!AF$46)</f>
        <v>#REF!</v>
      </c>
      <c r="AG12" s="164" t="e">
        <f>SUMIFS('Файл оценки'!#REF!,'Файл оценки'!#REF!,'Трудозатраты ПК'!$A12,'Файл оценки'!#REF!,'Трудозатраты ПК'!AG$46)</f>
        <v>#REF!</v>
      </c>
      <c r="AH12" s="164" t="e">
        <f>SUMIFS('Файл оценки'!#REF!,'Файл оценки'!#REF!,'Трудозатраты ПК'!$A12,'Файл оценки'!#REF!,'Трудозатраты ПК'!AH$46)</f>
        <v>#REF!</v>
      </c>
      <c r="AI12" s="164" t="e">
        <f>SUMIFS('Файл оценки'!#REF!,'Файл оценки'!#REF!,'Трудозатраты ПК'!$A12,'Файл оценки'!#REF!,'Трудозатраты ПК'!AI$46)</f>
        <v>#REF!</v>
      </c>
      <c r="AJ12" s="164" t="e">
        <f>SUMIFS('Файл оценки'!#REF!,'Файл оценки'!#REF!,'Трудозатраты ПК'!$A12,'Файл оценки'!#REF!,'Трудозатраты ПК'!AJ$46)</f>
        <v>#REF!</v>
      </c>
      <c r="AK12" s="164" t="e">
        <f>SUMIFS('Файл оценки'!#REF!,'Файл оценки'!#REF!,'Трудозатраты ПК'!$A12,'Файл оценки'!#REF!,'Трудозатраты ПК'!AK$46)</f>
        <v>#REF!</v>
      </c>
      <c r="AL12" s="164" t="e">
        <f>SUMIFS('Файл оценки'!#REF!,'Файл оценки'!#REF!,'Трудозатраты ПК'!$A12,'Файл оценки'!#REF!,'Трудозатраты ПК'!AL$46)</f>
        <v>#REF!</v>
      </c>
      <c r="AM12" s="164" t="e">
        <f>SUMIFS('Файл оценки'!#REF!,'Файл оценки'!#REF!,'Трудозатраты ПК'!$A12,'Файл оценки'!#REF!,'Трудозатраты ПК'!AM$46)</f>
        <v>#REF!</v>
      </c>
      <c r="AN12" s="164" t="e">
        <f>SUMIFS('Файл оценки'!#REF!,'Файл оценки'!#REF!,'Трудозатраты ПК'!$A12,'Файл оценки'!#REF!,'Трудозатраты ПК'!AN$46)</f>
        <v>#REF!</v>
      </c>
      <c r="AO12" s="164" t="e">
        <f>SUMIFS('Файл оценки'!#REF!,'Файл оценки'!#REF!,'Трудозатраты ПК'!$A12,'Файл оценки'!#REF!,'Трудозатраты ПК'!AO$46)</f>
        <v>#REF!</v>
      </c>
      <c r="AP12" s="164" t="e">
        <f>SUMIFS('Файл оценки'!#REF!,'Файл оценки'!#REF!,'Трудозатраты ПК'!$A12,'Файл оценки'!#REF!,'Трудозатраты ПК'!AP$46)</f>
        <v>#REF!</v>
      </c>
      <c r="AQ12" s="164" t="e">
        <f>SUMIFS('Файл оценки'!#REF!,'Файл оценки'!#REF!,'Трудозатраты ПК'!$A12,'Файл оценки'!#REF!,'Трудозатраты ПК'!AQ$46)</f>
        <v>#REF!</v>
      </c>
      <c r="AR12" s="164" t="e">
        <f>SUMIFS('Файл оценки'!#REF!,'Файл оценки'!#REF!,'Трудозатраты ПК'!$A12,'Файл оценки'!#REF!,'Трудозатраты ПК'!AR$46)</f>
        <v>#REF!</v>
      </c>
      <c r="AS12" s="164" t="e">
        <f>SUMIFS('Файл оценки'!#REF!,'Файл оценки'!#REF!,'Трудозатраты ПК'!$A12,'Файл оценки'!#REF!,'Трудозатраты ПК'!AS$46)</f>
        <v>#REF!</v>
      </c>
      <c r="AT12" s="164" t="e">
        <f>SUMIFS('Файл оценки'!#REF!,'Файл оценки'!#REF!,'Трудозатраты ПК'!$A12,'Файл оценки'!#REF!,'Трудозатраты ПК'!AT$46)</f>
        <v>#REF!</v>
      </c>
      <c r="AU12" s="164" t="e">
        <f>SUMIFS('Файл оценки'!#REF!,'Файл оценки'!#REF!,'Трудозатраты ПК'!$A12,'Файл оценки'!#REF!,'Трудозатраты ПК'!AU$46)</f>
        <v>#REF!</v>
      </c>
      <c r="AV12" s="164" t="e">
        <f>SUMIFS('Файл оценки'!#REF!,'Файл оценки'!#REF!,'Трудозатраты ПК'!$A12,'Файл оценки'!#REF!,'Трудозатраты ПК'!AV$46)</f>
        <v>#REF!</v>
      </c>
      <c r="AW12" s="164" t="e">
        <f>SUMIFS('Файл оценки'!#REF!,'Файл оценки'!#REF!,'Трудозатраты ПК'!$A12,'Файл оценки'!#REF!,'Трудозатраты ПК'!AW$46)</f>
        <v>#REF!</v>
      </c>
      <c r="AX12" s="164" t="e">
        <f>SUMIFS('Файл оценки'!#REF!,'Файл оценки'!#REF!,'Трудозатраты ПК'!$A12,'Файл оценки'!#REF!,'Трудозатраты ПК'!AX$46)</f>
        <v>#REF!</v>
      </c>
      <c r="AY12" s="165" t="e">
        <f t="shared" si="1"/>
        <v>#REF!</v>
      </c>
    </row>
    <row r="13" spans="1:51" ht="15.75" x14ac:dyDescent="0.25">
      <c r="A13" s="161" t="e">
        <v>#VALUE!</v>
      </c>
      <c r="B13" s="258"/>
      <c r="C13" s="162" t="e">
        <f t="shared" si="0"/>
        <v>#REF!</v>
      </c>
      <c r="D13" s="163" t="e">
        <f t="shared" si="2"/>
        <v>#REF!</v>
      </c>
      <c r="E13" s="164"/>
      <c r="F13" s="164"/>
      <c r="G13" s="164"/>
      <c r="H13" s="164"/>
      <c r="I13" s="164"/>
      <c r="J13" s="164" t="e">
        <f>SUMIFS('Файл оценки'!#REF!,'Файл оценки'!#REF!,'Трудозатраты ПК'!$A13,'Файл оценки'!#REF!,'Трудозатраты ПК'!J$46)</f>
        <v>#REF!</v>
      </c>
      <c r="K13" s="164" t="e">
        <f>SUMIFS('Файл оценки'!#REF!,'Файл оценки'!#REF!,'Трудозатраты ПК'!$A13,'Файл оценки'!#REF!,'Трудозатраты ПК'!K$46)</f>
        <v>#REF!</v>
      </c>
      <c r="L13" s="164" t="e">
        <f>SUMIFS('Файл оценки'!#REF!,'Файл оценки'!#REF!,'Трудозатраты ПК'!$A13,'Файл оценки'!#REF!,'Трудозатраты ПК'!L$46)</f>
        <v>#REF!</v>
      </c>
      <c r="M13" s="164" t="e">
        <f>SUMIFS('Файл оценки'!#REF!,'Файл оценки'!#REF!,'Трудозатраты ПК'!$A13,'Файл оценки'!#REF!,'Трудозатраты ПК'!M$46)</f>
        <v>#REF!</v>
      </c>
      <c r="N13" s="164" t="e">
        <f>SUMIFS('Файл оценки'!#REF!,'Файл оценки'!#REF!,'Трудозатраты ПК'!$A13,'Файл оценки'!#REF!,'Трудозатраты ПК'!N$46)</f>
        <v>#REF!</v>
      </c>
      <c r="O13" s="164" t="e">
        <f>SUMIFS('Файл оценки'!#REF!,'Файл оценки'!#REF!,'Трудозатраты ПК'!$A13,'Файл оценки'!#REF!,'Трудозатраты ПК'!O$46)</f>
        <v>#REF!</v>
      </c>
      <c r="P13" s="164" t="e">
        <f>SUMIFS('Файл оценки'!#REF!,'Файл оценки'!#REF!,'Трудозатраты ПК'!$A13,'Файл оценки'!#REF!,'Трудозатраты ПК'!P$46)</f>
        <v>#REF!</v>
      </c>
      <c r="Q13" s="164" t="e">
        <f>SUMIFS('Файл оценки'!#REF!,'Файл оценки'!#REF!,'Трудозатраты ПК'!$A13,'Файл оценки'!#REF!,'Трудозатраты ПК'!Q$46)</f>
        <v>#REF!</v>
      </c>
      <c r="R13" s="164" t="e">
        <f>SUMIFS('Файл оценки'!#REF!,'Файл оценки'!#REF!,'Трудозатраты ПК'!$A13,'Файл оценки'!#REF!,'Трудозатраты ПК'!R$46)</f>
        <v>#REF!</v>
      </c>
      <c r="S13" s="164" t="e">
        <f>SUMIFS('Файл оценки'!#REF!,'Файл оценки'!#REF!,'Трудозатраты ПК'!$A13,'Файл оценки'!#REF!,'Трудозатраты ПК'!S$46)</f>
        <v>#REF!</v>
      </c>
      <c r="T13" s="164" t="e">
        <f>SUMIFS('Файл оценки'!#REF!,'Файл оценки'!#REF!,'Трудозатраты ПК'!$A13,'Файл оценки'!#REF!,'Трудозатраты ПК'!T$46)</f>
        <v>#REF!</v>
      </c>
      <c r="U13" s="164" t="e">
        <f>SUMIFS('Файл оценки'!#REF!,'Файл оценки'!#REF!,'Трудозатраты ПК'!$A13,'Файл оценки'!#REF!,'Трудозатраты ПК'!U$46)</f>
        <v>#REF!</v>
      </c>
      <c r="V13" s="164" t="e">
        <f>SUMIFS('Файл оценки'!#REF!,'Файл оценки'!#REF!,'Трудозатраты ПК'!$A13,'Файл оценки'!#REF!,'Трудозатраты ПК'!V$46)</f>
        <v>#REF!</v>
      </c>
      <c r="W13" s="164" t="e">
        <f>SUMIFS('Файл оценки'!#REF!,'Файл оценки'!#REF!,'Трудозатраты ПК'!$A13,'Файл оценки'!#REF!,'Трудозатраты ПК'!W$46)</f>
        <v>#REF!</v>
      </c>
      <c r="X13" s="164" t="e">
        <f>SUMIFS('Файл оценки'!#REF!,'Файл оценки'!#REF!,'Трудозатраты ПК'!$A13,'Файл оценки'!#REF!,'Трудозатраты ПК'!X$46)</f>
        <v>#REF!</v>
      </c>
      <c r="Y13" s="164" t="e">
        <f>SUMIFS('Файл оценки'!#REF!,'Файл оценки'!#REF!,'Трудозатраты ПК'!$A13,'Файл оценки'!#REF!,'Трудозатраты ПК'!Y$46)</f>
        <v>#REF!</v>
      </c>
      <c r="Z13" s="164" t="e">
        <f>SUMIFS('Файл оценки'!#REF!,'Файл оценки'!#REF!,'Трудозатраты ПК'!$A13,'Файл оценки'!#REF!,'Трудозатраты ПК'!Z$46)</f>
        <v>#REF!</v>
      </c>
      <c r="AA13" s="164" t="e">
        <f>SUMIFS('Файл оценки'!#REF!,'Файл оценки'!#REF!,'Трудозатраты ПК'!$A13,'Файл оценки'!#REF!,'Трудозатраты ПК'!AA$46)</f>
        <v>#REF!</v>
      </c>
      <c r="AB13" s="164" t="e">
        <f>SUMIFS('Файл оценки'!#REF!,'Файл оценки'!#REF!,'Трудозатраты ПК'!$A13,'Файл оценки'!#REF!,'Трудозатраты ПК'!AB$46)</f>
        <v>#REF!</v>
      </c>
      <c r="AC13" s="164" t="e">
        <f>SUMIFS('Файл оценки'!#REF!,'Файл оценки'!#REF!,'Трудозатраты ПК'!$A13,'Файл оценки'!#REF!,'Трудозатраты ПК'!AC$46)</f>
        <v>#REF!</v>
      </c>
      <c r="AD13" s="164" t="e">
        <f>SUMIFS('Файл оценки'!#REF!,'Файл оценки'!#REF!,'Трудозатраты ПК'!$A13,'Файл оценки'!#REF!,'Трудозатраты ПК'!AD$46)</f>
        <v>#REF!</v>
      </c>
      <c r="AE13" s="164" t="e">
        <f>SUMIFS('Файл оценки'!#REF!,'Файл оценки'!#REF!,'Трудозатраты ПК'!$A13,'Файл оценки'!#REF!,'Трудозатраты ПК'!AE$46)</f>
        <v>#REF!</v>
      </c>
      <c r="AF13" s="164" t="e">
        <f>SUMIFS('Файл оценки'!#REF!,'Файл оценки'!#REF!,'Трудозатраты ПК'!$A13,'Файл оценки'!#REF!,'Трудозатраты ПК'!AF$46)</f>
        <v>#REF!</v>
      </c>
      <c r="AG13" s="164" t="e">
        <f>SUMIFS('Файл оценки'!#REF!,'Файл оценки'!#REF!,'Трудозатраты ПК'!$A13,'Файл оценки'!#REF!,'Трудозатраты ПК'!AG$46)</f>
        <v>#REF!</v>
      </c>
      <c r="AH13" s="164" t="e">
        <f>SUMIFS('Файл оценки'!#REF!,'Файл оценки'!#REF!,'Трудозатраты ПК'!$A13,'Файл оценки'!#REF!,'Трудозатраты ПК'!AH$46)</f>
        <v>#REF!</v>
      </c>
      <c r="AI13" s="164" t="e">
        <f>SUMIFS('Файл оценки'!#REF!,'Файл оценки'!#REF!,'Трудозатраты ПК'!$A13,'Файл оценки'!#REF!,'Трудозатраты ПК'!AI$46)</f>
        <v>#REF!</v>
      </c>
      <c r="AJ13" s="164" t="e">
        <f>SUMIFS('Файл оценки'!#REF!,'Файл оценки'!#REF!,'Трудозатраты ПК'!$A13,'Файл оценки'!#REF!,'Трудозатраты ПК'!AJ$46)</f>
        <v>#REF!</v>
      </c>
      <c r="AK13" s="164" t="e">
        <f>SUMIFS('Файл оценки'!#REF!,'Файл оценки'!#REF!,'Трудозатраты ПК'!$A13,'Файл оценки'!#REF!,'Трудозатраты ПК'!AK$46)</f>
        <v>#REF!</v>
      </c>
      <c r="AL13" s="164" t="e">
        <f>SUMIFS('Файл оценки'!#REF!,'Файл оценки'!#REF!,'Трудозатраты ПК'!$A13,'Файл оценки'!#REF!,'Трудозатраты ПК'!AL$46)</f>
        <v>#REF!</v>
      </c>
      <c r="AM13" s="164" t="e">
        <f>SUMIFS('Файл оценки'!#REF!,'Файл оценки'!#REF!,'Трудозатраты ПК'!$A13,'Файл оценки'!#REF!,'Трудозатраты ПК'!AM$46)</f>
        <v>#REF!</v>
      </c>
      <c r="AN13" s="164" t="e">
        <f>SUMIFS('Файл оценки'!#REF!,'Файл оценки'!#REF!,'Трудозатраты ПК'!$A13,'Файл оценки'!#REF!,'Трудозатраты ПК'!AN$46)</f>
        <v>#REF!</v>
      </c>
      <c r="AO13" s="164" t="e">
        <f>SUMIFS('Файл оценки'!#REF!,'Файл оценки'!#REF!,'Трудозатраты ПК'!$A13,'Файл оценки'!#REF!,'Трудозатраты ПК'!AO$46)</f>
        <v>#REF!</v>
      </c>
      <c r="AP13" s="164" t="e">
        <f>SUMIFS('Файл оценки'!#REF!,'Файл оценки'!#REF!,'Трудозатраты ПК'!$A13,'Файл оценки'!#REF!,'Трудозатраты ПК'!AP$46)</f>
        <v>#REF!</v>
      </c>
      <c r="AQ13" s="164" t="e">
        <f>SUMIFS('Файл оценки'!#REF!,'Файл оценки'!#REF!,'Трудозатраты ПК'!$A13,'Файл оценки'!#REF!,'Трудозатраты ПК'!AQ$46)</f>
        <v>#REF!</v>
      </c>
      <c r="AR13" s="164" t="e">
        <f>SUMIFS('Файл оценки'!#REF!,'Файл оценки'!#REF!,'Трудозатраты ПК'!$A13,'Файл оценки'!#REF!,'Трудозатраты ПК'!AR$46)</f>
        <v>#REF!</v>
      </c>
      <c r="AS13" s="164" t="e">
        <f>SUMIFS('Файл оценки'!#REF!,'Файл оценки'!#REF!,'Трудозатраты ПК'!$A13,'Файл оценки'!#REF!,'Трудозатраты ПК'!AS$46)</f>
        <v>#REF!</v>
      </c>
      <c r="AT13" s="164" t="e">
        <f>SUMIFS('Файл оценки'!#REF!,'Файл оценки'!#REF!,'Трудозатраты ПК'!$A13,'Файл оценки'!#REF!,'Трудозатраты ПК'!AT$46)</f>
        <v>#REF!</v>
      </c>
      <c r="AU13" s="164" t="e">
        <f>SUMIFS('Файл оценки'!#REF!,'Файл оценки'!#REF!,'Трудозатраты ПК'!$A13,'Файл оценки'!#REF!,'Трудозатраты ПК'!AU$46)</f>
        <v>#REF!</v>
      </c>
      <c r="AV13" s="164" t="e">
        <f>SUMIFS('Файл оценки'!#REF!,'Файл оценки'!#REF!,'Трудозатраты ПК'!$A13,'Файл оценки'!#REF!,'Трудозатраты ПК'!AV$46)</f>
        <v>#REF!</v>
      </c>
      <c r="AW13" s="164" t="e">
        <f>SUMIFS('Файл оценки'!#REF!,'Файл оценки'!#REF!,'Трудозатраты ПК'!$A13,'Файл оценки'!#REF!,'Трудозатраты ПК'!AW$46)</f>
        <v>#REF!</v>
      </c>
      <c r="AX13" s="164" t="e">
        <f>SUMIFS('Файл оценки'!#REF!,'Файл оценки'!#REF!,'Трудозатраты ПК'!$A13,'Файл оценки'!#REF!,'Трудозатраты ПК'!AX$46)</f>
        <v>#REF!</v>
      </c>
      <c r="AY13" s="165" t="e">
        <f t="shared" si="1"/>
        <v>#REF!</v>
      </c>
    </row>
    <row r="14" spans="1:51" ht="15.75" x14ac:dyDescent="0.25">
      <c r="A14" s="161" t="e">
        <v>#VALUE!</v>
      </c>
      <c r="B14" s="258"/>
      <c r="C14" s="162" t="e">
        <f t="shared" si="0"/>
        <v>#REF!</v>
      </c>
      <c r="D14" s="163" t="e">
        <f t="shared" si="2"/>
        <v>#REF!</v>
      </c>
      <c r="E14" s="164"/>
      <c r="F14" s="164"/>
      <c r="G14" s="164"/>
      <c r="H14" s="164"/>
      <c r="I14" s="164"/>
      <c r="J14" s="164" t="e">
        <f>SUMIFS('Файл оценки'!#REF!,'Файл оценки'!#REF!,'Трудозатраты ПК'!$A14,'Файл оценки'!#REF!,'Трудозатраты ПК'!J$46)</f>
        <v>#REF!</v>
      </c>
      <c r="K14" s="164" t="e">
        <f>SUMIFS('Файл оценки'!#REF!,'Файл оценки'!#REF!,'Трудозатраты ПК'!$A14,'Файл оценки'!#REF!,'Трудозатраты ПК'!K$46)</f>
        <v>#REF!</v>
      </c>
      <c r="L14" s="164" t="e">
        <f>SUMIFS('Файл оценки'!#REF!,'Файл оценки'!#REF!,'Трудозатраты ПК'!$A14,'Файл оценки'!#REF!,'Трудозатраты ПК'!L$46)</f>
        <v>#REF!</v>
      </c>
      <c r="M14" s="164" t="e">
        <f>SUMIFS('Файл оценки'!#REF!,'Файл оценки'!#REF!,'Трудозатраты ПК'!$A14,'Файл оценки'!#REF!,'Трудозатраты ПК'!M$46)</f>
        <v>#REF!</v>
      </c>
      <c r="N14" s="164" t="e">
        <f>SUMIFS('Файл оценки'!#REF!,'Файл оценки'!#REF!,'Трудозатраты ПК'!$A14,'Файл оценки'!#REF!,'Трудозатраты ПК'!N$46)</f>
        <v>#REF!</v>
      </c>
      <c r="O14" s="164" t="e">
        <f>SUMIFS('Файл оценки'!#REF!,'Файл оценки'!#REF!,'Трудозатраты ПК'!$A14,'Файл оценки'!#REF!,'Трудозатраты ПК'!O$46)</f>
        <v>#REF!</v>
      </c>
      <c r="P14" s="164" t="e">
        <f>SUMIFS('Файл оценки'!#REF!,'Файл оценки'!#REF!,'Трудозатраты ПК'!$A14,'Файл оценки'!#REF!,'Трудозатраты ПК'!P$46)</f>
        <v>#REF!</v>
      </c>
      <c r="Q14" s="164" t="e">
        <f>SUMIFS('Файл оценки'!#REF!,'Файл оценки'!#REF!,'Трудозатраты ПК'!$A14,'Файл оценки'!#REF!,'Трудозатраты ПК'!Q$46)</f>
        <v>#REF!</v>
      </c>
      <c r="R14" s="164" t="e">
        <f>SUMIFS('Файл оценки'!#REF!,'Файл оценки'!#REF!,'Трудозатраты ПК'!$A14,'Файл оценки'!#REF!,'Трудозатраты ПК'!R$46)</f>
        <v>#REF!</v>
      </c>
      <c r="S14" s="164" t="e">
        <f>SUMIFS('Файл оценки'!#REF!,'Файл оценки'!#REF!,'Трудозатраты ПК'!$A14,'Файл оценки'!#REF!,'Трудозатраты ПК'!S$46)</f>
        <v>#REF!</v>
      </c>
      <c r="T14" s="164" t="e">
        <f>SUMIFS('Файл оценки'!#REF!,'Файл оценки'!#REF!,'Трудозатраты ПК'!$A14,'Файл оценки'!#REF!,'Трудозатраты ПК'!T$46)</f>
        <v>#REF!</v>
      </c>
      <c r="U14" s="164" t="e">
        <f>SUMIFS('Файл оценки'!#REF!,'Файл оценки'!#REF!,'Трудозатраты ПК'!$A14,'Файл оценки'!#REF!,'Трудозатраты ПК'!U$46)</f>
        <v>#REF!</v>
      </c>
      <c r="V14" s="164" t="e">
        <f>SUMIFS('Файл оценки'!#REF!,'Файл оценки'!#REF!,'Трудозатраты ПК'!$A14,'Файл оценки'!#REF!,'Трудозатраты ПК'!V$46)</f>
        <v>#REF!</v>
      </c>
      <c r="W14" s="164" t="e">
        <f>SUMIFS('Файл оценки'!#REF!,'Файл оценки'!#REF!,'Трудозатраты ПК'!$A14,'Файл оценки'!#REF!,'Трудозатраты ПК'!W$46)</f>
        <v>#REF!</v>
      </c>
      <c r="X14" s="164" t="e">
        <f>SUMIFS('Файл оценки'!#REF!,'Файл оценки'!#REF!,'Трудозатраты ПК'!$A14,'Файл оценки'!#REF!,'Трудозатраты ПК'!X$46)</f>
        <v>#REF!</v>
      </c>
      <c r="Y14" s="164" t="e">
        <f>SUMIFS('Файл оценки'!#REF!,'Файл оценки'!#REF!,'Трудозатраты ПК'!$A14,'Файл оценки'!#REF!,'Трудозатраты ПК'!Y$46)</f>
        <v>#REF!</v>
      </c>
      <c r="Z14" s="164" t="e">
        <f>SUMIFS('Файл оценки'!#REF!,'Файл оценки'!#REF!,'Трудозатраты ПК'!$A14,'Файл оценки'!#REF!,'Трудозатраты ПК'!Z$46)</f>
        <v>#REF!</v>
      </c>
      <c r="AA14" s="164" t="e">
        <f>SUMIFS('Файл оценки'!#REF!,'Файл оценки'!#REF!,'Трудозатраты ПК'!$A14,'Файл оценки'!#REF!,'Трудозатраты ПК'!AA$46)</f>
        <v>#REF!</v>
      </c>
      <c r="AB14" s="164" t="e">
        <f>SUMIFS('Файл оценки'!#REF!,'Файл оценки'!#REF!,'Трудозатраты ПК'!$A14,'Файл оценки'!#REF!,'Трудозатраты ПК'!AB$46)</f>
        <v>#REF!</v>
      </c>
      <c r="AC14" s="164" t="e">
        <f>SUMIFS('Файл оценки'!#REF!,'Файл оценки'!#REF!,'Трудозатраты ПК'!$A14,'Файл оценки'!#REF!,'Трудозатраты ПК'!AC$46)</f>
        <v>#REF!</v>
      </c>
      <c r="AD14" s="164" t="e">
        <f>SUMIFS('Файл оценки'!#REF!,'Файл оценки'!#REF!,'Трудозатраты ПК'!$A14,'Файл оценки'!#REF!,'Трудозатраты ПК'!AD$46)</f>
        <v>#REF!</v>
      </c>
      <c r="AE14" s="164" t="e">
        <f>SUMIFS('Файл оценки'!#REF!,'Файл оценки'!#REF!,'Трудозатраты ПК'!$A14,'Файл оценки'!#REF!,'Трудозатраты ПК'!AE$46)</f>
        <v>#REF!</v>
      </c>
      <c r="AF14" s="164" t="e">
        <f>SUMIFS('Файл оценки'!#REF!,'Файл оценки'!#REF!,'Трудозатраты ПК'!$A14,'Файл оценки'!#REF!,'Трудозатраты ПК'!AF$46)</f>
        <v>#REF!</v>
      </c>
      <c r="AG14" s="164" t="e">
        <f>SUMIFS('Файл оценки'!#REF!,'Файл оценки'!#REF!,'Трудозатраты ПК'!$A14,'Файл оценки'!#REF!,'Трудозатраты ПК'!AG$46)</f>
        <v>#REF!</v>
      </c>
      <c r="AH14" s="164" t="e">
        <f>SUMIFS('Файл оценки'!#REF!,'Файл оценки'!#REF!,'Трудозатраты ПК'!$A14,'Файл оценки'!#REF!,'Трудозатраты ПК'!AH$46)</f>
        <v>#REF!</v>
      </c>
      <c r="AI14" s="164" t="e">
        <f>SUMIFS('Файл оценки'!#REF!,'Файл оценки'!#REF!,'Трудозатраты ПК'!$A14,'Файл оценки'!#REF!,'Трудозатраты ПК'!AI$46)</f>
        <v>#REF!</v>
      </c>
      <c r="AJ14" s="164" t="e">
        <f>SUMIFS('Файл оценки'!#REF!,'Файл оценки'!#REF!,'Трудозатраты ПК'!$A14,'Файл оценки'!#REF!,'Трудозатраты ПК'!AJ$46)</f>
        <v>#REF!</v>
      </c>
      <c r="AK14" s="164" t="e">
        <f>SUMIFS('Файл оценки'!#REF!,'Файл оценки'!#REF!,'Трудозатраты ПК'!$A14,'Файл оценки'!#REF!,'Трудозатраты ПК'!AK$46)</f>
        <v>#REF!</v>
      </c>
      <c r="AL14" s="164" t="e">
        <f>SUMIFS('Файл оценки'!#REF!,'Файл оценки'!#REF!,'Трудозатраты ПК'!$A14,'Файл оценки'!#REF!,'Трудозатраты ПК'!AL$46)</f>
        <v>#REF!</v>
      </c>
      <c r="AM14" s="164" t="e">
        <f>SUMIFS('Файл оценки'!#REF!,'Файл оценки'!#REF!,'Трудозатраты ПК'!$A14,'Файл оценки'!#REF!,'Трудозатраты ПК'!AM$46)</f>
        <v>#REF!</v>
      </c>
      <c r="AN14" s="164" t="e">
        <f>SUMIFS('Файл оценки'!#REF!,'Файл оценки'!#REF!,'Трудозатраты ПК'!$A14,'Файл оценки'!#REF!,'Трудозатраты ПК'!AN$46)</f>
        <v>#REF!</v>
      </c>
      <c r="AO14" s="164" t="e">
        <f>SUMIFS('Файл оценки'!#REF!,'Файл оценки'!#REF!,'Трудозатраты ПК'!$A14,'Файл оценки'!#REF!,'Трудозатраты ПК'!AO$46)</f>
        <v>#REF!</v>
      </c>
      <c r="AP14" s="164" t="e">
        <f>SUMIFS('Файл оценки'!#REF!,'Файл оценки'!#REF!,'Трудозатраты ПК'!$A14,'Файл оценки'!#REF!,'Трудозатраты ПК'!AP$46)</f>
        <v>#REF!</v>
      </c>
      <c r="AQ14" s="164" t="e">
        <f>SUMIFS('Файл оценки'!#REF!,'Файл оценки'!#REF!,'Трудозатраты ПК'!$A14,'Файл оценки'!#REF!,'Трудозатраты ПК'!AQ$46)</f>
        <v>#REF!</v>
      </c>
      <c r="AR14" s="164" t="e">
        <f>SUMIFS('Файл оценки'!#REF!,'Файл оценки'!#REF!,'Трудозатраты ПК'!$A14,'Файл оценки'!#REF!,'Трудозатраты ПК'!AR$46)</f>
        <v>#REF!</v>
      </c>
      <c r="AS14" s="164" t="e">
        <f>SUMIFS('Файл оценки'!#REF!,'Файл оценки'!#REF!,'Трудозатраты ПК'!$A14,'Файл оценки'!#REF!,'Трудозатраты ПК'!AS$46)</f>
        <v>#REF!</v>
      </c>
      <c r="AT14" s="164" t="e">
        <f>SUMIFS('Файл оценки'!#REF!,'Файл оценки'!#REF!,'Трудозатраты ПК'!$A14,'Файл оценки'!#REF!,'Трудозатраты ПК'!AT$46)</f>
        <v>#REF!</v>
      </c>
      <c r="AU14" s="164" t="e">
        <f>SUMIFS('Файл оценки'!#REF!,'Файл оценки'!#REF!,'Трудозатраты ПК'!$A14,'Файл оценки'!#REF!,'Трудозатраты ПК'!AU$46)</f>
        <v>#REF!</v>
      </c>
      <c r="AV14" s="164" t="e">
        <f>SUMIFS('Файл оценки'!#REF!,'Файл оценки'!#REF!,'Трудозатраты ПК'!$A14,'Файл оценки'!#REF!,'Трудозатраты ПК'!AV$46)</f>
        <v>#REF!</v>
      </c>
      <c r="AW14" s="164" t="e">
        <f>SUMIFS('Файл оценки'!#REF!,'Файл оценки'!#REF!,'Трудозатраты ПК'!$A14,'Файл оценки'!#REF!,'Трудозатраты ПК'!AW$46)</f>
        <v>#REF!</v>
      </c>
      <c r="AX14" s="164" t="e">
        <f>SUMIFS('Файл оценки'!#REF!,'Файл оценки'!#REF!,'Трудозатраты ПК'!$A14,'Файл оценки'!#REF!,'Трудозатраты ПК'!AX$46)</f>
        <v>#REF!</v>
      </c>
      <c r="AY14" s="165" t="e">
        <f t="shared" si="1"/>
        <v>#REF!</v>
      </c>
    </row>
    <row r="15" spans="1:51" ht="15.75" x14ac:dyDescent="0.25">
      <c r="A15" s="161" t="e">
        <v>#VALUE!</v>
      </c>
      <c r="B15" s="258"/>
      <c r="C15" s="162" t="e">
        <f t="shared" si="0"/>
        <v>#REF!</v>
      </c>
      <c r="D15" s="163" t="e">
        <f t="shared" si="2"/>
        <v>#REF!</v>
      </c>
      <c r="E15" s="164"/>
      <c r="F15" s="164"/>
      <c r="G15" s="164"/>
      <c r="H15" s="164"/>
      <c r="I15" s="164"/>
      <c r="J15" s="164" t="e">
        <f>SUMIFS('Файл оценки'!#REF!,'Файл оценки'!#REF!,'Трудозатраты ПК'!$A15,'Файл оценки'!#REF!,'Трудозатраты ПК'!J$46)</f>
        <v>#REF!</v>
      </c>
      <c r="K15" s="164" t="e">
        <f>SUMIFS('Файл оценки'!#REF!,'Файл оценки'!#REF!,'Трудозатраты ПК'!$A15,'Файл оценки'!#REF!,'Трудозатраты ПК'!K$46)</f>
        <v>#REF!</v>
      </c>
      <c r="L15" s="164" t="e">
        <f>SUMIFS('Файл оценки'!#REF!,'Файл оценки'!#REF!,'Трудозатраты ПК'!$A15,'Файл оценки'!#REF!,'Трудозатраты ПК'!L$46)</f>
        <v>#REF!</v>
      </c>
      <c r="M15" s="164" t="e">
        <f>SUMIFS('Файл оценки'!#REF!,'Файл оценки'!#REF!,'Трудозатраты ПК'!$A15,'Файл оценки'!#REF!,'Трудозатраты ПК'!M$46)</f>
        <v>#REF!</v>
      </c>
      <c r="N15" s="164" t="e">
        <f>SUMIFS('Файл оценки'!#REF!,'Файл оценки'!#REF!,'Трудозатраты ПК'!$A15,'Файл оценки'!#REF!,'Трудозатраты ПК'!N$46)</f>
        <v>#REF!</v>
      </c>
      <c r="O15" s="164" t="e">
        <f>SUMIFS('Файл оценки'!#REF!,'Файл оценки'!#REF!,'Трудозатраты ПК'!$A15,'Файл оценки'!#REF!,'Трудозатраты ПК'!O$46)</f>
        <v>#REF!</v>
      </c>
      <c r="P15" s="164" t="e">
        <f>SUMIFS('Файл оценки'!#REF!,'Файл оценки'!#REF!,'Трудозатраты ПК'!$A15,'Файл оценки'!#REF!,'Трудозатраты ПК'!P$46)</f>
        <v>#REF!</v>
      </c>
      <c r="Q15" s="164" t="e">
        <f>SUMIFS('Файл оценки'!#REF!,'Файл оценки'!#REF!,'Трудозатраты ПК'!$A15,'Файл оценки'!#REF!,'Трудозатраты ПК'!Q$46)</f>
        <v>#REF!</v>
      </c>
      <c r="R15" s="164" t="e">
        <f>SUMIFS('Файл оценки'!#REF!,'Файл оценки'!#REF!,'Трудозатраты ПК'!$A15,'Файл оценки'!#REF!,'Трудозатраты ПК'!R$46)</f>
        <v>#REF!</v>
      </c>
      <c r="S15" s="164" t="e">
        <f>SUMIFS('Файл оценки'!#REF!,'Файл оценки'!#REF!,'Трудозатраты ПК'!$A15,'Файл оценки'!#REF!,'Трудозатраты ПК'!S$46)</f>
        <v>#REF!</v>
      </c>
      <c r="T15" s="164" t="e">
        <f>SUMIFS('Файл оценки'!#REF!,'Файл оценки'!#REF!,'Трудозатраты ПК'!$A15,'Файл оценки'!#REF!,'Трудозатраты ПК'!T$46)</f>
        <v>#REF!</v>
      </c>
      <c r="U15" s="164" t="e">
        <f>SUMIFS('Файл оценки'!#REF!,'Файл оценки'!#REF!,'Трудозатраты ПК'!$A15,'Файл оценки'!#REF!,'Трудозатраты ПК'!U$46)</f>
        <v>#REF!</v>
      </c>
      <c r="V15" s="164" t="e">
        <f>SUMIFS('Файл оценки'!#REF!,'Файл оценки'!#REF!,'Трудозатраты ПК'!$A15,'Файл оценки'!#REF!,'Трудозатраты ПК'!V$46)</f>
        <v>#REF!</v>
      </c>
      <c r="W15" s="164" t="e">
        <f>SUMIFS('Файл оценки'!#REF!,'Файл оценки'!#REF!,'Трудозатраты ПК'!$A15,'Файл оценки'!#REF!,'Трудозатраты ПК'!W$46)</f>
        <v>#REF!</v>
      </c>
      <c r="X15" s="164" t="e">
        <f>SUMIFS('Файл оценки'!#REF!,'Файл оценки'!#REF!,'Трудозатраты ПК'!$A15,'Файл оценки'!#REF!,'Трудозатраты ПК'!X$46)</f>
        <v>#REF!</v>
      </c>
      <c r="Y15" s="164" t="e">
        <f>SUMIFS('Файл оценки'!#REF!,'Файл оценки'!#REF!,'Трудозатраты ПК'!$A15,'Файл оценки'!#REF!,'Трудозатраты ПК'!Y$46)</f>
        <v>#REF!</v>
      </c>
      <c r="Z15" s="164" t="e">
        <f>SUMIFS('Файл оценки'!#REF!,'Файл оценки'!#REF!,'Трудозатраты ПК'!$A15,'Файл оценки'!#REF!,'Трудозатраты ПК'!Z$46)</f>
        <v>#REF!</v>
      </c>
      <c r="AA15" s="164" t="e">
        <f>SUMIFS('Файл оценки'!#REF!,'Файл оценки'!#REF!,'Трудозатраты ПК'!$A15,'Файл оценки'!#REF!,'Трудозатраты ПК'!AA$46)</f>
        <v>#REF!</v>
      </c>
      <c r="AB15" s="164" t="e">
        <f>SUMIFS('Файл оценки'!#REF!,'Файл оценки'!#REF!,'Трудозатраты ПК'!$A15,'Файл оценки'!#REF!,'Трудозатраты ПК'!AB$46)</f>
        <v>#REF!</v>
      </c>
      <c r="AC15" s="164" t="e">
        <f>SUMIFS('Файл оценки'!#REF!,'Файл оценки'!#REF!,'Трудозатраты ПК'!$A15,'Файл оценки'!#REF!,'Трудозатраты ПК'!AC$46)</f>
        <v>#REF!</v>
      </c>
      <c r="AD15" s="164" t="e">
        <f>SUMIFS('Файл оценки'!#REF!,'Файл оценки'!#REF!,'Трудозатраты ПК'!$A15,'Файл оценки'!#REF!,'Трудозатраты ПК'!AD$46)</f>
        <v>#REF!</v>
      </c>
      <c r="AE15" s="164" t="e">
        <f>SUMIFS('Файл оценки'!#REF!,'Файл оценки'!#REF!,'Трудозатраты ПК'!$A15,'Файл оценки'!#REF!,'Трудозатраты ПК'!AE$46)</f>
        <v>#REF!</v>
      </c>
      <c r="AF15" s="164" t="e">
        <f>SUMIFS('Файл оценки'!#REF!,'Файл оценки'!#REF!,'Трудозатраты ПК'!$A15,'Файл оценки'!#REF!,'Трудозатраты ПК'!AF$46)</f>
        <v>#REF!</v>
      </c>
      <c r="AG15" s="164" t="e">
        <f>SUMIFS('Файл оценки'!#REF!,'Файл оценки'!#REF!,'Трудозатраты ПК'!$A15,'Файл оценки'!#REF!,'Трудозатраты ПК'!AG$46)</f>
        <v>#REF!</v>
      </c>
      <c r="AH15" s="164" t="e">
        <f>SUMIFS('Файл оценки'!#REF!,'Файл оценки'!#REF!,'Трудозатраты ПК'!$A15,'Файл оценки'!#REF!,'Трудозатраты ПК'!AH$46)</f>
        <v>#REF!</v>
      </c>
      <c r="AI15" s="164" t="e">
        <f>SUMIFS('Файл оценки'!#REF!,'Файл оценки'!#REF!,'Трудозатраты ПК'!$A15,'Файл оценки'!#REF!,'Трудозатраты ПК'!AI$46)</f>
        <v>#REF!</v>
      </c>
      <c r="AJ15" s="164" t="e">
        <f>SUMIFS('Файл оценки'!#REF!,'Файл оценки'!#REF!,'Трудозатраты ПК'!$A15,'Файл оценки'!#REF!,'Трудозатраты ПК'!AJ$46)</f>
        <v>#REF!</v>
      </c>
      <c r="AK15" s="164" t="e">
        <f>SUMIFS('Файл оценки'!#REF!,'Файл оценки'!#REF!,'Трудозатраты ПК'!$A15,'Файл оценки'!#REF!,'Трудозатраты ПК'!AK$46)</f>
        <v>#REF!</v>
      </c>
      <c r="AL15" s="164" t="e">
        <f>SUMIFS('Файл оценки'!#REF!,'Файл оценки'!#REF!,'Трудозатраты ПК'!$A15,'Файл оценки'!#REF!,'Трудозатраты ПК'!AL$46)</f>
        <v>#REF!</v>
      </c>
      <c r="AM15" s="164" t="e">
        <f>SUMIFS('Файл оценки'!#REF!,'Файл оценки'!#REF!,'Трудозатраты ПК'!$A15,'Файл оценки'!#REF!,'Трудозатраты ПК'!AM$46)</f>
        <v>#REF!</v>
      </c>
      <c r="AN15" s="164" t="e">
        <f>SUMIFS('Файл оценки'!#REF!,'Файл оценки'!#REF!,'Трудозатраты ПК'!$A15,'Файл оценки'!#REF!,'Трудозатраты ПК'!AN$46)</f>
        <v>#REF!</v>
      </c>
      <c r="AO15" s="164" t="e">
        <f>SUMIFS('Файл оценки'!#REF!,'Файл оценки'!#REF!,'Трудозатраты ПК'!$A15,'Файл оценки'!#REF!,'Трудозатраты ПК'!AO$46)</f>
        <v>#REF!</v>
      </c>
      <c r="AP15" s="164" t="e">
        <f>SUMIFS('Файл оценки'!#REF!,'Файл оценки'!#REF!,'Трудозатраты ПК'!$A15,'Файл оценки'!#REF!,'Трудозатраты ПК'!AP$46)</f>
        <v>#REF!</v>
      </c>
      <c r="AQ15" s="164" t="e">
        <f>SUMIFS('Файл оценки'!#REF!,'Файл оценки'!#REF!,'Трудозатраты ПК'!$A15,'Файл оценки'!#REF!,'Трудозатраты ПК'!AQ$46)</f>
        <v>#REF!</v>
      </c>
      <c r="AR15" s="164" t="e">
        <f>SUMIFS('Файл оценки'!#REF!,'Файл оценки'!#REF!,'Трудозатраты ПК'!$A15,'Файл оценки'!#REF!,'Трудозатраты ПК'!AR$46)</f>
        <v>#REF!</v>
      </c>
      <c r="AS15" s="164" t="e">
        <f>SUMIFS('Файл оценки'!#REF!,'Файл оценки'!#REF!,'Трудозатраты ПК'!$A15,'Файл оценки'!#REF!,'Трудозатраты ПК'!AS$46)</f>
        <v>#REF!</v>
      </c>
      <c r="AT15" s="164" t="e">
        <f>SUMIFS('Файл оценки'!#REF!,'Файл оценки'!#REF!,'Трудозатраты ПК'!$A15,'Файл оценки'!#REF!,'Трудозатраты ПК'!AT$46)</f>
        <v>#REF!</v>
      </c>
      <c r="AU15" s="164" t="e">
        <f>SUMIFS('Файл оценки'!#REF!,'Файл оценки'!#REF!,'Трудозатраты ПК'!$A15,'Файл оценки'!#REF!,'Трудозатраты ПК'!AU$46)</f>
        <v>#REF!</v>
      </c>
      <c r="AV15" s="164" t="e">
        <f>SUMIFS('Файл оценки'!#REF!,'Файл оценки'!#REF!,'Трудозатраты ПК'!$A15,'Файл оценки'!#REF!,'Трудозатраты ПК'!AV$46)</f>
        <v>#REF!</v>
      </c>
      <c r="AW15" s="164" t="e">
        <f>SUMIFS('Файл оценки'!#REF!,'Файл оценки'!#REF!,'Трудозатраты ПК'!$A15,'Файл оценки'!#REF!,'Трудозатраты ПК'!AW$46)</f>
        <v>#REF!</v>
      </c>
      <c r="AX15" s="164" t="e">
        <f>SUMIFS('Файл оценки'!#REF!,'Файл оценки'!#REF!,'Трудозатраты ПК'!$A15,'Файл оценки'!#REF!,'Трудозатраты ПК'!AX$46)</f>
        <v>#REF!</v>
      </c>
      <c r="AY15" s="165" t="e">
        <f t="shared" si="1"/>
        <v>#REF!</v>
      </c>
    </row>
    <row r="16" spans="1:51" ht="15.75" x14ac:dyDescent="0.25">
      <c r="A16" s="161" t="e">
        <v>#VALUE!</v>
      </c>
      <c r="B16" s="258"/>
      <c r="C16" s="162" t="e">
        <f t="shared" si="0"/>
        <v>#REF!</v>
      </c>
      <c r="D16" s="163" t="e">
        <f t="shared" si="2"/>
        <v>#REF!</v>
      </c>
      <c r="E16" s="164"/>
      <c r="F16" s="164"/>
      <c r="G16" s="164"/>
      <c r="H16" s="164"/>
      <c r="I16" s="164"/>
      <c r="J16" s="164" t="e">
        <f>SUMIFS('Файл оценки'!#REF!,'Файл оценки'!#REF!,'Трудозатраты ПК'!$A16,'Файл оценки'!#REF!,'Трудозатраты ПК'!J$46)</f>
        <v>#REF!</v>
      </c>
      <c r="K16" s="164" t="e">
        <f>SUMIFS('Файл оценки'!#REF!,'Файл оценки'!#REF!,'Трудозатраты ПК'!$A16,'Файл оценки'!#REF!,'Трудозатраты ПК'!K$46)</f>
        <v>#REF!</v>
      </c>
      <c r="L16" s="164" t="e">
        <f>SUMIFS('Файл оценки'!#REF!,'Файл оценки'!#REF!,'Трудозатраты ПК'!$A16,'Файл оценки'!#REF!,'Трудозатраты ПК'!L$46)</f>
        <v>#REF!</v>
      </c>
      <c r="M16" s="164" t="e">
        <f>SUMIFS('Файл оценки'!#REF!,'Файл оценки'!#REF!,'Трудозатраты ПК'!$A16,'Файл оценки'!#REF!,'Трудозатраты ПК'!M$46)</f>
        <v>#REF!</v>
      </c>
      <c r="N16" s="164" t="e">
        <f>SUMIFS('Файл оценки'!#REF!,'Файл оценки'!#REF!,'Трудозатраты ПК'!$A16,'Файл оценки'!#REF!,'Трудозатраты ПК'!N$46)</f>
        <v>#REF!</v>
      </c>
      <c r="O16" s="164" t="e">
        <f>SUMIFS('Файл оценки'!#REF!,'Файл оценки'!#REF!,'Трудозатраты ПК'!$A16,'Файл оценки'!#REF!,'Трудозатраты ПК'!O$46)</f>
        <v>#REF!</v>
      </c>
      <c r="P16" s="164" t="e">
        <f>SUMIFS('Файл оценки'!#REF!,'Файл оценки'!#REF!,'Трудозатраты ПК'!$A16,'Файл оценки'!#REF!,'Трудозатраты ПК'!P$46)</f>
        <v>#REF!</v>
      </c>
      <c r="Q16" s="164" t="e">
        <f>SUMIFS('Файл оценки'!#REF!,'Файл оценки'!#REF!,'Трудозатраты ПК'!$A16,'Файл оценки'!#REF!,'Трудозатраты ПК'!Q$46)</f>
        <v>#REF!</v>
      </c>
      <c r="R16" s="164" t="e">
        <f>SUMIFS('Файл оценки'!#REF!,'Файл оценки'!#REF!,'Трудозатраты ПК'!$A16,'Файл оценки'!#REF!,'Трудозатраты ПК'!R$46)</f>
        <v>#REF!</v>
      </c>
      <c r="S16" s="164" t="e">
        <f>SUMIFS('Файл оценки'!#REF!,'Файл оценки'!#REF!,'Трудозатраты ПК'!$A16,'Файл оценки'!#REF!,'Трудозатраты ПК'!S$46)</f>
        <v>#REF!</v>
      </c>
      <c r="T16" s="164" t="e">
        <f>SUMIFS('Файл оценки'!#REF!,'Файл оценки'!#REF!,'Трудозатраты ПК'!$A16,'Файл оценки'!#REF!,'Трудозатраты ПК'!T$46)</f>
        <v>#REF!</v>
      </c>
      <c r="U16" s="164" t="e">
        <f>SUMIFS('Файл оценки'!#REF!,'Файл оценки'!#REF!,'Трудозатраты ПК'!$A16,'Файл оценки'!#REF!,'Трудозатраты ПК'!U$46)</f>
        <v>#REF!</v>
      </c>
      <c r="V16" s="164" t="e">
        <f>SUMIFS('Файл оценки'!#REF!,'Файл оценки'!#REF!,'Трудозатраты ПК'!$A16,'Файл оценки'!#REF!,'Трудозатраты ПК'!V$46)</f>
        <v>#REF!</v>
      </c>
      <c r="W16" s="164" t="e">
        <f>SUMIFS('Файл оценки'!#REF!,'Файл оценки'!#REF!,'Трудозатраты ПК'!$A16,'Файл оценки'!#REF!,'Трудозатраты ПК'!W$46)</f>
        <v>#REF!</v>
      </c>
      <c r="X16" s="164" t="e">
        <f>SUMIFS('Файл оценки'!#REF!,'Файл оценки'!#REF!,'Трудозатраты ПК'!$A16,'Файл оценки'!#REF!,'Трудозатраты ПК'!X$46)</f>
        <v>#REF!</v>
      </c>
      <c r="Y16" s="164" t="e">
        <f>SUMIFS('Файл оценки'!#REF!,'Файл оценки'!#REF!,'Трудозатраты ПК'!$A16,'Файл оценки'!#REF!,'Трудозатраты ПК'!Y$46)</f>
        <v>#REF!</v>
      </c>
      <c r="Z16" s="164" t="e">
        <f>SUMIFS('Файл оценки'!#REF!,'Файл оценки'!#REF!,'Трудозатраты ПК'!$A16,'Файл оценки'!#REF!,'Трудозатраты ПК'!Z$46)</f>
        <v>#REF!</v>
      </c>
      <c r="AA16" s="164" t="e">
        <f>SUMIFS('Файл оценки'!#REF!,'Файл оценки'!#REF!,'Трудозатраты ПК'!$A16,'Файл оценки'!#REF!,'Трудозатраты ПК'!AA$46)</f>
        <v>#REF!</v>
      </c>
      <c r="AB16" s="164" t="e">
        <f>SUMIFS('Файл оценки'!#REF!,'Файл оценки'!#REF!,'Трудозатраты ПК'!$A16,'Файл оценки'!#REF!,'Трудозатраты ПК'!AB$46)</f>
        <v>#REF!</v>
      </c>
      <c r="AC16" s="164" t="e">
        <f>SUMIFS('Файл оценки'!#REF!,'Файл оценки'!#REF!,'Трудозатраты ПК'!$A16,'Файл оценки'!#REF!,'Трудозатраты ПК'!AC$46)</f>
        <v>#REF!</v>
      </c>
      <c r="AD16" s="164" t="e">
        <f>SUMIFS('Файл оценки'!#REF!,'Файл оценки'!#REF!,'Трудозатраты ПК'!$A16,'Файл оценки'!#REF!,'Трудозатраты ПК'!AD$46)</f>
        <v>#REF!</v>
      </c>
      <c r="AE16" s="164" t="e">
        <f>SUMIFS('Файл оценки'!#REF!,'Файл оценки'!#REF!,'Трудозатраты ПК'!$A16,'Файл оценки'!#REF!,'Трудозатраты ПК'!AE$46)</f>
        <v>#REF!</v>
      </c>
      <c r="AF16" s="164" t="e">
        <f>SUMIFS('Файл оценки'!#REF!,'Файл оценки'!#REF!,'Трудозатраты ПК'!$A16,'Файл оценки'!#REF!,'Трудозатраты ПК'!AF$46)</f>
        <v>#REF!</v>
      </c>
      <c r="AG16" s="164" t="e">
        <f>SUMIFS('Файл оценки'!#REF!,'Файл оценки'!#REF!,'Трудозатраты ПК'!$A16,'Файл оценки'!#REF!,'Трудозатраты ПК'!AG$46)</f>
        <v>#REF!</v>
      </c>
      <c r="AH16" s="164" t="e">
        <f>SUMIFS('Файл оценки'!#REF!,'Файл оценки'!#REF!,'Трудозатраты ПК'!$A16,'Файл оценки'!#REF!,'Трудозатраты ПК'!AH$46)</f>
        <v>#REF!</v>
      </c>
      <c r="AI16" s="164" t="e">
        <f>SUMIFS('Файл оценки'!#REF!,'Файл оценки'!#REF!,'Трудозатраты ПК'!$A16,'Файл оценки'!#REF!,'Трудозатраты ПК'!AI$46)</f>
        <v>#REF!</v>
      </c>
      <c r="AJ16" s="164" t="e">
        <f>SUMIFS('Файл оценки'!#REF!,'Файл оценки'!#REF!,'Трудозатраты ПК'!$A16,'Файл оценки'!#REF!,'Трудозатраты ПК'!AJ$46)</f>
        <v>#REF!</v>
      </c>
      <c r="AK16" s="164" t="e">
        <f>SUMIFS('Файл оценки'!#REF!,'Файл оценки'!#REF!,'Трудозатраты ПК'!$A16,'Файл оценки'!#REF!,'Трудозатраты ПК'!AK$46)</f>
        <v>#REF!</v>
      </c>
      <c r="AL16" s="164" t="e">
        <f>SUMIFS('Файл оценки'!#REF!,'Файл оценки'!#REF!,'Трудозатраты ПК'!$A16,'Файл оценки'!#REF!,'Трудозатраты ПК'!AL$46)</f>
        <v>#REF!</v>
      </c>
      <c r="AM16" s="164" t="e">
        <f>SUMIFS('Файл оценки'!#REF!,'Файл оценки'!#REF!,'Трудозатраты ПК'!$A16,'Файл оценки'!#REF!,'Трудозатраты ПК'!AM$46)</f>
        <v>#REF!</v>
      </c>
      <c r="AN16" s="164" t="e">
        <f>SUMIFS('Файл оценки'!#REF!,'Файл оценки'!#REF!,'Трудозатраты ПК'!$A16,'Файл оценки'!#REF!,'Трудозатраты ПК'!AN$46)</f>
        <v>#REF!</v>
      </c>
      <c r="AO16" s="164" t="e">
        <f>SUMIFS('Файл оценки'!#REF!,'Файл оценки'!#REF!,'Трудозатраты ПК'!$A16,'Файл оценки'!#REF!,'Трудозатраты ПК'!AO$46)</f>
        <v>#REF!</v>
      </c>
      <c r="AP16" s="164" t="e">
        <f>SUMIFS('Файл оценки'!#REF!,'Файл оценки'!#REF!,'Трудозатраты ПК'!$A16,'Файл оценки'!#REF!,'Трудозатраты ПК'!AP$46)</f>
        <v>#REF!</v>
      </c>
      <c r="AQ16" s="164" t="e">
        <f>SUMIFS('Файл оценки'!#REF!,'Файл оценки'!#REF!,'Трудозатраты ПК'!$A16,'Файл оценки'!#REF!,'Трудозатраты ПК'!AQ$46)</f>
        <v>#REF!</v>
      </c>
      <c r="AR16" s="164" t="e">
        <f>SUMIFS('Файл оценки'!#REF!,'Файл оценки'!#REF!,'Трудозатраты ПК'!$A16,'Файл оценки'!#REF!,'Трудозатраты ПК'!AR$46)</f>
        <v>#REF!</v>
      </c>
      <c r="AS16" s="164" t="e">
        <f>SUMIFS('Файл оценки'!#REF!,'Файл оценки'!#REF!,'Трудозатраты ПК'!$A16,'Файл оценки'!#REF!,'Трудозатраты ПК'!AS$46)</f>
        <v>#REF!</v>
      </c>
      <c r="AT16" s="164" t="e">
        <f>SUMIFS('Файл оценки'!#REF!,'Файл оценки'!#REF!,'Трудозатраты ПК'!$A16,'Файл оценки'!#REF!,'Трудозатраты ПК'!AT$46)</f>
        <v>#REF!</v>
      </c>
      <c r="AU16" s="164" t="e">
        <f>SUMIFS('Файл оценки'!#REF!,'Файл оценки'!#REF!,'Трудозатраты ПК'!$A16,'Файл оценки'!#REF!,'Трудозатраты ПК'!AU$46)</f>
        <v>#REF!</v>
      </c>
      <c r="AV16" s="164" t="e">
        <f>SUMIFS('Файл оценки'!#REF!,'Файл оценки'!#REF!,'Трудозатраты ПК'!$A16,'Файл оценки'!#REF!,'Трудозатраты ПК'!AV$46)</f>
        <v>#REF!</v>
      </c>
      <c r="AW16" s="164" t="e">
        <f>SUMIFS('Файл оценки'!#REF!,'Файл оценки'!#REF!,'Трудозатраты ПК'!$A16,'Файл оценки'!#REF!,'Трудозатраты ПК'!AW$46)</f>
        <v>#REF!</v>
      </c>
      <c r="AX16" s="164" t="e">
        <f>SUMIFS('Файл оценки'!#REF!,'Файл оценки'!#REF!,'Трудозатраты ПК'!$A16,'Файл оценки'!#REF!,'Трудозатраты ПК'!AX$46)</f>
        <v>#REF!</v>
      </c>
      <c r="AY16" s="165" t="e">
        <f t="shared" si="1"/>
        <v>#REF!</v>
      </c>
    </row>
    <row r="17" spans="1:51" ht="15.75" x14ac:dyDescent="0.25">
      <c r="A17" s="161" t="e">
        <v>#VALUE!</v>
      </c>
      <c r="B17" s="258"/>
      <c r="C17" s="162" t="e">
        <f t="shared" si="0"/>
        <v>#REF!</v>
      </c>
      <c r="D17" s="163" t="e">
        <f t="shared" si="2"/>
        <v>#REF!</v>
      </c>
      <c r="E17" s="164"/>
      <c r="F17" s="164"/>
      <c r="G17" s="164"/>
      <c r="H17" s="164"/>
      <c r="I17" s="164"/>
      <c r="J17" s="164" t="e">
        <f>SUMIFS('Файл оценки'!#REF!,'Файл оценки'!#REF!,'Трудозатраты ПК'!$A17,'Файл оценки'!#REF!,'Трудозатраты ПК'!J$46)</f>
        <v>#REF!</v>
      </c>
      <c r="K17" s="164" t="e">
        <f>SUMIFS('Файл оценки'!#REF!,'Файл оценки'!#REF!,'Трудозатраты ПК'!$A17,'Файл оценки'!#REF!,'Трудозатраты ПК'!K$46)</f>
        <v>#REF!</v>
      </c>
      <c r="L17" s="164" t="e">
        <f>SUMIFS('Файл оценки'!#REF!,'Файл оценки'!#REF!,'Трудозатраты ПК'!$A17,'Файл оценки'!#REF!,'Трудозатраты ПК'!L$46)</f>
        <v>#REF!</v>
      </c>
      <c r="M17" s="164" t="e">
        <f>SUMIFS('Файл оценки'!#REF!,'Файл оценки'!#REF!,'Трудозатраты ПК'!$A17,'Файл оценки'!#REF!,'Трудозатраты ПК'!M$46)</f>
        <v>#REF!</v>
      </c>
      <c r="N17" s="164" t="e">
        <f>SUMIFS('Файл оценки'!#REF!,'Файл оценки'!#REF!,'Трудозатраты ПК'!$A17,'Файл оценки'!#REF!,'Трудозатраты ПК'!N$46)</f>
        <v>#REF!</v>
      </c>
      <c r="O17" s="164" t="e">
        <f>SUMIFS('Файл оценки'!#REF!,'Файл оценки'!#REF!,'Трудозатраты ПК'!$A17,'Файл оценки'!#REF!,'Трудозатраты ПК'!O$46)</f>
        <v>#REF!</v>
      </c>
      <c r="P17" s="164" t="e">
        <f>SUMIFS('Файл оценки'!#REF!,'Файл оценки'!#REF!,'Трудозатраты ПК'!$A17,'Файл оценки'!#REF!,'Трудозатраты ПК'!P$46)</f>
        <v>#REF!</v>
      </c>
      <c r="Q17" s="164" t="e">
        <f>SUMIFS('Файл оценки'!#REF!,'Файл оценки'!#REF!,'Трудозатраты ПК'!$A17,'Файл оценки'!#REF!,'Трудозатраты ПК'!Q$46)</f>
        <v>#REF!</v>
      </c>
      <c r="R17" s="164" t="e">
        <f>SUMIFS('Файл оценки'!#REF!,'Файл оценки'!#REF!,'Трудозатраты ПК'!$A17,'Файл оценки'!#REF!,'Трудозатраты ПК'!R$46)</f>
        <v>#REF!</v>
      </c>
      <c r="S17" s="164" t="e">
        <f>SUMIFS('Файл оценки'!#REF!,'Файл оценки'!#REF!,'Трудозатраты ПК'!$A17,'Файл оценки'!#REF!,'Трудозатраты ПК'!S$46)</f>
        <v>#REF!</v>
      </c>
      <c r="T17" s="164" t="e">
        <f>SUMIFS('Файл оценки'!#REF!,'Файл оценки'!#REF!,'Трудозатраты ПК'!$A17,'Файл оценки'!#REF!,'Трудозатраты ПК'!T$46)</f>
        <v>#REF!</v>
      </c>
      <c r="U17" s="164" t="e">
        <f>SUMIFS('Файл оценки'!#REF!,'Файл оценки'!#REF!,'Трудозатраты ПК'!$A17,'Файл оценки'!#REF!,'Трудозатраты ПК'!U$46)</f>
        <v>#REF!</v>
      </c>
      <c r="V17" s="164" t="e">
        <f>SUMIFS('Файл оценки'!#REF!,'Файл оценки'!#REF!,'Трудозатраты ПК'!$A17,'Файл оценки'!#REF!,'Трудозатраты ПК'!V$46)</f>
        <v>#REF!</v>
      </c>
      <c r="W17" s="164" t="e">
        <f>SUMIFS('Файл оценки'!#REF!,'Файл оценки'!#REF!,'Трудозатраты ПК'!$A17,'Файл оценки'!#REF!,'Трудозатраты ПК'!W$46)</f>
        <v>#REF!</v>
      </c>
      <c r="X17" s="164" t="e">
        <f>SUMIFS('Файл оценки'!#REF!,'Файл оценки'!#REF!,'Трудозатраты ПК'!$A17,'Файл оценки'!#REF!,'Трудозатраты ПК'!X$46)</f>
        <v>#REF!</v>
      </c>
      <c r="Y17" s="164" t="e">
        <f>SUMIFS('Файл оценки'!#REF!,'Файл оценки'!#REF!,'Трудозатраты ПК'!$A17,'Файл оценки'!#REF!,'Трудозатраты ПК'!Y$46)</f>
        <v>#REF!</v>
      </c>
      <c r="Z17" s="164" t="e">
        <f>SUMIFS('Файл оценки'!#REF!,'Файл оценки'!#REF!,'Трудозатраты ПК'!$A17,'Файл оценки'!#REF!,'Трудозатраты ПК'!Z$46)</f>
        <v>#REF!</v>
      </c>
      <c r="AA17" s="164" t="e">
        <f>SUMIFS('Файл оценки'!#REF!,'Файл оценки'!#REF!,'Трудозатраты ПК'!$A17,'Файл оценки'!#REF!,'Трудозатраты ПК'!AA$46)</f>
        <v>#REF!</v>
      </c>
      <c r="AB17" s="164" t="e">
        <f>SUMIFS('Файл оценки'!#REF!,'Файл оценки'!#REF!,'Трудозатраты ПК'!$A17,'Файл оценки'!#REF!,'Трудозатраты ПК'!AB$46)</f>
        <v>#REF!</v>
      </c>
      <c r="AC17" s="164" t="e">
        <f>SUMIFS('Файл оценки'!#REF!,'Файл оценки'!#REF!,'Трудозатраты ПК'!$A17,'Файл оценки'!#REF!,'Трудозатраты ПК'!AC$46)</f>
        <v>#REF!</v>
      </c>
      <c r="AD17" s="164" t="e">
        <f>SUMIFS('Файл оценки'!#REF!,'Файл оценки'!#REF!,'Трудозатраты ПК'!$A17,'Файл оценки'!#REF!,'Трудозатраты ПК'!AD$46)</f>
        <v>#REF!</v>
      </c>
      <c r="AE17" s="164" t="e">
        <f>SUMIFS('Файл оценки'!#REF!,'Файл оценки'!#REF!,'Трудозатраты ПК'!$A17,'Файл оценки'!#REF!,'Трудозатраты ПК'!AE$46)</f>
        <v>#REF!</v>
      </c>
      <c r="AF17" s="164" t="e">
        <f>SUMIFS('Файл оценки'!#REF!,'Файл оценки'!#REF!,'Трудозатраты ПК'!$A17,'Файл оценки'!#REF!,'Трудозатраты ПК'!AF$46)</f>
        <v>#REF!</v>
      </c>
      <c r="AG17" s="164" t="e">
        <f>SUMIFS('Файл оценки'!#REF!,'Файл оценки'!#REF!,'Трудозатраты ПК'!$A17,'Файл оценки'!#REF!,'Трудозатраты ПК'!AG$46)</f>
        <v>#REF!</v>
      </c>
      <c r="AH17" s="164" t="e">
        <f>SUMIFS('Файл оценки'!#REF!,'Файл оценки'!#REF!,'Трудозатраты ПК'!$A17,'Файл оценки'!#REF!,'Трудозатраты ПК'!AH$46)</f>
        <v>#REF!</v>
      </c>
      <c r="AI17" s="164" t="e">
        <f>SUMIFS('Файл оценки'!#REF!,'Файл оценки'!#REF!,'Трудозатраты ПК'!$A17,'Файл оценки'!#REF!,'Трудозатраты ПК'!AI$46)</f>
        <v>#REF!</v>
      </c>
      <c r="AJ17" s="164" t="e">
        <f>SUMIFS('Файл оценки'!#REF!,'Файл оценки'!#REF!,'Трудозатраты ПК'!$A17,'Файл оценки'!#REF!,'Трудозатраты ПК'!AJ$46)</f>
        <v>#REF!</v>
      </c>
      <c r="AK17" s="164" t="e">
        <f>SUMIFS('Файл оценки'!#REF!,'Файл оценки'!#REF!,'Трудозатраты ПК'!$A17,'Файл оценки'!#REF!,'Трудозатраты ПК'!AK$46)</f>
        <v>#REF!</v>
      </c>
      <c r="AL17" s="164" t="e">
        <f>SUMIFS('Файл оценки'!#REF!,'Файл оценки'!#REF!,'Трудозатраты ПК'!$A17,'Файл оценки'!#REF!,'Трудозатраты ПК'!AL$46)</f>
        <v>#REF!</v>
      </c>
      <c r="AM17" s="164" t="e">
        <f>SUMIFS('Файл оценки'!#REF!,'Файл оценки'!#REF!,'Трудозатраты ПК'!$A17,'Файл оценки'!#REF!,'Трудозатраты ПК'!AM$46)</f>
        <v>#REF!</v>
      </c>
      <c r="AN17" s="164" t="e">
        <f>SUMIFS('Файл оценки'!#REF!,'Файл оценки'!#REF!,'Трудозатраты ПК'!$A17,'Файл оценки'!#REF!,'Трудозатраты ПК'!AN$46)</f>
        <v>#REF!</v>
      </c>
      <c r="AO17" s="164" t="e">
        <f>SUMIFS('Файл оценки'!#REF!,'Файл оценки'!#REF!,'Трудозатраты ПК'!$A17,'Файл оценки'!#REF!,'Трудозатраты ПК'!AO$46)</f>
        <v>#REF!</v>
      </c>
      <c r="AP17" s="164" t="e">
        <f>SUMIFS('Файл оценки'!#REF!,'Файл оценки'!#REF!,'Трудозатраты ПК'!$A17,'Файл оценки'!#REF!,'Трудозатраты ПК'!AP$46)</f>
        <v>#REF!</v>
      </c>
      <c r="AQ17" s="164" t="e">
        <f>SUMIFS('Файл оценки'!#REF!,'Файл оценки'!#REF!,'Трудозатраты ПК'!$A17,'Файл оценки'!#REF!,'Трудозатраты ПК'!AQ$46)</f>
        <v>#REF!</v>
      </c>
      <c r="AR17" s="164" t="e">
        <f>SUMIFS('Файл оценки'!#REF!,'Файл оценки'!#REF!,'Трудозатраты ПК'!$A17,'Файл оценки'!#REF!,'Трудозатраты ПК'!AR$46)</f>
        <v>#REF!</v>
      </c>
      <c r="AS17" s="164" t="e">
        <f>SUMIFS('Файл оценки'!#REF!,'Файл оценки'!#REF!,'Трудозатраты ПК'!$A17,'Файл оценки'!#REF!,'Трудозатраты ПК'!AS$46)</f>
        <v>#REF!</v>
      </c>
      <c r="AT17" s="164" t="e">
        <f>SUMIFS('Файл оценки'!#REF!,'Файл оценки'!#REF!,'Трудозатраты ПК'!$A17,'Файл оценки'!#REF!,'Трудозатраты ПК'!AT$46)</f>
        <v>#REF!</v>
      </c>
      <c r="AU17" s="164" t="e">
        <f>SUMIFS('Файл оценки'!#REF!,'Файл оценки'!#REF!,'Трудозатраты ПК'!$A17,'Файл оценки'!#REF!,'Трудозатраты ПК'!AU$46)</f>
        <v>#REF!</v>
      </c>
      <c r="AV17" s="164" t="e">
        <f>SUMIFS('Файл оценки'!#REF!,'Файл оценки'!#REF!,'Трудозатраты ПК'!$A17,'Файл оценки'!#REF!,'Трудозатраты ПК'!AV$46)</f>
        <v>#REF!</v>
      </c>
      <c r="AW17" s="164" t="e">
        <f>SUMIFS('Файл оценки'!#REF!,'Файл оценки'!#REF!,'Трудозатраты ПК'!$A17,'Файл оценки'!#REF!,'Трудозатраты ПК'!AW$46)</f>
        <v>#REF!</v>
      </c>
      <c r="AX17" s="164" t="e">
        <f>SUMIFS('Файл оценки'!#REF!,'Файл оценки'!#REF!,'Трудозатраты ПК'!$A17,'Файл оценки'!#REF!,'Трудозатраты ПК'!AX$46)</f>
        <v>#REF!</v>
      </c>
      <c r="AY17" s="165" t="e">
        <f t="shared" si="1"/>
        <v>#REF!</v>
      </c>
    </row>
    <row r="18" spans="1:51" ht="15.75" x14ac:dyDescent="0.25">
      <c r="A18" s="161" t="e">
        <f>Работы_Спецы!#REF!</f>
        <v>#REF!</v>
      </c>
      <c r="B18" s="258"/>
      <c r="C18" s="162" t="e">
        <f t="shared" si="0"/>
        <v>#REF!</v>
      </c>
      <c r="D18" s="163" t="e">
        <f t="shared" si="2"/>
        <v>#REF!</v>
      </c>
      <c r="E18" s="164"/>
      <c r="F18" s="164"/>
      <c r="G18" s="164"/>
      <c r="H18" s="164"/>
      <c r="I18" s="164"/>
      <c r="J18" s="164" t="e">
        <f>SUMIFS('Файл оценки'!#REF!,'Файл оценки'!#REF!,'Трудозатраты ПК'!$A18,'Файл оценки'!#REF!,'Трудозатраты ПК'!J$46)</f>
        <v>#REF!</v>
      </c>
      <c r="K18" s="164" t="e">
        <f>SUMIFS('Файл оценки'!#REF!,'Файл оценки'!#REF!,'Трудозатраты ПК'!$A18,'Файл оценки'!#REF!,'Трудозатраты ПК'!K$46)</f>
        <v>#REF!</v>
      </c>
      <c r="L18" s="164" t="e">
        <f>SUMIFS('Файл оценки'!#REF!,'Файл оценки'!#REF!,'Трудозатраты ПК'!$A18,'Файл оценки'!#REF!,'Трудозатраты ПК'!L$46)</f>
        <v>#REF!</v>
      </c>
      <c r="M18" s="164" t="e">
        <f>SUMIFS('Файл оценки'!#REF!,'Файл оценки'!#REF!,'Трудозатраты ПК'!$A18,'Файл оценки'!#REF!,'Трудозатраты ПК'!M$46)</f>
        <v>#REF!</v>
      </c>
      <c r="N18" s="164" t="e">
        <f>SUMIFS('Файл оценки'!#REF!,'Файл оценки'!#REF!,'Трудозатраты ПК'!$A18,'Файл оценки'!#REF!,'Трудозатраты ПК'!N$46)</f>
        <v>#REF!</v>
      </c>
      <c r="O18" s="164" t="e">
        <f>SUMIFS('Файл оценки'!#REF!,'Файл оценки'!#REF!,'Трудозатраты ПК'!$A18,'Файл оценки'!#REF!,'Трудозатраты ПК'!O$46)</f>
        <v>#REF!</v>
      </c>
      <c r="P18" s="164" t="e">
        <f>SUMIFS('Файл оценки'!#REF!,'Файл оценки'!#REF!,'Трудозатраты ПК'!$A18,'Файл оценки'!#REF!,'Трудозатраты ПК'!P$46)</f>
        <v>#REF!</v>
      </c>
      <c r="Q18" s="164" t="e">
        <f>SUMIFS('Файл оценки'!#REF!,'Файл оценки'!#REF!,'Трудозатраты ПК'!$A18,'Файл оценки'!#REF!,'Трудозатраты ПК'!Q$46)</f>
        <v>#REF!</v>
      </c>
      <c r="R18" s="164" t="e">
        <f>SUMIFS('Файл оценки'!#REF!,'Файл оценки'!#REF!,'Трудозатраты ПК'!$A18,'Файл оценки'!#REF!,'Трудозатраты ПК'!R$46)</f>
        <v>#REF!</v>
      </c>
      <c r="S18" s="164" t="e">
        <f>SUMIFS('Файл оценки'!#REF!,'Файл оценки'!#REF!,'Трудозатраты ПК'!$A18,'Файл оценки'!#REF!,'Трудозатраты ПК'!S$46)</f>
        <v>#REF!</v>
      </c>
      <c r="T18" s="164" t="e">
        <f>SUMIFS('Файл оценки'!#REF!,'Файл оценки'!#REF!,'Трудозатраты ПК'!$A18,'Файл оценки'!#REF!,'Трудозатраты ПК'!T$46)</f>
        <v>#REF!</v>
      </c>
      <c r="U18" s="164" t="e">
        <f>SUMIFS('Файл оценки'!#REF!,'Файл оценки'!#REF!,'Трудозатраты ПК'!$A18,'Файл оценки'!#REF!,'Трудозатраты ПК'!U$46)</f>
        <v>#REF!</v>
      </c>
      <c r="V18" s="164" t="e">
        <f>SUMIFS('Файл оценки'!#REF!,'Файл оценки'!#REF!,'Трудозатраты ПК'!$A18,'Файл оценки'!#REF!,'Трудозатраты ПК'!V$46)</f>
        <v>#REF!</v>
      </c>
      <c r="W18" s="164" t="e">
        <f>SUMIFS('Файл оценки'!#REF!,'Файл оценки'!#REF!,'Трудозатраты ПК'!$A18,'Файл оценки'!#REF!,'Трудозатраты ПК'!W$46)</f>
        <v>#REF!</v>
      </c>
      <c r="X18" s="164" t="e">
        <f>SUMIFS('Файл оценки'!#REF!,'Файл оценки'!#REF!,'Трудозатраты ПК'!$A18,'Файл оценки'!#REF!,'Трудозатраты ПК'!X$46)</f>
        <v>#REF!</v>
      </c>
      <c r="Y18" s="164" t="e">
        <f>SUMIFS('Файл оценки'!#REF!,'Файл оценки'!#REF!,'Трудозатраты ПК'!$A18,'Файл оценки'!#REF!,'Трудозатраты ПК'!Y$46)</f>
        <v>#REF!</v>
      </c>
      <c r="Z18" s="164" t="e">
        <f>SUMIFS('Файл оценки'!#REF!,'Файл оценки'!#REF!,'Трудозатраты ПК'!$A18,'Файл оценки'!#REF!,'Трудозатраты ПК'!Z$46)</f>
        <v>#REF!</v>
      </c>
      <c r="AA18" s="164" t="e">
        <f>SUMIFS('Файл оценки'!#REF!,'Файл оценки'!#REF!,'Трудозатраты ПК'!$A18,'Файл оценки'!#REF!,'Трудозатраты ПК'!AA$46)</f>
        <v>#REF!</v>
      </c>
      <c r="AB18" s="164" t="e">
        <f>SUMIFS('Файл оценки'!#REF!,'Файл оценки'!#REF!,'Трудозатраты ПК'!$A18,'Файл оценки'!#REF!,'Трудозатраты ПК'!AB$46)</f>
        <v>#REF!</v>
      </c>
      <c r="AC18" s="164" t="e">
        <f>SUMIFS('Файл оценки'!#REF!,'Файл оценки'!#REF!,'Трудозатраты ПК'!$A18,'Файл оценки'!#REF!,'Трудозатраты ПК'!AC$46)</f>
        <v>#REF!</v>
      </c>
      <c r="AD18" s="164" t="e">
        <f>SUMIFS('Файл оценки'!#REF!,'Файл оценки'!#REF!,'Трудозатраты ПК'!$A18,'Файл оценки'!#REF!,'Трудозатраты ПК'!AD$46)</f>
        <v>#REF!</v>
      </c>
      <c r="AE18" s="164" t="e">
        <f>SUMIFS('Файл оценки'!#REF!,'Файл оценки'!#REF!,'Трудозатраты ПК'!$A18,'Файл оценки'!#REF!,'Трудозатраты ПК'!AE$46)</f>
        <v>#REF!</v>
      </c>
      <c r="AF18" s="164" t="e">
        <f>SUMIFS('Файл оценки'!#REF!,'Файл оценки'!#REF!,'Трудозатраты ПК'!$A18,'Файл оценки'!#REF!,'Трудозатраты ПК'!AF$46)</f>
        <v>#REF!</v>
      </c>
      <c r="AG18" s="164" t="e">
        <f>SUMIFS('Файл оценки'!#REF!,'Файл оценки'!#REF!,'Трудозатраты ПК'!$A18,'Файл оценки'!#REF!,'Трудозатраты ПК'!AG$46)</f>
        <v>#REF!</v>
      </c>
      <c r="AH18" s="164" t="e">
        <f>SUMIFS('Файл оценки'!#REF!,'Файл оценки'!#REF!,'Трудозатраты ПК'!$A18,'Файл оценки'!#REF!,'Трудозатраты ПК'!AH$46)</f>
        <v>#REF!</v>
      </c>
      <c r="AI18" s="164" t="e">
        <f>SUMIFS('Файл оценки'!#REF!,'Файл оценки'!#REF!,'Трудозатраты ПК'!$A18,'Файл оценки'!#REF!,'Трудозатраты ПК'!AI$46)</f>
        <v>#REF!</v>
      </c>
      <c r="AJ18" s="164" t="e">
        <f>SUMIFS('Файл оценки'!#REF!,'Файл оценки'!#REF!,'Трудозатраты ПК'!$A18,'Файл оценки'!#REF!,'Трудозатраты ПК'!AJ$46)</f>
        <v>#REF!</v>
      </c>
      <c r="AK18" s="164" t="e">
        <f>SUMIFS('Файл оценки'!#REF!,'Файл оценки'!#REF!,'Трудозатраты ПК'!$A18,'Файл оценки'!#REF!,'Трудозатраты ПК'!AK$46)</f>
        <v>#REF!</v>
      </c>
      <c r="AL18" s="164" t="e">
        <f>SUMIFS('Файл оценки'!#REF!,'Файл оценки'!#REF!,'Трудозатраты ПК'!$A18,'Файл оценки'!#REF!,'Трудозатраты ПК'!AL$46)</f>
        <v>#REF!</v>
      </c>
      <c r="AM18" s="164" t="e">
        <f>SUMIFS('Файл оценки'!#REF!,'Файл оценки'!#REF!,'Трудозатраты ПК'!$A18,'Файл оценки'!#REF!,'Трудозатраты ПК'!AM$46)</f>
        <v>#REF!</v>
      </c>
      <c r="AN18" s="164" t="e">
        <f>SUMIFS('Файл оценки'!#REF!,'Файл оценки'!#REF!,'Трудозатраты ПК'!$A18,'Файл оценки'!#REF!,'Трудозатраты ПК'!AN$46)</f>
        <v>#REF!</v>
      </c>
      <c r="AO18" s="164" t="e">
        <f>SUMIFS('Файл оценки'!#REF!,'Файл оценки'!#REF!,'Трудозатраты ПК'!$A18,'Файл оценки'!#REF!,'Трудозатраты ПК'!AO$46)</f>
        <v>#REF!</v>
      </c>
      <c r="AP18" s="164" t="e">
        <f>SUMIFS('Файл оценки'!#REF!,'Файл оценки'!#REF!,'Трудозатраты ПК'!$A18,'Файл оценки'!#REF!,'Трудозатраты ПК'!AP$46)</f>
        <v>#REF!</v>
      </c>
      <c r="AQ18" s="164" t="e">
        <f>SUMIFS('Файл оценки'!#REF!,'Файл оценки'!#REF!,'Трудозатраты ПК'!$A18,'Файл оценки'!#REF!,'Трудозатраты ПК'!AQ$46)</f>
        <v>#REF!</v>
      </c>
      <c r="AR18" s="164" t="e">
        <f>SUMIFS('Файл оценки'!#REF!,'Файл оценки'!#REF!,'Трудозатраты ПК'!$A18,'Файл оценки'!#REF!,'Трудозатраты ПК'!AR$46)</f>
        <v>#REF!</v>
      </c>
      <c r="AS18" s="164" t="e">
        <f>SUMIFS('Файл оценки'!#REF!,'Файл оценки'!#REF!,'Трудозатраты ПК'!$A18,'Файл оценки'!#REF!,'Трудозатраты ПК'!AS$46)</f>
        <v>#REF!</v>
      </c>
      <c r="AT18" s="164" t="e">
        <f>SUMIFS('Файл оценки'!#REF!,'Файл оценки'!#REF!,'Трудозатраты ПК'!$A18,'Файл оценки'!#REF!,'Трудозатраты ПК'!AT$46)</f>
        <v>#REF!</v>
      </c>
      <c r="AU18" s="164" t="e">
        <f>SUMIFS('Файл оценки'!#REF!,'Файл оценки'!#REF!,'Трудозатраты ПК'!$A18,'Файл оценки'!#REF!,'Трудозатраты ПК'!AU$46)</f>
        <v>#REF!</v>
      </c>
      <c r="AV18" s="164" t="e">
        <f>SUMIFS('Файл оценки'!#REF!,'Файл оценки'!#REF!,'Трудозатраты ПК'!$A18,'Файл оценки'!#REF!,'Трудозатраты ПК'!AV$46)</f>
        <v>#REF!</v>
      </c>
      <c r="AW18" s="164" t="e">
        <f>SUMIFS('Файл оценки'!#REF!,'Файл оценки'!#REF!,'Трудозатраты ПК'!$A18,'Файл оценки'!#REF!,'Трудозатраты ПК'!AW$46)</f>
        <v>#REF!</v>
      </c>
      <c r="AX18" s="164" t="e">
        <f>SUMIFS('Файл оценки'!#REF!,'Файл оценки'!#REF!,'Трудозатраты ПК'!$A18,'Файл оценки'!#REF!,'Трудозатраты ПК'!AX$46)</f>
        <v>#REF!</v>
      </c>
      <c r="AY18" s="165" t="e">
        <f t="shared" si="1"/>
        <v>#REF!</v>
      </c>
    </row>
    <row r="19" spans="1:51" ht="15.75" x14ac:dyDescent="0.25">
      <c r="A19" s="161" t="e">
        <f>Работы_Спецы!#REF!</f>
        <v>#REF!</v>
      </c>
      <c r="B19" s="258"/>
      <c r="C19" s="162" t="e">
        <f t="shared" si="0"/>
        <v>#REF!</v>
      </c>
      <c r="D19" s="163" t="e">
        <f t="shared" si="2"/>
        <v>#REF!</v>
      </c>
      <c r="E19" s="164"/>
      <c r="F19" s="164"/>
      <c r="G19" s="164"/>
      <c r="H19" s="164"/>
      <c r="I19" s="164"/>
      <c r="J19" s="164" t="e">
        <f>SUMIFS('Файл оценки'!#REF!,'Файл оценки'!#REF!,'Трудозатраты ПК'!$A19,'Файл оценки'!#REF!,'Трудозатраты ПК'!J$46)</f>
        <v>#REF!</v>
      </c>
      <c r="K19" s="164" t="e">
        <f>SUMIFS('Файл оценки'!#REF!,'Файл оценки'!#REF!,'Трудозатраты ПК'!$A19,'Файл оценки'!#REF!,'Трудозатраты ПК'!K$46)</f>
        <v>#REF!</v>
      </c>
      <c r="L19" s="164" t="e">
        <f>SUMIFS('Файл оценки'!#REF!,'Файл оценки'!#REF!,'Трудозатраты ПК'!$A19,'Файл оценки'!#REF!,'Трудозатраты ПК'!L$46)</f>
        <v>#REF!</v>
      </c>
      <c r="M19" s="164" t="e">
        <f>SUMIFS('Файл оценки'!#REF!,'Файл оценки'!#REF!,'Трудозатраты ПК'!$A19,'Файл оценки'!#REF!,'Трудозатраты ПК'!M$46)</f>
        <v>#REF!</v>
      </c>
      <c r="N19" s="164" t="e">
        <f>SUMIFS('Файл оценки'!#REF!,'Файл оценки'!#REF!,'Трудозатраты ПК'!$A19,'Файл оценки'!#REF!,'Трудозатраты ПК'!N$46)</f>
        <v>#REF!</v>
      </c>
      <c r="O19" s="164" t="e">
        <f>SUMIFS('Файл оценки'!#REF!,'Файл оценки'!#REF!,'Трудозатраты ПК'!$A19,'Файл оценки'!#REF!,'Трудозатраты ПК'!O$46)</f>
        <v>#REF!</v>
      </c>
      <c r="P19" s="164" t="e">
        <f>SUMIFS('Файл оценки'!#REF!,'Файл оценки'!#REF!,'Трудозатраты ПК'!$A19,'Файл оценки'!#REF!,'Трудозатраты ПК'!P$46)</f>
        <v>#REF!</v>
      </c>
      <c r="Q19" s="164" t="e">
        <f>SUMIFS('Файл оценки'!#REF!,'Файл оценки'!#REF!,'Трудозатраты ПК'!$A19,'Файл оценки'!#REF!,'Трудозатраты ПК'!Q$46)</f>
        <v>#REF!</v>
      </c>
      <c r="R19" s="164" t="e">
        <f>SUMIFS('Файл оценки'!#REF!,'Файл оценки'!#REF!,'Трудозатраты ПК'!$A19,'Файл оценки'!#REF!,'Трудозатраты ПК'!R$46)</f>
        <v>#REF!</v>
      </c>
      <c r="S19" s="164" t="e">
        <f>SUMIFS('Файл оценки'!#REF!,'Файл оценки'!#REF!,'Трудозатраты ПК'!$A19,'Файл оценки'!#REF!,'Трудозатраты ПК'!S$46)</f>
        <v>#REF!</v>
      </c>
      <c r="T19" s="164" t="e">
        <f>SUMIFS('Файл оценки'!#REF!,'Файл оценки'!#REF!,'Трудозатраты ПК'!$A19,'Файл оценки'!#REF!,'Трудозатраты ПК'!T$46)</f>
        <v>#REF!</v>
      </c>
      <c r="U19" s="164" t="e">
        <f>SUMIFS('Файл оценки'!#REF!,'Файл оценки'!#REF!,'Трудозатраты ПК'!$A19,'Файл оценки'!#REF!,'Трудозатраты ПК'!U$46)</f>
        <v>#REF!</v>
      </c>
      <c r="V19" s="164" t="e">
        <f>SUMIFS('Файл оценки'!#REF!,'Файл оценки'!#REF!,'Трудозатраты ПК'!$A19,'Файл оценки'!#REF!,'Трудозатраты ПК'!V$46)</f>
        <v>#REF!</v>
      </c>
      <c r="W19" s="164" t="e">
        <f>SUMIFS('Файл оценки'!#REF!,'Файл оценки'!#REF!,'Трудозатраты ПК'!$A19,'Файл оценки'!#REF!,'Трудозатраты ПК'!W$46)</f>
        <v>#REF!</v>
      </c>
      <c r="X19" s="164" t="e">
        <f>SUMIFS('Файл оценки'!#REF!,'Файл оценки'!#REF!,'Трудозатраты ПК'!$A19,'Файл оценки'!#REF!,'Трудозатраты ПК'!X$46)</f>
        <v>#REF!</v>
      </c>
      <c r="Y19" s="164" t="e">
        <f>SUMIFS('Файл оценки'!#REF!,'Файл оценки'!#REF!,'Трудозатраты ПК'!$A19,'Файл оценки'!#REF!,'Трудозатраты ПК'!Y$46)</f>
        <v>#REF!</v>
      </c>
      <c r="Z19" s="164" t="e">
        <f>SUMIFS('Файл оценки'!#REF!,'Файл оценки'!#REF!,'Трудозатраты ПК'!$A19,'Файл оценки'!#REF!,'Трудозатраты ПК'!Z$46)</f>
        <v>#REF!</v>
      </c>
      <c r="AA19" s="164" t="e">
        <f>SUMIFS('Файл оценки'!#REF!,'Файл оценки'!#REF!,'Трудозатраты ПК'!$A19,'Файл оценки'!#REF!,'Трудозатраты ПК'!AA$46)</f>
        <v>#REF!</v>
      </c>
      <c r="AB19" s="164" t="e">
        <f>SUMIFS('Файл оценки'!#REF!,'Файл оценки'!#REF!,'Трудозатраты ПК'!$A19,'Файл оценки'!#REF!,'Трудозатраты ПК'!AB$46)</f>
        <v>#REF!</v>
      </c>
      <c r="AC19" s="164" t="e">
        <f>SUMIFS('Файл оценки'!#REF!,'Файл оценки'!#REF!,'Трудозатраты ПК'!$A19,'Файл оценки'!#REF!,'Трудозатраты ПК'!AC$46)</f>
        <v>#REF!</v>
      </c>
      <c r="AD19" s="164" t="e">
        <f>SUMIFS('Файл оценки'!#REF!,'Файл оценки'!#REF!,'Трудозатраты ПК'!$A19,'Файл оценки'!#REF!,'Трудозатраты ПК'!AD$46)</f>
        <v>#REF!</v>
      </c>
      <c r="AE19" s="164" t="e">
        <f>SUMIFS('Файл оценки'!#REF!,'Файл оценки'!#REF!,'Трудозатраты ПК'!$A19,'Файл оценки'!#REF!,'Трудозатраты ПК'!AE$46)</f>
        <v>#REF!</v>
      </c>
      <c r="AF19" s="164" t="e">
        <f>SUMIFS('Файл оценки'!#REF!,'Файл оценки'!#REF!,'Трудозатраты ПК'!$A19,'Файл оценки'!#REF!,'Трудозатраты ПК'!AF$46)</f>
        <v>#REF!</v>
      </c>
      <c r="AG19" s="164" t="e">
        <f>SUMIFS('Файл оценки'!#REF!,'Файл оценки'!#REF!,'Трудозатраты ПК'!$A19,'Файл оценки'!#REF!,'Трудозатраты ПК'!AG$46)</f>
        <v>#REF!</v>
      </c>
      <c r="AH19" s="164" t="e">
        <f>SUMIFS('Файл оценки'!#REF!,'Файл оценки'!#REF!,'Трудозатраты ПК'!$A19,'Файл оценки'!#REF!,'Трудозатраты ПК'!AH$46)</f>
        <v>#REF!</v>
      </c>
      <c r="AI19" s="164" t="e">
        <f>SUMIFS('Файл оценки'!#REF!,'Файл оценки'!#REF!,'Трудозатраты ПК'!$A19,'Файл оценки'!#REF!,'Трудозатраты ПК'!AI$46)</f>
        <v>#REF!</v>
      </c>
      <c r="AJ19" s="164" t="e">
        <f>SUMIFS('Файл оценки'!#REF!,'Файл оценки'!#REF!,'Трудозатраты ПК'!$A19,'Файл оценки'!#REF!,'Трудозатраты ПК'!AJ$46)</f>
        <v>#REF!</v>
      </c>
      <c r="AK19" s="164" t="e">
        <f>SUMIFS('Файл оценки'!#REF!,'Файл оценки'!#REF!,'Трудозатраты ПК'!$A19,'Файл оценки'!#REF!,'Трудозатраты ПК'!AK$46)</f>
        <v>#REF!</v>
      </c>
      <c r="AL19" s="164" t="e">
        <f>SUMIFS('Файл оценки'!#REF!,'Файл оценки'!#REF!,'Трудозатраты ПК'!$A19,'Файл оценки'!#REF!,'Трудозатраты ПК'!AL$46)</f>
        <v>#REF!</v>
      </c>
      <c r="AM19" s="164" t="e">
        <f>SUMIFS('Файл оценки'!#REF!,'Файл оценки'!#REF!,'Трудозатраты ПК'!$A19,'Файл оценки'!#REF!,'Трудозатраты ПК'!AM$46)</f>
        <v>#REF!</v>
      </c>
      <c r="AN19" s="164" t="e">
        <f>SUMIFS('Файл оценки'!#REF!,'Файл оценки'!#REF!,'Трудозатраты ПК'!$A19,'Файл оценки'!#REF!,'Трудозатраты ПК'!AN$46)</f>
        <v>#REF!</v>
      </c>
      <c r="AO19" s="164" t="e">
        <f>SUMIFS('Файл оценки'!#REF!,'Файл оценки'!#REF!,'Трудозатраты ПК'!$A19,'Файл оценки'!#REF!,'Трудозатраты ПК'!AO$46)</f>
        <v>#REF!</v>
      </c>
      <c r="AP19" s="164" t="e">
        <f>SUMIFS('Файл оценки'!#REF!,'Файл оценки'!#REF!,'Трудозатраты ПК'!$A19,'Файл оценки'!#REF!,'Трудозатраты ПК'!AP$46)</f>
        <v>#REF!</v>
      </c>
      <c r="AQ19" s="164" t="e">
        <f>SUMIFS('Файл оценки'!#REF!,'Файл оценки'!#REF!,'Трудозатраты ПК'!$A19,'Файл оценки'!#REF!,'Трудозатраты ПК'!AQ$46)</f>
        <v>#REF!</v>
      </c>
      <c r="AR19" s="164" t="e">
        <f>SUMIFS('Файл оценки'!#REF!,'Файл оценки'!#REF!,'Трудозатраты ПК'!$A19,'Файл оценки'!#REF!,'Трудозатраты ПК'!AR$46)</f>
        <v>#REF!</v>
      </c>
      <c r="AS19" s="164" t="e">
        <f>SUMIFS('Файл оценки'!#REF!,'Файл оценки'!#REF!,'Трудозатраты ПК'!$A19,'Файл оценки'!#REF!,'Трудозатраты ПК'!AS$46)</f>
        <v>#REF!</v>
      </c>
      <c r="AT19" s="164" t="e">
        <f>SUMIFS('Файл оценки'!#REF!,'Файл оценки'!#REF!,'Трудозатраты ПК'!$A19,'Файл оценки'!#REF!,'Трудозатраты ПК'!AT$46)</f>
        <v>#REF!</v>
      </c>
      <c r="AU19" s="164" t="e">
        <f>SUMIFS('Файл оценки'!#REF!,'Файл оценки'!#REF!,'Трудозатраты ПК'!$A19,'Файл оценки'!#REF!,'Трудозатраты ПК'!AU$46)</f>
        <v>#REF!</v>
      </c>
      <c r="AV19" s="164" t="e">
        <f>SUMIFS('Файл оценки'!#REF!,'Файл оценки'!#REF!,'Трудозатраты ПК'!$A19,'Файл оценки'!#REF!,'Трудозатраты ПК'!AV$46)</f>
        <v>#REF!</v>
      </c>
      <c r="AW19" s="164" t="e">
        <f>SUMIFS('Файл оценки'!#REF!,'Файл оценки'!#REF!,'Трудозатраты ПК'!$A19,'Файл оценки'!#REF!,'Трудозатраты ПК'!AW$46)</f>
        <v>#REF!</v>
      </c>
      <c r="AX19" s="164" t="e">
        <f>SUMIFS('Файл оценки'!#REF!,'Файл оценки'!#REF!,'Трудозатраты ПК'!$A19,'Файл оценки'!#REF!,'Трудозатраты ПК'!AX$46)</f>
        <v>#REF!</v>
      </c>
      <c r="AY19" s="165" t="e">
        <f t="shared" si="1"/>
        <v>#REF!</v>
      </c>
    </row>
    <row r="20" spans="1:51" ht="15.75" x14ac:dyDescent="0.25">
      <c r="A20" s="161" t="e">
        <f>Работы_Спецы!#REF!</f>
        <v>#REF!</v>
      </c>
      <c r="B20" s="258"/>
      <c r="C20" s="162" t="e">
        <f t="shared" si="0"/>
        <v>#REF!</v>
      </c>
      <c r="D20" s="163" t="e">
        <f t="shared" si="2"/>
        <v>#REF!</v>
      </c>
      <c r="E20" s="164"/>
      <c r="F20" s="164"/>
      <c r="G20" s="164"/>
      <c r="H20" s="164"/>
      <c r="I20" s="164"/>
      <c r="J20" s="164" t="e">
        <f>SUMIFS('Файл оценки'!#REF!,'Файл оценки'!#REF!,'Трудозатраты ПК'!$A20,'Файл оценки'!#REF!,'Трудозатраты ПК'!J$46)</f>
        <v>#REF!</v>
      </c>
      <c r="K20" s="164" t="e">
        <f>SUMIFS('Файл оценки'!#REF!,'Файл оценки'!#REF!,'Трудозатраты ПК'!$A20,'Файл оценки'!#REF!,'Трудозатраты ПК'!K$46)</f>
        <v>#REF!</v>
      </c>
      <c r="L20" s="164" t="e">
        <f>SUMIFS('Файл оценки'!#REF!,'Файл оценки'!#REF!,'Трудозатраты ПК'!$A20,'Файл оценки'!#REF!,'Трудозатраты ПК'!L$46)</f>
        <v>#REF!</v>
      </c>
      <c r="M20" s="164" t="e">
        <f>SUMIFS('Файл оценки'!#REF!,'Файл оценки'!#REF!,'Трудозатраты ПК'!$A20,'Файл оценки'!#REF!,'Трудозатраты ПК'!M$46)</f>
        <v>#REF!</v>
      </c>
      <c r="N20" s="164" t="e">
        <f>SUMIFS('Файл оценки'!#REF!,'Файл оценки'!#REF!,'Трудозатраты ПК'!$A20,'Файл оценки'!#REF!,'Трудозатраты ПК'!N$46)</f>
        <v>#REF!</v>
      </c>
      <c r="O20" s="164" t="e">
        <f>SUMIFS('Файл оценки'!#REF!,'Файл оценки'!#REF!,'Трудозатраты ПК'!$A20,'Файл оценки'!#REF!,'Трудозатраты ПК'!O$46)</f>
        <v>#REF!</v>
      </c>
      <c r="P20" s="164" t="e">
        <f>SUMIFS('Файл оценки'!#REF!,'Файл оценки'!#REF!,'Трудозатраты ПК'!$A20,'Файл оценки'!#REF!,'Трудозатраты ПК'!P$46)</f>
        <v>#REF!</v>
      </c>
      <c r="Q20" s="164" t="e">
        <f>SUMIFS('Файл оценки'!#REF!,'Файл оценки'!#REF!,'Трудозатраты ПК'!$A20,'Файл оценки'!#REF!,'Трудозатраты ПК'!Q$46)</f>
        <v>#REF!</v>
      </c>
      <c r="R20" s="164" t="e">
        <f>SUMIFS('Файл оценки'!#REF!,'Файл оценки'!#REF!,'Трудозатраты ПК'!$A20,'Файл оценки'!#REF!,'Трудозатраты ПК'!R$46)</f>
        <v>#REF!</v>
      </c>
      <c r="S20" s="164" t="e">
        <f>SUMIFS('Файл оценки'!#REF!,'Файл оценки'!#REF!,'Трудозатраты ПК'!$A20,'Файл оценки'!#REF!,'Трудозатраты ПК'!S$46)</f>
        <v>#REF!</v>
      </c>
      <c r="T20" s="164" t="e">
        <f>SUMIFS('Файл оценки'!#REF!,'Файл оценки'!#REF!,'Трудозатраты ПК'!$A20,'Файл оценки'!#REF!,'Трудозатраты ПК'!T$46)</f>
        <v>#REF!</v>
      </c>
      <c r="U20" s="164" t="e">
        <f>SUMIFS('Файл оценки'!#REF!,'Файл оценки'!#REF!,'Трудозатраты ПК'!$A20,'Файл оценки'!#REF!,'Трудозатраты ПК'!U$46)</f>
        <v>#REF!</v>
      </c>
      <c r="V20" s="164" t="e">
        <f>SUMIFS('Файл оценки'!#REF!,'Файл оценки'!#REF!,'Трудозатраты ПК'!$A20,'Файл оценки'!#REF!,'Трудозатраты ПК'!V$46)</f>
        <v>#REF!</v>
      </c>
      <c r="W20" s="164" t="e">
        <f>SUMIFS('Файл оценки'!#REF!,'Файл оценки'!#REF!,'Трудозатраты ПК'!$A20,'Файл оценки'!#REF!,'Трудозатраты ПК'!W$46)</f>
        <v>#REF!</v>
      </c>
      <c r="X20" s="164" t="e">
        <f>SUMIFS('Файл оценки'!#REF!,'Файл оценки'!#REF!,'Трудозатраты ПК'!$A20,'Файл оценки'!#REF!,'Трудозатраты ПК'!X$46)</f>
        <v>#REF!</v>
      </c>
      <c r="Y20" s="164" t="e">
        <f>SUMIFS('Файл оценки'!#REF!,'Файл оценки'!#REF!,'Трудозатраты ПК'!$A20,'Файл оценки'!#REF!,'Трудозатраты ПК'!Y$46)</f>
        <v>#REF!</v>
      </c>
      <c r="Z20" s="164" t="e">
        <f>SUMIFS('Файл оценки'!#REF!,'Файл оценки'!#REF!,'Трудозатраты ПК'!$A20,'Файл оценки'!#REF!,'Трудозатраты ПК'!Z$46)</f>
        <v>#REF!</v>
      </c>
      <c r="AA20" s="164" t="e">
        <f>SUMIFS('Файл оценки'!#REF!,'Файл оценки'!#REF!,'Трудозатраты ПК'!$A20,'Файл оценки'!#REF!,'Трудозатраты ПК'!AA$46)</f>
        <v>#REF!</v>
      </c>
      <c r="AB20" s="164" t="e">
        <f>SUMIFS('Файл оценки'!#REF!,'Файл оценки'!#REF!,'Трудозатраты ПК'!$A20,'Файл оценки'!#REF!,'Трудозатраты ПК'!AB$46)</f>
        <v>#REF!</v>
      </c>
      <c r="AC20" s="164" t="e">
        <f>SUMIFS('Файл оценки'!#REF!,'Файл оценки'!#REF!,'Трудозатраты ПК'!$A20,'Файл оценки'!#REF!,'Трудозатраты ПК'!AC$46)</f>
        <v>#REF!</v>
      </c>
      <c r="AD20" s="164" t="e">
        <f>SUMIFS('Файл оценки'!#REF!,'Файл оценки'!#REF!,'Трудозатраты ПК'!$A20,'Файл оценки'!#REF!,'Трудозатраты ПК'!AD$46)</f>
        <v>#REF!</v>
      </c>
      <c r="AE20" s="164" t="e">
        <f>SUMIFS('Файл оценки'!#REF!,'Файл оценки'!#REF!,'Трудозатраты ПК'!$A20,'Файл оценки'!#REF!,'Трудозатраты ПК'!AE$46)</f>
        <v>#REF!</v>
      </c>
      <c r="AF20" s="164" t="e">
        <f>SUMIFS('Файл оценки'!#REF!,'Файл оценки'!#REF!,'Трудозатраты ПК'!$A20,'Файл оценки'!#REF!,'Трудозатраты ПК'!AF$46)</f>
        <v>#REF!</v>
      </c>
      <c r="AG20" s="164" t="e">
        <f>SUMIFS('Файл оценки'!#REF!,'Файл оценки'!#REF!,'Трудозатраты ПК'!$A20,'Файл оценки'!#REF!,'Трудозатраты ПК'!AG$46)</f>
        <v>#REF!</v>
      </c>
      <c r="AH20" s="164" t="e">
        <f>SUMIFS('Файл оценки'!#REF!,'Файл оценки'!#REF!,'Трудозатраты ПК'!$A20,'Файл оценки'!#REF!,'Трудозатраты ПК'!AH$46)</f>
        <v>#REF!</v>
      </c>
      <c r="AI20" s="164" t="e">
        <f>SUMIFS('Файл оценки'!#REF!,'Файл оценки'!#REF!,'Трудозатраты ПК'!$A20,'Файл оценки'!#REF!,'Трудозатраты ПК'!AI$46)</f>
        <v>#REF!</v>
      </c>
      <c r="AJ20" s="164" t="e">
        <f>SUMIFS('Файл оценки'!#REF!,'Файл оценки'!#REF!,'Трудозатраты ПК'!$A20,'Файл оценки'!#REF!,'Трудозатраты ПК'!AJ$46)</f>
        <v>#REF!</v>
      </c>
      <c r="AK20" s="164" t="e">
        <f>SUMIFS('Файл оценки'!#REF!,'Файл оценки'!#REF!,'Трудозатраты ПК'!$A20,'Файл оценки'!#REF!,'Трудозатраты ПК'!AK$46)</f>
        <v>#REF!</v>
      </c>
      <c r="AL20" s="164" t="e">
        <f>SUMIFS('Файл оценки'!#REF!,'Файл оценки'!#REF!,'Трудозатраты ПК'!$A20,'Файл оценки'!#REF!,'Трудозатраты ПК'!AL$46)</f>
        <v>#REF!</v>
      </c>
      <c r="AM20" s="164" t="e">
        <f>SUMIFS('Файл оценки'!#REF!,'Файл оценки'!#REF!,'Трудозатраты ПК'!$A20,'Файл оценки'!#REF!,'Трудозатраты ПК'!AM$46)</f>
        <v>#REF!</v>
      </c>
      <c r="AN20" s="164" t="e">
        <f>SUMIFS('Файл оценки'!#REF!,'Файл оценки'!#REF!,'Трудозатраты ПК'!$A20,'Файл оценки'!#REF!,'Трудозатраты ПК'!AN$46)</f>
        <v>#REF!</v>
      </c>
      <c r="AO20" s="164" t="e">
        <f>SUMIFS('Файл оценки'!#REF!,'Файл оценки'!#REF!,'Трудозатраты ПК'!$A20,'Файл оценки'!#REF!,'Трудозатраты ПК'!AO$46)</f>
        <v>#REF!</v>
      </c>
      <c r="AP20" s="164" t="e">
        <f>SUMIFS('Файл оценки'!#REF!,'Файл оценки'!#REF!,'Трудозатраты ПК'!$A20,'Файл оценки'!#REF!,'Трудозатраты ПК'!AP$46)</f>
        <v>#REF!</v>
      </c>
      <c r="AQ20" s="164" t="e">
        <f>SUMIFS('Файл оценки'!#REF!,'Файл оценки'!#REF!,'Трудозатраты ПК'!$A20,'Файл оценки'!#REF!,'Трудозатраты ПК'!AQ$46)</f>
        <v>#REF!</v>
      </c>
      <c r="AR20" s="164" t="e">
        <f>SUMIFS('Файл оценки'!#REF!,'Файл оценки'!#REF!,'Трудозатраты ПК'!$A20,'Файл оценки'!#REF!,'Трудозатраты ПК'!AR$46)</f>
        <v>#REF!</v>
      </c>
      <c r="AS20" s="164" t="e">
        <f>SUMIFS('Файл оценки'!#REF!,'Файл оценки'!#REF!,'Трудозатраты ПК'!$A20,'Файл оценки'!#REF!,'Трудозатраты ПК'!AS$46)</f>
        <v>#REF!</v>
      </c>
      <c r="AT20" s="164" t="e">
        <f>SUMIFS('Файл оценки'!#REF!,'Файл оценки'!#REF!,'Трудозатраты ПК'!$A20,'Файл оценки'!#REF!,'Трудозатраты ПК'!AT$46)</f>
        <v>#REF!</v>
      </c>
      <c r="AU20" s="164" t="e">
        <f>SUMIFS('Файл оценки'!#REF!,'Файл оценки'!#REF!,'Трудозатраты ПК'!$A20,'Файл оценки'!#REF!,'Трудозатраты ПК'!AU$46)</f>
        <v>#REF!</v>
      </c>
      <c r="AV20" s="164" t="e">
        <f>SUMIFS('Файл оценки'!#REF!,'Файл оценки'!#REF!,'Трудозатраты ПК'!$A20,'Файл оценки'!#REF!,'Трудозатраты ПК'!AV$46)</f>
        <v>#REF!</v>
      </c>
      <c r="AW20" s="164" t="e">
        <f>SUMIFS('Файл оценки'!#REF!,'Файл оценки'!#REF!,'Трудозатраты ПК'!$A20,'Файл оценки'!#REF!,'Трудозатраты ПК'!AW$46)</f>
        <v>#REF!</v>
      </c>
      <c r="AX20" s="164" t="e">
        <f>SUMIFS('Файл оценки'!#REF!,'Файл оценки'!#REF!,'Трудозатраты ПК'!$A20,'Файл оценки'!#REF!,'Трудозатраты ПК'!AX$46)</f>
        <v>#REF!</v>
      </c>
      <c r="AY20" s="165" t="e">
        <f t="shared" si="1"/>
        <v>#REF!</v>
      </c>
    </row>
    <row r="21" spans="1:51" ht="15.75" x14ac:dyDescent="0.25">
      <c r="A21" s="161" t="e">
        <f>Работы_Спецы!#REF!</f>
        <v>#REF!</v>
      </c>
      <c r="B21" s="258"/>
      <c r="C21" s="162" t="e">
        <f t="shared" si="0"/>
        <v>#REF!</v>
      </c>
      <c r="D21" s="163" t="e">
        <f t="shared" si="2"/>
        <v>#REF!</v>
      </c>
      <c r="E21" s="164"/>
      <c r="F21" s="164"/>
      <c r="G21" s="164"/>
      <c r="H21" s="164"/>
      <c r="I21" s="164"/>
      <c r="J21" s="164" t="e">
        <f>SUMIFS('Файл оценки'!#REF!,'Файл оценки'!#REF!,'Трудозатраты ПК'!$A21,'Файл оценки'!#REF!,'Трудозатраты ПК'!J$46)</f>
        <v>#REF!</v>
      </c>
      <c r="K21" s="164" t="e">
        <f>SUMIFS('Файл оценки'!#REF!,'Файл оценки'!#REF!,'Трудозатраты ПК'!$A21,'Файл оценки'!#REF!,'Трудозатраты ПК'!K$46)</f>
        <v>#REF!</v>
      </c>
      <c r="L21" s="164" t="e">
        <f>SUMIFS('Файл оценки'!#REF!,'Файл оценки'!#REF!,'Трудозатраты ПК'!$A21,'Файл оценки'!#REF!,'Трудозатраты ПК'!L$46)</f>
        <v>#REF!</v>
      </c>
      <c r="M21" s="164" t="e">
        <f>SUMIFS('Файл оценки'!#REF!,'Файл оценки'!#REF!,'Трудозатраты ПК'!$A21,'Файл оценки'!#REF!,'Трудозатраты ПК'!M$46)</f>
        <v>#REF!</v>
      </c>
      <c r="N21" s="164" t="e">
        <f>SUMIFS('Файл оценки'!#REF!,'Файл оценки'!#REF!,'Трудозатраты ПК'!$A21,'Файл оценки'!#REF!,'Трудозатраты ПК'!N$46)</f>
        <v>#REF!</v>
      </c>
      <c r="O21" s="164" t="e">
        <f>SUMIFS('Файл оценки'!#REF!,'Файл оценки'!#REF!,'Трудозатраты ПК'!$A21,'Файл оценки'!#REF!,'Трудозатраты ПК'!O$46)</f>
        <v>#REF!</v>
      </c>
      <c r="P21" s="164" t="e">
        <f>SUMIFS('Файл оценки'!#REF!,'Файл оценки'!#REF!,'Трудозатраты ПК'!$A21,'Файл оценки'!#REF!,'Трудозатраты ПК'!P$46)</f>
        <v>#REF!</v>
      </c>
      <c r="Q21" s="164" t="e">
        <f>SUMIFS('Файл оценки'!#REF!,'Файл оценки'!#REF!,'Трудозатраты ПК'!$A21,'Файл оценки'!#REF!,'Трудозатраты ПК'!Q$46)</f>
        <v>#REF!</v>
      </c>
      <c r="R21" s="164" t="e">
        <f>SUMIFS('Файл оценки'!#REF!,'Файл оценки'!#REF!,'Трудозатраты ПК'!$A21,'Файл оценки'!#REF!,'Трудозатраты ПК'!R$46)</f>
        <v>#REF!</v>
      </c>
      <c r="S21" s="164" t="e">
        <f>SUMIFS('Файл оценки'!#REF!,'Файл оценки'!#REF!,'Трудозатраты ПК'!$A21,'Файл оценки'!#REF!,'Трудозатраты ПК'!S$46)</f>
        <v>#REF!</v>
      </c>
      <c r="T21" s="164" t="e">
        <f>SUMIFS('Файл оценки'!#REF!,'Файл оценки'!#REF!,'Трудозатраты ПК'!$A21,'Файл оценки'!#REF!,'Трудозатраты ПК'!T$46)</f>
        <v>#REF!</v>
      </c>
      <c r="U21" s="164" t="e">
        <f>SUMIFS('Файл оценки'!#REF!,'Файл оценки'!#REF!,'Трудозатраты ПК'!$A21,'Файл оценки'!#REF!,'Трудозатраты ПК'!U$46)</f>
        <v>#REF!</v>
      </c>
      <c r="V21" s="164" t="e">
        <f>SUMIFS('Файл оценки'!#REF!,'Файл оценки'!#REF!,'Трудозатраты ПК'!$A21,'Файл оценки'!#REF!,'Трудозатраты ПК'!V$46)</f>
        <v>#REF!</v>
      </c>
      <c r="W21" s="164" t="e">
        <f>SUMIFS('Файл оценки'!#REF!,'Файл оценки'!#REF!,'Трудозатраты ПК'!$A21,'Файл оценки'!#REF!,'Трудозатраты ПК'!W$46)</f>
        <v>#REF!</v>
      </c>
      <c r="X21" s="164" t="e">
        <f>SUMIFS('Файл оценки'!#REF!,'Файл оценки'!#REF!,'Трудозатраты ПК'!$A21,'Файл оценки'!#REF!,'Трудозатраты ПК'!X$46)</f>
        <v>#REF!</v>
      </c>
      <c r="Y21" s="164" t="e">
        <f>SUMIFS('Файл оценки'!#REF!,'Файл оценки'!#REF!,'Трудозатраты ПК'!$A21,'Файл оценки'!#REF!,'Трудозатраты ПК'!Y$46)</f>
        <v>#REF!</v>
      </c>
      <c r="Z21" s="164" t="e">
        <f>SUMIFS('Файл оценки'!#REF!,'Файл оценки'!#REF!,'Трудозатраты ПК'!$A21,'Файл оценки'!#REF!,'Трудозатраты ПК'!Z$46)</f>
        <v>#REF!</v>
      </c>
      <c r="AA21" s="164" t="e">
        <f>SUMIFS('Файл оценки'!#REF!,'Файл оценки'!#REF!,'Трудозатраты ПК'!$A21,'Файл оценки'!#REF!,'Трудозатраты ПК'!AA$46)</f>
        <v>#REF!</v>
      </c>
      <c r="AB21" s="164" t="e">
        <f>SUMIFS('Файл оценки'!#REF!,'Файл оценки'!#REF!,'Трудозатраты ПК'!$A21,'Файл оценки'!#REF!,'Трудозатраты ПК'!AB$46)</f>
        <v>#REF!</v>
      </c>
      <c r="AC21" s="164" t="e">
        <f>SUMIFS('Файл оценки'!#REF!,'Файл оценки'!#REF!,'Трудозатраты ПК'!$A21,'Файл оценки'!#REF!,'Трудозатраты ПК'!AC$46)</f>
        <v>#REF!</v>
      </c>
      <c r="AD21" s="164" t="e">
        <f>SUMIFS('Файл оценки'!#REF!,'Файл оценки'!#REF!,'Трудозатраты ПК'!$A21,'Файл оценки'!#REF!,'Трудозатраты ПК'!AD$46)</f>
        <v>#REF!</v>
      </c>
      <c r="AE21" s="164" t="e">
        <f>SUMIFS('Файл оценки'!#REF!,'Файл оценки'!#REF!,'Трудозатраты ПК'!$A21,'Файл оценки'!#REF!,'Трудозатраты ПК'!AE$46)</f>
        <v>#REF!</v>
      </c>
      <c r="AF21" s="164" t="e">
        <f>SUMIFS('Файл оценки'!#REF!,'Файл оценки'!#REF!,'Трудозатраты ПК'!$A21,'Файл оценки'!#REF!,'Трудозатраты ПК'!AF$46)</f>
        <v>#REF!</v>
      </c>
      <c r="AG21" s="164" t="e">
        <f>SUMIFS('Файл оценки'!#REF!,'Файл оценки'!#REF!,'Трудозатраты ПК'!$A21,'Файл оценки'!#REF!,'Трудозатраты ПК'!AG$46)</f>
        <v>#REF!</v>
      </c>
      <c r="AH21" s="164" t="e">
        <f>SUMIFS('Файл оценки'!#REF!,'Файл оценки'!#REF!,'Трудозатраты ПК'!$A21,'Файл оценки'!#REF!,'Трудозатраты ПК'!AH$46)</f>
        <v>#REF!</v>
      </c>
      <c r="AI21" s="164" t="e">
        <f>SUMIFS('Файл оценки'!#REF!,'Файл оценки'!#REF!,'Трудозатраты ПК'!$A21,'Файл оценки'!#REF!,'Трудозатраты ПК'!AI$46)</f>
        <v>#REF!</v>
      </c>
      <c r="AJ21" s="164" t="e">
        <f>SUMIFS('Файл оценки'!#REF!,'Файл оценки'!#REF!,'Трудозатраты ПК'!$A21,'Файл оценки'!#REF!,'Трудозатраты ПК'!AJ$46)</f>
        <v>#REF!</v>
      </c>
      <c r="AK21" s="164" t="e">
        <f>SUMIFS('Файл оценки'!#REF!,'Файл оценки'!#REF!,'Трудозатраты ПК'!$A21,'Файл оценки'!#REF!,'Трудозатраты ПК'!AK$46)</f>
        <v>#REF!</v>
      </c>
      <c r="AL21" s="164" t="e">
        <f>SUMIFS('Файл оценки'!#REF!,'Файл оценки'!#REF!,'Трудозатраты ПК'!$A21,'Файл оценки'!#REF!,'Трудозатраты ПК'!AL$46)</f>
        <v>#REF!</v>
      </c>
      <c r="AM21" s="164" t="e">
        <f>SUMIFS('Файл оценки'!#REF!,'Файл оценки'!#REF!,'Трудозатраты ПК'!$A21,'Файл оценки'!#REF!,'Трудозатраты ПК'!AM$46)</f>
        <v>#REF!</v>
      </c>
      <c r="AN21" s="164" t="e">
        <f>SUMIFS('Файл оценки'!#REF!,'Файл оценки'!#REF!,'Трудозатраты ПК'!$A21,'Файл оценки'!#REF!,'Трудозатраты ПК'!AN$46)</f>
        <v>#REF!</v>
      </c>
      <c r="AO21" s="164" t="e">
        <f>SUMIFS('Файл оценки'!#REF!,'Файл оценки'!#REF!,'Трудозатраты ПК'!$A21,'Файл оценки'!#REF!,'Трудозатраты ПК'!AO$46)</f>
        <v>#REF!</v>
      </c>
      <c r="AP21" s="164" t="e">
        <f>SUMIFS('Файл оценки'!#REF!,'Файл оценки'!#REF!,'Трудозатраты ПК'!$A21,'Файл оценки'!#REF!,'Трудозатраты ПК'!AP$46)</f>
        <v>#REF!</v>
      </c>
      <c r="AQ21" s="164" t="e">
        <f>SUMIFS('Файл оценки'!#REF!,'Файл оценки'!#REF!,'Трудозатраты ПК'!$A21,'Файл оценки'!#REF!,'Трудозатраты ПК'!AQ$46)</f>
        <v>#REF!</v>
      </c>
      <c r="AR21" s="164" t="e">
        <f>SUMIFS('Файл оценки'!#REF!,'Файл оценки'!#REF!,'Трудозатраты ПК'!$A21,'Файл оценки'!#REF!,'Трудозатраты ПК'!AR$46)</f>
        <v>#REF!</v>
      </c>
      <c r="AS21" s="164" t="e">
        <f>SUMIFS('Файл оценки'!#REF!,'Файл оценки'!#REF!,'Трудозатраты ПК'!$A21,'Файл оценки'!#REF!,'Трудозатраты ПК'!AS$46)</f>
        <v>#REF!</v>
      </c>
      <c r="AT21" s="164" t="e">
        <f>SUMIFS('Файл оценки'!#REF!,'Файл оценки'!#REF!,'Трудозатраты ПК'!$A21,'Файл оценки'!#REF!,'Трудозатраты ПК'!AT$46)</f>
        <v>#REF!</v>
      </c>
      <c r="AU21" s="164" t="e">
        <f>SUMIFS('Файл оценки'!#REF!,'Файл оценки'!#REF!,'Трудозатраты ПК'!$A21,'Файл оценки'!#REF!,'Трудозатраты ПК'!AU$46)</f>
        <v>#REF!</v>
      </c>
      <c r="AV21" s="164" t="e">
        <f>SUMIFS('Файл оценки'!#REF!,'Файл оценки'!#REF!,'Трудозатраты ПК'!$A21,'Файл оценки'!#REF!,'Трудозатраты ПК'!AV$46)</f>
        <v>#REF!</v>
      </c>
      <c r="AW21" s="164" t="e">
        <f>SUMIFS('Файл оценки'!#REF!,'Файл оценки'!#REF!,'Трудозатраты ПК'!$A21,'Файл оценки'!#REF!,'Трудозатраты ПК'!AW$46)</f>
        <v>#REF!</v>
      </c>
      <c r="AX21" s="164" t="e">
        <f>SUMIFS('Файл оценки'!#REF!,'Файл оценки'!#REF!,'Трудозатраты ПК'!$A21,'Файл оценки'!#REF!,'Трудозатраты ПК'!AX$46)</f>
        <v>#REF!</v>
      </c>
      <c r="AY21" s="165" t="e">
        <f t="shared" si="1"/>
        <v>#REF!</v>
      </c>
    </row>
    <row r="22" spans="1:51" ht="15.75" x14ac:dyDescent="0.25">
      <c r="A22" s="161">
        <f>Работы_Спецы!A15</f>
        <v>0</v>
      </c>
      <c r="B22" s="258"/>
      <c r="C22" s="162" t="e">
        <f t="shared" si="0"/>
        <v>#REF!</v>
      </c>
      <c r="D22" s="163" t="e">
        <f t="shared" si="2"/>
        <v>#REF!</v>
      </c>
      <c r="E22" s="164"/>
      <c r="F22" s="164"/>
      <c r="G22" s="164"/>
      <c r="H22" s="164"/>
      <c r="I22" s="164"/>
      <c r="J22" s="164" t="e">
        <f>SUMIFS('Файл оценки'!#REF!,'Файл оценки'!#REF!,'Трудозатраты ПК'!$A22,'Файл оценки'!#REF!,'Трудозатраты ПК'!J$46)</f>
        <v>#REF!</v>
      </c>
      <c r="K22" s="164" t="e">
        <f>SUMIFS('Файл оценки'!#REF!,'Файл оценки'!#REF!,'Трудозатраты ПК'!$A22,'Файл оценки'!#REF!,'Трудозатраты ПК'!K$46)</f>
        <v>#REF!</v>
      </c>
      <c r="L22" s="164" t="e">
        <f>SUMIFS('Файл оценки'!#REF!,'Файл оценки'!#REF!,'Трудозатраты ПК'!$A22,'Файл оценки'!#REF!,'Трудозатраты ПК'!L$46)</f>
        <v>#REF!</v>
      </c>
      <c r="M22" s="164" t="e">
        <f>SUMIFS('Файл оценки'!#REF!,'Файл оценки'!#REF!,'Трудозатраты ПК'!$A22,'Файл оценки'!#REF!,'Трудозатраты ПК'!M$46)</f>
        <v>#REF!</v>
      </c>
      <c r="N22" s="164" t="e">
        <f>SUMIFS('Файл оценки'!#REF!,'Файл оценки'!#REF!,'Трудозатраты ПК'!$A22,'Файл оценки'!#REF!,'Трудозатраты ПК'!N$46)</f>
        <v>#REF!</v>
      </c>
      <c r="O22" s="164" t="e">
        <f>SUMIFS('Файл оценки'!#REF!,'Файл оценки'!#REF!,'Трудозатраты ПК'!$A22,'Файл оценки'!#REF!,'Трудозатраты ПК'!O$46)</f>
        <v>#REF!</v>
      </c>
      <c r="P22" s="164" t="e">
        <f>SUMIFS('Файл оценки'!#REF!,'Файл оценки'!#REF!,'Трудозатраты ПК'!$A22,'Файл оценки'!#REF!,'Трудозатраты ПК'!P$46)</f>
        <v>#REF!</v>
      </c>
      <c r="Q22" s="164" t="e">
        <f>SUMIFS('Файл оценки'!#REF!,'Файл оценки'!#REF!,'Трудозатраты ПК'!$A22,'Файл оценки'!#REF!,'Трудозатраты ПК'!Q$46)</f>
        <v>#REF!</v>
      </c>
      <c r="R22" s="164" t="e">
        <f>SUMIFS('Файл оценки'!#REF!,'Файл оценки'!#REF!,'Трудозатраты ПК'!$A22,'Файл оценки'!#REF!,'Трудозатраты ПК'!R$46)</f>
        <v>#REF!</v>
      </c>
      <c r="S22" s="164" t="e">
        <f>SUMIFS('Файл оценки'!#REF!,'Файл оценки'!#REF!,'Трудозатраты ПК'!$A22,'Файл оценки'!#REF!,'Трудозатраты ПК'!S$46)</f>
        <v>#REF!</v>
      </c>
      <c r="T22" s="164" t="e">
        <f>SUMIFS('Файл оценки'!#REF!,'Файл оценки'!#REF!,'Трудозатраты ПК'!$A22,'Файл оценки'!#REF!,'Трудозатраты ПК'!T$46)</f>
        <v>#REF!</v>
      </c>
      <c r="U22" s="164" t="e">
        <f>SUMIFS('Файл оценки'!#REF!,'Файл оценки'!#REF!,'Трудозатраты ПК'!$A22,'Файл оценки'!#REF!,'Трудозатраты ПК'!U$46)</f>
        <v>#REF!</v>
      </c>
      <c r="V22" s="164" t="e">
        <f>SUMIFS('Файл оценки'!#REF!,'Файл оценки'!#REF!,'Трудозатраты ПК'!$A22,'Файл оценки'!#REF!,'Трудозатраты ПК'!V$46)</f>
        <v>#REF!</v>
      </c>
      <c r="W22" s="164" t="e">
        <f>SUMIFS('Файл оценки'!#REF!,'Файл оценки'!#REF!,'Трудозатраты ПК'!$A22,'Файл оценки'!#REF!,'Трудозатраты ПК'!W$46)</f>
        <v>#REF!</v>
      </c>
      <c r="X22" s="164" t="e">
        <f>SUMIFS('Файл оценки'!#REF!,'Файл оценки'!#REF!,'Трудозатраты ПК'!$A22,'Файл оценки'!#REF!,'Трудозатраты ПК'!X$46)</f>
        <v>#REF!</v>
      </c>
      <c r="Y22" s="164" t="e">
        <f>SUMIFS('Файл оценки'!#REF!,'Файл оценки'!#REF!,'Трудозатраты ПК'!$A22,'Файл оценки'!#REF!,'Трудозатраты ПК'!Y$46)</f>
        <v>#REF!</v>
      </c>
      <c r="Z22" s="164" t="e">
        <f>SUMIFS('Файл оценки'!#REF!,'Файл оценки'!#REF!,'Трудозатраты ПК'!$A22,'Файл оценки'!#REF!,'Трудозатраты ПК'!Z$46)</f>
        <v>#REF!</v>
      </c>
      <c r="AA22" s="164" t="e">
        <f>SUMIFS('Файл оценки'!#REF!,'Файл оценки'!#REF!,'Трудозатраты ПК'!$A22,'Файл оценки'!#REF!,'Трудозатраты ПК'!AA$46)</f>
        <v>#REF!</v>
      </c>
      <c r="AB22" s="164" t="e">
        <f>SUMIFS('Файл оценки'!#REF!,'Файл оценки'!#REF!,'Трудозатраты ПК'!$A22,'Файл оценки'!#REF!,'Трудозатраты ПК'!AB$46)</f>
        <v>#REF!</v>
      </c>
      <c r="AC22" s="164" t="e">
        <f>SUMIFS('Файл оценки'!#REF!,'Файл оценки'!#REF!,'Трудозатраты ПК'!$A22,'Файл оценки'!#REF!,'Трудозатраты ПК'!AC$46)</f>
        <v>#REF!</v>
      </c>
      <c r="AD22" s="164" t="e">
        <f>SUMIFS('Файл оценки'!#REF!,'Файл оценки'!#REF!,'Трудозатраты ПК'!$A22,'Файл оценки'!#REF!,'Трудозатраты ПК'!AD$46)</f>
        <v>#REF!</v>
      </c>
      <c r="AE22" s="164" t="e">
        <f>SUMIFS('Файл оценки'!#REF!,'Файл оценки'!#REF!,'Трудозатраты ПК'!$A22,'Файл оценки'!#REF!,'Трудозатраты ПК'!AE$46)</f>
        <v>#REF!</v>
      </c>
      <c r="AF22" s="164" t="e">
        <f>SUMIFS('Файл оценки'!#REF!,'Файл оценки'!#REF!,'Трудозатраты ПК'!$A22,'Файл оценки'!#REF!,'Трудозатраты ПК'!AF$46)</f>
        <v>#REF!</v>
      </c>
      <c r="AG22" s="164" t="e">
        <f>SUMIFS('Файл оценки'!#REF!,'Файл оценки'!#REF!,'Трудозатраты ПК'!$A22,'Файл оценки'!#REF!,'Трудозатраты ПК'!AG$46)</f>
        <v>#REF!</v>
      </c>
      <c r="AH22" s="164" t="e">
        <f>SUMIFS('Файл оценки'!#REF!,'Файл оценки'!#REF!,'Трудозатраты ПК'!$A22,'Файл оценки'!#REF!,'Трудозатраты ПК'!AH$46)</f>
        <v>#REF!</v>
      </c>
      <c r="AI22" s="164" t="e">
        <f>SUMIFS('Файл оценки'!#REF!,'Файл оценки'!#REF!,'Трудозатраты ПК'!$A22,'Файл оценки'!#REF!,'Трудозатраты ПК'!AI$46)</f>
        <v>#REF!</v>
      </c>
      <c r="AJ22" s="164" t="e">
        <f>SUMIFS('Файл оценки'!#REF!,'Файл оценки'!#REF!,'Трудозатраты ПК'!$A22,'Файл оценки'!#REF!,'Трудозатраты ПК'!AJ$46)</f>
        <v>#REF!</v>
      </c>
      <c r="AK22" s="164" t="e">
        <f>SUMIFS('Файл оценки'!#REF!,'Файл оценки'!#REF!,'Трудозатраты ПК'!$A22,'Файл оценки'!#REF!,'Трудозатраты ПК'!AK$46)</f>
        <v>#REF!</v>
      </c>
      <c r="AL22" s="164" t="e">
        <f>SUMIFS('Файл оценки'!#REF!,'Файл оценки'!#REF!,'Трудозатраты ПК'!$A22,'Файл оценки'!#REF!,'Трудозатраты ПК'!AL$46)</f>
        <v>#REF!</v>
      </c>
      <c r="AM22" s="164" t="e">
        <f>SUMIFS('Файл оценки'!#REF!,'Файл оценки'!#REF!,'Трудозатраты ПК'!$A22,'Файл оценки'!#REF!,'Трудозатраты ПК'!AM$46)</f>
        <v>#REF!</v>
      </c>
      <c r="AN22" s="164" t="e">
        <f>SUMIFS('Файл оценки'!#REF!,'Файл оценки'!#REF!,'Трудозатраты ПК'!$A22,'Файл оценки'!#REF!,'Трудозатраты ПК'!AN$46)</f>
        <v>#REF!</v>
      </c>
      <c r="AO22" s="164" t="e">
        <f>SUMIFS('Файл оценки'!#REF!,'Файл оценки'!#REF!,'Трудозатраты ПК'!$A22,'Файл оценки'!#REF!,'Трудозатраты ПК'!AO$46)</f>
        <v>#REF!</v>
      </c>
      <c r="AP22" s="164" t="e">
        <f>SUMIFS('Файл оценки'!#REF!,'Файл оценки'!#REF!,'Трудозатраты ПК'!$A22,'Файл оценки'!#REF!,'Трудозатраты ПК'!AP$46)</f>
        <v>#REF!</v>
      </c>
      <c r="AQ22" s="164" t="e">
        <f>SUMIFS('Файл оценки'!#REF!,'Файл оценки'!#REF!,'Трудозатраты ПК'!$A22,'Файл оценки'!#REF!,'Трудозатраты ПК'!AQ$46)</f>
        <v>#REF!</v>
      </c>
      <c r="AR22" s="164" t="e">
        <f>SUMIFS('Файл оценки'!#REF!,'Файл оценки'!#REF!,'Трудозатраты ПК'!$A22,'Файл оценки'!#REF!,'Трудозатраты ПК'!AR$46)</f>
        <v>#REF!</v>
      </c>
      <c r="AS22" s="164" t="e">
        <f>SUMIFS('Файл оценки'!#REF!,'Файл оценки'!#REF!,'Трудозатраты ПК'!$A22,'Файл оценки'!#REF!,'Трудозатраты ПК'!AS$46)</f>
        <v>#REF!</v>
      </c>
      <c r="AT22" s="164" t="e">
        <f>SUMIFS('Файл оценки'!#REF!,'Файл оценки'!#REF!,'Трудозатраты ПК'!$A22,'Файл оценки'!#REF!,'Трудозатраты ПК'!AT$46)</f>
        <v>#REF!</v>
      </c>
      <c r="AU22" s="164" t="e">
        <f>SUMIFS('Файл оценки'!#REF!,'Файл оценки'!#REF!,'Трудозатраты ПК'!$A22,'Файл оценки'!#REF!,'Трудозатраты ПК'!AU$46)</f>
        <v>#REF!</v>
      </c>
      <c r="AV22" s="164" t="e">
        <f>SUMIFS('Файл оценки'!#REF!,'Файл оценки'!#REF!,'Трудозатраты ПК'!$A22,'Файл оценки'!#REF!,'Трудозатраты ПК'!AV$46)</f>
        <v>#REF!</v>
      </c>
      <c r="AW22" s="164" t="e">
        <f>SUMIFS('Файл оценки'!#REF!,'Файл оценки'!#REF!,'Трудозатраты ПК'!$A22,'Файл оценки'!#REF!,'Трудозатраты ПК'!AW$46)</f>
        <v>#REF!</v>
      </c>
      <c r="AX22" s="164" t="e">
        <f>SUMIFS('Файл оценки'!#REF!,'Файл оценки'!#REF!,'Трудозатраты ПК'!$A22,'Файл оценки'!#REF!,'Трудозатраты ПК'!AX$46)</f>
        <v>#REF!</v>
      </c>
      <c r="AY22" s="165" t="e">
        <f t="shared" si="1"/>
        <v>#REF!</v>
      </c>
    </row>
    <row r="23" spans="1:51" ht="15.75" x14ac:dyDescent="0.25">
      <c r="A23" s="161" t="e">
        <f>Работы_Спецы!#REF!</f>
        <v>#REF!</v>
      </c>
      <c r="B23" s="258"/>
      <c r="C23" s="162" t="e">
        <f t="shared" si="0"/>
        <v>#REF!</v>
      </c>
      <c r="D23" s="163" t="e">
        <f t="shared" si="2"/>
        <v>#REF!</v>
      </c>
      <c r="E23" s="164"/>
      <c r="F23" s="164"/>
      <c r="G23" s="164"/>
      <c r="H23" s="164"/>
      <c r="I23" s="164"/>
      <c r="J23" s="164" t="e">
        <f>SUMIFS('Файл оценки'!#REF!,'Файл оценки'!#REF!,'Трудозатраты ПК'!$A23,'Файл оценки'!#REF!,'Трудозатраты ПК'!J$46)</f>
        <v>#REF!</v>
      </c>
      <c r="K23" s="164" t="e">
        <f>SUMIFS('Файл оценки'!#REF!,'Файл оценки'!#REF!,'Трудозатраты ПК'!$A23,'Файл оценки'!#REF!,'Трудозатраты ПК'!K$46)</f>
        <v>#REF!</v>
      </c>
      <c r="L23" s="164" t="e">
        <f>SUMIFS('Файл оценки'!#REF!,'Файл оценки'!#REF!,'Трудозатраты ПК'!$A23,'Файл оценки'!#REF!,'Трудозатраты ПК'!L$46)</f>
        <v>#REF!</v>
      </c>
      <c r="M23" s="164" t="e">
        <f>SUMIFS('Файл оценки'!#REF!,'Файл оценки'!#REF!,'Трудозатраты ПК'!$A23,'Файл оценки'!#REF!,'Трудозатраты ПК'!M$46)</f>
        <v>#REF!</v>
      </c>
      <c r="N23" s="164" t="e">
        <f>SUMIFS('Файл оценки'!#REF!,'Файл оценки'!#REF!,'Трудозатраты ПК'!$A23,'Файл оценки'!#REF!,'Трудозатраты ПК'!N$46)</f>
        <v>#REF!</v>
      </c>
      <c r="O23" s="164" t="e">
        <f>SUMIFS('Файл оценки'!#REF!,'Файл оценки'!#REF!,'Трудозатраты ПК'!$A23,'Файл оценки'!#REF!,'Трудозатраты ПК'!O$46)</f>
        <v>#REF!</v>
      </c>
      <c r="P23" s="164" t="e">
        <f>SUMIFS('Файл оценки'!#REF!,'Файл оценки'!#REF!,'Трудозатраты ПК'!$A23,'Файл оценки'!#REF!,'Трудозатраты ПК'!P$46)</f>
        <v>#REF!</v>
      </c>
      <c r="Q23" s="164" t="e">
        <f>SUMIFS('Файл оценки'!#REF!,'Файл оценки'!#REF!,'Трудозатраты ПК'!$A23,'Файл оценки'!#REF!,'Трудозатраты ПК'!Q$46)</f>
        <v>#REF!</v>
      </c>
      <c r="R23" s="164" t="e">
        <f>SUMIFS('Файл оценки'!#REF!,'Файл оценки'!#REF!,'Трудозатраты ПК'!$A23,'Файл оценки'!#REF!,'Трудозатраты ПК'!R$46)</f>
        <v>#REF!</v>
      </c>
      <c r="S23" s="164" t="e">
        <f>SUMIFS('Файл оценки'!#REF!,'Файл оценки'!#REF!,'Трудозатраты ПК'!$A23,'Файл оценки'!#REF!,'Трудозатраты ПК'!S$46)</f>
        <v>#REF!</v>
      </c>
      <c r="T23" s="164" t="e">
        <f>SUMIFS('Файл оценки'!#REF!,'Файл оценки'!#REF!,'Трудозатраты ПК'!$A23,'Файл оценки'!#REF!,'Трудозатраты ПК'!T$46)</f>
        <v>#REF!</v>
      </c>
      <c r="U23" s="164" t="e">
        <f>SUMIFS('Файл оценки'!#REF!,'Файл оценки'!#REF!,'Трудозатраты ПК'!$A23,'Файл оценки'!#REF!,'Трудозатраты ПК'!U$46)</f>
        <v>#REF!</v>
      </c>
      <c r="V23" s="164" t="e">
        <f>SUMIFS('Файл оценки'!#REF!,'Файл оценки'!#REF!,'Трудозатраты ПК'!$A23,'Файл оценки'!#REF!,'Трудозатраты ПК'!V$46)</f>
        <v>#REF!</v>
      </c>
      <c r="W23" s="164" t="e">
        <f>SUMIFS('Файл оценки'!#REF!,'Файл оценки'!#REF!,'Трудозатраты ПК'!$A23,'Файл оценки'!#REF!,'Трудозатраты ПК'!W$46)</f>
        <v>#REF!</v>
      </c>
      <c r="X23" s="164" t="e">
        <f>SUMIFS('Файл оценки'!#REF!,'Файл оценки'!#REF!,'Трудозатраты ПК'!$A23,'Файл оценки'!#REF!,'Трудозатраты ПК'!X$46)</f>
        <v>#REF!</v>
      </c>
      <c r="Y23" s="164" t="e">
        <f>SUMIFS('Файл оценки'!#REF!,'Файл оценки'!#REF!,'Трудозатраты ПК'!$A23,'Файл оценки'!#REF!,'Трудозатраты ПК'!Y$46)</f>
        <v>#REF!</v>
      </c>
      <c r="Z23" s="164" t="e">
        <f>SUMIFS('Файл оценки'!#REF!,'Файл оценки'!#REF!,'Трудозатраты ПК'!$A23,'Файл оценки'!#REF!,'Трудозатраты ПК'!Z$46)</f>
        <v>#REF!</v>
      </c>
      <c r="AA23" s="164" t="e">
        <f>SUMIFS('Файл оценки'!#REF!,'Файл оценки'!#REF!,'Трудозатраты ПК'!$A23,'Файл оценки'!#REF!,'Трудозатраты ПК'!AA$46)</f>
        <v>#REF!</v>
      </c>
      <c r="AB23" s="164" t="e">
        <f>SUMIFS('Файл оценки'!#REF!,'Файл оценки'!#REF!,'Трудозатраты ПК'!$A23,'Файл оценки'!#REF!,'Трудозатраты ПК'!AB$46)</f>
        <v>#REF!</v>
      </c>
      <c r="AC23" s="164" t="e">
        <f>SUMIFS('Файл оценки'!#REF!,'Файл оценки'!#REF!,'Трудозатраты ПК'!$A23,'Файл оценки'!#REF!,'Трудозатраты ПК'!AC$46)</f>
        <v>#REF!</v>
      </c>
      <c r="AD23" s="164" t="e">
        <f>SUMIFS('Файл оценки'!#REF!,'Файл оценки'!#REF!,'Трудозатраты ПК'!$A23,'Файл оценки'!#REF!,'Трудозатраты ПК'!AD$46)</f>
        <v>#REF!</v>
      </c>
      <c r="AE23" s="164" t="e">
        <f>SUMIFS('Файл оценки'!#REF!,'Файл оценки'!#REF!,'Трудозатраты ПК'!$A23,'Файл оценки'!#REF!,'Трудозатраты ПК'!AE$46)</f>
        <v>#REF!</v>
      </c>
      <c r="AF23" s="164" t="e">
        <f>SUMIFS('Файл оценки'!#REF!,'Файл оценки'!#REF!,'Трудозатраты ПК'!$A23,'Файл оценки'!#REF!,'Трудозатраты ПК'!AF$46)</f>
        <v>#REF!</v>
      </c>
      <c r="AG23" s="164" t="e">
        <f>SUMIFS('Файл оценки'!#REF!,'Файл оценки'!#REF!,'Трудозатраты ПК'!$A23,'Файл оценки'!#REF!,'Трудозатраты ПК'!AG$46)</f>
        <v>#REF!</v>
      </c>
      <c r="AH23" s="164" t="e">
        <f>SUMIFS('Файл оценки'!#REF!,'Файл оценки'!#REF!,'Трудозатраты ПК'!$A23,'Файл оценки'!#REF!,'Трудозатраты ПК'!AH$46)</f>
        <v>#REF!</v>
      </c>
      <c r="AI23" s="164" t="e">
        <f>SUMIFS('Файл оценки'!#REF!,'Файл оценки'!#REF!,'Трудозатраты ПК'!$A23,'Файл оценки'!#REF!,'Трудозатраты ПК'!AI$46)</f>
        <v>#REF!</v>
      </c>
      <c r="AJ23" s="164" t="e">
        <f>SUMIFS('Файл оценки'!#REF!,'Файл оценки'!#REF!,'Трудозатраты ПК'!$A23,'Файл оценки'!#REF!,'Трудозатраты ПК'!AJ$46)</f>
        <v>#REF!</v>
      </c>
      <c r="AK23" s="164" t="e">
        <f>SUMIFS('Файл оценки'!#REF!,'Файл оценки'!#REF!,'Трудозатраты ПК'!$A23,'Файл оценки'!#REF!,'Трудозатраты ПК'!AK$46)</f>
        <v>#REF!</v>
      </c>
      <c r="AL23" s="164" t="e">
        <f>SUMIFS('Файл оценки'!#REF!,'Файл оценки'!#REF!,'Трудозатраты ПК'!$A23,'Файл оценки'!#REF!,'Трудозатраты ПК'!AL$46)</f>
        <v>#REF!</v>
      </c>
      <c r="AM23" s="164" t="e">
        <f>SUMIFS('Файл оценки'!#REF!,'Файл оценки'!#REF!,'Трудозатраты ПК'!$A23,'Файл оценки'!#REF!,'Трудозатраты ПК'!AM$46)</f>
        <v>#REF!</v>
      </c>
      <c r="AN23" s="164" t="e">
        <f>SUMIFS('Файл оценки'!#REF!,'Файл оценки'!#REF!,'Трудозатраты ПК'!$A23,'Файл оценки'!#REF!,'Трудозатраты ПК'!AN$46)</f>
        <v>#REF!</v>
      </c>
      <c r="AO23" s="164" t="e">
        <f>SUMIFS('Файл оценки'!#REF!,'Файл оценки'!#REF!,'Трудозатраты ПК'!$A23,'Файл оценки'!#REF!,'Трудозатраты ПК'!AO$46)</f>
        <v>#REF!</v>
      </c>
      <c r="AP23" s="164" t="e">
        <f>SUMIFS('Файл оценки'!#REF!,'Файл оценки'!#REF!,'Трудозатраты ПК'!$A23,'Файл оценки'!#REF!,'Трудозатраты ПК'!AP$46)</f>
        <v>#REF!</v>
      </c>
      <c r="AQ23" s="164" t="e">
        <f>SUMIFS('Файл оценки'!#REF!,'Файл оценки'!#REF!,'Трудозатраты ПК'!$A23,'Файл оценки'!#REF!,'Трудозатраты ПК'!AQ$46)</f>
        <v>#REF!</v>
      </c>
      <c r="AR23" s="164" t="e">
        <f>SUMIFS('Файл оценки'!#REF!,'Файл оценки'!#REF!,'Трудозатраты ПК'!$A23,'Файл оценки'!#REF!,'Трудозатраты ПК'!AR$46)</f>
        <v>#REF!</v>
      </c>
      <c r="AS23" s="164" t="e">
        <f>SUMIFS('Файл оценки'!#REF!,'Файл оценки'!#REF!,'Трудозатраты ПК'!$A23,'Файл оценки'!#REF!,'Трудозатраты ПК'!AS$46)</f>
        <v>#REF!</v>
      </c>
      <c r="AT23" s="164" t="e">
        <f>SUMIFS('Файл оценки'!#REF!,'Файл оценки'!#REF!,'Трудозатраты ПК'!$A23,'Файл оценки'!#REF!,'Трудозатраты ПК'!AT$46)</f>
        <v>#REF!</v>
      </c>
      <c r="AU23" s="164" t="e">
        <f>SUMIFS('Файл оценки'!#REF!,'Файл оценки'!#REF!,'Трудозатраты ПК'!$A23,'Файл оценки'!#REF!,'Трудозатраты ПК'!AU$46)</f>
        <v>#REF!</v>
      </c>
      <c r="AV23" s="164" t="e">
        <f>SUMIFS('Файл оценки'!#REF!,'Файл оценки'!#REF!,'Трудозатраты ПК'!$A23,'Файл оценки'!#REF!,'Трудозатраты ПК'!AV$46)</f>
        <v>#REF!</v>
      </c>
      <c r="AW23" s="164" t="e">
        <f>SUMIFS('Файл оценки'!#REF!,'Файл оценки'!#REF!,'Трудозатраты ПК'!$A23,'Файл оценки'!#REF!,'Трудозатраты ПК'!AW$46)</f>
        <v>#REF!</v>
      </c>
      <c r="AX23" s="164" t="e">
        <f>SUMIFS('Файл оценки'!#REF!,'Файл оценки'!#REF!,'Трудозатраты ПК'!$A23,'Файл оценки'!#REF!,'Трудозатраты ПК'!AX$46)</f>
        <v>#REF!</v>
      </c>
      <c r="AY23" s="165" t="e">
        <f t="shared" si="1"/>
        <v>#REF!</v>
      </c>
    </row>
    <row r="24" spans="1:51" ht="15.75" x14ac:dyDescent="0.25">
      <c r="A24" s="161" t="e">
        <f>Работы_Спецы!#REF!</f>
        <v>#REF!</v>
      </c>
      <c r="B24" s="258"/>
      <c r="C24" s="162" t="e">
        <f t="shared" si="0"/>
        <v>#REF!</v>
      </c>
      <c r="D24" s="163" t="e">
        <f t="shared" si="2"/>
        <v>#REF!</v>
      </c>
      <c r="E24" s="164"/>
      <c r="F24" s="164"/>
      <c r="G24" s="164"/>
      <c r="H24" s="164"/>
      <c r="I24" s="164"/>
      <c r="J24" s="164" t="e">
        <f>SUMIFS('Файл оценки'!#REF!,'Файл оценки'!#REF!,'Трудозатраты ПК'!$A24,'Файл оценки'!#REF!,'Трудозатраты ПК'!J$46)</f>
        <v>#REF!</v>
      </c>
      <c r="K24" s="164" t="e">
        <f>SUMIFS('Файл оценки'!#REF!,'Файл оценки'!#REF!,'Трудозатраты ПК'!$A24,'Файл оценки'!#REF!,'Трудозатраты ПК'!K$46)</f>
        <v>#REF!</v>
      </c>
      <c r="L24" s="164" t="e">
        <f>SUMIFS('Файл оценки'!#REF!,'Файл оценки'!#REF!,'Трудозатраты ПК'!$A24,'Файл оценки'!#REF!,'Трудозатраты ПК'!L$46)</f>
        <v>#REF!</v>
      </c>
      <c r="M24" s="164" t="e">
        <f>SUMIFS('Файл оценки'!#REF!,'Файл оценки'!#REF!,'Трудозатраты ПК'!$A24,'Файл оценки'!#REF!,'Трудозатраты ПК'!M$46)</f>
        <v>#REF!</v>
      </c>
      <c r="N24" s="164" t="e">
        <f>SUMIFS('Файл оценки'!#REF!,'Файл оценки'!#REF!,'Трудозатраты ПК'!$A24,'Файл оценки'!#REF!,'Трудозатраты ПК'!N$46)</f>
        <v>#REF!</v>
      </c>
      <c r="O24" s="164" t="e">
        <f>SUMIFS('Файл оценки'!#REF!,'Файл оценки'!#REF!,'Трудозатраты ПК'!$A24,'Файл оценки'!#REF!,'Трудозатраты ПК'!O$46)</f>
        <v>#REF!</v>
      </c>
      <c r="P24" s="164" t="e">
        <f>SUMIFS('Файл оценки'!#REF!,'Файл оценки'!#REF!,'Трудозатраты ПК'!$A24,'Файл оценки'!#REF!,'Трудозатраты ПК'!P$46)</f>
        <v>#REF!</v>
      </c>
      <c r="Q24" s="164" t="e">
        <f>SUMIFS('Файл оценки'!#REF!,'Файл оценки'!#REF!,'Трудозатраты ПК'!$A24,'Файл оценки'!#REF!,'Трудозатраты ПК'!Q$46)</f>
        <v>#REF!</v>
      </c>
      <c r="R24" s="164" t="e">
        <f>SUMIFS('Файл оценки'!#REF!,'Файл оценки'!#REF!,'Трудозатраты ПК'!$A24,'Файл оценки'!#REF!,'Трудозатраты ПК'!R$46)</f>
        <v>#REF!</v>
      </c>
      <c r="S24" s="164" t="e">
        <f>SUMIFS('Файл оценки'!#REF!,'Файл оценки'!#REF!,'Трудозатраты ПК'!$A24,'Файл оценки'!#REF!,'Трудозатраты ПК'!S$46)</f>
        <v>#REF!</v>
      </c>
      <c r="T24" s="164" t="e">
        <f>SUMIFS('Файл оценки'!#REF!,'Файл оценки'!#REF!,'Трудозатраты ПК'!$A24,'Файл оценки'!#REF!,'Трудозатраты ПК'!T$46)</f>
        <v>#REF!</v>
      </c>
      <c r="U24" s="164" t="e">
        <f>SUMIFS('Файл оценки'!#REF!,'Файл оценки'!#REF!,'Трудозатраты ПК'!$A24,'Файл оценки'!#REF!,'Трудозатраты ПК'!U$46)</f>
        <v>#REF!</v>
      </c>
      <c r="V24" s="164" t="e">
        <f>SUMIFS('Файл оценки'!#REF!,'Файл оценки'!#REF!,'Трудозатраты ПК'!$A24,'Файл оценки'!#REF!,'Трудозатраты ПК'!V$46)</f>
        <v>#REF!</v>
      </c>
      <c r="W24" s="164" t="e">
        <f>SUMIFS('Файл оценки'!#REF!,'Файл оценки'!#REF!,'Трудозатраты ПК'!$A24,'Файл оценки'!#REF!,'Трудозатраты ПК'!W$46)</f>
        <v>#REF!</v>
      </c>
      <c r="X24" s="164" t="e">
        <f>SUMIFS('Файл оценки'!#REF!,'Файл оценки'!#REF!,'Трудозатраты ПК'!$A24,'Файл оценки'!#REF!,'Трудозатраты ПК'!X$46)</f>
        <v>#REF!</v>
      </c>
      <c r="Y24" s="164" t="e">
        <f>SUMIFS('Файл оценки'!#REF!,'Файл оценки'!#REF!,'Трудозатраты ПК'!$A24,'Файл оценки'!#REF!,'Трудозатраты ПК'!Y$46)</f>
        <v>#REF!</v>
      </c>
      <c r="Z24" s="164" t="e">
        <f>SUMIFS('Файл оценки'!#REF!,'Файл оценки'!#REF!,'Трудозатраты ПК'!$A24,'Файл оценки'!#REF!,'Трудозатраты ПК'!Z$46)</f>
        <v>#REF!</v>
      </c>
      <c r="AA24" s="164" t="e">
        <f>SUMIFS('Файл оценки'!#REF!,'Файл оценки'!#REF!,'Трудозатраты ПК'!$A24,'Файл оценки'!#REF!,'Трудозатраты ПК'!AA$46)</f>
        <v>#REF!</v>
      </c>
      <c r="AB24" s="164" t="e">
        <f>SUMIFS('Файл оценки'!#REF!,'Файл оценки'!#REF!,'Трудозатраты ПК'!$A24,'Файл оценки'!#REF!,'Трудозатраты ПК'!AB$46)</f>
        <v>#REF!</v>
      </c>
      <c r="AC24" s="164" t="e">
        <f>SUMIFS('Файл оценки'!#REF!,'Файл оценки'!#REF!,'Трудозатраты ПК'!$A24,'Файл оценки'!#REF!,'Трудозатраты ПК'!AC$46)</f>
        <v>#REF!</v>
      </c>
      <c r="AD24" s="164" t="e">
        <f>SUMIFS('Файл оценки'!#REF!,'Файл оценки'!#REF!,'Трудозатраты ПК'!$A24,'Файл оценки'!#REF!,'Трудозатраты ПК'!AD$46)</f>
        <v>#REF!</v>
      </c>
      <c r="AE24" s="164" t="e">
        <f>SUMIFS('Файл оценки'!#REF!,'Файл оценки'!#REF!,'Трудозатраты ПК'!$A24,'Файл оценки'!#REF!,'Трудозатраты ПК'!AE$46)</f>
        <v>#REF!</v>
      </c>
      <c r="AF24" s="164" t="e">
        <f>SUMIFS('Файл оценки'!#REF!,'Файл оценки'!#REF!,'Трудозатраты ПК'!$A24,'Файл оценки'!#REF!,'Трудозатраты ПК'!AF$46)</f>
        <v>#REF!</v>
      </c>
      <c r="AG24" s="164" t="e">
        <f>SUMIFS('Файл оценки'!#REF!,'Файл оценки'!#REF!,'Трудозатраты ПК'!$A24,'Файл оценки'!#REF!,'Трудозатраты ПК'!AG$46)</f>
        <v>#REF!</v>
      </c>
      <c r="AH24" s="164" t="e">
        <f>SUMIFS('Файл оценки'!#REF!,'Файл оценки'!#REF!,'Трудозатраты ПК'!$A24,'Файл оценки'!#REF!,'Трудозатраты ПК'!AH$46)</f>
        <v>#REF!</v>
      </c>
      <c r="AI24" s="164" t="e">
        <f>SUMIFS('Файл оценки'!#REF!,'Файл оценки'!#REF!,'Трудозатраты ПК'!$A24,'Файл оценки'!#REF!,'Трудозатраты ПК'!AI$46)</f>
        <v>#REF!</v>
      </c>
      <c r="AJ24" s="164" t="e">
        <f>SUMIFS('Файл оценки'!#REF!,'Файл оценки'!#REF!,'Трудозатраты ПК'!$A24,'Файл оценки'!#REF!,'Трудозатраты ПК'!AJ$46)</f>
        <v>#REF!</v>
      </c>
      <c r="AK24" s="164" t="e">
        <f>SUMIFS('Файл оценки'!#REF!,'Файл оценки'!#REF!,'Трудозатраты ПК'!$A24,'Файл оценки'!#REF!,'Трудозатраты ПК'!AK$46)</f>
        <v>#REF!</v>
      </c>
      <c r="AL24" s="164" t="e">
        <f>SUMIFS('Файл оценки'!#REF!,'Файл оценки'!#REF!,'Трудозатраты ПК'!$A24,'Файл оценки'!#REF!,'Трудозатраты ПК'!AL$46)</f>
        <v>#REF!</v>
      </c>
      <c r="AM24" s="164" t="e">
        <f>SUMIFS('Файл оценки'!#REF!,'Файл оценки'!#REF!,'Трудозатраты ПК'!$A24,'Файл оценки'!#REF!,'Трудозатраты ПК'!AM$46)</f>
        <v>#REF!</v>
      </c>
      <c r="AN24" s="164" t="e">
        <f>SUMIFS('Файл оценки'!#REF!,'Файл оценки'!#REF!,'Трудозатраты ПК'!$A24,'Файл оценки'!#REF!,'Трудозатраты ПК'!AN$46)</f>
        <v>#REF!</v>
      </c>
      <c r="AO24" s="164" t="e">
        <f>SUMIFS('Файл оценки'!#REF!,'Файл оценки'!#REF!,'Трудозатраты ПК'!$A24,'Файл оценки'!#REF!,'Трудозатраты ПК'!AO$46)</f>
        <v>#REF!</v>
      </c>
      <c r="AP24" s="164" t="e">
        <f>SUMIFS('Файл оценки'!#REF!,'Файл оценки'!#REF!,'Трудозатраты ПК'!$A24,'Файл оценки'!#REF!,'Трудозатраты ПК'!AP$46)</f>
        <v>#REF!</v>
      </c>
      <c r="AQ24" s="164" t="e">
        <f>SUMIFS('Файл оценки'!#REF!,'Файл оценки'!#REF!,'Трудозатраты ПК'!$A24,'Файл оценки'!#REF!,'Трудозатраты ПК'!AQ$46)</f>
        <v>#REF!</v>
      </c>
      <c r="AR24" s="164" t="e">
        <f>SUMIFS('Файл оценки'!#REF!,'Файл оценки'!#REF!,'Трудозатраты ПК'!$A24,'Файл оценки'!#REF!,'Трудозатраты ПК'!AR$46)</f>
        <v>#REF!</v>
      </c>
      <c r="AS24" s="164" t="e">
        <f>SUMIFS('Файл оценки'!#REF!,'Файл оценки'!#REF!,'Трудозатраты ПК'!$A24,'Файл оценки'!#REF!,'Трудозатраты ПК'!AS$46)</f>
        <v>#REF!</v>
      </c>
      <c r="AT24" s="164" t="e">
        <f>SUMIFS('Файл оценки'!#REF!,'Файл оценки'!#REF!,'Трудозатраты ПК'!$A24,'Файл оценки'!#REF!,'Трудозатраты ПК'!AT$46)</f>
        <v>#REF!</v>
      </c>
      <c r="AU24" s="164" t="e">
        <f>SUMIFS('Файл оценки'!#REF!,'Файл оценки'!#REF!,'Трудозатраты ПК'!$A24,'Файл оценки'!#REF!,'Трудозатраты ПК'!AU$46)</f>
        <v>#REF!</v>
      </c>
      <c r="AV24" s="164" t="e">
        <f>SUMIFS('Файл оценки'!#REF!,'Файл оценки'!#REF!,'Трудозатраты ПК'!$A24,'Файл оценки'!#REF!,'Трудозатраты ПК'!AV$46)</f>
        <v>#REF!</v>
      </c>
      <c r="AW24" s="164" t="e">
        <f>SUMIFS('Файл оценки'!#REF!,'Файл оценки'!#REF!,'Трудозатраты ПК'!$A24,'Файл оценки'!#REF!,'Трудозатраты ПК'!AW$46)</f>
        <v>#REF!</v>
      </c>
      <c r="AX24" s="164" t="e">
        <f>SUMIFS('Файл оценки'!#REF!,'Файл оценки'!#REF!,'Трудозатраты ПК'!$A24,'Файл оценки'!#REF!,'Трудозатраты ПК'!AX$46)</f>
        <v>#REF!</v>
      </c>
      <c r="AY24" s="165" t="e">
        <f t="shared" si="1"/>
        <v>#REF!</v>
      </c>
    </row>
    <row r="25" spans="1:51" ht="15.75" x14ac:dyDescent="0.25">
      <c r="A25" s="161" t="e">
        <f>Работы_Спецы!#REF!</f>
        <v>#REF!</v>
      </c>
      <c r="B25" s="258"/>
      <c r="C25" s="162" t="e">
        <f t="shared" si="0"/>
        <v>#REF!</v>
      </c>
      <c r="D25" s="163" t="e">
        <f t="shared" si="2"/>
        <v>#REF!</v>
      </c>
      <c r="E25" s="164"/>
      <c r="F25" s="164"/>
      <c r="G25" s="164"/>
      <c r="H25" s="164"/>
      <c r="I25" s="164"/>
      <c r="J25" s="164" t="e">
        <f>SUMIFS('Файл оценки'!#REF!,'Файл оценки'!#REF!,'Трудозатраты ПК'!$A25,'Файл оценки'!#REF!,'Трудозатраты ПК'!J$46)</f>
        <v>#REF!</v>
      </c>
      <c r="K25" s="164" t="e">
        <f>SUMIFS('Файл оценки'!#REF!,'Файл оценки'!#REF!,'Трудозатраты ПК'!$A25,'Файл оценки'!#REF!,'Трудозатраты ПК'!K$46)</f>
        <v>#REF!</v>
      </c>
      <c r="L25" s="164" t="e">
        <f>SUMIFS('Файл оценки'!#REF!,'Файл оценки'!#REF!,'Трудозатраты ПК'!$A25,'Файл оценки'!#REF!,'Трудозатраты ПК'!L$46)</f>
        <v>#REF!</v>
      </c>
      <c r="M25" s="164" t="e">
        <f>SUMIFS('Файл оценки'!#REF!,'Файл оценки'!#REF!,'Трудозатраты ПК'!$A25,'Файл оценки'!#REF!,'Трудозатраты ПК'!M$46)</f>
        <v>#REF!</v>
      </c>
      <c r="N25" s="164" t="e">
        <f>SUMIFS('Файл оценки'!#REF!,'Файл оценки'!#REF!,'Трудозатраты ПК'!$A25,'Файл оценки'!#REF!,'Трудозатраты ПК'!N$46)</f>
        <v>#REF!</v>
      </c>
      <c r="O25" s="164" t="e">
        <f>SUMIFS('Файл оценки'!#REF!,'Файл оценки'!#REF!,'Трудозатраты ПК'!$A25,'Файл оценки'!#REF!,'Трудозатраты ПК'!O$46)</f>
        <v>#REF!</v>
      </c>
      <c r="P25" s="164" t="e">
        <f>SUMIFS('Файл оценки'!#REF!,'Файл оценки'!#REF!,'Трудозатраты ПК'!$A25,'Файл оценки'!#REF!,'Трудозатраты ПК'!P$46)</f>
        <v>#REF!</v>
      </c>
      <c r="Q25" s="164" t="e">
        <f>SUMIFS('Файл оценки'!#REF!,'Файл оценки'!#REF!,'Трудозатраты ПК'!$A25,'Файл оценки'!#REF!,'Трудозатраты ПК'!Q$46)</f>
        <v>#REF!</v>
      </c>
      <c r="R25" s="164" t="e">
        <f>SUMIFS('Файл оценки'!#REF!,'Файл оценки'!#REF!,'Трудозатраты ПК'!$A25,'Файл оценки'!#REF!,'Трудозатраты ПК'!R$46)</f>
        <v>#REF!</v>
      </c>
      <c r="S25" s="164" t="e">
        <f>SUMIFS('Файл оценки'!#REF!,'Файл оценки'!#REF!,'Трудозатраты ПК'!$A25,'Файл оценки'!#REF!,'Трудозатраты ПК'!S$46)</f>
        <v>#REF!</v>
      </c>
      <c r="T25" s="164" t="e">
        <f>SUMIFS('Файл оценки'!#REF!,'Файл оценки'!#REF!,'Трудозатраты ПК'!$A25,'Файл оценки'!#REF!,'Трудозатраты ПК'!T$46)</f>
        <v>#REF!</v>
      </c>
      <c r="U25" s="164" t="e">
        <f>SUMIFS('Файл оценки'!#REF!,'Файл оценки'!#REF!,'Трудозатраты ПК'!$A25,'Файл оценки'!#REF!,'Трудозатраты ПК'!U$46)</f>
        <v>#REF!</v>
      </c>
      <c r="V25" s="164" t="e">
        <f>SUMIFS('Файл оценки'!#REF!,'Файл оценки'!#REF!,'Трудозатраты ПК'!$A25,'Файл оценки'!#REF!,'Трудозатраты ПК'!V$46)</f>
        <v>#REF!</v>
      </c>
      <c r="W25" s="164" t="e">
        <f>SUMIFS('Файл оценки'!#REF!,'Файл оценки'!#REF!,'Трудозатраты ПК'!$A25,'Файл оценки'!#REF!,'Трудозатраты ПК'!W$46)</f>
        <v>#REF!</v>
      </c>
      <c r="X25" s="164" t="e">
        <f>SUMIFS('Файл оценки'!#REF!,'Файл оценки'!#REF!,'Трудозатраты ПК'!$A25,'Файл оценки'!#REF!,'Трудозатраты ПК'!X$46)</f>
        <v>#REF!</v>
      </c>
      <c r="Y25" s="164" t="e">
        <f>SUMIFS('Файл оценки'!#REF!,'Файл оценки'!#REF!,'Трудозатраты ПК'!$A25,'Файл оценки'!#REF!,'Трудозатраты ПК'!Y$46)</f>
        <v>#REF!</v>
      </c>
      <c r="Z25" s="164" t="e">
        <f>SUMIFS('Файл оценки'!#REF!,'Файл оценки'!#REF!,'Трудозатраты ПК'!$A25,'Файл оценки'!#REF!,'Трудозатраты ПК'!Z$46)</f>
        <v>#REF!</v>
      </c>
      <c r="AA25" s="164" t="e">
        <f>SUMIFS('Файл оценки'!#REF!,'Файл оценки'!#REF!,'Трудозатраты ПК'!$A25,'Файл оценки'!#REF!,'Трудозатраты ПК'!AA$46)</f>
        <v>#REF!</v>
      </c>
      <c r="AB25" s="164" t="e">
        <f>SUMIFS('Файл оценки'!#REF!,'Файл оценки'!#REF!,'Трудозатраты ПК'!$A25,'Файл оценки'!#REF!,'Трудозатраты ПК'!AB$46)</f>
        <v>#REF!</v>
      </c>
      <c r="AC25" s="164" t="e">
        <f>SUMIFS('Файл оценки'!#REF!,'Файл оценки'!#REF!,'Трудозатраты ПК'!$A25,'Файл оценки'!#REF!,'Трудозатраты ПК'!AC$46)</f>
        <v>#REF!</v>
      </c>
      <c r="AD25" s="164" t="e">
        <f>SUMIFS('Файл оценки'!#REF!,'Файл оценки'!#REF!,'Трудозатраты ПК'!$A25,'Файл оценки'!#REF!,'Трудозатраты ПК'!AD$46)</f>
        <v>#REF!</v>
      </c>
      <c r="AE25" s="164" t="e">
        <f>SUMIFS('Файл оценки'!#REF!,'Файл оценки'!#REF!,'Трудозатраты ПК'!$A25,'Файл оценки'!#REF!,'Трудозатраты ПК'!AE$46)</f>
        <v>#REF!</v>
      </c>
      <c r="AF25" s="164" t="e">
        <f>SUMIFS('Файл оценки'!#REF!,'Файл оценки'!#REF!,'Трудозатраты ПК'!$A25,'Файл оценки'!#REF!,'Трудозатраты ПК'!AF$46)</f>
        <v>#REF!</v>
      </c>
      <c r="AG25" s="164" t="e">
        <f>SUMIFS('Файл оценки'!#REF!,'Файл оценки'!#REF!,'Трудозатраты ПК'!$A25,'Файл оценки'!#REF!,'Трудозатраты ПК'!AG$46)</f>
        <v>#REF!</v>
      </c>
      <c r="AH25" s="164" t="e">
        <f>SUMIFS('Файл оценки'!#REF!,'Файл оценки'!#REF!,'Трудозатраты ПК'!$A25,'Файл оценки'!#REF!,'Трудозатраты ПК'!AH$46)</f>
        <v>#REF!</v>
      </c>
      <c r="AI25" s="164" t="e">
        <f>SUMIFS('Файл оценки'!#REF!,'Файл оценки'!#REF!,'Трудозатраты ПК'!$A25,'Файл оценки'!#REF!,'Трудозатраты ПК'!AI$46)</f>
        <v>#REF!</v>
      </c>
      <c r="AJ25" s="164" t="e">
        <f>SUMIFS('Файл оценки'!#REF!,'Файл оценки'!#REF!,'Трудозатраты ПК'!$A25,'Файл оценки'!#REF!,'Трудозатраты ПК'!AJ$46)</f>
        <v>#REF!</v>
      </c>
      <c r="AK25" s="164" t="e">
        <f>SUMIFS('Файл оценки'!#REF!,'Файл оценки'!#REF!,'Трудозатраты ПК'!$A25,'Файл оценки'!#REF!,'Трудозатраты ПК'!AK$46)</f>
        <v>#REF!</v>
      </c>
      <c r="AL25" s="164" t="e">
        <f>SUMIFS('Файл оценки'!#REF!,'Файл оценки'!#REF!,'Трудозатраты ПК'!$A25,'Файл оценки'!#REF!,'Трудозатраты ПК'!AL$46)</f>
        <v>#REF!</v>
      </c>
      <c r="AM25" s="164" t="e">
        <f>SUMIFS('Файл оценки'!#REF!,'Файл оценки'!#REF!,'Трудозатраты ПК'!$A25,'Файл оценки'!#REF!,'Трудозатраты ПК'!AM$46)</f>
        <v>#REF!</v>
      </c>
      <c r="AN25" s="164" t="e">
        <f>SUMIFS('Файл оценки'!#REF!,'Файл оценки'!#REF!,'Трудозатраты ПК'!$A25,'Файл оценки'!#REF!,'Трудозатраты ПК'!AN$46)</f>
        <v>#REF!</v>
      </c>
      <c r="AO25" s="164" t="e">
        <f>SUMIFS('Файл оценки'!#REF!,'Файл оценки'!#REF!,'Трудозатраты ПК'!$A25,'Файл оценки'!#REF!,'Трудозатраты ПК'!AO$46)</f>
        <v>#REF!</v>
      </c>
      <c r="AP25" s="164" t="e">
        <f>SUMIFS('Файл оценки'!#REF!,'Файл оценки'!#REF!,'Трудозатраты ПК'!$A25,'Файл оценки'!#REF!,'Трудозатраты ПК'!AP$46)</f>
        <v>#REF!</v>
      </c>
      <c r="AQ25" s="164" t="e">
        <f>SUMIFS('Файл оценки'!#REF!,'Файл оценки'!#REF!,'Трудозатраты ПК'!$A25,'Файл оценки'!#REF!,'Трудозатраты ПК'!AQ$46)</f>
        <v>#REF!</v>
      </c>
      <c r="AR25" s="164" t="e">
        <f>SUMIFS('Файл оценки'!#REF!,'Файл оценки'!#REF!,'Трудозатраты ПК'!$A25,'Файл оценки'!#REF!,'Трудозатраты ПК'!AR$46)</f>
        <v>#REF!</v>
      </c>
      <c r="AS25" s="164" t="e">
        <f>SUMIFS('Файл оценки'!#REF!,'Файл оценки'!#REF!,'Трудозатраты ПК'!$A25,'Файл оценки'!#REF!,'Трудозатраты ПК'!AS$46)</f>
        <v>#REF!</v>
      </c>
      <c r="AT25" s="164" t="e">
        <f>SUMIFS('Файл оценки'!#REF!,'Файл оценки'!#REF!,'Трудозатраты ПК'!$A25,'Файл оценки'!#REF!,'Трудозатраты ПК'!AT$46)</f>
        <v>#REF!</v>
      </c>
      <c r="AU25" s="164" t="e">
        <f>SUMIFS('Файл оценки'!#REF!,'Файл оценки'!#REF!,'Трудозатраты ПК'!$A25,'Файл оценки'!#REF!,'Трудозатраты ПК'!AU$46)</f>
        <v>#REF!</v>
      </c>
      <c r="AV25" s="164" t="e">
        <f>SUMIFS('Файл оценки'!#REF!,'Файл оценки'!#REF!,'Трудозатраты ПК'!$A25,'Файл оценки'!#REF!,'Трудозатраты ПК'!AV$46)</f>
        <v>#REF!</v>
      </c>
      <c r="AW25" s="164" t="e">
        <f>SUMIFS('Файл оценки'!#REF!,'Файл оценки'!#REF!,'Трудозатраты ПК'!$A25,'Файл оценки'!#REF!,'Трудозатраты ПК'!AW$46)</f>
        <v>#REF!</v>
      </c>
      <c r="AX25" s="164" t="e">
        <f>SUMIFS('Файл оценки'!#REF!,'Файл оценки'!#REF!,'Трудозатраты ПК'!$A25,'Файл оценки'!#REF!,'Трудозатраты ПК'!AX$46)</f>
        <v>#REF!</v>
      </c>
      <c r="AY25" s="165" t="e">
        <f t="shared" si="1"/>
        <v>#REF!</v>
      </c>
    </row>
    <row r="26" spans="1:51" ht="15.75" x14ac:dyDescent="0.25">
      <c r="A26" s="161">
        <f>Работы_Спецы!A16</f>
        <v>0</v>
      </c>
      <c r="B26" s="258"/>
      <c r="C26" s="162" t="e">
        <f t="shared" si="0"/>
        <v>#REF!</v>
      </c>
      <c r="D26" s="163" t="e">
        <f t="shared" si="2"/>
        <v>#REF!</v>
      </c>
      <c r="E26" s="164"/>
      <c r="F26" s="164"/>
      <c r="G26" s="164"/>
      <c r="H26" s="164"/>
      <c r="I26" s="164"/>
      <c r="J26" s="164" t="e">
        <f>SUMIFS('Файл оценки'!#REF!,'Файл оценки'!#REF!,'Трудозатраты ПК'!$A26,'Файл оценки'!#REF!,'Трудозатраты ПК'!J$46)</f>
        <v>#REF!</v>
      </c>
      <c r="K26" s="164" t="e">
        <f>SUMIFS('Файл оценки'!#REF!,'Файл оценки'!#REF!,'Трудозатраты ПК'!$A26,'Файл оценки'!#REF!,'Трудозатраты ПК'!K$46)</f>
        <v>#REF!</v>
      </c>
      <c r="L26" s="164" t="e">
        <f>SUMIFS('Файл оценки'!#REF!,'Файл оценки'!#REF!,'Трудозатраты ПК'!$A26,'Файл оценки'!#REF!,'Трудозатраты ПК'!L$46)</f>
        <v>#REF!</v>
      </c>
      <c r="M26" s="164" t="e">
        <f>SUMIFS('Файл оценки'!#REF!,'Файл оценки'!#REF!,'Трудозатраты ПК'!$A26,'Файл оценки'!#REF!,'Трудозатраты ПК'!M$46)</f>
        <v>#REF!</v>
      </c>
      <c r="N26" s="164" t="e">
        <f>SUMIFS('Файл оценки'!#REF!,'Файл оценки'!#REF!,'Трудозатраты ПК'!$A26,'Файл оценки'!#REF!,'Трудозатраты ПК'!N$46)</f>
        <v>#REF!</v>
      </c>
      <c r="O26" s="164" t="e">
        <f>SUMIFS('Файл оценки'!#REF!,'Файл оценки'!#REF!,'Трудозатраты ПК'!$A26,'Файл оценки'!#REF!,'Трудозатраты ПК'!O$46)</f>
        <v>#REF!</v>
      </c>
      <c r="P26" s="164" t="e">
        <f>SUMIFS('Файл оценки'!#REF!,'Файл оценки'!#REF!,'Трудозатраты ПК'!$A26,'Файл оценки'!#REF!,'Трудозатраты ПК'!P$46)</f>
        <v>#REF!</v>
      </c>
      <c r="Q26" s="164" t="e">
        <f>SUMIFS('Файл оценки'!#REF!,'Файл оценки'!#REF!,'Трудозатраты ПК'!$A26,'Файл оценки'!#REF!,'Трудозатраты ПК'!Q$46)</f>
        <v>#REF!</v>
      </c>
      <c r="R26" s="164" t="e">
        <f>SUMIFS('Файл оценки'!#REF!,'Файл оценки'!#REF!,'Трудозатраты ПК'!$A26,'Файл оценки'!#REF!,'Трудозатраты ПК'!R$46)</f>
        <v>#REF!</v>
      </c>
      <c r="S26" s="164" t="e">
        <f>SUMIFS('Файл оценки'!#REF!,'Файл оценки'!#REF!,'Трудозатраты ПК'!$A26,'Файл оценки'!#REF!,'Трудозатраты ПК'!S$46)</f>
        <v>#REF!</v>
      </c>
      <c r="T26" s="164" t="e">
        <f>SUMIFS('Файл оценки'!#REF!,'Файл оценки'!#REF!,'Трудозатраты ПК'!$A26,'Файл оценки'!#REF!,'Трудозатраты ПК'!T$46)</f>
        <v>#REF!</v>
      </c>
      <c r="U26" s="164" t="e">
        <f>SUMIFS('Файл оценки'!#REF!,'Файл оценки'!#REF!,'Трудозатраты ПК'!$A26,'Файл оценки'!#REF!,'Трудозатраты ПК'!U$46)</f>
        <v>#REF!</v>
      </c>
      <c r="V26" s="164" t="e">
        <f>SUMIFS('Файл оценки'!#REF!,'Файл оценки'!#REF!,'Трудозатраты ПК'!$A26,'Файл оценки'!#REF!,'Трудозатраты ПК'!V$46)</f>
        <v>#REF!</v>
      </c>
      <c r="W26" s="164" t="e">
        <f>SUMIFS('Файл оценки'!#REF!,'Файл оценки'!#REF!,'Трудозатраты ПК'!$A26,'Файл оценки'!#REF!,'Трудозатраты ПК'!W$46)</f>
        <v>#REF!</v>
      </c>
      <c r="X26" s="164" t="e">
        <f>SUMIFS('Файл оценки'!#REF!,'Файл оценки'!#REF!,'Трудозатраты ПК'!$A26,'Файл оценки'!#REF!,'Трудозатраты ПК'!X$46)</f>
        <v>#REF!</v>
      </c>
      <c r="Y26" s="164" t="e">
        <f>SUMIFS('Файл оценки'!#REF!,'Файл оценки'!#REF!,'Трудозатраты ПК'!$A26,'Файл оценки'!#REF!,'Трудозатраты ПК'!Y$46)</f>
        <v>#REF!</v>
      </c>
      <c r="Z26" s="164" t="e">
        <f>SUMIFS('Файл оценки'!#REF!,'Файл оценки'!#REF!,'Трудозатраты ПК'!$A26,'Файл оценки'!#REF!,'Трудозатраты ПК'!Z$46)</f>
        <v>#REF!</v>
      </c>
      <c r="AA26" s="164" t="e">
        <f>SUMIFS('Файл оценки'!#REF!,'Файл оценки'!#REF!,'Трудозатраты ПК'!$A26,'Файл оценки'!#REF!,'Трудозатраты ПК'!AA$46)</f>
        <v>#REF!</v>
      </c>
      <c r="AB26" s="164" t="e">
        <f>SUMIFS('Файл оценки'!#REF!,'Файл оценки'!#REF!,'Трудозатраты ПК'!$A26,'Файл оценки'!#REF!,'Трудозатраты ПК'!AB$46)</f>
        <v>#REF!</v>
      </c>
      <c r="AC26" s="164" t="e">
        <f>SUMIFS('Файл оценки'!#REF!,'Файл оценки'!#REF!,'Трудозатраты ПК'!$A26,'Файл оценки'!#REF!,'Трудозатраты ПК'!AC$46)</f>
        <v>#REF!</v>
      </c>
      <c r="AD26" s="164" t="e">
        <f>SUMIFS('Файл оценки'!#REF!,'Файл оценки'!#REF!,'Трудозатраты ПК'!$A26,'Файл оценки'!#REF!,'Трудозатраты ПК'!AD$46)</f>
        <v>#REF!</v>
      </c>
      <c r="AE26" s="164" t="e">
        <f>SUMIFS('Файл оценки'!#REF!,'Файл оценки'!#REF!,'Трудозатраты ПК'!$A26,'Файл оценки'!#REF!,'Трудозатраты ПК'!AE$46)</f>
        <v>#REF!</v>
      </c>
      <c r="AF26" s="164" t="e">
        <f>SUMIFS('Файл оценки'!#REF!,'Файл оценки'!#REF!,'Трудозатраты ПК'!$A26,'Файл оценки'!#REF!,'Трудозатраты ПК'!AF$46)</f>
        <v>#REF!</v>
      </c>
      <c r="AG26" s="164" t="e">
        <f>SUMIFS('Файл оценки'!#REF!,'Файл оценки'!#REF!,'Трудозатраты ПК'!$A26,'Файл оценки'!#REF!,'Трудозатраты ПК'!AG$46)</f>
        <v>#REF!</v>
      </c>
      <c r="AH26" s="164" t="e">
        <f>SUMIFS('Файл оценки'!#REF!,'Файл оценки'!#REF!,'Трудозатраты ПК'!$A26,'Файл оценки'!#REF!,'Трудозатраты ПК'!AH$46)</f>
        <v>#REF!</v>
      </c>
      <c r="AI26" s="164" t="e">
        <f>SUMIFS('Файл оценки'!#REF!,'Файл оценки'!#REF!,'Трудозатраты ПК'!$A26,'Файл оценки'!#REF!,'Трудозатраты ПК'!AI$46)</f>
        <v>#REF!</v>
      </c>
      <c r="AJ26" s="164" t="e">
        <f>SUMIFS('Файл оценки'!#REF!,'Файл оценки'!#REF!,'Трудозатраты ПК'!$A26,'Файл оценки'!#REF!,'Трудозатраты ПК'!AJ$46)</f>
        <v>#REF!</v>
      </c>
      <c r="AK26" s="164" t="e">
        <f>SUMIFS('Файл оценки'!#REF!,'Файл оценки'!#REF!,'Трудозатраты ПК'!$A26,'Файл оценки'!#REF!,'Трудозатраты ПК'!AK$46)</f>
        <v>#REF!</v>
      </c>
      <c r="AL26" s="164" t="e">
        <f>SUMIFS('Файл оценки'!#REF!,'Файл оценки'!#REF!,'Трудозатраты ПК'!$A26,'Файл оценки'!#REF!,'Трудозатраты ПК'!AL$46)</f>
        <v>#REF!</v>
      </c>
      <c r="AM26" s="164" t="e">
        <f>SUMIFS('Файл оценки'!#REF!,'Файл оценки'!#REF!,'Трудозатраты ПК'!$A26,'Файл оценки'!#REF!,'Трудозатраты ПК'!AM$46)</f>
        <v>#REF!</v>
      </c>
      <c r="AN26" s="164" t="e">
        <f>SUMIFS('Файл оценки'!#REF!,'Файл оценки'!#REF!,'Трудозатраты ПК'!$A26,'Файл оценки'!#REF!,'Трудозатраты ПК'!AN$46)</f>
        <v>#REF!</v>
      </c>
      <c r="AO26" s="164" t="e">
        <f>SUMIFS('Файл оценки'!#REF!,'Файл оценки'!#REF!,'Трудозатраты ПК'!$A26,'Файл оценки'!#REF!,'Трудозатраты ПК'!AO$46)</f>
        <v>#REF!</v>
      </c>
      <c r="AP26" s="164" t="e">
        <f>SUMIFS('Файл оценки'!#REF!,'Файл оценки'!#REF!,'Трудозатраты ПК'!$A26,'Файл оценки'!#REF!,'Трудозатраты ПК'!AP$46)</f>
        <v>#REF!</v>
      </c>
      <c r="AQ26" s="164" t="e">
        <f>SUMIFS('Файл оценки'!#REF!,'Файл оценки'!#REF!,'Трудозатраты ПК'!$A26,'Файл оценки'!#REF!,'Трудозатраты ПК'!AQ$46)</f>
        <v>#REF!</v>
      </c>
      <c r="AR26" s="164" t="e">
        <f>SUMIFS('Файл оценки'!#REF!,'Файл оценки'!#REF!,'Трудозатраты ПК'!$A26,'Файл оценки'!#REF!,'Трудозатраты ПК'!AR$46)</f>
        <v>#REF!</v>
      </c>
      <c r="AS26" s="164" t="e">
        <f>SUMIFS('Файл оценки'!#REF!,'Файл оценки'!#REF!,'Трудозатраты ПК'!$A26,'Файл оценки'!#REF!,'Трудозатраты ПК'!AS$46)</f>
        <v>#REF!</v>
      </c>
      <c r="AT26" s="164" t="e">
        <f>SUMIFS('Файл оценки'!#REF!,'Файл оценки'!#REF!,'Трудозатраты ПК'!$A26,'Файл оценки'!#REF!,'Трудозатраты ПК'!AT$46)</f>
        <v>#REF!</v>
      </c>
      <c r="AU26" s="164" t="e">
        <f>SUMIFS('Файл оценки'!#REF!,'Файл оценки'!#REF!,'Трудозатраты ПК'!$A26,'Файл оценки'!#REF!,'Трудозатраты ПК'!AU$46)</f>
        <v>#REF!</v>
      </c>
      <c r="AV26" s="164" t="e">
        <f>SUMIFS('Файл оценки'!#REF!,'Файл оценки'!#REF!,'Трудозатраты ПК'!$A26,'Файл оценки'!#REF!,'Трудозатраты ПК'!AV$46)</f>
        <v>#REF!</v>
      </c>
      <c r="AW26" s="164" t="e">
        <f>SUMIFS('Файл оценки'!#REF!,'Файл оценки'!#REF!,'Трудозатраты ПК'!$A26,'Файл оценки'!#REF!,'Трудозатраты ПК'!AW$46)</f>
        <v>#REF!</v>
      </c>
      <c r="AX26" s="164" t="e">
        <f>SUMIFS('Файл оценки'!#REF!,'Файл оценки'!#REF!,'Трудозатраты ПК'!$A26,'Файл оценки'!#REF!,'Трудозатраты ПК'!AX$46)</f>
        <v>#REF!</v>
      </c>
      <c r="AY26" s="165" t="e">
        <f t="shared" si="1"/>
        <v>#REF!</v>
      </c>
    </row>
    <row r="27" spans="1:51" ht="15.75" x14ac:dyDescent="0.25">
      <c r="A27" s="161">
        <f>Работы_Спецы!A17</f>
        <v>0</v>
      </c>
      <c r="B27" s="258"/>
      <c r="C27" s="162" t="e">
        <f t="shared" si="0"/>
        <v>#REF!</v>
      </c>
      <c r="D27" s="163" t="e">
        <f t="shared" si="2"/>
        <v>#REF!</v>
      </c>
      <c r="E27" s="164"/>
      <c r="F27" s="164"/>
      <c r="G27" s="164"/>
      <c r="H27" s="164"/>
      <c r="I27" s="164"/>
      <c r="J27" s="164" t="e">
        <f>SUMIFS('Файл оценки'!#REF!,'Файл оценки'!#REF!,'Трудозатраты ПК'!$A27,'Файл оценки'!#REF!,'Трудозатраты ПК'!J$46)</f>
        <v>#REF!</v>
      </c>
      <c r="K27" s="164" t="e">
        <f>SUMIFS('Файл оценки'!#REF!,'Файл оценки'!#REF!,'Трудозатраты ПК'!$A27,'Файл оценки'!#REF!,'Трудозатраты ПК'!K$46)</f>
        <v>#REF!</v>
      </c>
      <c r="L27" s="164" t="e">
        <f>SUMIFS('Файл оценки'!#REF!,'Файл оценки'!#REF!,'Трудозатраты ПК'!$A27,'Файл оценки'!#REF!,'Трудозатраты ПК'!L$46)</f>
        <v>#REF!</v>
      </c>
      <c r="M27" s="164" t="e">
        <f>SUMIFS('Файл оценки'!#REF!,'Файл оценки'!#REF!,'Трудозатраты ПК'!$A27,'Файл оценки'!#REF!,'Трудозатраты ПК'!M$46)</f>
        <v>#REF!</v>
      </c>
      <c r="N27" s="164" t="e">
        <f>SUMIFS('Файл оценки'!#REF!,'Файл оценки'!#REF!,'Трудозатраты ПК'!$A27,'Файл оценки'!#REF!,'Трудозатраты ПК'!N$46)</f>
        <v>#REF!</v>
      </c>
      <c r="O27" s="164" t="e">
        <f>SUMIFS('Файл оценки'!#REF!,'Файл оценки'!#REF!,'Трудозатраты ПК'!$A27,'Файл оценки'!#REF!,'Трудозатраты ПК'!O$46)</f>
        <v>#REF!</v>
      </c>
      <c r="P27" s="164" t="e">
        <f>SUMIFS('Файл оценки'!#REF!,'Файл оценки'!#REF!,'Трудозатраты ПК'!$A27,'Файл оценки'!#REF!,'Трудозатраты ПК'!P$46)</f>
        <v>#REF!</v>
      </c>
      <c r="Q27" s="164" t="e">
        <f>SUMIFS('Файл оценки'!#REF!,'Файл оценки'!#REF!,'Трудозатраты ПК'!$A27,'Файл оценки'!#REF!,'Трудозатраты ПК'!Q$46)</f>
        <v>#REF!</v>
      </c>
      <c r="R27" s="164" t="e">
        <f>SUMIFS('Файл оценки'!#REF!,'Файл оценки'!#REF!,'Трудозатраты ПК'!$A27,'Файл оценки'!#REF!,'Трудозатраты ПК'!R$46)</f>
        <v>#REF!</v>
      </c>
      <c r="S27" s="164" t="e">
        <f>SUMIFS('Файл оценки'!#REF!,'Файл оценки'!#REF!,'Трудозатраты ПК'!$A27,'Файл оценки'!#REF!,'Трудозатраты ПК'!S$46)</f>
        <v>#REF!</v>
      </c>
      <c r="T27" s="164" t="e">
        <f>SUMIFS('Файл оценки'!#REF!,'Файл оценки'!#REF!,'Трудозатраты ПК'!$A27,'Файл оценки'!#REF!,'Трудозатраты ПК'!T$46)</f>
        <v>#REF!</v>
      </c>
      <c r="U27" s="164" t="e">
        <f>SUMIFS('Файл оценки'!#REF!,'Файл оценки'!#REF!,'Трудозатраты ПК'!$A27,'Файл оценки'!#REF!,'Трудозатраты ПК'!U$46)</f>
        <v>#REF!</v>
      </c>
      <c r="V27" s="164" t="e">
        <f>SUMIFS('Файл оценки'!#REF!,'Файл оценки'!#REF!,'Трудозатраты ПК'!$A27,'Файл оценки'!#REF!,'Трудозатраты ПК'!V$46)</f>
        <v>#REF!</v>
      </c>
      <c r="W27" s="164" t="e">
        <f>SUMIFS('Файл оценки'!#REF!,'Файл оценки'!#REF!,'Трудозатраты ПК'!$A27,'Файл оценки'!#REF!,'Трудозатраты ПК'!W$46)</f>
        <v>#REF!</v>
      </c>
      <c r="X27" s="164" t="e">
        <f>SUMIFS('Файл оценки'!#REF!,'Файл оценки'!#REF!,'Трудозатраты ПК'!$A27,'Файл оценки'!#REF!,'Трудозатраты ПК'!X$46)</f>
        <v>#REF!</v>
      </c>
      <c r="Y27" s="164" t="e">
        <f>SUMIFS('Файл оценки'!#REF!,'Файл оценки'!#REF!,'Трудозатраты ПК'!$A27,'Файл оценки'!#REF!,'Трудозатраты ПК'!Y$46)</f>
        <v>#REF!</v>
      </c>
      <c r="Z27" s="164" t="e">
        <f>SUMIFS('Файл оценки'!#REF!,'Файл оценки'!#REF!,'Трудозатраты ПК'!$A27,'Файл оценки'!#REF!,'Трудозатраты ПК'!Z$46)</f>
        <v>#REF!</v>
      </c>
      <c r="AA27" s="164" t="e">
        <f>SUMIFS('Файл оценки'!#REF!,'Файл оценки'!#REF!,'Трудозатраты ПК'!$A27,'Файл оценки'!#REF!,'Трудозатраты ПК'!AA$46)</f>
        <v>#REF!</v>
      </c>
      <c r="AB27" s="164" t="e">
        <f>SUMIFS('Файл оценки'!#REF!,'Файл оценки'!#REF!,'Трудозатраты ПК'!$A27,'Файл оценки'!#REF!,'Трудозатраты ПК'!AB$46)</f>
        <v>#REF!</v>
      </c>
      <c r="AC27" s="164" t="e">
        <f>SUMIFS('Файл оценки'!#REF!,'Файл оценки'!#REF!,'Трудозатраты ПК'!$A27,'Файл оценки'!#REF!,'Трудозатраты ПК'!AC$46)</f>
        <v>#REF!</v>
      </c>
      <c r="AD27" s="164" t="e">
        <f>SUMIFS('Файл оценки'!#REF!,'Файл оценки'!#REF!,'Трудозатраты ПК'!$A27,'Файл оценки'!#REF!,'Трудозатраты ПК'!AD$46)</f>
        <v>#REF!</v>
      </c>
      <c r="AE27" s="164" t="e">
        <f>SUMIFS('Файл оценки'!#REF!,'Файл оценки'!#REF!,'Трудозатраты ПК'!$A27,'Файл оценки'!#REF!,'Трудозатраты ПК'!AE$46)</f>
        <v>#REF!</v>
      </c>
      <c r="AF27" s="164" t="e">
        <f>SUMIFS('Файл оценки'!#REF!,'Файл оценки'!#REF!,'Трудозатраты ПК'!$A27,'Файл оценки'!#REF!,'Трудозатраты ПК'!AF$46)</f>
        <v>#REF!</v>
      </c>
      <c r="AG27" s="164" t="e">
        <f>SUMIFS('Файл оценки'!#REF!,'Файл оценки'!#REF!,'Трудозатраты ПК'!$A27,'Файл оценки'!#REF!,'Трудозатраты ПК'!AG$46)</f>
        <v>#REF!</v>
      </c>
      <c r="AH27" s="164" t="e">
        <f>SUMIFS('Файл оценки'!#REF!,'Файл оценки'!#REF!,'Трудозатраты ПК'!$A27,'Файл оценки'!#REF!,'Трудозатраты ПК'!AH$46)</f>
        <v>#REF!</v>
      </c>
      <c r="AI27" s="164" t="e">
        <f>SUMIFS('Файл оценки'!#REF!,'Файл оценки'!#REF!,'Трудозатраты ПК'!$A27,'Файл оценки'!#REF!,'Трудозатраты ПК'!AI$46)</f>
        <v>#REF!</v>
      </c>
      <c r="AJ27" s="164" t="e">
        <f>SUMIFS('Файл оценки'!#REF!,'Файл оценки'!#REF!,'Трудозатраты ПК'!$A27,'Файл оценки'!#REF!,'Трудозатраты ПК'!AJ$46)</f>
        <v>#REF!</v>
      </c>
      <c r="AK27" s="164" t="e">
        <f>SUMIFS('Файл оценки'!#REF!,'Файл оценки'!#REF!,'Трудозатраты ПК'!$A27,'Файл оценки'!#REF!,'Трудозатраты ПК'!AK$46)</f>
        <v>#REF!</v>
      </c>
      <c r="AL27" s="164" t="e">
        <f>SUMIFS('Файл оценки'!#REF!,'Файл оценки'!#REF!,'Трудозатраты ПК'!$A27,'Файл оценки'!#REF!,'Трудозатраты ПК'!AL$46)</f>
        <v>#REF!</v>
      </c>
      <c r="AM27" s="164" t="e">
        <f>SUMIFS('Файл оценки'!#REF!,'Файл оценки'!#REF!,'Трудозатраты ПК'!$A27,'Файл оценки'!#REF!,'Трудозатраты ПК'!AM$46)</f>
        <v>#REF!</v>
      </c>
      <c r="AN27" s="164" t="e">
        <f>SUMIFS('Файл оценки'!#REF!,'Файл оценки'!#REF!,'Трудозатраты ПК'!$A27,'Файл оценки'!#REF!,'Трудозатраты ПК'!AN$46)</f>
        <v>#REF!</v>
      </c>
      <c r="AO27" s="164" t="e">
        <f>SUMIFS('Файл оценки'!#REF!,'Файл оценки'!#REF!,'Трудозатраты ПК'!$A27,'Файл оценки'!#REF!,'Трудозатраты ПК'!AO$46)</f>
        <v>#REF!</v>
      </c>
      <c r="AP27" s="164" t="e">
        <f>SUMIFS('Файл оценки'!#REF!,'Файл оценки'!#REF!,'Трудозатраты ПК'!$A27,'Файл оценки'!#REF!,'Трудозатраты ПК'!AP$46)</f>
        <v>#REF!</v>
      </c>
      <c r="AQ27" s="164" t="e">
        <f>SUMIFS('Файл оценки'!#REF!,'Файл оценки'!#REF!,'Трудозатраты ПК'!$A27,'Файл оценки'!#REF!,'Трудозатраты ПК'!AQ$46)</f>
        <v>#REF!</v>
      </c>
      <c r="AR27" s="164" t="e">
        <f>SUMIFS('Файл оценки'!#REF!,'Файл оценки'!#REF!,'Трудозатраты ПК'!$A27,'Файл оценки'!#REF!,'Трудозатраты ПК'!AR$46)</f>
        <v>#REF!</v>
      </c>
      <c r="AS27" s="164" t="e">
        <f>SUMIFS('Файл оценки'!#REF!,'Файл оценки'!#REF!,'Трудозатраты ПК'!$A27,'Файл оценки'!#REF!,'Трудозатраты ПК'!AS$46)</f>
        <v>#REF!</v>
      </c>
      <c r="AT27" s="164" t="e">
        <f>SUMIFS('Файл оценки'!#REF!,'Файл оценки'!#REF!,'Трудозатраты ПК'!$A27,'Файл оценки'!#REF!,'Трудозатраты ПК'!AT$46)</f>
        <v>#REF!</v>
      </c>
      <c r="AU27" s="164" t="e">
        <f>SUMIFS('Файл оценки'!#REF!,'Файл оценки'!#REF!,'Трудозатраты ПК'!$A27,'Файл оценки'!#REF!,'Трудозатраты ПК'!AU$46)</f>
        <v>#REF!</v>
      </c>
      <c r="AV27" s="164" t="e">
        <f>SUMIFS('Файл оценки'!#REF!,'Файл оценки'!#REF!,'Трудозатраты ПК'!$A27,'Файл оценки'!#REF!,'Трудозатраты ПК'!AV$46)</f>
        <v>#REF!</v>
      </c>
      <c r="AW27" s="164" t="e">
        <f>SUMIFS('Файл оценки'!#REF!,'Файл оценки'!#REF!,'Трудозатраты ПК'!$A27,'Файл оценки'!#REF!,'Трудозатраты ПК'!AW$46)</f>
        <v>#REF!</v>
      </c>
      <c r="AX27" s="164" t="e">
        <f>SUMIFS('Файл оценки'!#REF!,'Файл оценки'!#REF!,'Трудозатраты ПК'!$A27,'Файл оценки'!#REF!,'Трудозатраты ПК'!AX$46)</f>
        <v>#REF!</v>
      </c>
      <c r="AY27" s="165" t="e">
        <f t="shared" si="1"/>
        <v>#REF!</v>
      </c>
    </row>
    <row r="28" spans="1:51" ht="15.75" x14ac:dyDescent="0.25">
      <c r="A28" s="161">
        <f>Работы_Спецы!A18</f>
        <v>0</v>
      </c>
      <c r="B28" s="258"/>
      <c r="C28" s="162" t="e">
        <f t="shared" si="0"/>
        <v>#REF!</v>
      </c>
      <c r="D28" s="163" t="e">
        <f t="shared" si="2"/>
        <v>#REF!</v>
      </c>
      <c r="E28" s="164"/>
      <c r="F28" s="164"/>
      <c r="G28" s="164"/>
      <c r="H28" s="164"/>
      <c r="I28" s="164"/>
      <c r="J28" s="164" t="e">
        <f>SUMIFS('Файл оценки'!#REF!,'Файл оценки'!#REF!,'Трудозатраты ПК'!$A28,'Файл оценки'!#REF!,'Трудозатраты ПК'!J$46)</f>
        <v>#REF!</v>
      </c>
      <c r="K28" s="164" t="e">
        <f>SUMIFS('Файл оценки'!#REF!,'Файл оценки'!#REF!,'Трудозатраты ПК'!$A28,'Файл оценки'!#REF!,'Трудозатраты ПК'!K$46)</f>
        <v>#REF!</v>
      </c>
      <c r="L28" s="164" t="e">
        <f>SUMIFS('Файл оценки'!#REF!,'Файл оценки'!#REF!,'Трудозатраты ПК'!$A28,'Файл оценки'!#REF!,'Трудозатраты ПК'!L$46)</f>
        <v>#REF!</v>
      </c>
      <c r="M28" s="164" t="e">
        <f>SUMIFS('Файл оценки'!#REF!,'Файл оценки'!#REF!,'Трудозатраты ПК'!$A28,'Файл оценки'!#REF!,'Трудозатраты ПК'!M$46)</f>
        <v>#REF!</v>
      </c>
      <c r="N28" s="164" t="e">
        <f>SUMIFS('Файл оценки'!#REF!,'Файл оценки'!#REF!,'Трудозатраты ПК'!$A28,'Файл оценки'!#REF!,'Трудозатраты ПК'!N$46)</f>
        <v>#REF!</v>
      </c>
      <c r="O28" s="164" t="e">
        <f>SUMIFS('Файл оценки'!#REF!,'Файл оценки'!#REF!,'Трудозатраты ПК'!$A28,'Файл оценки'!#REF!,'Трудозатраты ПК'!O$46)</f>
        <v>#REF!</v>
      </c>
      <c r="P28" s="164" t="e">
        <f>SUMIFS('Файл оценки'!#REF!,'Файл оценки'!#REF!,'Трудозатраты ПК'!$A28,'Файл оценки'!#REF!,'Трудозатраты ПК'!P$46)</f>
        <v>#REF!</v>
      </c>
      <c r="Q28" s="164" t="e">
        <f>SUMIFS('Файл оценки'!#REF!,'Файл оценки'!#REF!,'Трудозатраты ПК'!$A28,'Файл оценки'!#REF!,'Трудозатраты ПК'!Q$46)</f>
        <v>#REF!</v>
      </c>
      <c r="R28" s="164" t="e">
        <f>SUMIFS('Файл оценки'!#REF!,'Файл оценки'!#REF!,'Трудозатраты ПК'!$A28,'Файл оценки'!#REF!,'Трудозатраты ПК'!R$46)</f>
        <v>#REF!</v>
      </c>
      <c r="S28" s="164" t="e">
        <f>SUMIFS('Файл оценки'!#REF!,'Файл оценки'!#REF!,'Трудозатраты ПК'!$A28,'Файл оценки'!#REF!,'Трудозатраты ПК'!S$46)</f>
        <v>#REF!</v>
      </c>
      <c r="T28" s="164" t="e">
        <f>SUMIFS('Файл оценки'!#REF!,'Файл оценки'!#REF!,'Трудозатраты ПК'!$A28,'Файл оценки'!#REF!,'Трудозатраты ПК'!T$46)</f>
        <v>#REF!</v>
      </c>
      <c r="U28" s="164" t="e">
        <f>SUMIFS('Файл оценки'!#REF!,'Файл оценки'!#REF!,'Трудозатраты ПК'!$A28,'Файл оценки'!#REF!,'Трудозатраты ПК'!U$46)</f>
        <v>#REF!</v>
      </c>
      <c r="V28" s="164" t="e">
        <f>SUMIFS('Файл оценки'!#REF!,'Файл оценки'!#REF!,'Трудозатраты ПК'!$A28,'Файл оценки'!#REF!,'Трудозатраты ПК'!V$46)</f>
        <v>#REF!</v>
      </c>
      <c r="W28" s="164" t="e">
        <f>SUMIFS('Файл оценки'!#REF!,'Файл оценки'!#REF!,'Трудозатраты ПК'!$A28,'Файл оценки'!#REF!,'Трудозатраты ПК'!W$46)</f>
        <v>#REF!</v>
      </c>
      <c r="X28" s="164" t="e">
        <f>SUMIFS('Файл оценки'!#REF!,'Файл оценки'!#REF!,'Трудозатраты ПК'!$A28,'Файл оценки'!#REF!,'Трудозатраты ПК'!X$46)</f>
        <v>#REF!</v>
      </c>
      <c r="Y28" s="164" t="e">
        <f>SUMIFS('Файл оценки'!#REF!,'Файл оценки'!#REF!,'Трудозатраты ПК'!$A28,'Файл оценки'!#REF!,'Трудозатраты ПК'!Y$46)</f>
        <v>#REF!</v>
      </c>
      <c r="Z28" s="164" t="e">
        <f>SUMIFS('Файл оценки'!#REF!,'Файл оценки'!#REF!,'Трудозатраты ПК'!$A28,'Файл оценки'!#REF!,'Трудозатраты ПК'!Z$46)</f>
        <v>#REF!</v>
      </c>
      <c r="AA28" s="164" t="e">
        <f>SUMIFS('Файл оценки'!#REF!,'Файл оценки'!#REF!,'Трудозатраты ПК'!$A28,'Файл оценки'!#REF!,'Трудозатраты ПК'!AA$46)</f>
        <v>#REF!</v>
      </c>
      <c r="AB28" s="164" t="e">
        <f>SUMIFS('Файл оценки'!#REF!,'Файл оценки'!#REF!,'Трудозатраты ПК'!$A28,'Файл оценки'!#REF!,'Трудозатраты ПК'!AB$46)</f>
        <v>#REF!</v>
      </c>
      <c r="AC28" s="164" t="e">
        <f>SUMIFS('Файл оценки'!#REF!,'Файл оценки'!#REF!,'Трудозатраты ПК'!$A28,'Файл оценки'!#REF!,'Трудозатраты ПК'!AC$46)</f>
        <v>#REF!</v>
      </c>
      <c r="AD28" s="164" t="e">
        <f>SUMIFS('Файл оценки'!#REF!,'Файл оценки'!#REF!,'Трудозатраты ПК'!$A28,'Файл оценки'!#REF!,'Трудозатраты ПК'!AD$46)</f>
        <v>#REF!</v>
      </c>
      <c r="AE28" s="164" t="e">
        <f>SUMIFS('Файл оценки'!#REF!,'Файл оценки'!#REF!,'Трудозатраты ПК'!$A28,'Файл оценки'!#REF!,'Трудозатраты ПК'!AE$46)</f>
        <v>#REF!</v>
      </c>
      <c r="AF28" s="164" t="e">
        <f>SUMIFS('Файл оценки'!#REF!,'Файл оценки'!#REF!,'Трудозатраты ПК'!$A28,'Файл оценки'!#REF!,'Трудозатраты ПК'!AF$46)</f>
        <v>#REF!</v>
      </c>
      <c r="AG28" s="164" t="e">
        <f>SUMIFS('Файл оценки'!#REF!,'Файл оценки'!#REF!,'Трудозатраты ПК'!$A28,'Файл оценки'!#REF!,'Трудозатраты ПК'!AG$46)</f>
        <v>#REF!</v>
      </c>
      <c r="AH28" s="164" t="e">
        <f>SUMIFS('Файл оценки'!#REF!,'Файл оценки'!#REF!,'Трудозатраты ПК'!$A28,'Файл оценки'!#REF!,'Трудозатраты ПК'!AH$46)</f>
        <v>#REF!</v>
      </c>
      <c r="AI28" s="164" t="e">
        <f>SUMIFS('Файл оценки'!#REF!,'Файл оценки'!#REF!,'Трудозатраты ПК'!$A28,'Файл оценки'!#REF!,'Трудозатраты ПК'!AI$46)</f>
        <v>#REF!</v>
      </c>
      <c r="AJ28" s="164" t="e">
        <f>SUMIFS('Файл оценки'!#REF!,'Файл оценки'!#REF!,'Трудозатраты ПК'!$A28,'Файл оценки'!#REF!,'Трудозатраты ПК'!AJ$46)</f>
        <v>#REF!</v>
      </c>
      <c r="AK28" s="164" t="e">
        <f>SUMIFS('Файл оценки'!#REF!,'Файл оценки'!#REF!,'Трудозатраты ПК'!$A28,'Файл оценки'!#REF!,'Трудозатраты ПК'!AK$46)</f>
        <v>#REF!</v>
      </c>
      <c r="AL28" s="164" t="e">
        <f>SUMIFS('Файл оценки'!#REF!,'Файл оценки'!#REF!,'Трудозатраты ПК'!$A28,'Файл оценки'!#REF!,'Трудозатраты ПК'!AL$46)</f>
        <v>#REF!</v>
      </c>
      <c r="AM28" s="164" t="e">
        <f>SUMIFS('Файл оценки'!#REF!,'Файл оценки'!#REF!,'Трудозатраты ПК'!$A28,'Файл оценки'!#REF!,'Трудозатраты ПК'!AM$46)</f>
        <v>#REF!</v>
      </c>
      <c r="AN28" s="164" t="e">
        <f>SUMIFS('Файл оценки'!#REF!,'Файл оценки'!#REF!,'Трудозатраты ПК'!$A28,'Файл оценки'!#REF!,'Трудозатраты ПК'!AN$46)</f>
        <v>#REF!</v>
      </c>
      <c r="AO28" s="164" t="e">
        <f>SUMIFS('Файл оценки'!#REF!,'Файл оценки'!#REF!,'Трудозатраты ПК'!$A28,'Файл оценки'!#REF!,'Трудозатраты ПК'!AO$46)</f>
        <v>#REF!</v>
      </c>
      <c r="AP28" s="164" t="e">
        <f>SUMIFS('Файл оценки'!#REF!,'Файл оценки'!#REF!,'Трудозатраты ПК'!$A28,'Файл оценки'!#REF!,'Трудозатраты ПК'!AP$46)</f>
        <v>#REF!</v>
      </c>
      <c r="AQ28" s="164" t="e">
        <f>SUMIFS('Файл оценки'!#REF!,'Файл оценки'!#REF!,'Трудозатраты ПК'!$A28,'Файл оценки'!#REF!,'Трудозатраты ПК'!AQ$46)</f>
        <v>#REF!</v>
      </c>
      <c r="AR28" s="164" t="e">
        <f>SUMIFS('Файл оценки'!#REF!,'Файл оценки'!#REF!,'Трудозатраты ПК'!$A28,'Файл оценки'!#REF!,'Трудозатраты ПК'!AR$46)</f>
        <v>#REF!</v>
      </c>
      <c r="AS28" s="164" t="e">
        <f>SUMIFS('Файл оценки'!#REF!,'Файл оценки'!#REF!,'Трудозатраты ПК'!$A28,'Файл оценки'!#REF!,'Трудозатраты ПК'!AS$46)</f>
        <v>#REF!</v>
      </c>
      <c r="AT28" s="164" t="e">
        <f>SUMIFS('Файл оценки'!#REF!,'Файл оценки'!#REF!,'Трудозатраты ПК'!$A28,'Файл оценки'!#REF!,'Трудозатраты ПК'!AT$46)</f>
        <v>#REF!</v>
      </c>
      <c r="AU28" s="164" t="e">
        <f>SUMIFS('Файл оценки'!#REF!,'Файл оценки'!#REF!,'Трудозатраты ПК'!$A28,'Файл оценки'!#REF!,'Трудозатраты ПК'!AU$46)</f>
        <v>#REF!</v>
      </c>
      <c r="AV28" s="164" t="e">
        <f>SUMIFS('Файл оценки'!#REF!,'Файл оценки'!#REF!,'Трудозатраты ПК'!$A28,'Файл оценки'!#REF!,'Трудозатраты ПК'!AV$46)</f>
        <v>#REF!</v>
      </c>
      <c r="AW28" s="164" t="e">
        <f>SUMIFS('Файл оценки'!#REF!,'Файл оценки'!#REF!,'Трудозатраты ПК'!$A28,'Файл оценки'!#REF!,'Трудозатраты ПК'!AW$46)</f>
        <v>#REF!</v>
      </c>
      <c r="AX28" s="164" t="e">
        <f>SUMIFS('Файл оценки'!#REF!,'Файл оценки'!#REF!,'Трудозатраты ПК'!$A28,'Файл оценки'!#REF!,'Трудозатраты ПК'!AX$46)</f>
        <v>#REF!</v>
      </c>
      <c r="AY28" s="165" t="e">
        <f t="shared" si="1"/>
        <v>#REF!</v>
      </c>
    </row>
    <row r="29" spans="1:51" ht="15.75" x14ac:dyDescent="0.25">
      <c r="A29" s="161">
        <f>Работы_Спецы!A19</f>
        <v>0</v>
      </c>
      <c r="B29" s="258"/>
      <c r="C29" s="162" t="e">
        <f t="shared" si="0"/>
        <v>#REF!</v>
      </c>
      <c r="D29" s="163" t="e">
        <f t="shared" si="2"/>
        <v>#REF!</v>
      </c>
      <c r="E29" s="164"/>
      <c r="F29" s="164"/>
      <c r="G29" s="164"/>
      <c r="H29" s="164"/>
      <c r="I29" s="164"/>
      <c r="J29" s="164" t="e">
        <f>SUMIFS('Файл оценки'!#REF!,'Файл оценки'!#REF!,'Трудозатраты ПК'!$A29,'Файл оценки'!#REF!,'Трудозатраты ПК'!J$46)</f>
        <v>#REF!</v>
      </c>
      <c r="K29" s="164" t="e">
        <f>SUMIFS('Файл оценки'!#REF!,'Файл оценки'!#REF!,'Трудозатраты ПК'!$A29,'Файл оценки'!#REF!,'Трудозатраты ПК'!K$46)</f>
        <v>#REF!</v>
      </c>
      <c r="L29" s="164" t="e">
        <f>SUMIFS('Файл оценки'!#REF!,'Файл оценки'!#REF!,'Трудозатраты ПК'!$A29,'Файл оценки'!#REF!,'Трудозатраты ПК'!L$46)</f>
        <v>#REF!</v>
      </c>
      <c r="M29" s="164" t="e">
        <f>SUMIFS('Файл оценки'!#REF!,'Файл оценки'!#REF!,'Трудозатраты ПК'!$A29,'Файл оценки'!#REF!,'Трудозатраты ПК'!M$46)</f>
        <v>#REF!</v>
      </c>
      <c r="N29" s="164" t="e">
        <f>SUMIFS('Файл оценки'!#REF!,'Файл оценки'!#REF!,'Трудозатраты ПК'!$A29,'Файл оценки'!#REF!,'Трудозатраты ПК'!N$46)</f>
        <v>#REF!</v>
      </c>
      <c r="O29" s="164" t="e">
        <f>SUMIFS('Файл оценки'!#REF!,'Файл оценки'!#REF!,'Трудозатраты ПК'!$A29,'Файл оценки'!#REF!,'Трудозатраты ПК'!O$46)</f>
        <v>#REF!</v>
      </c>
      <c r="P29" s="164" t="e">
        <f>SUMIFS('Файл оценки'!#REF!,'Файл оценки'!#REF!,'Трудозатраты ПК'!$A29,'Файл оценки'!#REF!,'Трудозатраты ПК'!P$46)</f>
        <v>#REF!</v>
      </c>
      <c r="Q29" s="164" t="e">
        <f>SUMIFS('Файл оценки'!#REF!,'Файл оценки'!#REF!,'Трудозатраты ПК'!$A29,'Файл оценки'!#REF!,'Трудозатраты ПК'!Q$46)</f>
        <v>#REF!</v>
      </c>
      <c r="R29" s="164" t="e">
        <f>SUMIFS('Файл оценки'!#REF!,'Файл оценки'!#REF!,'Трудозатраты ПК'!$A29,'Файл оценки'!#REF!,'Трудозатраты ПК'!R$46)</f>
        <v>#REF!</v>
      </c>
      <c r="S29" s="164" t="e">
        <f>SUMIFS('Файл оценки'!#REF!,'Файл оценки'!#REF!,'Трудозатраты ПК'!$A29,'Файл оценки'!#REF!,'Трудозатраты ПК'!S$46)</f>
        <v>#REF!</v>
      </c>
      <c r="T29" s="164" t="e">
        <f>SUMIFS('Файл оценки'!#REF!,'Файл оценки'!#REF!,'Трудозатраты ПК'!$A29,'Файл оценки'!#REF!,'Трудозатраты ПК'!T$46)</f>
        <v>#REF!</v>
      </c>
      <c r="U29" s="164" t="e">
        <f>SUMIFS('Файл оценки'!#REF!,'Файл оценки'!#REF!,'Трудозатраты ПК'!$A29,'Файл оценки'!#REF!,'Трудозатраты ПК'!U$46)</f>
        <v>#REF!</v>
      </c>
      <c r="V29" s="164" t="e">
        <f>SUMIFS('Файл оценки'!#REF!,'Файл оценки'!#REF!,'Трудозатраты ПК'!$A29,'Файл оценки'!#REF!,'Трудозатраты ПК'!V$46)</f>
        <v>#REF!</v>
      </c>
      <c r="W29" s="164" t="e">
        <f>SUMIFS('Файл оценки'!#REF!,'Файл оценки'!#REF!,'Трудозатраты ПК'!$A29,'Файл оценки'!#REF!,'Трудозатраты ПК'!W$46)</f>
        <v>#REF!</v>
      </c>
      <c r="X29" s="164" t="e">
        <f>SUMIFS('Файл оценки'!#REF!,'Файл оценки'!#REF!,'Трудозатраты ПК'!$A29,'Файл оценки'!#REF!,'Трудозатраты ПК'!X$46)</f>
        <v>#REF!</v>
      </c>
      <c r="Y29" s="164" t="e">
        <f>SUMIFS('Файл оценки'!#REF!,'Файл оценки'!#REF!,'Трудозатраты ПК'!$A29,'Файл оценки'!#REF!,'Трудозатраты ПК'!Y$46)</f>
        <v>#REF!</v>
      </c>
      <c r="Z29" s="164" t="e">
        <f>SUMIFS('Файл оценки'!#REF!,'Файл оценки'!#REF!,'Трудозатраты ПК'!$A29,'Файл оценки'!#REF!,'Трудозатраты ПК'!Z$46)</f>
        <v>#REF!</v>
      </c>
      <c r="AA29" s="164" t="e">
        <f>SUMIFS('Файл оценки'!#REF!,'Файл оценки'!#REF!,'Трудозатраты ПК'!$A29,'Файл оценки'!#REF!,'Трудозатраты ПК'!AA$46)</f>
        <v>#REF!</v>
      </c>
      <c r="AB29" s="164" t="e">
        <f>SUMIFS('Файл оценки'!#REF!,'Файл оценки'!#REF!,'Трудозатраты ПК'!$A29,'Файл оценки'!#REF!,'Трудозатраты ПК'!AB$46)</f>
        <v>#REF!</v>
      </c>
      <c r="AC29" s="164" t="e">
        <f>SUMIFS('Файл оценки'!#REF!,'Файл оценки'!#REF!,'Трудозатраты ПК'!$A29,'Файл оценки'!#REF!,'Трудозатраты ПК'!AC$46)</f>
        <v>#REF!</v>
      </c>
      <c r="AD29" s="164" t="e">
        <f>SUMIFS('Файл оценки'!#REF!,'Файл оценки'!#REF!,'Трудозатраты ПК'!$A29,'Файл оценки'!#REF!,'Трудозатраты ПК'!AD$46)</f>
        <v>#REF!</v>
      </c>
      <c r="AE29" s="164" t="e">
        <f>SUMIFS('Файл оценки'!#REF!,'Файл оценки'!#REF!,'Трудозатраты ПК'!$A29,'Файл оценки'!#REF!,'Трудозатраты ПК'!AE$46)</f>
        <v>#REF!</v>
      </c>
      <c r="AF29" s="164" t="e">
        <f>SUMIFS('Файл оценки'!#REF!,'Файл оценки'!#REF!,'Трудозатраты ПК'!$A29,'Файл оценки'!#REF!,'Трудозатраты ПК'!AF$46)</f>
        <v>#REF!</v>
      </c>
      <c r="AG29" s="164" t="e">
        <f>SUMIFS('Файл оценки'!#REF!,'Файл оценки'!#REF!,'Трудозатраты ПК'!$A29,'Файл оценки'!#REF!,'Трудозатраты ПК'!AG$46)</f>
        <v>#REF!</v>
      </c>
      <c r="AH29" s="164" t="e">
        <f>SUMIFS('Файл оценки'!#REF!,'Файл оценки'!#REF!,'Трудозатраты ПК'!$A29,'Файл оценки'!#REF!,'Трудозатраты ПК'!AH$46)</f>
        <v>#REF!</v>
      </c>
      <c r="AI29" s="164" t="e">
        <f>SUMIFS('Файл оценки'!#REF!,'Файл оценки'!#REF!,'Трудозатраты ПК'!$A29,'Файл оценки'!#REF!,'Трудозатраты ПК'!AI$46)</f>
        <v>#REF!</v>
      </c>
      <c r="AJ29" s="164" t="e">
        <f>SUMIFS('Файл оценки'!#REF!,'Файл оценки'!#REF!,'Трудозатраты ПК'!$A29,'Файл оценки'!#REF!,'Трудозатраты ПК'!AJ$46)</f>
        <v>#REF!</v>
      </c>
      <c r="AK29" s="164" t="e">
        <f>SUMIFS('Файл оценки'!#REF!,'Файл оценки'!#REF!,'Трудозатраты ПК'!$A29,'Файл оценки'!#REF!,'Трудозатраты ПК'!AK$46)</f>
        <v>#REF!</v>
      </c>
      <c r="AL29" s="164" t="e">
        <f>SUMIFS('Файл оценки'!#REF!,'Файл оценки'!#REF!,'Трудозатраты ПК'!$A29,'Файл оценки'!#REF!,'Трудозатраты ПК'!AL$46)</f>
        <v>#REF!</v>
      </c>
      <c r="AM29" s="164" t="e">
        <f>SUMIFS('Файл оценки'!#REF!,'Файл оценки'!#REF!,'Трудозатраты ПК'!$A29,'Файл оценки'!#REF!,'Трудозатраты ПК'!AM$46)</f>
        <v>#REF!</v>
      </c>
      <c r="AN29" s="164" t="e">
        <f>SUMIFS('Файл оценки'!#REF!,'Файл оценки'!#REF!,'Трудозатраты ПК'!$A29,'Файл оценки'!#REF!,'Трудозатраты ПК'!AN$46)</f>
        <v>#REF!</v>
      </c>
      <c r="AO29" s="164" t="e">
        <f>SUMIFS('Файл оценки'!#REF!,'Файл оценки'!#REF!,'Трудозатраты ПК'!$A29,'Файл оценки'!#REF!,'Трудозатраты ПК'!AO$46)</f>
        <v>#REF!</v>
      </c>
      <c r="AP29" s="164" t="e">
        <f>SUMIFS('Файл оценки'!#REF!,'Файл оценки'!#REF!,'Трудозатраты ПК'!$A29,'Файл оценки'!#REF!,'Трудозатраты ПК'!AP$46)</f>
        <v>#REF!</v>
      </c>
      <c r="AQ29" s="164" t="e">
        <f>SUMIFS('Файл оценки'!#REF!,'Файл оценки'!#REF!,'Трудозатраты ПК'!$A29,'Файл оценки'!#REF!,'Трудозатраты ПК'!AQ$46)</f>
        <v>#REF!</v>
      </c>
      <c r="AR29" s="164" t="e">
        <f>SUMIFS('Файл оценки'!#REF!,'Файл оценки'!#REF!,'Трудозатраты ПК'!$A29,'Файл оценки'!#REF!,'Трудозатраты ПК'!AR$46)</f>
        <v>#REF!</v>
      </c>
      <c r="AS29" s="164" t="e">
        <f>SUMIFS('Файл оценки'!#REF!,'Файл оценки'!#REF!,'Трудозатраты ПК'!$A29,'Файл оценки'!#REF!,'Трудозатраты ПК'!AS$46)</f>
        <v>#REF!</v>
      </c>
      <c r="AT29" s="164" t="e">
        <f>SUMIFS('Файл оценки'!#REF!,'Файл оценки'!#REF!,'Трудозатраты ПК'!$A29,'Файл оценки'!#REF!,'Трудозатраты ПК'!AT$46)</f>
        <v>#REF!</v>
      </c>
      <c r="AU29" s="164" t="e">
        <f>SUMIFS('Файл оценки'!#REF!,'Файл оценки'!#REF!,'Трудозатраты ПК'!$A29,'Файл оценки'!#REF!,'Трудозатраты ПК'!AU$46)</f>
        <v>#REF!</v>
      </c>
      <c r="AV29" s="164" t="e">
        <f>SUMIFS('Файл оценки'!#REF!,'Файл оценки'!#REF!,'Трудозатраты ПК'!$A29,'Файл оценки'!#REF!,'Трудозатраты ПК'!AV$46)</f>
        <v>#REF!</v>
      </c>
      <c r="AW29" s="164" t="e">
        <f>SUMIFS('Файл оценки'!#REF!,'Файл оценки'!#REF!,'Трудозатраты ПК'!$A29,'Файл оценки'!#REF!,'Трудозатраты ПК'!AW$46)</f>
        <v>#REF!</v>
      </c>
      <c r="AX29" s="164" t="e">
        <f>SUMIFS('Файл оценки'!#REF!,'Файл оценки'!#REF!,'Трудозатраты ПК'!$A29,'Файл оценки'!#REF!,'Трудозатраты ПК'!AX$46)</f>
        <v>#REF!</v>
      </c>
      <c r="AY29" s="165" t="e">
        <f t="shared" si="1"/>
        <v>#REF!</v>
      </c>
    </row>
    <row r="30" spans="1:51" ht="15.75" x14ac:dyDescent="0.25">
      <c r="A30" s="161">
        <f>Работы_Спецы!A20</f>
        <v>0</v>
      </c>
      <c r="B30" s="258"/>
      <c r="C30" s="162" t="e">
        <f t="shared" si="0"/>
        <v>#REF!</v>
      </c>
      <c r="D30" s="163" t="e">
        <f t="shared" si="2"/>
        <v>#REF!</v>
      </c>
      <c r="E30" s="164"/>
      <c r="F30" s="164"/>
      <c r="G30" s="164"/>
      <c r="H30" s="164"/>
      <c r="I30" s="164"/>
      <c r="J30" s="164" t="e">
        <f>SUMIFS('Файл оценки'!#REF!,'Файл оценки'!#REF!,'Трудозатраты ПК'!$A30,'Файл оценки'!#REF!,'Трудозатраты ПК'!J$46)</f>
        <v>#REF!</v>
      </c>
      <c r="K30" s="164" t="e">
        <f>SUMIFS('Файл оценки'!#REF!,'Файл оценки'!#REF!,'Трудозатраты ПК'!$A30,'Файл оценки'!#REF!,'Трудозатраты ПК'!K$46)</f>
        <v>#REF!</v>
      </c>
      <c r="L30" s="164" t="e">
        <f>SUMIFS('Файл оценки'!#REF!,'Файл оценки'!#REF!,'Трудозатраты ПК'!$A30,'Файл оценки'!#REF!,'Трудозатраты ПК'!L$46)</f>
        <v>#REF!</v>
      </c>
      <c r="M30" s="164" t="e">
        <f>SUMIFS('Файл оценки'!#REF!,'Файл оценки'!#REF!,'Трудозатраты ПК'!$A30,'Файл оценки'!#REF!,'Трудозатраты ПК'!M$46)</f>
        <v>#REF!</v>
      </c>
      <c r="N30" s="164" t="e">
        <f>SUMIFS('Файл оценки'!#REF!,'Файл оценки'!#REF!,'Трудозатраты ПК'!$A30,'Файл оценки'!#REF!,'Трудозатраты ПК'!N$46)</f>
        <v>#REF!</v>
      </c>
      <c r="O30" s="164" t="e">
        <f>SUMIFS('Файл оценки'!#REF!,'Файл оценки'!#REF!,'Трудозатраты ПК'!$A30,'Файл оценки'!#REF!,'Трудозатраты ПК'!O$46)</f>
        <v>#REF!</v>
      </c>
      <c r="P30" s="164" t="e">
        <f>SUMIFS('Файл оценки'!#REF!,'Файл оценки'!#REF!,'Трудозатраты ПК'!$A30,'Файл оценки'!#REF!,'Трудозатраты ПК'!P$46)</f>
        <v>#REF!</v>
      </c>
      <c r="Q30" s="164" t="e">
        <f>SUMIFS('Файл оценки'!#REF!,'Файл оценки'!#REF!,'Трудозатраты ПК'!$A30,'Файл оценки'!#REF!,'Трудозатраты ПК'!Q$46)</f>
        <v>#REF!</v>
      </c>
      <c r="R30" s="164" t="e">
        <f>SUMIFS('Файл оценки'!#REF!,'Файл оценки'!#REF!,'Трудозатраты ПК'!$A30,'Файл оценки'!#REF!,'Трудозатраты ПК'!R$46)</f>
        <v>#REF!</v>
      </c>
      <c r="S30" s="164" t="e">
        <f>SUMIFS('Файл оценки'!#REF!,'Файл оценки'!#REF!,'Трудозатраты ПК'!$A30,'Файл оценки'!#REF!,'Трудозатраты ПК'!S$46)</f>
        <v>#REF!</v>
      </c>
      <c r="T30" s="164" t="e">
        <f>SUMIFS('Файл оценки'!#REF!,'Файл оценки'!#REF!,'Трудозатраты ПК'!$A30,'Файл оценки'!#REF!,'Трудозатраты ПК'!T$46)</f>
        <v>#REF!</v>
      </c>
      <c r="U30" s="164" t="e">
        <f>SUMIFS('Файл оценки'!#REF!,'Файл оценки'!#REF!,'Трудозатраты ПК'!$A30,'Файл оценки'!#REF!,'Трудозатраты ПК'!U$46)</f>
        <v>#REF!</v>
      </c>
      <c r="V30" s="164" t="e">
        <f>SUMIFS('Файл оценки'!#REF!,'Файл оценки'!#REF!,'Трудозатраты ПК'!$A30,'Файл оценки'!#REF!,'Трудозатраты ПК'!V$46)</f>
        <v>#REF!</v>
      </c>
      <c r="W30" s="164" t="e">
        <f>SUMIFS('Файл оценки'!#REF!,'Файл оценки'!#REF!,'Трудозатраты ПК'!$A30,'Файл оценки'!#REF!,'Трудозатраты ПК'!W$46)</f>
        <v>#REF!</v>
      </c>
      <c r="X30" s="164" t="e">
        <f>SUMIFS('Файл оценки'!#REF!,'Файл оценки'!#REF!,'Трудозатраты ПК'!$A30,'Файл оценки'!#REF!,'Трудозатраты ПК'!X$46)</f>
        <v>#REF!</v>
      </c>
      <c r="Y30" s="164" t="e">
        <f>SUMIFS('Файл оценки'!#REF!,'Файл оценки'!#REF!,'Трудозатраты ПК'!$A30,'Файл оценки'!#REF!,'Трудозатраты ПК'!Y$46)</f>
        <v>#REF!</v>
      </c>
      <c r="Z30" s="164" t="e">
        <f>SUMIFS('Файл оценки'!#REF!,'Файл оценки'!#REF!,'Трудозатраты ПК'!$A30,'Файл оценки'!#REF!,'Трудозатраты ПК'!Z$46)</f>
        <v>#REF!</v>
      </c>
      <c r="AA30" s="164" t="e">
        <f>SUMIFS('Файл оценки'!#REF!,'Файл оценки'!#REF!,'Трудозатраты ПК'!$A30,'Файл оценки'!#REF!,'Трудозатраты ПК'!AA$46)</f>
        <v>#REF!</v>
      </c>
      <c r="AB30" s="164" t="e">
        <f>SUMIFS('Файл оценки'!#REF!,'Файл оценки'!#REF!,'Трудозатраты ПК'!$A30,'Файл оценки'!#REF!,'Трудозатраты ПК'!AB$46)</f>
        <v>#REF!</v>
      </c>
      <c r="AC30" s="164" t="e">
        <f>SUMIFS('Файл оценки'!#REF!,'Файл оценки'!#REF!,'Трудозатраты ПК'!$A30,'Файл оценки'!#REF!,'Трудозатраты ПК'!AC$46)</f>
        <v>#REF!</v>
      </c>
      <c r="AD30" s="164" t="e">
        <f>SUMIFS('Файл оценки'!#REF!,'Файл оценки'!#REF!,'Трудозатраты ПК'!$A30,'Файл оценки'!#REF!,'Трудозатраты ПК'!AD$46)</f>
        <v>#REF!</v>
      </c>
      <c r="AE30" s="164" t="e">
        <f>SUMIFS('Файл оценки'!#REF!,'Файл оценки'!#REF!,'Трудозатраты ПК'!$A30,'Файл оценки'!#REF!,'Трудозатраты ПК'!AE$46)</f>
        <v>#REF!</v>
      </c>
      <c r="AF30" s="164" t="e">
        <f>SUMIFS('Файл оценки'!#REF!,'Файл оценки'!#REF!,'Трудозатраты ПК'!$A30,'Файл оценки'!#REF!,'Трудозатраты ПК'!AF$46)</f>
        <v>#REF!</v>
      </c>
      <c r="AG30" s="164" t="e">
        <f>SUMIFS('Файл оценки'!#REF!,'Файл оценки'!#REF!,'Трудозатраты ПК'!$A30,'Файл оценки'!#REF!,'Трудозатраты ПК'!AG$46)</f>
        <v>#REF!</v>
      </c>
      <c r="AH30" s="164" t="e">
        <f>SUMIFS('Файл оценки'!#REF!,'Файл оценки'!#REF!,'Трудозатраты ПК'!$A30,'Файл оценки'!#REF!,'Трудозатраты ПК'!AH$46)</f>
        <v>#REF!</v>
      </c>
      <c r="AI30" s="164" t="e">
        <f>SUMIFS('Файл оценки'!#REF!,'Файл оценки'!#REF!,'Трудозатраты ПК'!$A30,'Файл оценки'!#REF!,'Трудозатраты ПК'!AI$46)</f>
        <v>#REF!</v>
      </c>
      <c r="AJ30" s="164" t="e">
        <f>SUMIFS('Файл оценки'!#REF!,'Файл оценки'!#REF!,'Трудозатраты ПК'!$A30,'Файл оценки'!#REF!,'Трудозатраты ПК'!AJ$46)</f>
        <v>#REF!</v>
      </c>
      <c r="AK30" s="164" t="e">
        <f>SUMIFS('Файл оценки'!#REF!,'Файл оценки'!#REF!,'Трудозатраты ПК'!$A30,'Файл оценки'!#REF!,'Трудозатраты ПК'!AK$46)</f>
        <v>#REF!</v>
      </c>
      <c r="AL30" s="164" t="e">
        <f>SUMIFS('Файл оценки'!#REF!,'Файл оценки'!#REF!,'Трудозатраты ПК'!$A30,'Файл оценки'!#REF!,'Трудозатраты ПК'!AL$46)</f>
        <v>#REF!</v>
      </c>
      <c r="AM30" s="164" t="e">
        <f>SUMIFS('Файл оценки'!#REF!,'Файл оценки'!#REF!,'Трудозатраты ПК'!$A30,'Файл оценки'!#REF!,'Трудозатраты ПК'!AM$46)</f>
        <v>#REF!</v>
      </c>
      <c r="AN30" s="164" t="e">
        <f>SUMIFS('Файл оценки'!#REF!,'Файл оценки'!#REF!,'Трудозатраты ПК'!$A30,'Файл оценки'!#REF!,'Трудозатраты ПК'!AN$46)</f>
        <v>#REF!</v>
      </c>
      <c r="AO30" s="164" t="e">
        <f>SUMIFS('Файл оценки'!#REF!,'Файл оценки'!#REF!,'Трудозатраты ПК'!$A30,'Файл оценки'!#REF!,'Трудозатраты ПК'!AO$46)</f>
        <v>#REF!</v>
      </c>
      <c r="AP30" s="164" t="e">
        <f>SUMIFS('Файл оценки'!#REF!,'Файл оценки'!#REF!,'Трудозатраты ПК'!$A30,'Файл оценки'!#REF!,'Трудозатраты ПК'!AP$46)</f>
        <v>#REF!</v>
      </c>
      <c r="AQ30" s="164" t="e">
        <f>SUMIFS('Файл оценки'!#REF!,'Файл оценки'!#REF!,'Трудозатраты ПК'!$A30,'Файл оценки'!#REF!,'Трудозатраты ПК'!AQ$46)</f>
        <v>#REF!</v>
      </c>
      <c r="AR30" s="164" t="e">
        <f>SUMIFS('Файл оценки'!#REF!,'Файл оценки'!#REF!,'Трудозатраты ПК'!$A30,'Файл оценки'!#REF!,'Трудозатраты ПК'!AR$46)</f>
        <v>#REF!</v>
      </c>
      <c r="AS30" s="164" t="e">
        <f>SUMIFS('Файл оценки'!#REF!,'Файл оценки'!#REF!,'Трудозатраты ПК'!$A30,'Файл оценки'!#REF!,'Трудозатраты ПК'!AS$46)</f>
        <v>#REF!</v>
      </c>
      <c r="AT30" s="164" t="e">
        <f>SUMIFS('Файл оценки'!#REF!,'Файл оценки'!#REF!,'Трудозатраты ПК'!$A30,'Файл оценки'!#REF!,'Трудозатраты ПК'!AT$46)</f>
        <v>#REF!</v>
      </c>
      <c r="AU30" s="164" t="e">
        <f>SUMIFS('Файл оценки'!#REF!,'Файл оценки'!#REF!,'Трудозатраты ПК'!$A30,'Файл оценки'!#REF!,'Трудозатраты ПК'!AU$46)</f>
        <v>#REF!</v>
      </c>
      <c r="AV30" s="164" t="e">
        <f>SUMIFS('Файл оценки'!#REF!,'Файл оценки'!#REF!,'Трудозатраты ПК'!$A30,'Файл оценки'!#REF!,'Трудозатраты ПК'!AV$46)</f>
        <v>#REF!</v>
      </c>
      <c r="AW30" s="164" t="e">
        <f>SUMIFS('Файл оценки'!#REF!,'Файл оценки'!#REF!,'Трудозатраты ПК'!$A30,'Файл оценки'!#REF!,'Трудозатраты ПК'!AW$46)</f>
        <v>#REF!</v>
      </c>
      <c r="AX30" s="164" t="e">
        <f>SUMIFS('Файл оценки'!#REF!,'Файл оценки'!#REF!,'Трудозатраты ПК'!$A30,'Файл оценки'!#REF!,'Трудозатраты ПК'!AX$46)</f>
        <v>#REF!</v>
      </c>
      <c r="AY30" s="165" t="e">
        <f t="shared" si="1"/>
        <v>#REF!</v>
      </c>
    </row>
    <row r="31" spans="1:51" ht="15.75" x14ac:dyDescent="0.25">
      <c r="A31" s="161">
        <f>Работы_Спецы!A21</f>
        <v>0</v>
      </c>
      <c r="B31" s="258"/>
      <c r="C31" s="162" t="e">
        <f t="shared" si="0"/>
        <v>#REF!</v>
      </c>
      <c r="D31" s="163" t="e">
        <f t="shared" si="2"/>
        <v>#REF!</v>
      </c>
      <c r="E31" s="164"/>
      <c r="F31" s="164"/>
      <c r="G31" s="164"/>
      <c r="H31" s="164"/>
      <c r="I31" s="164"/>
      <c r="J31" s="164" t="e">
        <f>SUMIFS('Файл оценки'!#REF!,'Файл оценки'!#REF!,'Трудозатраты ПК'!$A31,'Файл оценки'!#REF!,'Трудозатраты ПК'!J$46)</f>
        <v>#REF!</v>
      </c>
      <c r="K31" s="164" t="e">
        <f>SUMIFS('Файл оценки'!#REF!,'Файл оценки'!#REF!,'Трудозатраты ПК'!$A31,'Файл оценки'!#REF!,'Трудозатраты ПК'!K$46)</f>
        <v>#REF!</v>
      </c>
      <c r="L31" s="164" t="e">
        <f>SUMIFS('Файл оценки'!#REF!,'Файл оценки'!#REF!,'Трудозатраты ПК'!$A31,'Файл оценки'!#REF!,'Трудозатраты ПК'!L$46)</f>
        <v>#REF!</v>
      </c>
      <c r="M31" s="164" t="e">
        <f>SUMIFS('Файл оценки'!#REF!,'Файл оценки'!#REF!,'Трудозатраты ПК'!$A31,'Файл оценки'!#REF!,'Трудозатраты ПК'!M$46)</f>
        <v>#REF!</v>
      </c>
      <c r="N31" s="164" t="e">
        <f>SUMIFS('Файл оценки'!#REF!,'Файл оценки'!#REF!,'Трудозатраты ПК'!$A31,'Файл оценки'!#REF!,'Трудозатраты ПК'!N$46)</f>
        <v>#REF!</v>
      </c>
      <c r="O31" s="164" t="e">
        <f>SUMIFS('Файл оценки'!#REF!,'Файл оценки'!#REF!,'Трудозатраты ПК'!$A31,'Файл оценки'!#REF!,'Трудозатраты ПК'!O$46)</f>
        <v>#REF!</v>
      </c>
      <c r="P31" s="164" t="e">
        <f>SUMIFS('Файл оценки'!#REF!,'Файл оценки'!#REF!,'Трудозатраты ПК'!$A31,'Файл оценки'!#REF!,'Трудозатраты ПК'!P$46)</f>
        <v>#REF!</v>
      </c>
      <c r="Q31" s="164" t="e">
        <f>SUMIFS('Файл оценки'!#REF!,'Файл оценки'!#REF!,'Трудозатраты ПК'!$A31,'Файл оценки'!#REF!,'Трудозатраты ПК'!Q$46)</f>
        <v>#REF!</v>
      </c>
      <c r="R31" s="164" t="e">
        <f>SUMIFS('Файл оценки'!#REF!,'Файл оценки'!#REF!,'Трудозатраты ПК'!$A31,'Файл оценки'!#REF!,'Трудозатраты ПК'!R$46)</f>
        <v>#REF!</v>
      </c>
      <c r="S31" s="164" t="e">
        <f>SUMIFS('Файл оценки'!#REF!,'Файл оценки'!#REF!,'Трудозатраты ПК'!$A31,'Файл оценки'!#REF!,'Трудозатраты ПК'!S$46)</f>
        <v>#REF!</v>
      </c>
      <c r="T31" s="164" t="e">
        <f>SUMIFS('Файл оценки'!#REF!,'Файл оценки'!#REF!,'Трудозатраты ПК'!$A31,'Файл оценки'!#REF!,'Трудозатраты ПК'!T$46)</f>
        <v>#REF!</v>
      </c>
      <c r="U31" s="164" t="e">
        <f>SUMIFS('Файл оценки'!#REF!,'Файл оценки'!#REF!,'Трудозатраты ПК'!$A31,'Файл оценки'!#REF!,'Трудозатраты ПК'!U$46)</f>
        <v>#REF!</v>
      </c>
      <c r="V31" s="164" t="e">
        <f>SUMIFS('Файл оценки'!#REF!,'Файл оценки'!#REF!,'Трудозатраты ПК'!$A31,'Файл оценки'!#REF!,'Трудозатраты ПК'!V$46)</f>
        <v>#REF!</v>
      </c>
      <c r="W31" s="164" t="e">
        <f>SUMIFS('Файл оценки'!#REF!,'Файл оценки'!#REF!,'Трудозатраты ПК'!$A31,'Файл оценки'!#REF!,'Трудозатраты ПК'!W$46)</f>
        <v>#REF!</v>
      </c>
      <c r="X31" s="164" t="e">
        <f>SUMIFS('Файл оценки'!#REF!,'Файл оценки'!#REF!,'Трудозатраты ПК'!$A31,'Файл оценки'!#REF!,'Трудозатраты ПК'!X$46)</f>
        <v>#REF!</v>
      </c>
      <c r="Y31" s="164" t="e">
        <f>SUMIFS('Файл оценки'!#REF!,'Файл оценки'!#REF!,'Трудозатраты ПК'!$A31,'Файл оценки'!#REF!,'Трудозатраты ПК'!Y$46)</f>
        <v>#REF!</v>
      </c>
      <c r="Z31" s="164" t="e">
        <f>SUMIFS('Файл оценки'!#REF!,'Файл оценки'!#REF!,'Трудозатраты ПК'!$A31,'Файл оценки'!#REF!,'Трудозатраты ПК'!Z$46)</f>
        <v>#REF!</v>
      </c>
      <c r="AA31" s="164" t="e">
        <f>SUMIFS('Файл оценки'!#REF!,'Файл оценки'!#REF!,'Трудозатраты ПК'!$A31,'Файл оценки'!#REF!,'Трудозатраты ПК'!AA$46)</f>
        <v>#REF!</v>
      </c>
      <c r="AB31" s="164" t="e">
        <f>SUMIFS('Файл оценки'!#REF!,'Файл оценки'!#REF!,'Трудозатраты ПК'!$A31,'Файл оценки'!#REF!,'Трудозатраты ПК'!AB$46)</f>
        <v>#REF!</v>
      </c>
      <c r="AC31" s="164" t="e">
        <f>SUMIFS('Файл оценки'!#REF!,'Файл оценки'!#REF!,'Трудозатраты ПК'!$A31,'Файл оценки'!#REF!,'Трудозатраты ПК'!AC$46)</f>
        <v>#REF!</v>
      </c>
      <c r="AD31" s="164" t="e">
        <f>SUMIFS('Файл оценки'!#REF!,'Файл оценки'!#REF!,'Трудозатраты ПК'!$A31,'Файл оценки'!#REF!,'Трудозатраты ПК'!AD$46)</f>
        <v>#REF!</v>
      </c>
      <c r="AE31" s="164" t="e">
        <f>SUMIFS('Файл оценки'!#REF!,'Файл оценки'!#REF!,'Трудозатраты ПК'!$A31,'Файл оценки'!#REF!,'Трудозатраты ПК'!AE$46)</f>
        <v>#REF!</v>
      </c>
      <c r="AF31" s="164" t="e">
        <f>SUMIFS('Файл оценки'!#REF!,'Файл оценки'!#REF!,'Трудозатраты ПК'!$A31,'Файл оценки'!#REF!,'Трудозатраты ПК'!AF$46)</f>
        <v>#REF!</v>
      </c>
      <c r="AG31" s="164" t="e">
        <f>SUMIFS('Файл оценки'!#REF!,'Файл оценки'!#REF!,'Трудозатраты ПК'!$A31,'Файл оценки'!#REF!,'Трудозатраты ПК'!AG$46)</f>
        <v>#REF!</v>
      </c>
      <c r="AH31" s="164" t="e">
        <f>SUMIFS('Файл оценки'!#REF!,'Файл оценки'!#REF!,'Трудозатраты ПК'!$A31,'Файл оценки'!#REF!,'Трудозатраты ПК'!AH$46)</f>
        <v>#REF!</v>
      </c>
      <c r="AI31" s="164" t="e">
        <f>SUMIFS('Файл оценки'!#REF!,'Файл оценки'!#REF!,'Трудозатраты ПК'!$A31,'Файл оценки'!#REF!,'Трудозатраты ПК'!AI$46)</f>
        <v>#REF!</v>
      </c>
      <c r="AJ31" s="164" t="e">
        <f>SUMIFS('Файл оценки'!#REF!,'Файл оценки'!#REF!,'Трудозатраты ПК'!$A31,'Файл оценки'!#REF!,'Трудозатраты ПК'!AJ$46)</f>
        <v>#REF!</v>
      </c>
      <c r="AK31" s="164" t="e">
        <f>SUMIFS('Файл оценки'!#REF!,'Файл оценки'!#REF!,'Трудозатраты ПК'!$A31,'Файл оценки'!#REF!,'Трудозатраты ПК'!AK$46)</f>
        <v>#REF!</v>
      </c>
      <c r="AL31" s="164" t="e">
        <f>SUMIFS('Файл оценки'!#REF!,'Файл оценки'!#REF!,'Трудозатраты ПК'!$A31,'Файл оценки'!#REF!,'Трудозатраты ПК'!AL$46)</f>
        <v>#REF!</v>
      </c>
      <c r="AM31" s="164" t="e">
        <f>SUMIFS('Файл оценки'!#REF!,'Файл оценки'!#REF!,'Трудозатраты ПК'!$A31,'Файл оценки'!#REF!,'Трудозатраты ПК'!AM$46)</f>
        <v>#REF!</v>
      </c>
      <c r="AN31" s="164" t="e">
        <f>SUMIFS('Файл оценки'!#REF!,'Файл оценки'!#REF!,'Трудозатраты ПК'!$A31,'Файл оценки'!#REF!,'Трудозатраты ПК'!AN$46)</f>
        <v>#REF!</v>
      </c>
      <c r="AO31" s="164" t="e">
        <f>SUMIFS('Файл оценки'!#REF!,'Файл оценки'!#REF!,'Трудозатраты ПК'!$A31,'Файл оценки'!#REF!,'Трудозатраты ПК'!AO$46)</f>
        <v>#REF!</v>
      </c>
      <c r="AP31" s="164" t="e">
        <f>SUMIFS('Файл оценки'!#REF!,'Файл оценки'!#REF!,'Трудозатраты ПК'!$A31,'Файл оценки'!#REF!,'Трудозатраты ПК'!AP$46)</f>
        <v>#REF!</v>
      </c>
      <c r="AQ31" s="164" t="e">
        <f>SUMIFS('Файл оценки'!#REF!,'Файл оценки'!#REF!,'Трудозатраты ПК'!$A31,'Файл оценки'!#REF!,'Трудозатраты ПК'!AQ$46)</f>
        <v>#REF!</v>
      </c>
      <c r="AR31" s="164" t="e">
        <f>SUMIFS('Файл оценки'!#REF!,'Файл оценки'!#REF!,'Трудозатраты ПК'!$A31,'Файл оценки'!#REF!,'Трудозатраты ПК'!AR$46)</f>
        <v>#REF!</v>
      </c>
      <c r="AS31" s="164" t="e">
        <f>SUMIFS('Файл оценки'!#REF!,'Файл оценки'!#REF!,'Трудозатраты ПК'!$A31,'Файл оценки'!#REF!,'Трудозатраты ПК'!AS$46)</f>
        <v>#REF!</v>
      </c>
      <c r="AT31" s="164" t="e">
        <f>SUMIFS('Файл оценки'!#REF!,'Файл оценки'!#REF!,'Трудозатраты ПК'!$A31,'Файл оценки'!#REF!,'Трудозатраты ПК'!AT$46)</f>
        <v>#REF!</v>
      </c>
      <c r="AU31" s="164" t="e">
        <f>SUMIFS('Файл оценки'!#REF!,'Файл оценки'!#REF!,'Трудозатраты ПК'!$A31,'Файл оценки'!#REF!,'Трудозатраты ПК'!AU$46)</f>
        <v>#REF!</v>
      </c>
      <c r="AV31" s="164" t="e">
        <f>SUMIFS('Файл оценки'!#REF!,'Файл оценки'!#REF!,'Трудозатраты ПК'!$A31,'Файл оценки'!#REF!,'Трудозатраты ПК'!AV$46)</f>
        <v>#REF!</v>
      </c>
      <c r="AW31" s="164" t="e">
        <f>SUMIFS('Файл оценки'!#REF!,'Файл оценки'!#REF!,'Трудозатраты ПК'!$A31,'Файл оценки'!#REF!,'Трудозатраты ПК'!AW$46)</f>
        <v>#REF!</v>
      </c>
      <c r="AX31" s="164" t="e">
        <f>SUMIFS('Файл оценки'!#REF!,'Файл оценки'!#REF!,'Трудозатраты ПК'!$A31,'Файл оценки'!#REF!,'Трудозатраты ПК'!AX$46)</f>
        <v>#REF!</v>
      </c>
      <c r="AY31" s="165" t="e">
        <f t="shared" si="1"/>
        <v>#REF!</v>
      </c>
    </row>
    <row r="32" spans="1:51" ht="15.75" x14ac:dyDescent="0.25">
      <c r="A32" s="161">
        <f>Работы_Спецы!A22</f>
        <v>0</v>
      </c>
      <c r="B32" s="258"/>
      <c r="C32" s="162" t="e">
        <f t="shared" si="0"/>
        <v>#REF!</v>
      </c>
      <c r="D32" s="163" t="e">
        <f t="shared" si="2"/>
        <v>#REF!</v>
      </c>
      <c r="E32" s="164"/>
      <c r="F32" s="164"/>
      <c r="G32" s="164"/>
      <c r="H32" s="164"/>
      <c r="I32" s="164"/>
      <c r="J32" s="164" t="e">
        <f>SUMIFS('Файл оценки'!#REF!,'Файл оценки'!#REF!,'Трудозатраты ПК'!$A32,'Файл оценки'!#REF!,'Трудозатраты ПК'!J$46)</f>
        <v>#REF!</v>
      </c>
      <c r="K32" s="164" t="e">
        <f>SUMIFS('Файл оценки'!#REF!,'Файл оценки'!#REF!,'Трудозатраты ПК'!$A32,'Файл оценки'!#REF!,'Трудозатраты ПК'!K$46)</f>
        <v>#REF!</v>
      </c>
      <c r="L32" s="164" t="e">
        <f>SUMIFS('Файл оценки'!#REF!,'Файл оценки'!#REF!,'Трудозатраты ПК'!$A32,'Файл оценки'!#REF!,'Трудозатраты ПК'!L$46)</f>
        <v>#REF!</v>
      </c>
      <c r="M32" s="164" t="e">
        <f>SUMIFS('Файл оценки'!#REF!,'Файл оценки'!#REF!,'Трудозатраты ПК'!$A32,'Файл оценки'!#REF!,'Трудозатраты ПК'!M$46)</f>
        <v>#REF!</v>
      </c>
      <c r="N32" s="164" t="e">
        <f>SUMIFS('Файл оценки'!#REF!,'Файл оценки'!#REF!,'Трудозатраты ПК'!$A32,'Файл оценки'!#REF!,'Трудозатраты ПК'!N$46)</f>
        <v>#REF!</v>
      </c>
      <c r="O32" s="164" t="e">
        <f>SUMIFS('Файл оценки'!#REF!,'Файл оценки'!#REF!,'Трудозатраты ПК'!$A32,'Файл оценки'!#REF!,'Трудозатраты ПК'!O$46)</f>
        <v>#REF!</v>
      </c>
      <c r="P32" s="164" t="e">
        <f>SUMIFS('Файл оценки'!#REF!,'Файл оценки'!#REF!,'Трудозатраты ПК'!$A32,'Файл оценки'!#REF!,'Трудозатраты ПК'!P$46)</f>
        <v>#REF!</v>
      </c>
      <c r="Q32" s="164" t="e">
        <f>SUMIFS('Файл оценки'!#REF!,'Файл оценки'!#REF!,'Трудозатраты ПК'!$A32,'Файл оценки'!#REF!,'Трудозатраты ПК'!Q$46)</f>
        <v>#REF!</v>
      </c>
      <c r="R32" s="164" t="e">
        <f>SUMIFS('Файл оценки'!#REF!,'Файл оценки'!#REF!,'Трудозатраты ПК'!$A32,'Файл оценки'!#REF!,'Трудозатраты ПК'!R$46)</f>
        <v>#REF!</v>
      </c>
      <c r="S32" s="164" t="e">
        <f>SUMIFS('Файл оценки'!#REF!,'Файл оценки'!#REF!,'Трудозатраты ПК'!$A32,'Файл оценки'!#REF!,'Трудозатраты ПК'!S$46)</f>
        <v>#REF!</v>
      </c>
      <c r="T32" s="164" t="e">
        <f>SUMIFS('Файл оценки'!#REF!,'Файл оценки'!#REF!,'Трудозатраты ПК'!$A32,'Файл оценки'!#REF!,'Трудозатраты ПК'!T$46)</f>
        <v>#REF!</v>
      </c>
      <c r="U32" s="164" t="e">
        <f>SUMIFS('Файл оценки'!#REF!,'Файл оценки'!#REF!,'Трудозатраты ПК'!$A32,'Файл оценки'!#REF!,'Трудозатраты ПК'!U$46)</f>
        <v>#REF!</v>
      </c>
      <c r="V32" s="164" t="e">
        <f>SUMIFS('Файл оценки'!#REF!,'Файл оценки'!#REF!,'Трудозатраты ПК'!$A32,'Файл оценки'!#REF!,'Трудозатраты ПК'!V$46)</f>
        <v>#REF!</v>
      </c>
      <c r="W32" s="164" t="e">
        <f>SUMIFS('Файл оценки'!#REF!,'Файл оценки'!#REF!,'Трудозатраты ПК'!$A32,'Файл оценки'!#REF!,'Трудозатраты ПК'!W$46)</f>
        <v>#REF!</v>
      </c>
      <c r="X32" s="164" t="e">
        <f>SUMIFS('Файл оценки'!#REF!,'Файл оценки'!#REF!,'Трудозатраты ПК'!$A32,'Файл оценки'!#REF!,'Трудозатраты ПК'!X$46)</f>
        <v>#REF!</v>
      </c>
      <c r="Y32" s="164" t="e">
        <f>SUMIFS('Файл оценки'!#REF!,'Файл оценки'!#REF!,'Трудозатраты ПК'!$A32,'Файл оценки'!#REF!,'Трудозатраты ПК'!Y$46)</f>
        <v>#REF!</v>
      </c>
      <c r="Z32" s="164" t="e">
        <f>SUMIFS('Файл оценки'!#REF!,'Файл оценки'!#REF!,'Трудозатраты ПК'!$A32,'Файл оценки'!#REF!,'Трудозатраты ПК'!Z$46)</f>
        <v>#REF!</v>
      </c>
      <c r="AA32" s="164" t="e">
        <f>SUMIFS('Файл оценки'!#REF!,'Файл оценки'!#REF!,'Трудозатраты ПК'!$A32,'Файл оценки'!#REF!,'Трудозатраты ПК'!AA$46)</f>
        <v>#REF!</v>
      </c>
      <c r="AB32" s="164" t="e">
        <f>SUMIFS('Файл оценки'!#REF!,'Файл оценки'!#REF!,'Трудозатраты ПК'!$A32,'Файл оценки'!#REF!,'Трудозатраты ПК'!AB$46)</f>
        <v>#REF!</v>
      </c>
      <c r="AC32" s="164" t="e">
        <f>SUMIFS('Файл оценки'!#REF!,'Файл оценки'!#REF!,'Трудозатраты ПК'!$A32,'Файл оценки'!#REF!,'Трудозатраты ПК'!AC$46)</f>
        <v>#REF!</v>
      </c>
      <c r="AD32" s="164" t="e">
        <f>SUMIFS('Файл оценки'!#REF!,'Файл оценки'!#REF!,'Трудозатраты ПК'!$A32,'Файл оценки'!#REF!,'Трудозатраты ПК'!AD$46)</f>
        <v>#REF!</v>
      </c>
      <c r="AE32" s="164" t="e">
        <f>SUMIFS('Файл оценки'!#REF!,'Файл оценки'!#REF!,'Трудозатраты ПК'!$A32,'Файл оценки'!#REF!,'Трудозатраты ПК'!AE$46)</f>
        <v>#REF!</v>
      </c>
      <c r="AF32" s="164" t="e">
        <f>SUMIFS('Файл оценки'!#REF!,'Файл оценки'!#REF!,'Трудозатраты ПК'!$A32,'Файл оценки'!#REF!,'Трудозатраты ПК'!AF$46)</f>
        <v>#REF!</v>
      </c>
      <c r="AG32" s="164" t="e">
        <f>SUMIFS('Файл оценки'!#REF!,'Файл оценки'!#REF!,'Трудозатраты ПК'!$A32,'Файл оценки'!#REF!,'Трудозатраты ПК'!AG$46)</f>
        <v>#REF!</v>
      </c>
      <c r="AH32" s="164" t="e">
        <f>SUMIFS('Файл оценки'!#REF!,'Файл оценки'!#REF!,'Трудозатраты ПК'!$A32,'Файл оценки'!#REF!,'Трудозатраты ПК'!AH$46)</f>
        <v>#REF!</v>
      </c>
      <c r="AI32" s="164" t="e">
        <f>SUMIFS('Файл оценки'!#REF!,'Файл оценки'!#REF!,'Трудозатраты ПК'!$A32,'Файл оценки'!#REF!,'Трудозатраты ПК'!AI$46)</f>
        <v>#REF!</v>
      </c>
      <c r="AJ32" s="164" t="e">
        <f>SUMIFS('Файл оценки'!#REF!,'Файл оценки'!#REF!,'Трудозатраты ПК'!$A32,'Файл оценки'!#REF!,'Трудозатраты ПК'!AJ$46)</f>
        <v>#REF!</v>
      </c>
      <c r="AK32" s="164" t="e">
        <f>SUMIFS('Файл оценки'!#REF!,'Файл оценки'!#REF!,'Трудозатраты ПК'!$A32,'Файл оценки'!#REF!,'Трудозатраты ПК'!AK$46)</f>
        <v>#REF!</v>
      </c>
      <c r="AL32" s="164" t="e">
        <f>SUMIFS('Файл оценки'!#REF!,'Файл оценки'!#REF!,'Трудозатраты ПК'!$A32,'Файл оценки'!#REF!,'Трудозатраты ПК'!AL$46)</f>
        <v>#REF!</v>
      </c>
      <c r="AM32" s="164" t="e">
        <f>SUMIFS('Файл оценки'!#REF!,'Файл оценки'!#REF!,'Трудозатраты ПК'!$A32,'Файл оценки'!#REF!,'Трудозатраты ПК'!AM$46)</f>
        <v>#REF!</v>
      </c>
      <c r="AN32" s="164" t="e">
        <f>SUMIFS('Файл оценки'!#REF!,'Файл оценки'!#REF!,'Трудозатраты ПК'!$A32,'Файл оценки'!#REF!,'Трудозатраты ПК'!AN$46)</f>
        <v>#REF!</v>
      </c>
      <c r="AO32" s="164" t="e">
        <f>SUMIFS('Файл оценки'!#REF!,'Файл оценки'!#REF!,'Трудозатраты ПК'!$A32,'Файл оценки'!#REF!,'Трудозатраты ПК'!AO$46)</f>
        <v>#REF!</v>
      </c>
      <c r="AP32" s="164" t="e">
        <f>SUMIFS('Файл оценки'!#REF!,'Файл оценки'!#REF!,'Трудозатраты ПК'!$A32,'Файл оценки'!#REF!,'Трудозатраты ПК'!AP$46)</f>
        <v>#REF!</v>
      </c>
      <c r="AQ32" s="164" t="e">
        <f>SUMIFS('Файл оценки'!#REF!,'Файл оценки'!#REF!,'Трудозатраты ПК'!$A32,'Файл оценки'!#REF!,'Трудозатраты ПК'!AQ$46)</f>
        <v>#REF!</v>
      </c>
      <c r="AR32" s="164" t="e">
        <f>SUMIFS('Файл оценки'!#REF!,'Файл оценки'!#REF!,'Трудозатраты ПК'!$A32,'Файл оценки'!#REF!,'Трудозатраты ПК'!AR$46)</f>
        <v>#REF!</v>
      </c>
      <c r="AS32" s="164" t="e">
        <f>SUMIFS('Файл оценки'!#REF!,'Файл оценки'!#REF!,'Трудозатраты ПК'!$A32,'Файл оценки'!#REF!,'Трудозатраты ПК'!AS$46)</f>
        <v>#REF!</v>
      </c>
      <c r="AT32" s="164" t="e">
        <f>SUMIFS('Файл оценки'!#REF!,'Файл оценки'!#REF!,'Трудозатраты ПК'!$A32,'Файл оценки'!#REF!,'Трудозатраты ПК'!AT$46)</f>
        <v>#REF!</v>
      </c>
      <c r="AU32" s="164" t="e">
        <f>SUMIFS('Файл оценки'!#REF!,'Файл оценки'!#REF!,'Трудозатраты ПК'!$A32,'Файл оценки'!#REF!,'Трудозатраты ПК'!AU$46)</f>
        <v>#REF!</v>
      </c>
      <c r="AV32" s="164" t="e">
        <f>SUMIFS('Файл оценки'!#REF!,'Файл оценки'!#REF!,'Трудозатраты ПК'!$A32,'Файл оценки'!#REF!,'Трудозатраты ПК'!AV$46)</f>
        <v>#REF!</v>
      </c>
      <c r="AW32" s="164" t="e">
        <f>SUMIFS('Файл оценки'!#REF!,'Файл оценки'!#REF!,'Трудозатраты ПК'!$A32,'Файл оценки'!#REF!,'Трудозатраты ПК'!AW$46)</f>
        <v>#REF!</v>
      </c>
      <c r="AX32" s="164" t="e">
        <f>SUMIFS('Файл оценки'!#REF!,'Файл оценки'!#REF!,'Трудозатраты ПК'!$A32,'Файл оценки'!#REF!,'Трудозатраты ПК'!AX$46)</f>
        <v>#REF!</v>
      </c>
      <c r="AY32" s="165" t="e">
        <f t="shared" si="1"/>
        <v>#REF!</v>
      </c>
    </row>
    <row r="33" spans="1:53" ht="15.75" x14ac:dyDescent="0.25">
      <c r="A33" s="161">
        <f>Работы_Спецы!A23</f>
        <v>0</v>
      </c>
      <c r="B33" s="258"/>
      <c r="C33" s="162" t="e">
        <f t="shared" si="0"/>
        <v>#REF!</v>
      </c>
      <c r="D33" s="163" t="e">
        <f t="shared" si="2"/>
        <v>#REF!</v>
      </c>
      <c r="E33" s="164"/>
      <c r="F33" s="164"/>
      <c r="G33" s="164"/>
      <c r="H33" s="164"/>
      <c r="I33" s="164"/>
      <c r="J33" s="164" t="e">
        <f>SUMIFS('Файл оценки'!#REF!,'Файл оценки'!#REF!,'Трудозатраты ПК'!$A33,'Файл оценки'!#REF!,'Трудозатраты ПК'!J$46)</f>
        <v>#REF!</v>
      </c>
      <c r="K33" s="164" t="e">
        <f>SUMIFS('Файл оценки'!#REF!,'Файл оценки'!#REF!,'Трудозатраты ПК'!$A33,'Файл оценки'!#REF!,'Трудозатраты ПК'!K$46)</f>
        <v>#REF!</v>
      </c>
      <c r="L33" s="164" t="e">
        <f>SUMIFS('Файл оценки'!#REF!,'Файл оценки'!#REF!,'Трудозатраты ПК'!$A33,'Файл оценки'!#REF!,'Трудозатраты ПК'!L$46)</f>
        <v>#REF!</v>
      </c>
      <c r="M33" s="164" t="e">
        <f>SUMIFS('Файл оценки'!#REF!,'Файл оценки'!#REF!,'Трудозатраты ПК'!$A33,'Файл оценки'!#REF!,'Трудозатраты ПК'!M$46)</f>
        <v>#REF!</v>
      </c>
      <c r="N33" s="164" t="e">
        <f>SUMIFS('Файл оценки'!#REF!,'Файл оценки'!#REF!,'Трудозатраты ПК'!$A33,'Файл оценки'!#REF!,'Трудозатраты ПК'!N$46)</f>
        <v>#REF!</v>
      </c>
      <c r="O33" s="164" t="e">
        <f>SUMIFS('Файл оценки'!#REF!,'Файл оценки'!#REF!,'Трудозатраты ПК'!$A33,'Файл оценки'!#REF!,'Трудозатраты ПК'!O$46)</f>
        <v>#REF!</v>
      </c>
      <c r="P33" s="164" t="e">
        <f>SUMIFS('Файл оценки'!#REF!,'Файл оценки'!#REF!,'Трудозатраты ПК'!$A33,'Файл оценки'!#REF!,'Трудозатраты ПК'!P$46)</f>
        <v>#REF!</v>
      </c>
      <c r="Q33" s="164" t="e">
        <f>SUMIFS('Файл оценки'!#REF!,'Файл оценки'!#REF!,'Трудозатраты ПК'!$A33,'Файл оценки'!#REF!,'Трудозатраты ПК'!Q$46)</f>
        <v>#REF!</v>
      </c>
      <c r="R33" s="164" t="e">
        <f>SUMIFS('Файл оценки'!#REF!,'Файл оценки'!#REF!,'Трудозатраты ПК'!$A33,'Файл оценки'!#REF!,'Трудозатраты ПК'!R$46)</f>
        <v>#REF!</v>
      </c>
      <c r="S33" s="164" t="e">
        <f>SUMIFS('Файл оценки'!#REF!,'Файл оценки'!#REF!,'Трудозатраты ПК'!$A33,'Файл оценки'!#REF!,'Трудозатраты ПК'!S$46)</f>
        <v>#REF!</v>
      </c>
      <c r="T33" s="164" t="e">
        <f>SUMIFS('Файл оценки'!#REF!,'Файл оценки'!#REF!,'Трудозатраты ПК'!$A33,'Файл оценки'!#REF!,'Трудозатраты ПК'!T$46)</f>
        <v>#REF!</v>
      </c>
      <c r="U33" s="164" t="e">
        <f>SUMIFS('Файл оценки'!#REF!,'Файл оценки'!#REF!,'Трудозатраты ПК'!$A33,'Файл оценки'!#REF!,'Трудозатраты ПК'!U$46)</f>
        <v>#REF!</v>
      </c>
      <c r="V33" s="164" t="e">
        <f>SUMIFS('Файл оценки'!#REF!,'Файл оценки'!#REF!,'Трудозатраты ПК'!$A33,'Файл оценки'!#REF!,'Трудозатраты ПК'!V$46)</f>
        <v>#REF!</v>
      </c>
      <c r="W33" s="164" t="e">
        <f>SUMIFS('Файл оценки'!#REF!,'Файл оценки'!#REF!,'Трудозатраты ПК'!$A33,'Файл оценки'!#REF!,'Трудозатраты ПК'!W$46)</f>
        <v>#REF!</v>
      </c>
      <c r="X33" s="164" t="e">
        <f>SUMIFS('Файл оценки'!#REF!,'Файл оценки'!#REF!,'Трудозатраты ПК'!$A33,'Файл оценки'!#REF!,'Трудозатраты ПК'!X$46)</f>
        <v>#REF!</v>
      </c>
      <c r="Y33" s="164" t="e">
        <f>SUMIFS('Файл оценки'!#REF!,'Файл оценки'!#REF!,'Трудозатраты ПК'!$A33,'Файл оценки'!#REF!,'Трудозатраты ПК'!Y$46)</f>
        <v>#REF!</v>
      </c>
      <c r="Z33" s="164" t="e">
        <f>SUMIFS('Файл оценки'!#REF!,'Файл оценки'!#REF!,'Трудозатраты ПК'!$A33,'Файл оценки'!#REF!,'Трудозатраты ПК'!Z$46)</f>
        <v>#REF!</v>
      </c>
      <c r="AA33" s="164" t="e">
        <f>SUMIFS('Файл оценки'!#REF!,'Файл оценки'!#REF!,'Трудозатраты ПК'!$A33,'Файл оценки'!#REF!,'Трудозатраты ПК'!AA$46)</f>
        <v>#REF!</v>
      </c>
      <c r="AB33" s="164" t="e">
        <f>SUMIFS('Файл оценки'!#REF!,'Файл оценки'!#REF!,'Трудозатраты ПК'!$A33,'Файл оценки'!#REF!,'Трудозатраты ПК'!AB$46)</f>
        <v>#REF!</v>
      </c>
      <c r="AC33" s="164" t="e">
        <f>SUMIFS('Файл оценки'!#REF!,'Файл оценки'!#REF!,'Трудозатраты ПК'!$A33,'Файл оценки'!#REF!,'Трудозатраты ПК'!AC$46)</f>
        <v>#REF!</v>
      </c>
      <c r="AD33" s="164" t="e">
        <f>SUMIFS('Файл оценки'!#REF!,'Файл оценки'!#REF!,'Трудозатраты ПК'!$A33,'Файл оценки'!#REF!,'Трудозатраты ПК'!AD$46)</f>
        <v>#REF!</v>
      </c>
      <c r="AE33" s="164" t="e">
        <f>SUMIFS('Файл оценки'!#REF!,'Файл оценки'!#REF!,'Трудозатраты ПК'!$A33,'Файл оценки'!#REF!,'Трудозатраты ПК'!AE$46)</f>
        <v>#REF!</v>
      </c>
      <c r="AF33" s="164" t="e">
        <f>SUMIFS('Файл оценки'!#REF!,'Файл оценки'!#REF!,'Трудозатраты ПК'!$A33,'Файл оценки'!#REF!,'Трудозатраты ПК'!AF$46)</f>
        <v>#REF!</v>
      </c>
      <c r="AG33" s="164" t="e">
        <f>SUMIFS('Файл оценки'!#REF!,'Файл оценки'!#REF!,'Трудозатраты ПК'!$A33,'Файл оценки'!#REF!,'Трудозатраты ПК'!AG$46)</f>
        <v>#REF!</v>
      </c>
      <c r="AH33" s="164" t="e">
        <f>SUMIFS('Файл оценки'!#REF!,'Файл оценки'!#REF!,'Трудозатраты ПК'!$A33,'Файл оценки'!#REF!,'Трудозатраты ПК'!AH$46)</f>
        <v>#REF!</v>
      </c>
      <c r="AI33" s="164" t="e">
        <f>SUMIFS('Файл оценки'!#REF!,'Файл оценки'!#REF!,'Трудозатраты ПК'!$A33,'Файл оценки'!#REF!,'Трудозатраты ПК'!AI$46)</f>
        <v>#REF!</v>
      </c>
      <c r="AJ33" s="164" t="e">
        <f>SUMIFS('Файл оценки'!#REF!,'Файл оценки'!#REF!,'Трудозатраты ПК'!$A33,'Файл оценки'!#REF!,'Трудозатраты ПК'!AJ$46)</f>
        <v>#REF!</v>
      </c>
      <c r="AK33" s="164" t="e">
        <f>SUMIFS('Файл оценки'!#REF!,'Файл оценки'!#REF!,'Трудозатраты ПК'!$A33,'Файл оценки'!#REF!,'Трудозатраты ПК'!AK$46)</f>
        <v>#REF!</v>
      </c>
      <c r="AL33" s="164" t="e">
        <f>SUMIFS('Файл оценки'!#REF!,'Файл оценки'!#REF!,'Трудозатраты ПК'!$A33,'Файл оценки'!#REF!,'Трудозатраты ПК'!AL$46)</f>
        <v>#REF!</v>
      </c>
      <c r="AM33" s="164" t="e">
        <f>SUMIFS('Файл оценки'!#REF!,'Файл оценки'!#REF!,'Трудозатраты ПК'!$A33,'Файл оценки'!#REF!,'Трудозатраты ПК'!AM$46)</f>
        <v>#REF!</v>
      </c>
      <c r="AN33" s="164" t="e">
        <f>SUMIFS('Файл оценки'!#REF!,'Файл оценки'!#REF!,'Трудозатраты ПК'!$A33,'Файл оценки'!#REF!,'Трудозатраты ПК'!AN$46)</f>
        <v>#REF!</v>
      </c>
      <c r="AO33" s="164" t="e">
        <f>SUMIFS('Файл оценки'!#REF!,'Файл оценки'!#REF!,'Трудозатраты ПК'!$A33,'Файл оценки'!#REF!,'Трудозатраты ПК'!AO$46)</f>
        <v>#REF!</v>
      </c>
      <c r="AP33" s="164" t="e">
        <f>SUMIFS('Файл оценки'!#REF!,'Файл оценки'!#REF!,'Трудозатраты ПК'!$A33,'Файл оценки'!#REF!,'Трудозатраты ПК'!AP$46)</f>
        <v>#REF!</v>
      </c>
      <c r="AQ33" s="164" t="e">
        <f>SUMIFS('Файл оценки'!#REF!,'Файл оценки'!#REF!,'Трудозатраты ПК'!$A33,'Файл оценки'!#REF!,'Трудозатраты ПК'!AQ$46)</f>
        <v>#REF!</v>
      </c>
      <c r="AR33" s="164" t="e">
        <f>SUMIFS('Файл оценки'!#REF!,'Файл оценки'!#REF!,'Трудозатраты ПК'!$A33,'Файл оценки'!#REF!,'Трудозатраты ПК'!AR$46)</f>
        <v>#REF!</v>
      </c>
      <c r="AS33" s="164" t="e">
        <f>SUMIFS('Файл оценки'!#REF!,'Файл оценки'!#REF!,'Трудозатраты ПК'!$A33,'Файл оценки'!#REF!,'Трудозатраты ПК'!AS$46)</f>
        <v>#REF!</v>
      </c>
      <c r="AT33" s="164" t="e">
        <f>SUMIFS('Файл оценки'!#REF!,'Файл оценки'!#REF!,'Трудозатраты ПК'!$A33,'Файл оценки'!#REF!,'Трудозатраты ПК'!AT$46)</f>
        <v>#REF!</v>
      </c>
      <c r="AU33" s="164" t="e">
        <f>SUMIFS('Файл оценки'!#REF!,'Файл оценки'!#REF!,'Трудозатраты ПК'!$A33,'Файл оценки'!#REF!,'Трудозатраты ПК'!AU$46)</f>
        <v>#REF!</v>
      </c>
      <c r="AV33" s="164" t="e">
        <f>SUMIFS('Файл оценки'!#REF!,'Файл оценки'!#REF!,'Трудозатраты ПК'!$A33,'Файл оценки'!#REF!,'Трудозатраты ПК'!AV$46)</f>
        <v>#REF!</v>
      </c>
      <c r="AW33" s="164" t="e">
        <f>SUMIFS('Файл оценки'!#REF!,'Файл оценки'!#REF!,'Трудозатраты ПК'!$A33,'Файл оценки'!#REF!,'Трудозатраты ПК'!AW$46)</f>
        <v>#REF!</v>
      </c>
      <c r="AX33" s="164" t="e">
        <f>SUMIFS('Файл оценки'!#REF!,'Файл оценки'!#REF!,'Трудозатраты ПК'!$A33,'Файл оценки'!#REF!,'Трудозатраты ПК'!AX$46)</f>
        <v>#REF!</v>
      </c>
      <c r="AY33" s="165" t="e">
        <f t="shared" si="1"/>
        <v>#REF!</v>
      </c>
    </row>
    <row r="34" spans="1:53" ht="15.75" x14ac:dyDescent="0.25">
      <c r="A34" s="161">
        <f>Работы_Спецы!A24</f>
        <v>0</v>
      </c>
      <c r="B34" s="258"/>
      <c r="C34" s="162" t="e">
        <f t="shared" si="0"/>
        <v>#REF!</v>
      </c>
      <c r="D34" s="163" t="e">
        <f t="shared" si="2"/>
        <v>#REF!</v>
      </c>
      <c r="E34" s="164"/>
      <c r="F34" s="164"/>
      <c r="G34" s="164"/>
      <c r="H34" s="164"/>
      <c r="I34" s="164"/>
      <c r="J34" s="164" t="e">
        <f>SUMIFS('Файл оценки'!#REF!,'Файл оценки'!#REF!,'Трудозатраты ПК'!$A34,'Файл оценки'!#REF!,'Трудозатраты ПК'!J$46)</f>
        <v>#REF!</v>
      </c>
      <c r="K34" s="164" t="e">
        <f>SUMIFS('Файл оценки'!#REF!,'Файл оценки'!#REF!,'Трудозатраты ПК'!$A34,'Файл оценки'!#REF!,'Трудозатраты ПК'!K$46)</f>
        <v>#REF!</v>
      </c>
      <c r="L34" s="164" t="e">
        <f>SUMIFS('Файл оценки'!#REF!,'Файл оценки'!#REF!,'Трудозатраты ПК'!$A34,'Файл оценки'!#REF!,'Трудозатраты ПК'!L$46)</f>
        <v>#REF!</v>
      </c>
      <c r="M34" s="164" t="e">
        <f>SUMIFS('Файл оценки'!#REF!,'Файл оценки'!#REF!,'Трудозатраты ПК'!$A34,'Файл оценки'!#REF!,'Трудозатраты ПК'!M$46)</f>
        <v>#REF!</v>
      </c>
      <c r="N34" s="164" t="e">
        <f>SUMIFS('Файл оценки'!#REF!,'Файл оценки'!#REF!,'Трудозатраты ПК'!$A34,'Файл оценки'!#REF!,'Трудозатраты ПК'!N$46)</f>
        <v>#REF!</v>
      </c>
      <c r="O34" s="164" t="e">
        <f>SUMIFS('Файл оценки'!#REF!,'Файл оценки'!#REF!,'Трудозатраты ПК'!$A34,'Файл оценки'!#REF!,'Трудозатраты ПК'!O$46)</f>
        <v>#REF!</v>
      </c>
      <c r="P34" s="164" t="e">
        <f>SUMIFS('Файл оценки'!#REF!,'Файл оценки'!#REF!,'Трудозатраты ПК'!$A34,'Файл оценки'!#REF!,'Трудозатраты ПК'!P$46)</f>
        <v>#REF!</v>
      </c>
      <c r="Q34" s="164" t="e">
        <f>SUMIFS('Файл оценки'!#REF!,'Файл оценки'!#REF!,'Трудозатраты ПК'!$A34,'Файл оценки'!#REF!,'Трудозатраты ПК'!Q$46)</f>
        <v>#REF!</v>
      </c>
      <c r="R34" s="164" t="e">
        <f>SUMIFS('Файл оценки'!#REF!,'Файл оценки'!#REF!,'Трудозатраты ПК'!$A34,'Файл оценки'!#REF!,'Трудозатраты ПК'!R$46)</f>
        <v>#REF!</v>
      </c>
      <c r="S34" s="164" t="e">
        <f>SUMIFS('Файл оценки'!#REF!,'Файл оценки'!#REF!,'Трудозатраты ПК'!$A34,'Файл оценки'!#REF!,'Трудозатраты ПК'!S$46)</f>
        <v>#REF!</v>
      </c>
      <c r="T34" s="164" t="e">
        <f>SUMIFS('Файл оценки'!#REF!,'Файл оценки'!#REF!,'Трудозатраты ПК'!$A34,'Файл оценки'!#REF!,'Трудозатраты ПК'!T$46)</f>
        <v>#REF!</v>
      </c>
      <c r="U34" s="164" t="e">
        <f>SUMIFS('Файл оценки'!#REF!,'Файл оценки'!#REF!,'Трудозатраты ПК'!$A34,'Файл оценки'!#REF!,'Трудозатраты ПК'!U$46)</f>
        <v>#REF!</v>
      </c>
      <c r="V34" s="164" t="e">
        <f>SUMIFS('Файл оценки'!#REF!,'Файл оценки'!#REF!,'Трудозатраты ПК'!$A34,'Файл оценки'!#REF!,'Трудозатраты ПК'!V$46)</f>
        <v>#REF!</v>
      </c>
      <c r="W34" s="164" t="e">
        <f>SUMIFS('Файл оценки'!#REF!,'Файл оценки'!#REF!,'Трудозатраты ПК'!$A34,'Файл оценки'!#REF!,'Трудозатраты ПК'!W$46)</f>
        <v>#REF!</v>
      </c>
      <c r="X34" s="164" t="e">
        <f>SUMIFS('Файл оценки'!#REF!,'Файл оценки'!#REF!,'Трудозатраты ПК'!$A34,'Файл оценки'!#REF!,'Трудозатраты ПК'!X$46)</f>
        <v>#REF!</v>
      </c>
      <c r="Y34" s="164" t="e">
        <f>SUMIFS('Файл оценки'!#REF!,'Файл оценки'!#REF!,'Трудозатраты ПК'!$A34,'Файл оценки'!#REF!,'Трудозатраты ПК'!Y$46)</f>
        <v>#REF!</v>
      </c>
      <c r="Z34" s="164" t="e">
        <f>SUMIFS('Файл оценки'!#REF!,'Файл оценки'!#REF!,'Трудозатраты ПК'!$A34,'Файл оценки'!#REF!,'Трудозатраты ПК'!Z$46)</f>
        <v>#REF!</v>
      </c>
      <c r="AA34" s="164" t="e">
        <f>SUMIFS('Файл оценки'!#REF!,'Файл оценки'!#REF!,'Трудозатраты ПК'!$A34,'Файл оценки'!#REF!,'Трудозатраты ПК'!AA$46)</f>
        <v>#REF!</v>
      </c>
      <c r="AB34" s="164" t="e">
        <f>SUMIFS('Файл оценки'!#REF!,'Файл оценки'!#REF!,'Трудозатраты ПК'!$A34,'Файл оценки'!#REF!,'Трудозатраты ПК'!AB$46)</f>
        <v>#REF!</v>
      </c>
      <c r="AC34" s="164" t="e">
        <f>SUMIFS('Файл оценки'!#REF!,'Файл оценки'!#REF!,'Трудозатраты ПК'!$A34,'Файл оценки'!#REF!,'Трудозатраты ПК'!AC$46)</f>
        <v>#REF!</v>
      </c>
      <c r="AD34" s="164" t="e">
        <f>SUMIFS('Файл оценки'!#REF!,'Файл оценки'!#REF!,'Трудозатраты ПК'!$A34,'Файл оценки'!#REF!,'Трудозатраты ПК'!AD$46)</f>
        <v>#REF!</v>
      </c>
      <c r="AE34" s="164" t="e">
        <f>SUMIFS('Файл оценки'!#REF!,'Файл оценки'!#REF!,'Трудозатраты ПК'!$A34,'Файл оценки'!#REF!,'Трудозатраты ПК'!AE$46)</f>
        <v>#REF!</v>
      </c>
      <c r="AF34" s="164" t="e">
        <f>SUMIFS('Файл оценки'!#REF!,'Файл оценки'!#REF!,'Трудозатраты ПК'!$A34,'Файл оценки'!#REF!,'Трудозатраты ПК'!AF$46)</f>
        <v>#REF!</v>
      </c>
      <c r="AG34" s="164" t="e">
        <f>SUMIFS('Файл оценки'!#REF!,'Файл оценки'!#REF!,'Трудозатраты ПК'!$A34,'Файл оценки'!#REF!,'Трудозатраты ПК'!AG$46)</f>
        <v>#REF!</v>
      </c>
      <c r="AH34" s="164" t="e">
        <f>SUMIFS('Файл оценки'!#REF!,'Файл оценки'!#REF!,'Трудозатраты ПК'!$A34,'Файл оценки'!#REF!,'Трудозатраты ПК'!AH$46)</f>
        <v>#REF!</v>
      </c>
      <c r="AI34" s="164" t="e">
        <f>SUMIFS('Файл оценки'!#REF!,'Файл оценки'!#REF!,'Трудозатраты ПК'!$A34,'Файл оценки'!#REF!,'Трудозатраты ПК'!AI$46)</f>
        <v>#REF!</v>
      </c>
      <c r="AJ34" s="164" t="e">
        <f>SUMIFS('Файл оценки'!#REF!,'Файл оценки'!#REF!,'Трудозатраты ПК'!$A34,'Файл оценки'!#REF!,'Трудозатраты ПК'!AJ$46)</f>
        <v>#REF!</v>
      </c>
      <c r="AK34" s="164" t="e">
        <f>SUMIFS('Файл оценки'!#REF!,'Файл оценки'!#REF!,'Трудозатраты ПК'!$A34,'Файл оценки'!#REF!,'Трудозатраты ПК'!AK$46)</f>
        <v>#REF!</v>
      </c>
      <c r="AL34" s="164" t="e">
        <f>SUMIFS('Файл оценки'!#REF!,'Файл оценки'!#REF!,'Трудозатраты ПК'!$A34,'Файл оценки'!#REF!,'Трудозатраты ПК'!AL$46)</f>
        <v>#REF!</v>
      </c>
      <c r="AM34" s="164" t="e">
        <f>SUMIFS('Файл оценки'!#REF!,'Файл оценки'!#REF!,'Трудозатраты ПК'!$A34,'Файл оценки'!#REF!,'Трудозатраты ПК'!AM$46)</f>
        <v>#REF!</v>
      </c>
      <c r="AN34" s="164" t="e">
        <f>SUMIFS('Файл оценки'!#REF!,'Файл оценки'!#REF!,'Трудозатраты ПК'!$A34,'Файл оценки'!#REF!,'Трудозатраты ПК'!AN$46)</f>
        <v>#REF!</v>
      </c>
      <c r="AO34" s="164" t="e">
        <f>SUMIFS('Файл оценки'!#REF!,'Файл оценки'!#REF!,'Трудозатраты ПК'!$A34,'Файл оценки'!#REF!,'Трудозатраты ПК'!AO$46)</f>
        <v>#REF!</v>
      </c>
      <c r="AP34" s="164" t="e">
        <f>SUMIFS('Файл оценки'!#REF!,'Файл оценки'!#REF!,'Трудозатраты ПК'!$A34,'Файл оценки'!#REF!,'Трудозатраты ПК'!AP$46)</f>
        <v>#REF!</v>
      </c>
      <c r="AQ34" s="164" t="e">
        <f>SUMIFS('Файл оценки'!#REF!,'Файл оценки'!#REF!,'Трудозатраты ПК'!$A34,'Файл оценки'!#REF!,'Трудозатраты ПК'!AQ$46)</f>
        <v>#REF!</v>
      </c>
      <c r="AR34" s="164" t="e">
        <f>SUMIFS('Файл оценки'!#REF!,'Файл оценки'!#REF!,'Трудозатраты ПК'!$A34,'Файл оценки'!#REF!,'Трудозатраты ПК'!AR$46)</f>
        <v>#REF!</v>
      </c>
      <c r="AS34" s="164" t="e">
        <f>SUMIFS('Файл оценки'!#REF!,'Файл оценки'!#REF!,'Трудозатраты ПК'!$A34,'Файл оценки'!#REF!,'Трудозатраты ПК'!AS$46)</f>
        <v>#REF!</v>
      </c>
      <c r="AT34" s="164" t="e">
        <f>SUMIFS('Файл оценки'!#REF!,'Файл оценки'!#REF!,'Трудозатраты ПК'!$A34,'Файл оценки'!#REF!,'Трудозатраты ПК'!AT$46)</f>
        <v>#REF!</v>
      </c>
      <c r="AU34" s="164" t="e">
        <f>SUMIFS('Файл оценки'!#REF!,'Файл оценки'!#REF!,'Трудозатраты ПК'!$A34,'Файл оценки'!#REF!,'Трудозатраты ПК'!AU$46)</f>
        <v>#REF!</v>
      </c>
      <c r="AV34" s="164" t="e">
        <f>SUMIFS('Файл оценки'!#REF!,'Файл оценки'!#REF!,'Трудозатраты ПК'!$A34,'Файл оценки'!#REF!,'Трудозатраты ПК'!AV$46)</f>
        <v>#REF!</v>
      </c>
      <c r="AW34" s="164" t="e">
        <f>SUMIFS('Файл оценки'!#REF!,'Файл оценки'!#REF!,'Трудозатраты ПК'!$A34,'Файл оценки'!#REF!,'Трудозатраты ПК'!AW$46)</f>
        <v>#REF!</v>
      </c>
      <c r="AX34" s="164" t="e">
        <f>SUMIFS('Файл оценки'!#REF!,'Файл оценки'!#REF!,'Трудозатраты ПК'!$A34,'Файл оценки'!#REF!,'Трудозатраты ПК'!AX$46)</f>
        <v>#REF!</v>
      </c>
      <c r="AY34" s="165" t="e">
        <f t="shared" si="1"/>
        <v>#REF!</v>
      </c>
    </row>
    <row r="35" spans="1:53" ht="15.75" x14ac:dyDescent="0.25">
      <c r="A35" s="161">
        <f>Работы_Спецы!A25</f>
        <v>0</v>
      </c>
      <c r="B35" s="258"/>
      <c r="C35" s="162" t="e">
        <f t="shared" si="0"/>
        <v>#REF!</v>
      </c>
      <c r="D35" s="163" t="e">
        <f t="shared" si="2"/>
        <v>#REF!</v>
      </c>
      <c r="E35" s="164"/>
      <c r="F35" s="164"/>
      <c r="G35" s="164"/>
      <c r="H35" s="164"/>
      <c r="I35" s="164"/>
      <c r="J35" s="164" t="e">
        <f>SUMIFS('Файл оценки'!#REF!,'Файл оценки'!#REF!,'Трудозатраты ПК'!$A35,'Файл оценки'!#REF!,'Трудозатраты ПК'!J$46)</f>
        <v>#REF!</v>
      </c>
      <c r="K35" s="164" t="e">
        <f>SUMIFS('Файл оценки'!#REF!,'Файл оценки'!#REF!,'Трудозатраты ПК'!$A35,'Файл оценки'!#REF!,'Трудозатраты ПК'!K$46)</f>
        <v>#REF!</v>
      </c>
      <c r="L35" s="164" t="e">
        <f>SUMIFS('Файл оценки'!#REF!,'Файл оценки'!#REF!,'Трудозатраты ПК'!$A35,'Файл оценки'!#REF!,'Трудозатраты ПК'!L$46)</f>
        <v>#REF!</v>
      </c>
      <c r="M35" s="164" t="e">
        <f>SUMIFS('Файл оценки'!#REF!,'Файл оценки'!#REF!,'Трудозатраты ПК'!$A35,'Файл оценки'!#REF!,'Трудозатраты ПК'!M$46)</f>
        <v>#REF!</v>
      </c>
      <c r="N35" s="164" t="e">
        <f>SUMIFS('Файл оценки'!#REF!,'Файл оценки'!#REF!,'Трудозатраты ПК'!$A35,'Файл оценки'!#REF!,'Трудозатраты ПК'!N$46)</f>
        <v>#REF!</v>
      </c>
      <c r="O35" s="164" t="e">
        <f>SUMIFS('Файл оценки'!#REF!,'Файл оценки'!#REF!,'Трудозатраты ПК'!$A35,'Файл оценки'!#REF!,'Трудозатраты ПК'!O$46)</f>
        <v>#REF!</v>
      </c>
      <c r="P35" s="164" t="e">
        <f>SUMIFS('Файл оценки'!#REF!,'Файл оценки'!#REF!,'Трудозатраты ПК'!$A35,'Файл оценки'!#REF!,'Трудозатраты ПК'!P$46)</f>
        <v>#REF!</v>
      </c>
      <c r="Q35" s="164" t="e">
        <f>SUMIFS('Файл оценки'!#REF!,'Файл оценки'!#REF!,'Трудозатраты ПК'!$A35,'Файл оценки'!#REF!,'Трудозатраты ПК'!Q$46)</f>
        <v>#REF!</v>
      </c>
      <c r="R35" s="164" t="e">
        <f>SUMIFS('Файл оценки'!#REF!,'Файл оценки'!#REF!,'Трудозатраты ПК'!$A35,'Файл оценки'!#REF!,'Трудозатраты ПК'!R$46)</f>
        <v>#REF!</v>
      </c>
      <c r="S35" s="164" t="e">
        <f>SUMIFS('Файл оценки'!#REF!,'Файл оценки'!#REF!,'Трудозатраты ПК'!$A35,'Файл оценки'!#REF!,'Трудозатраты ПК'!S$46)</f>
        <v>#REF!</v>
      </c>
      <c r="T35" s="164" t="e">
        <f>SUMIFS('Файл оценки'!#REF!,'Файл оценки'!#REF!,'Трудозатраты ПК'!$A35,'Файл оценки'!#REF!,'Трудозатраты ПК'!T$46)</f>
        <v>#REF!</v>
      </c>
      <c r="U35" s="164" t="e">
        <f>SUMIFS('Файл оценки'!#REF!,'Файл оценки'!#REF!,'Трудозатраты ПК'!$A35,'Файл оценки'!#REF!,'Трудозатраты ПК'!U$46)</f>
        <v>#REF!</v>
      </c>
      <c r="V35" s="164" t="e">
        <f>SUMIFS('Файл оценки'!#REF!,'Файл оценки'!#REF!,'Трудозатраты ПК'!$A35,'Файл оценки'!#REF!,'Трудозатраты ПК'!V$46)</f>
        <v>#REF!</v>
      </c>
      <c r="W35" s="164" t="e">
        <f>SUMIFS('Файл оценки'!#REF!,'Файл оценки'!#REF!,'Трудозатраты ПК'!$A35,'Файл оценки'!#REF!,'Трудозатраты ПК'!W$46)</f>
        <v>#REF!</v>
      </c>
      <c r="X35" s="164" t="e">
        <f>SUMIFS('Файл оценки'!#REF!,'Файл оценки'!#REF!,'Трудозатраты ПК'!$A35,'Файл оценки'!#REF!,'Трудозатраты ПК'!X$46)</f>
        <v>#REF!</v>
      </c>
      <c r="Y35" s="164" t="e">
        <f>SUMIFS('Файл оценки'!#REF!,'Файл оценки'!#REF!,'Трудозатраты ПК'!$A35,'Файл оценки'!#REF!,'Трудозатраты ПК'!Y$46)</f>
        <v>#REF!</v>
      </c>
      <c r="Z35" s="164" t="e">
        <f>SUMIFS('Файл оценки'!#REF!,'Файл оценки'!#REF!,'Трудозатраты ПК'!$A35,'Файл оценки'!#REF!,'Трудозатраты ПК'!Z$46)</f>
        <v>#REF!</v>
      </c>
      <c r="AA35" s="164" t="e">
        <f>SUMIFS('Файл оценки'!#REF!,'Файл оценки'!#REF!,'Трудозатраты ПК'!$A35,'Файл оценки'!#REF!,'Трудозатраты ПК'!AA$46)</f>
        <v>#REF!</v>
      </c>
      <c r="AB35" s="164" t="e">
        <f>SUMIFS('Файл оценки'!#REF!,'Файл оценки'!#REF!,'Трудозатраты ПК'!$A35,'Файл оценки'!#REF!,'Трудозатраты ПК'!AB$46)</f>
        <v>#REF!</v>
      </c>
      <c r="AC35" s="164" t="e">
        <f>SUMIFS('Файл оценки'!#REF!,'Файл оценки'!#REF!,'Трудозатраты ПК'!$A35,'Файл оценки'!#REF!,'Трудозатраты ПК'!AC$46)</f>
        <v>#REF!</v>
      </c>
      <c r="AD35" s="164" t="e">
        <f>SUMIFS('Файл оценки'!#REF!,'Файл оценки'!#REF!,'Трудозатраты ПК'!$A35,'Файл оценки'!#REF!,'Трудозатраты ПК'!AD$46)</f>
        <v>#REF!</v>
      </c>
      <c r="AE35" s="164" t="e">
        <f>SUMIFS('Файл оценки'!#REF!,'Файл оценки'!#REF!,'Трудозатраты ПК'!$A35,'Файл оценки'!#REF!,'Трудозатраты ПК'!AE$46)</f>
        <v>#REF!</v>
      </c>
      <c r="AF35" s="164" t="e">
        <f>SUMIFS('Файл оценки'!#REF!,'Файл оценки'!#REF!,'Трудозатраты ПК'!$A35,'Файл оценки'!#REF!,'Трудозатраты ПК'!AF$46)</f>
        <v>#REF!</v>
      </c>
      <c r="AG35" s="164" t="e">
        <f>SUMIFS('Файл оценки'!#REF!,'Файл оценки'!#REF!,'Трудозатраты ПК'!$A35,'Файл оценки'!#REF!,'Трудозатраты ПК'!AG$46)</f>
        <v>#REF!</v>
      </c>
      <c r="AH35" s="164" t="e">
        <f>SUMIFS('Файл оценки'!#REF!,'Файл оценки'!#REF!,'Трудозатраты ПК'!$A35,'Файл оценки'!#REF!,'Трудозатраты ПК'!AH$46)</f>
        <v>#REF!</v>
      </c>
      <c r="AI35" s="164" t="e">
        <f>SUMIFS('Файл оценки'!#REF!,'Файл оценки'!#REF!,'Трудозатраты ПК'!$A35,'Файл оценки'!#REF!,'Трудозатраты ПК'!AI$46)</f>
        <v>#REF!</v>
      </c>
      <c r="AJ35" s="164" t="e">
        <f>SUMIFS('Файл оценки'!#REF!,'Файл оценки'!#REF!,'Трудозатраты ПК'!$A35,'Файл оценки'!#REF!,'Трудозатраты ПК'!AJ$46)</f>
        <v>#REF!</v>
      </c>
      <c r="AK35" s="164" t="e">
        <f>SUMIFS('Файл оценки'!#REF!,'Файл оценки'!#REF!,'Трудозатраты ПК'!$A35,'Файл оценки'!#REF!,'Трудозатраты ПК'!AK$46)</f>
        <v>#REF!</v>
      </c>
      <c r="AL35" s="164" t="e">
        <f>SUMIFS('Файл оценки'!#REF!,'Файл оценки'!#REF!,'Трудозатраты ПК'!$A35,'Файл оценки'!#REF!,'Трудозатраты ПК'!AL$46)</f>
        <v>#REF!</v>
      </c>
      <c r="AM35" s="164" t="e">
        <f>SUMIFS('Файл оценки'!#REF!,'Файл оценки'!#REF!,'Трудозатраты ПК'!$A35,'Файл оценки'!#REF!,'Трудозатраты ПК'!AM$46)</f>
        <v>#REF!</v>
      </c>
      <c r="AN35" s="164" t="e">
        <f>SUMIFS('Файл оценки'!#REF!,'Файл оценки'!#REF!,'Трудозатраты ПК'!$A35,'Файл оценки'!#REF!,'Трудозатраты ПК'!AN$46)</f>
        <v>#REF!</v>
      </c>
      <c r="AO35" s="164" t="e">
        <f>SUMIFS('Файл оценки'!#REF!,'Файл оценки'!#REF!,'Трудозатраты ПК'!$A35,'Файл оценки'!#REF!,'Трудозатраты ПК'!AO$46)</f>
        <v>#REF!</v>
      </c>
      <c r="AP35" s="164" t="e">
        <f>SUMIFS('Файл оценки'!#REF!,'Файл оценки'!#REF!,'Трудозатраты ПК'!$A35,'Файл оценки'!#REF!,'Трудозатраты ПК'!AP$46)</f>
        <v>#REF!</v>
      </c>
      <c r="AQ35" s="164" t="e">
        <f>SUMIFS('Файл оценки'!#REF!,'Файл оценки'!#REF!,'Трудозатраты ПК'!$A35,'Файл оценки'!#REF!,'Трудозатраты ПК'!AQ$46)</f>
        <v>#REF!</v>
      </c>
      <c r="AR35" s="164" t="e">
        <f>SUMIFS('Файл оценки'!#REF!,'Файл оценки'!#REF!,'Трудозатраты ПК'!$A35,'Файл оценки'!#REF!,'Трудозатраты ПК'!AR$46)</f>
        <v>#REF!</v>
      </c>
      <c r="AS35" s="164" t="e">
        <f>SUMIFS('Файл оценки'!#REF!,'Файл оценки'!#REF!,'Трудозатраты ПК'!$A35,'Файл оценки'!#REF!,'Трудозатраты ПК'!AS$46)</f>
        <v>#REF!</v>
      </c>
      <c r="AT35" s="164" t="e">
        <f>SUMIFS('Файл оценки'!#REF!,'Файл оценки'!#REF!,'Трудозатраты ПК'!$A35,'Файл оценки'!#REF!,'Трудозатраты ПК'!AT$46)</f>
        <v>#REF!</v>
      </c>
      <c r="AU35" s="164" t="e">
        <f>SUMIFS('Файл оценки'!#REF!,'Файл оценки'!#REF!,'Трудозатраты ПК'!$A35,'Файл оценки'!#REF!,'Трудозатраты ПК'!AU$46)</f>
        <v>#REF!</v>
      </c>
      <c r="AV35" s="164" t="e">
        <f>SUMIFS('Файл оценки'!#REF!,'Файл оценки'!#REF!,'Трудозатраты ПК'!$A35,'Файл оценки'!#REF!,'Трудозатраты ПК'!AV$46)</f>
        <v>#REF!</v>
      </c>
      <c r="AW35" s="164" t="e">
        <f>SUMIFS('Файл оценки'!#REF!,'Файл оценки'!#REF!,'Трудозатраты ПК'!$A35,'Файл оценки'!#REF!,'Трудозатраты ПК'!AW$46)</f>
        <v>#REF!</v>
      </c>
      <c r="AX35" s="164" t="e">
        <f>SUMIFS('Файл оценки'!#REF!,'Файл оценки'!#REF!,'Трудозатраты ПК'!$A35,'Файл оценки'!#REF!,'Трудозатраты ПК'!AX$46)</f>
        <v>#REF!</v>
      </c>
      <c r="AY35" s="165" t="e">
        <f t="shared" si="1"/>
        <v>#REF!</v>
      </c>
    </row>
    <row r="36" spans="1:53" ht="15.75" x14ac:dyDescent="0.25">
      <c r="A36" s="161">
        <f>Работы_Спецы!A26</f>
        <v>0</v>
      </c>
      <c r="B36" s="258"/>
      <c r="C36" s="162" t="e">
        <f t="shared" si="0"/>
        <v>#REF!</v>
      </c>
      <c r="D36" s="163" t="e">
        <f t="shared" si="2"/>
        <v>#REF!</v>
      </c>
      <c r="E36" s="164"/>
      <c r="F36" s="164"/>
      <c r="G36" s="164"/>
      <c r="H36" s="164"/>
      <c r="I36" s="164"/>
      <c r="J36" s="164" t="e">
        <f>SUMIFS('Файл оценки'!#REF!,'Файл оценки'!#REF!,'Трудозатраты ПК'!$A36,'Файл оценки'!#REF!,'Трудозатраты ПК'!J$46)</f>
        <v>#REF!</v>
      </c>
      <c r="K36" s="164" t="e">
        <f>SUMIFS('Файл оценки'!#REF!,'Файл оценки'!#REF!,'Трудозатраты ПК'!$A36,'Файл оценки'!#REF!,'Трудозатраты ПК'!K$46)</f>
        <v>#REF!</v>
      </c>
      <c r="L36" s="164" t="e">
        <f>SUMIFS('Файл оценки'!#REF!,'Файл оценки'!#REF!,'Трудозатраты ПК'!$A36,'Файл оценки'!#REF!,'Трудозатраты ПК'!L$46)</f>
        <v>#REF!</v>
      </c>
      <c r="M36" s="164" t="e">
        <f>SUMIFS('Файл оценки'!#REF!,'Файл оценки'!#REF!,'Трудозатраты ПК'!$A36,'Файл оценки'!#REF!,'Трудозатраты ПК'!M$46)</f>
        <v>#REF!</v>
      </c>
      <c r="N36" s="164" t="e">
        <f>SUMIFS('Файл оценки'!#REF!,'Файл оценки'!#REF!,'Трудозатраты ПК'!$A36,'Файл оценки'!#REF!,'Трудозатраты ПК'!N$46)</f>
        <v>#REF!</v>
      </c>
      <c r="O36" s="164" t="e">
        <f>SUMIFS('Файл оценки'!#REF!,'Файл оценки'!#REF!,'Трудозатраты ПК'!$A36,'Файл оценки'!#REF!,'Трудозатраты ПК'!O$46)</f>
        <v>#REF!</v>
      </c>
      <c r="P36" s="164" t="e">
        <f>SUMIFS('Файл оценки'!#REF!,'Файл оценки'!#REF!,'Трудозатраты ПК'!$A36,'Файл оценки'!#REF!,'Трудозатраты ПК'!P$46)</f>
        <v>#REF!</v>
      </c>
      <c r="Q36" s="164" t="e">
        <f>SUMIFS('Файл оценки'!#REF!,'Файл оценки'!#REF!,'Трудозатраты ПК'!$A36,'Файл оценки'!#REF!,'Трудозатраты ПК'!Q$46)</f>
        <v>#REF!</v>
      </c>
      <c r="R36" s="164" t="e">
        <f>SUMIFS('Файл оценки'!#REF!,'Файл оценки'!#REF!,'Трудозатраты ПК'!$A36,'Файл оценки'!#REF!,'Трудозатраты ПК'!R$46)</f>
        <v>#REF!</v>
      </c>
      <c r="S36" s="164" t="e">
        <f>SUMIFS('Файл оценки'!#REF!,'Файл оценки'!#REF!,'Трудозатраты ПК'!$A36,'Файл оценки'!#REF!,'Трудозатраты ПК'!S$46)</f>
        <v>#REF!</v>
      </c>
      <c r="T36" s="164" t="e">
        <f>SUMIFS('Файл оценки'!#REF!,'Файл оценки'!#REF!,'Трудозатраты ПК'!$A36,'Файл оценки'!#REF!,'Трудозатраты ПК'!T$46)</f>
        <v>#REF!</v>
      </c>
      <c r="U36" s="164" t="e">
        <f>SUMIFS('Файл оценки'!#REF!,'Файл оценки'!#REF!,'Трудозатраты ПК'!$A36,'Файл оценки'!#REF!,'Трудозатраты ПК'!U$46)</f>
        <v>#REF!</v>
      </c>
      <c r="V36" s="164" t="e">
        <f>SUMIFS('Файл оценки'!#REF!,'Файл оценки'!#REF!,'Трудозатраты ПК'!$A36,'Файл оценки'!#REF!,'Трудозатраты ПК'!V$46)</f>
        <v>#REF!</v>
      </c>
      <c r="W36" s="164" t="e">
        <f>SUMIFS('Файл оценки'!#REF!,'Файл оценки'!#REF!,'Трудозатраты ПК'!$A36,'Файл оценки'!#REF!,'Трудозатраты ПК'!W$46)</f>
        <v>#REF!</v>
      </c>
      <c r="X36" s="164" t="e">
        <f>SUMIFS('Файл оценки'!#REF!,'Файл оценки'!#REF!,'Трудозатраты ПК'!$A36,'Файл оценки'!#REF!,'Трудозатраты ПК'!X$46)</f>
        <v>#REF!</v>
      </c>
      <c r="Y36" s="164" t="e">
        <f>SUMIFS('Файл оценки'!#REF!,'Файл оценки'!#REF!,'Трудозатраты ПК'!$A36,'Файл оценки'!#REF!,'Трудозатраты ПК'!Y$46)</f>
        <v>#REF!</v>
      </c>
      <c r="Z36" s="164" t="e">
        <f>SUMIFS('Файл оценки'!#REF!,'Файл оценки'!#REF!,'Трудозатраты ПК'!$A36,'Файл оценки'!#REF!,'Трудозатраты ПК'!Z$46)</f>
        <v>#REF!</v>
      </c>
      <c r="AA36" s="164" t="e">
        <f>SUMIFS('Файл оценки'!#REF!,'Файл оценки'!#REF!,'Трудозатраты ПК'!$A36,'Файл оценки'!#REF!,'Трудозатраты ПК'!AA$46)</f>
        <v>#REF!</v>
      </c>
      <c r="AB36" s="164" t="e">
        <f>SUMIFS('Файл оценки'!#REF!,'Файл оценки'!#REF!,'Трудозатраты ПК'!$A36,'Файл оценки'!#REF!,'Трудозатраты ПК'!AB$46)</f>
        <v>#REF!</v>
      </c>
      <c r="AC36" s="164" t="e">
        <f>SUMIFS('Файл оценки'!#REF!,'Файл оценки'!#REF!,'Трудозатраты ПК'!$A36,'Файл оценки'!#REF!,'Трудозатраты ПК'!AC$46)</f>
        <v>#REF!</v>
      </c>
      <c r="AD36" s="164" t="e">
        <f>SUMIFS('Файл оценки'!#REF!,'Файл оценки'!#REF!,'Трудозатраты ПК'!$A36,'Файл оценки'!#REF!,'Трудозатраты ПК'!AD$46)</f>
        <v>#REF!</v>
      </c>
      <c r="AE36" s="164" t="e">
        <f>SUMIFS('Файл оценки'!#REF!,'Файл оценки'!#REF!,'Трудозатраты ПК'!$A36,'Файл оценки'!#REF!,'Трудозатраты ПК'!AE$46)</f>
        <v>#REF!</v>
      </c>
      <c r="AF36" s="164" t="e">
        <f>SUMIFS('Файл оценки'!#REF!,'Файл оценки'!#REF!,'Трудозатраты ПК'!$A36,'Файл оценки'!#REF!,'Трудозатраты ПК'!AF$46)</f>
        <v>#REF!</v>
      </c>
      <c r="AG36" s="164" t="e">
        <f>SUMIFS('Файл оценки'!#REF!,'Файл оценки'!#REF!,'Трудозатраты ПК'!$A36,'Файл оценки'!#REF!,'Трудозатраты ПК'!AG$46)</f>
        <v>#REF!</v>
      </c>
      <c r="AH36" s="164" t="e">
        <f>SUMIFS('Файл оценки'!#REF!,'Файл оценки'!#REF!,'Трудозатраты ПК'!$A36,'Файл оценки'!#REF!,'Трудозатраты ПК'!AH$46)</f>
        <v>#REF!</v>
      </c>
      <c r="AI36" s="164" t="e">
        <f>SUMIFS('Файл оценки'!#REF!,'Файл оценки'!#REF!,'Трудозатраты ПК'!$A36,'Файл оценки'!#REF!,'Трудозатраты ПК'!AI$46)</f>
        <v>#REF!</v>
      </c>
      <c r="AJ36" s="164" t="e">
        <f>SUMIFS('Файл оценки'!#REF!,'Файл оценки'!#REF!,'Трудозатраты ПК'!$A36,'Файл оценки'!#REF!,'Трудозатраты ПК'!AJ$46)</f>
        <v>#REF!</v>
      </c>
      <c r="AK36" s="164" t="e">
        <f>SUMIFS('Файл оценки'!#REF!,'Файл оценки'!#REF!,'Трудозатраты ПК'!$A36,'Файл оценки'!#REF!,'Трудозатраты ПК'!AK$46)</f>
        <v>#REF!</v>
      </c>
      <c r="AL36" s="164" t="e">
        <f>SUMIFS('Файл оценки'!#REF!,'Файл оценки'!#REF!,'Трудозатраты ПК'!$A36,'Файл оценки'!#REF!,'Трудозатраты ПК'!AL$46)</f>
        <v>#REF!</v>
      </c>
      <c r="AM36" s="164" t="e">
        <f>SUMIFS('Файл оценки'!#REF!,'Файл оценки'!#REF!,'Трудозатраты ПК'!$A36,'Файл оценки'!#REF!,'Трудозатраты ПК'!AM$46)</f>
        <v>#REF!</v>
      </c>
      <c r="AN36" s="164" t="e">
        <f>SUMIFS('Файл оценки'!#REF!,'Файл оценки'!#REF!,'Трудозатраты ПК'!$A36,'Файл оценки'!#REF!,'Трудозатраты ПК'!AN$46)</f>
        <v>#REF!</v>
      </c>
      <c r="AO36" s="164" t="e">
        <f>SUMIFS('Файл оценки'!#REF!,'Файл оценки'!#REF!,'Трудозатраты ПК'!$A36,'Файл оценки'!#REF!,'Трудозатраты ПК'!AO$46)</f>
        <v>#REF!</v>
      </c>
      <c r="AP36" s="164" t="e">
        <f>SUMIFS('Файл оценки'!#REF!,'Файл оценки'!#REF!,'Трудозатраты ПК'!$A36,'Файл оценки'!#REF!,'Трудозатраты ПК'!AP$46)</f>
        <v>#REF!</v>
      </c>
      <c r="AQ36" s="164" t="e">
        <f>SUMIFS('Файл оценки'!#REF!,'Файл оценки'!#REF!,'Трудозатраты ПК'!$A36,'Файл оценки'!#REF!,'Трудозатраты ПК'!AQ$46)</f>
        <v>#REF!</v>
      </c>
      <c r="AR36" s="164" t="e">
        <f>SUMIFS('Файл оценки'!#REF!,'Файл оценки'!#REF!,'Трудозатраты ПК'!$A36,'Файл оценки'!#REF!,'Трудозатраты ПК'!AR$46)</f>
        <v>#REF!</v>
      </c>
      <c r="AS36" s="164" t="e">
        <f>SUMIFS('Файл оценки'!#REF!,'Файл оценки'!#REF!,'Трудозатраты ПК'!$A36,'Файл оценки'!#REF!,'Трудозатраты ПК'!AS$46)</f>
        <v>#REF!</v>
      </c>
      <c r="AT36" s="164" t="e">
        <f>SUMIFS('Файл оценки'!#REF!,'Файл оценки'!#REF!,'Трудозатраты ПК'!$A36,'Файл оценки'!#REF!,'Трудозатраты ПК'!AT$46)</f>
        <v>#REF!</v>
      </c>
      <c r="AU36" s="164" t="e">
        <f>SUMIFS('Файл оценки'!#REF!,'Файл оценки'!#REF!,'Трудозатраты ПК'!$A36,'Файл оценки'!#REF!,'Трудозатраты ПК'!AU$46)</f>
        <v>#REF!</v>
      </c>
      <c r="AV36" s="164" t="e">
        <f>SUMIFS('Файл оценки'!#REF!,'Файл оценки'!#REF!,'Трудозатраты ПК'!$A36,'Файл оценки'!#REF!,'Трудозатраты ПК'!AV$46)</f>
        <v>#REF!</v>
      </c>
      <c r="AW36" s="164" t="e">
        <f>SUMIFS('Файл оценки'!#REF!,'Файл оценки'!#REF!,'Трудозатраты ПК'!$A36,'Файл оценки'!#REF!,'Трудозатраты ПК'!AW$46)</f>
        <v>#REF!</v>
      </c>
      <c r="AX36" s="164" t="e">
        <f>SUMIFS('Файл оценки'!#REF!,'Файл оценки'!#REF!,'Трудозатраты ПК'!$A36,'Файл оценки'!#REF!,'Трудозатраты ПК'!AX$46)</f>
        <v>#REF!</v>
      </c>
      <c r="AY36" s="165" t="e">
        <f t="shared" si="1"/>
        <v>#REF!</v>
      </c>
    </row>
    <row r="37" spans="1:53" ht="15.75" x14ac:dyDescent="0.25">
      <c r="A37" s="161">
        <f>Работы_Спецы!A27</f>
        <v>0</v>
      </c>
      <c r="B37" s="258"/>
      <c r="C37" s="162" t="e">
        <f t="shared" si="0"/>
        <v>#REF!</v>
      </c>
      <c r="D37" s="163" t="e">
        <f t="shared" si="2"/>
        <v>#REF!</v>
      </c>
      <c r="E37" s="164"/>
      <c r="F37" s="164"/>
      <c r="G37" s="164"/>
      <c r="H37" s="164"/>
      <c r="I37" s="164"/>
      <c r="J37" s="164" t="e">
        <f>SUMIFS('Файл оценки'!#REF!,'Файл оценки'!#REF!,'Трудозатраты ПК'!$A37,'Файл оценки'!#REF!,'Трудозатраты ПК'!J$46)</f>
        <v>#REF!</v>
      </c>
      <c r="K37" s="164" t="e">
        <f>SUMIFS('Файл оценки'!#REF!,'Файл оценки'!#REF!,'Трудозатраты ПК'!$A37,'Файл оценки'!#REF!,'Трудозатраты ПК'!K$46)</f>
        <v>#REF!</v>
      </c>
      <c r="L37" s="164" t="e">
        <f>SUMIFS('Файл оценки'!#REF!,'Файл оценки'!#REF!,'Трудозатраты ПК'!$A37,'Файл оценки'!#REF!,'Трудозатраты ПК'!L$46)</f>
        <v>#REF!</v>
      </c>
      <c r="M37" s="164" t="e">
        <f>SUMIFS('Файл оценки'!#REF!,'Файл оценки'!#REF!,'Трудозатраты ПК'!$A37,'Файл оценки'!#REF!,'Трудозатраты ПК'!M$46)</f>
        <v>#REF!</v>
      </c>
      <c r="N37" s="164" t="e">
        <f>SUMIFS('Файл оценки'!#REF!,'Файл оценки'!#REF!,'Трудозатраты ПК'!$A37,'Файл оценки'!#REF!,'Трудозатраты ПК'!N$46)</f>
        <v>#REF!</v>
      </c>
      <c r="O37" s="164" t="e">
        <f>SUMIFS('Файл оценки'!#REF!,'Файл оценки'!#REF!,'Трудозатраты ПК'!$A37,'Файл оценки'!#REF!,'Трудозатраты ПК'!O$46)</f>
        <v>#REF!</v>
      </c>
      <c r="P37" s="164" t="e">
        <f>SUMIFS('Файл оценки'!#REF!,'Файл оценки'!#REF!,'Трудозатраты ПК'!$A37,'Файл оценки'!#REF!,'Трудозатраты ПК'!P$46)</f>
        <v>#REF!</v>
      </c>
      <c r="Q37" s="164" t="e">
        <f>SUMIFS('Файл оценки'!#REF!,'Файл оценки'!#REF!,'Трудозатраты ПК'!$A37,'Файл оценки'!#REF!,'Трудозатраты ПК'!Q$46)</f>
        <v>#REF!</v>
      </c>
      <c r="R37" s="164" t="e">
        <f>SUMIFS('Файл оценки'!#REF!,'Файл оценки'!#REF!,'Трудозатраты ПК'!$A37,'Файл оценки'!#REF!,'Трудозатраты ПК'!R$46)</f>
        <v>#REF!</v>
      </c>
      <c r="S37" s="164" t="e">
        <f>SUMIFS('Файл оценки'!#REF!,'Файл оценки'!#REF!,'Трудозатраты ПК'!$A37,'Файл оценки'!#REF!,'Трудозатраты ПК'!S$46)</f>
        <v>#REF!</v>
      </c>
      <c r="T37" s="164" t="e">
        <f>SUMIFS('Файл оценки'!#REF!,'Файл оценки'!#REF!,'Трудозатраты ПК'!$A37,'Файл оценки'!#REF!,'Трудозатраты ПК'!T$46)</f>
        <v>#REF!</v>
      </c>
      <c r="U37" s="164" t="e">
        <f>SUMIFS('Файл оценки'!#REF!,'Файл оценки'!#REF!,'Трудозатраты ПК'!$A37,'Файл оценки'!#REF!,'Трудозатраты ПК'!U$46)</f>
        <v>#REF!</v>
      </c>
      <c r="V37" s="164" t="e">
        <f>SUMIFS('Файл оценки'!#REF!,'Файл оценки'!#REF!,'Трудозатраты ПК'!$A37,'Файл оценки'!#REF!,'Трудозатраты ПК'!V$46)</f>
        <v>#REF!</v>
      </c>
      <c r="W37" s="164" t="e">
        <f>SUMIFS('Файл оценки'!#REF!,'Файл оценки'!#REF!,'Трудозатраты ПК'!$A37,'Файл оценки'!#REF!,'Трудозатраты ПК'!W$46)</f>
        <v>#REF!</v>
      </c>
      <c r="X37" s="164" t="e">
        <f>SUMIFS('Файл оценки'!#REF!,'Файл оценки'!#REF!,'Трудозатраты ПК'!$A37,'Файл оценки'!#REF!,'Трудозатраты ПК'!X$46)</f>
        <v>#REF!</v>
      </c>
      <c r="Y37" s="164" t="e">
        <f>SUMIFS('Файл оценки'!#REF!,'Файл оценки'!#REF!,'Трудозатраты ПК'!$A37,'Файл оценки'!#REF!,'Трудозатраты ПК'!Y$46)</f>
        <v>#REF!</v>
      </c>
      <c r="Z37" s="164" t="e">
        <f>SUMIFS('Файл оценки'!#REF!,'Файл оценки'!#REF!,'Трудозатраты ПК'!$A37,'Файл оценки'!#REF!,'Трудозатраты ПК'!Z$46)</f>
        <v>#REF!</v>
      </c>
      <c r="AA37" s="164" t="e">
        <f>SUMIFS('Файл оценки'!#REF!,'Файл оценки'!#REF!,'Трудозатраты ПК'!$A37,'Файл оценки'!#REF!,'Трудозатраты ПК'!AA$46)</f>
        <v>#REF!</v>
      </c>
      <c r="AB37" s="164" t="e">
        <f>SUMIFS('Файл оценки'!#REF!,'Файл оценки'!#REF!,'Трудозатраты ПК'!$A37,'Файл оценки'!#REF!,'Трудозатраты ПК'!AB$46)</f>
        <v>#REF!</v>
      </c>
      <c r="AC37" s="164" t="e">
        <f>SUMIFS('Файл оценки'!#REF!,'Файл оценки'!#REF!,'Трудозатраты ПК'!$A37,'Файл оценки'!#REF!,'Трудозатраты ПК'!AC$46)</f>
        <v>#REF!</v>
      </c>
      <c r="AD37" s="164" t="e">
        <f>SUMIFS('Файл оценки'!#REF!,'Файл оценки'!#REF!,'Трудозатраты ПК'!$A37,'Файл оценки'!#REF!,'Трудозатраты ПК'!AD$46)</f>
        <v>#REF!</v>
      </c>
      <c r="AE37" s="164" t="e">
        <f>SUMIFS('Файл оценки'!#REF!,'Файл оценки'!#REF!,'Трудозатраты ПК'!$A37,'Файл оценки'!#REF!,'Трудозатраты ПК'!AE$46)</f>
        <v>#REF!</v>
      </c>
      <c r="AF37" s="164" t="e">
        <f>SUMIFS('Файл оценки'!#REF!,'Файл оценки'!#REF!,'Трудозатраты ПК'!$A37,'Файл оценки'!#REF!,'Трудозатраты ПК'!AF$46)</f>
        <v>#REF!</v>
      </c>
      <c r="AG37" s="164" t="e">
        <f>SUMIFS('Файл оценки'!#REF!,'Файл оценки'!#REF!,'Трудозатраты ПК'!$A37,'Файл оценки'!#REF!,'Трудозатраты ПК'!AG$46)</f>
        <v>#REF!</v>
      </c>
      <c r="AH37" s="164" t="e">
        <f>SUMIFS('Файл оценки'!#REF!,'Файл оценки'!#REF!,'Трудозатраты ПК'!$A37,'Файл оценки'!#REF!,'Трудозатраты ПК'!AH$46)</f>
        <v>#REF!</v>
      </c>
      <c r="AI37" s="164" t="e">
        <f>SUMIFS('Файл оценки'!#REF!,'Файл оценки'!#REF!,'Трудозатраты ПК'!$A37,'Файл оценки'!#REF!,'Трудозатраты ПК'!AI$46)</f>
        <v>#REF!</v>
      </c>
      <c r="AJ37" s="164" t="e">
        <f>SUMIFS('Файл оценки'!#REF!,'Файл оценки'!#REF!,'Трудозатраты ПК'!$A37,'Файл оценки'!#REF!,'Трудозатраты ПК'!AJ$46)</f>
        <v>#REF!</v>
      </c>
      <c r="AK37" s="164" t="e">
        <f>SUMIFS('Файл оценки'!#REF!,'Файл оценки'!#REF!,'Трудозатраты ПК'!$A37,'Файл оценки'!#REF!,'Трудозатраты ПК'!AK$46)</f>
        <v>#REF!</v>
      </c>
      <c r="AL37" s="164" t="e">
        <f>SUMIFS('Файл оценки'!#REF!,'Файл оценки'!#REF!,'Трудозатраты ПК'!$A37,'Файл оценки'!#REF!,'Трудозатраты ПК'!AL$46)</f>
        <v>#REF!</v>
      </c>
      <c r="AM37" s="164" t="e">
        <f>SUMIFS('Файл оценки'!#REF!,'Файл оценки'!#REF!,'Трудозатраты ПК'!$A37,'Файл оценки'!#REF!,'Трудозатраты ПК'!AM$46)</f>
        <v>#REF!</v>
      </c>
      <c r="AN37" s="164" t="e">
        <f>SUMIFS('Файл оценки'!#REF!,'Файл оценки'!#REF!,'Трудозатраты ПК'!$A37,'Файл оценки'!#REF!,'Трудозатраты ПК'!AN$46)</f>
        <v>#REF!</v>
      </c>
      <c r="AO37" s="164" t="e">
        <f>SUMIFS('Файл оценки'!#REF!,'Файл оценки'!#REF!,'Трудозатраты ПК'!$A37,'Файл оценки'!#REF!,'Трудозатраты ПК'!AO$46)</f>
        <v>#REF!</v>
      </c>
      <c r="AP37" s="164" t="e">
        <f>SUMIFS('Файл оценки'!#REF!,'Файл оценки'!#REF!,'Трудозатраты ПК'!$A37,'Файл оценки'!#REF!,'Трудозатраты ПК'!AP$46)</f>
        <v>#REF!</v>
      </c>
      <c r="AQ37" s="164" t="e">
        <f>SUMIFS('Файл оценки'!#REF!,'Файл оценки'!#REF!,'Трудозатраты ПК'!$A37,'Файл оценки'!#REF!,'Трудозатраты ПК'!AQ$46)</f>
        <v>#REF!</v>
      </c>
      <c r="AR37" s="164" t="e">
        <f>SUMIFS('Файл оценки'!#REF!,'Файл оценки'!#REF!,'Трудозатраты ПК'!$A37,'Файл оценки'!#REF!,'Трудозатраты ПК'!AR$46)</f>
        <v>#REF!</v>
      </c>
      <c r="AS37" s="164" t="e">
        <f>SUMIFS('Файл оценки'!#REF!,'Файл оценки'!#REF!,'Трудозатраты ПК'!$A37,'Файл оценки'!#REF!,'Трудозатраты ПК'!AS$46)</f>
        <v>#REF!</v>
      </c>
      <c r="AT37" s="164" t="e">
        <f>SUMIFS('Файл оценки'!#REF!,'Файл оценки'!#REF!,'Трудозатраты ПК'!$A37,'Файл оценки'!#REF!,'Трудозатраты ПК'!AT$46)</f>
        <v>#REF!</v>
      </c>
      <c r="AU37" s="164" t="e">
        <f>SUMIFS('Файл оценки'!#REF!,'Файл оценки'!#REF!,'Трудозатраты ПК'!$A37,'Файл оценки'!#REF!,'Трудозатраты ПК'!AU$46)</f>
        <v>#REF!</v>
      </c>
      <c r="AV37" s="164" t="e">
        <f>SUMIFS('Файл оценки'!#REF!,'Файл оценки'!#REF!,'Трудозатраты ПК'!$A37,'Файл оценки'!#REF!,'Трудозатраты ПК'!AV$46)</f>
        <v>#REF!</v>
      </c>
      <c r="AW37" s="164" t="e">
        <f>SUMIFS('Файл оценки'!#REF!,'Файл оценки'!#REF!,'Трудозатраты ПК'!$A37,'Файл оценки'!#REF!,'Трудозатраты ПК'!AW$46)</f>
        <v>#REF!</v>
      </c>
      <c r="AX37" s="164" t="e">
        <f>SUMIFS('Файл оценки'!#REF!,'Файл оценки'!#REF!,'Трудозатраты ПК'!$A37,'Файл оценки'!#REF!,'Трудозатраты ПК'!AX$46)</f>
        <v>#REF!</v>
      </c>
      <c r="AY37" s="165" t="e">
        <f t="shared" si="1"/>
        <v>#REF!</v>
      </c>
    </row>
    <row r="38" spans="1:53" ht="15.75" x14ac:dyDescent="0.25">
      <c r="A38" s="161">
        <f>Работы_Спецы!A28</f>
        <v>0</v>
      </c>
      <c r="B38" s="258"/>
      <c r="C38" s="162" t="e">
        <f t="shared" si="0"/>
        <v>#REF!</v>
      </c>
      <c r="D38" s="163" t="e">
        <f t="shared" si="2"/>
        <v>#REF!</v>
      </c>
      <c r="E38" s="164"/>
      <c r="F38" s="164"/>
      <c r="G38" s="164"/>
      <c r="H38" s="164"/>
      <c r="I38" s="164"/>
      <c r="J38" s="164" t="e">
        <f>SUMIFS('Файл оценки'!#REF!,'Файл оценки'!#REF!,'Трудозатраты ПК'!$A38,'Файл оценки'!#REF!,'Трудозатраты ПК'!J$46)</f>
        <v>#REF!</v>
      </c>
      <c r="K38" s="164" t="e">
        <f>SUMIFS('Файл оценки'!#REF!,'Файл оценки'!#REF!,'Трудозатраты ПК'!$A38,'Файл оценки'!#REF!,'Трудозатраты ПК'!K$46)</f>
        <v>#REF!</v>
      </c>
      <c r="L38" s="164" t="e">
        <f>SUMIFS('Файл оценки'!#REF!,'Файл оценки'!#REF!,'Трудозатраты ПК'!$A38,'Файл оценки'!#REF!,'Трудозатраты ПК'!L$46)</f>
        <v>#REF!</v>
      </c>
      <c r="M38" s="164" t="e">
        <f>SUMIFS('Файл оценки'!#REF!,'Файл оценки'!#REF!,'Трудозатраты ПК'!$A38,'Файл оценки'!#REF!,'Трудозатраты ПК'!M$46)</f>
        <v>#REF!</v>
      </c>
      <c r="N38" s="164" t="e">
        <f>SUMIFS('Файл оценки'!#REF!,'Файл оценки'!#REF!,'Трудозатраты ПК'!$A38,'Файл оценки'!#REF!,'Трудозатраты ПК'!N$46)</f>
        <v>#REF!</v>
      </c>
      <c r="O38" s="164" t="e">
        <f>SUMIFS('Файл оценки'!#REF!,'Файл оценки'!#REF!,'Трудозатраты ПК'!$A38,'Файл оценки'!#REF!,'Трудозатраты ПК'!O$46)</f>
        <v>#REF!</v>
      </c>
      <c r="P38" s="164" t="e">
        <f>SUMIFS('Файл оценки'!#REF!,'Файл оценки'!#REF!,'Трудозатраты ПК'!$A38,'Файл оценки'!#REF!,'Трудозатраты ПК'!P$46)</f>
        <v>#REF!</v>
      </c>
      <c r="Q38" s="164" t="e">
        <f>SUMIFS('Файл оценки'!#REF!,'Файл оценки'!#REF!,'Трудозатраты ПК'!$A38,'Файл оценки'!#REF!,'Трудозатраты ПК'!Q$46)</f>
        <v>#REF!</v>
      </c>
      <c r="R38" s="164" t="e">
        <f>SUMIFS('Файл оценки'!#REF!,'Файл оценки'!#REF!,'Трудозатраты ПК'!$A38,'Файл оценки'!#REF!,'Трудозатраты ПК'!R$46)</f>
        <v>#REF!</v>
      </c>
      <c r="S38" s="164" t="e">
        <f>SUMIFS('Файл оценки'!#REF!,'Файл оценки'!#REF!,'Трудозатраты ПК'!$A38,'Файл оценки'!#REF!,'Трудозатраты ПК'!S$46)</f>
        <v>#REF!</v>
      </c>
      <c r="T38" s="164" t="e">
        <f>SUMIFS('Файл оценки'!#REF!,'Файл оценки'!#REF!,'Трудозатраты ПК'!$A38,'Файл оценки'!#REF!,'Трудозатраты ПК'!T$46)</f>
        <v>#REF!</v>
      </c>
      <c r="U38" s="164" t="e">
        <f>SUMIFS('Файл оценки'!#REF!,'Файл оценки'!#REF!,'Трудозатраты ПК'!$A38,'Файл оценки'!#REF!,'Трудозатраты ПК'!U$46)</f>
        <v>#REF!</v>
      </c>
      <c r="V38" s="164" t="e">
        <f>SUMIFS('Файл оценки'!#REF!,'Файл оценки'!#REF!,'Трудозатраты ПК'!$A38,'Файл оценки'!#REF!,'Трудозатраты ПК'!V$46)</f>
        <v>#REF!</v>
      </c>
      <c r="W38" s="164" t="e">
        <f>SUMIFS('Файл оценки'!#REF!,'Файл оценки'!#REF!,'Трудозатраты ПК'!$A38,'Файл оценки'!#REF!,'Трудозатраты ПК'!W$46)</f>
        <v>#REF!</v>
      </c>
      <c r="X38" s="164" t="e">
        <f>SUMIFS('Файл оценки'!#REF!,'Файл оценки'!#REF!,'Трудозатраты ПК'!$A38,'Файл оценки'!#REF!,'Трудозатраты ПК'!X$46)</f>
        <v>#REF!</v>
      </c>
      <c r="Y38" s="164" t="e">
        <f>SUMIFS('Файл оценки'!#REF!,'Файл оценки'!#REF!,'Трудозатраты ПК'!$A38,'Файл оценки'!#REF!,'Трудозатраты ПК'!Y$46)</f>
        <v>#REF!</v>
      </c>
      <c r="Z38" s="164" t="e">
        <f>SUMIFS('Файл оценки'!#REF!,'Файл оценки'!#REF!,'Трудозатраты ПК'!$A38,'Файл оценки'!#REF!,'Трудозатраты ПК'!Z$46)</f>
        <v>#REF!</v>
      </c>
      <c r="AA38" s="164" t="e">
        <f>SUMIFS('Файл оценки'!#REF!,'Файл оценки'!#REF!,'Трудозатраты ПК'!$A38,'Файл оценки'!#REF!,'Трудозатраты ПК'!AA$46)</f>
        <v>#REF!</v>
      </c>
      <c r="AB38" s="164" t="e">
        <f>SUMIFS('Файл оценки'!#REF!,'Файл оценки'!#REF!,'Трудозатраты ПК'!$A38,'Файл оценки'!#REF!,'Трудозатраты ПК'!AB$46)</f>
        <v>#REF!</v>
      </c>
      <c r="AC38" s="164" t="e">
        <f>SUMIFS('Файл оценки'!#REF!,'Файл оценки'!#REF!,'Трудозатраты ПК'!$A38,'Файл оценки'!#REF!,'Трудозатраты ПК'!AC$46)</f>
        <v>#REF!</v>
      </c>
      <c r="AD38" s="164" t="e">
        <f>SUMIFS('Файл оценки'!#REF!,'Файл оценки'!#REF!,'Трудозатраты ПК'!$A38,'Файл оценки'!#REF!,'Трудозатраты ПК'!AD$46)</f>
        <v>#REF!</v>
      </c>
      <c r="AE38" s="164" t="e">
        <f>SUMIFS('Файл оценки'!#REF!,'Файл оценки'!#REF!,'Трудозатраты ПК'!$A38,'Файл оценки'!#REF!,'Трудозатраты ПК'!AE$46)</f>
        <v>#REF!</v>
      </c>
      <c r="AF38" s="164" t="e">
        <f>SUMIFS('Файл оценки'!#REF!,'Файл оценки'!#REF!,'Трудозатраты ПК'!$A38,'Файл оценки'!#REF!,'Трудозатраты ПК'!AF$46)</f>
        <v>#REF!</v>
      </c>
      <c r="AG38" s="164" t="e">
        <f>SUMIFS('Файл оценки'!#REF!,'Файл оценки'!#REF!,'Трудозатраты ПК'!$A38,'Файл оценки'!#REF!,'Трудозатраты ПК'!AG$46)</f>
        <v>#REF!</v>
      </c>
      <c r="AH38" s="164" t="e">
        <f>SUMIFS('Файл оценки'!#REF!,'Файл оценки'!#REF!,'Трудозатраты ПК'!$A38,'Файл оценки'!#REF!,'Трудозатраты ПК'!AH$46)</f>
        <v>#REF!</v>
      </c>
      <c r="AI38" s="164" t="e">
        <f>SUMIFS('Файл оценки'!#REF!,'Файл оценки'!#REF!,'Трудозатраты ПК'!$A38,'Файл оценки'!#REF!,'Трудозатраты ПК'!AI$46)</f>
        <v>#REF!</v>
      </c>
      <c r="AJ38" s="164" t="e">
        <f>SUMIFS('Файл оценки'!#REF!,'Файл оценки'!#REF!,'Трудозатраты ПК'!$A38,'Файл оценки'!#REF!,'Трудозатраты ПК'!AJ$46)</f>
        <v>#REF!</v>
      </c>
      <c r="AK38" s="164" t="e">
        <f>SUMIFS('Файл оценки'!#REF!,'Файл оценки'!#REF!,'Трудозатраты ПК'!$A38,'Файл оценки'!#REF!,'Трудозатраты ПК'!AK$46)</f>
        <v>#REF!</v>
      </c>
      <c r="AL38" s="164" t="e">
        <f>SUMIFS('Файл оценки'!#REF!,'Файл оценки'!#REF!,'Трудозатраты ПК'!$A38,'Файл оценки'!#REF!,'Трудозатраты ПК'!AL$46)</f>
        <v>#REF!</v>
      </c>
      <c r="AM38" s="164" t="e">
        <f>SUMIFS('Файл оценки'!#REF!,'Файл оценки'!#REF!,'Трудозатраты ПК'!$A38,'Файл оценки'!#REF!,'Трудозатраты ПК'!AM$46)</f>
        <v>#REF!</v>
      </c>
      <c r="AN38" s="164" t="e">
        <f>SUMIFS('Файл оценки'!#REF!,'Файл оценки'!#REF!,'Трудозатраты ПК'!$A38,'Файл оценки'!#REF!,'Трудозатраты ПК'!AN$46)</f>
        <v>#REF!</v>
      </c>
      <c r="AO38" s="164" t="e">
        <f>SUMIFS('Файл оценки'!#REF!,'Файл оценки'!#REF!,'Трудозатраты ПК'!$A38,'Файл оценки'!#REF!,'Трудозатраты ПК'!AO$46)</f>
        <v>#REF!</v>
      </c>
      <c r="AP38" s="164" t="e">
        <f>SUMIFS('Файл оценки'!#REF!,'Файл оценки'!#REF!,'Трудозатраты ПК'!$A38,'Файл оценки'!#REF!,'Трудозатраты ПК'!AP$46)</f>
        <v>#REF!</v>
      </c>
      <c r="AQ38" s="164" t="e">
        <f>SUMIFS('Файл оценки'!#REF!,'Файл оценки'!#REF!,'Трудозатраты ПК'!$A38,'Файл оценки'!#REF!,'Трудозатраты ПК'!AQ$46)</f>
        <v>#REF!</v>
      </c>
      <c r="AR38" s="164" t="e">
        <f>SUMIFS('Файл оценки'!#REF!,'Файл оценки'!#REF!,'Трудозатраты ПК'!$A38,'Файл оценки'!#REF!,'Трудозатраты ПК'!AR$46)</f>
        <v>#REF!</v>
      </c>
      <c r="AS38" s="164" t="e">
        <f>SUMIFS('Файл оценки'!#REF!,'Файл оценки'!#REF!,'Трудозатраты ПК'!$A38,'Файл оценки'!#REF!,'Трудозатраты ПК'!AS$46)</f>
        <v>#REF!</v>
      </c>
      <c r="AT38" s="164" t="e">
        <f>SUMIFS('Файл оценки'!#REF!,'Файл оценки'!#REF!,'Трудозатраты ПК'!$A38,'Файл оценки'!#REF!,'Трудозатраты ПК'!AT$46)</f>
        <v>#REF!</v>
      </c>
      <c r="AU38" s="164" t="e">
        <f>SUMIFS('Файл оценки'!#REF!,'Файл оценки'!#REF!,'Трудозатраты ПК'!$A38,'Файл оценки'!#REF!,'Трудозатраты ПК'!AU$46)</f>
        <v>#REF!</v>
      </c>
      <c r="AV38" s="164" t="e">
        <f>SUMIFS('Файл оценки'!#REF!,'Файл оценки'!#REF!,'Трудозатраты ПК'!$A38,'Файл оценки'!#REF!,'Трудозатраты ПК'!AV$46)</f>
        <v>#REF!</v>
      </c>
      <c r="AW38" s="164" t="e">
        <f>SUMIFS('Файл оценки'!#REF!,'Файл оценки'!#REF!,'Трудозатраты ПК'!$A38,'Файл оценки'!#REF!,'Трудозатраты ПК'!AW$46)</f>
        <v>#REF!</v>
      </c>
      <c r="AX38" s="164" t="e">
        <f>SUMIFS('Файл оценки'!#REF!,'Файл оценки'!#REF!,'Трудозатраты ПК'!$A38,'Файл оценки'!#REF!,'Трудозатраты ПК'!AX$46)</f>
        <v>#REF!</v>
      </c>
      <c r="AY38" s="165" t="e">
        <f t="shared" si="1"/>
        <v>#REF!</v>
      </c>
    </row>
    <row r="39" spans="1:53" ht="15.75" x14ac:dyDescent="0.25">
      <c r="A39" s="161">
        <f>Работы_Спецы!A29</f>
        <v>0</v>
      </c>
      <c r="B39" s="258"/>
      <c r="C39" s="162" t="e">
        <f t="shared" si="0"/>
        <v>#REF!</v>
      </c>
      <c r="D39" s="163" t="e">
        <f t="shared" si="2"/>
        <v>#REF!</v>
      </c>
      <c r="E39" s="164"/>
      <c r="F39" s="164"/>
      <c r="G39" s="164"/>
      <c r="H39" s="164"/>
      <c r="I39" s="164"/>
      <c r="J39" s="164" t="e">
        <f>SUMIFS('Файл оценки'!#REF!,'Файл оценки'!#REF!,'Трудозатраты ПК'!$A39,'Файл оценки'!#REF!,'Трудозатраты ПК'!J$46)</f>
        <v>#REF!</v>
      </c>
      <c r="K39" s="164" t="e">
        <f>SUMIFS('Файл оценки'!#REF!,'Файл оценки'!#REF!,'Трудозатраты ПК'!$A39,'Файл оценки'!#REF!,'Трудозатраты ПК'!K$46)</f>
        <v>#REF!</v>
      </c>
      <c r="L39" s="164" t="e">
        <f>SUMIFS('Файл оценки'!#REF!,'Файл оценки'!#REF!,'Трудозатраты ПК'!$A39,'Файл оценки'!#REF!,'Трудозатраты ПК'!L$46)</f>
        <v>#REF!</v>
      </c>
      <c r="M39" s="164" t="e">
        <f>SUMIFS('Файл оценки'!#REF!,'Файл оценки'!#REF!,'Трудозатраты ПК'!$A39,'Файл оценки'!#REF!,'Трудозатраты ПК'!M$46)</f>
        <v>#REF!</v>
      </c>
      <c r="N39" s="164" t="e">
        <f>SUMIFS('Файл оценки'!#REF!,'Файл оценки'!#REF!,'Трудозатраты ПК'!$A39,'Файл оценки'!#REF!,'Трудозатраты ПК'!N$46)</f>
        <v>#REF!</v>
      </c>
      <c r="O39" s="164" t="e">
        <f>SUMIFS('Файл оценки'!#REF!,'Файл оценки'!#REF!,'Трудозатраты ПК'!$A39,'Файл оценки'!#REF!,'Трудозатраты ПК'!O$46)</f>
        <v>#REF!</v>
      </c>
      <c r="P39" s="164" t="e">
        <f>SUMIFS('Файл оценки'!#REF!,'Файл оценки'!#REF!,'Трудозатраты ПК'!$A39,'Файл оценки'!#REF!,'Трудозатраты ПК'!P$46)</f>
        <v>#REF!</v>
      </c>
      <c r="Q39" s="164" t="e">
        <f>SUMIFS('Файл оценки'!#REF!,'Файл оценки'!#REF!,'Трудозатраты ПК'!$A39,'Файл оценки'!#REF!,'Трудозатраты ПК'!Q$46)</f>
        <v>#REF!</v>
      </c>
      <c r="R39" s="164" t="e">
        <f>SUMIFS('Файл оценки'!#REF!,'Файл оценки'!#REF!,'Трудозатраты ПК'!$A39,'Файл оценки'!#REF!,'Трудозатраты ПК'!R$46)</f>
        <v>#REF!</v>
      </c>
      <c r="S39" s="164" t="e">
        <f>SUMIFS('Файл оценки'!#REF!,'Файл оценки'!#REF!,'Трудозатраты ПК'!$A39,'Файл оценки'!#REF!,'Трудозатраты ПК'!S$46)</f>
        <v>#REF!</v>
      </c>
      <c r="T39" s="164" t="e">
        <f>SUMIFS('Файл оценки'!#REF!,'Файл оценки'!#REF!,'Трудозатраты ПК'!$A39,'Файл оценки'!#REF!,'Трудозатраты ПК'!T$46)</f>
        <v>#REF!</v>
      </c>
      <c r="U39" s="164" t="e">
        <f>SUMIFS('Файл оценки'!#REF!,'Файл оценки'!#REF!,'Трудозатраты ПК'!$A39,'Файл оценки'!#REF!,'Трудозатраты ПК'!U$46)</f>
        <v>#REF!</v>
      </c>
      <c r="V39" s="164" t="e">
        <f>SUMIFS('Файл оценки'!#REF!,'Файл оценки'!#REF!,'Трудозатраты ПК'!$A39,'Файл оценки'!#REF!,'Трудозатраты ПК'!V$46)</f>
        <v>#REF!</v>
      </c>
      <c r="W39" s="164" t="e">
        <f>SUMIFS('Файл оценки'!#REF!,'Файл оценки'!#REF!,'Трудозатраты ПК'!$A39,'Файл оценки'!#REF!,'Трудозатраты ПК'!W$46)</f>
        <v>#REF!</v>
      </c>
      <c r="X39" s="164" t="e">
        <f>SUMIFS('Файл оценки'!#REF!,'Файл оценки'!#REF!,'Трудозатраты ПК'!$A39,'Файл оценки'!#REF!,'Трудозатраты ПК'!X$46)</f>
        <v>#REF!</v>
      </c>
      <c r="Y39" s="164" t="e">
        <f>SUMIFS('Файл оценки'!#REF!,'Файл оценки'!#REF!,'Трудозатраты ПК'!$A39,'Файл оценки'!#REF!,'Трудозатраты ПК'!Y$46)</f>
        <v>#REF!</v>
      </c>
      <c r="Z39" s="164" t="e">
        <f>SUMIFS('Файл оценки'!#REF!,'Файл оценки'!#REF!,'Трудозатраты ПК'!$A39,'Файл оценки'!#REF!,'Трудозатраты ПК'!Z$46)</f>
        <v>#REF!</v>
      </c>
      <c r="AA39" s="164" t="e">
        <f>SUMIFS('Файл оценки'!#REF!,'Файл оценки'!#REF!,'Трудозатраты ПК'!$A39,'Файл оценки'!#REF!,'Трудозатраты ПК'!AA$46)</f>
        <v>#REF!</v>
      </c>
      <c r="AB39" s="164" t="e">
        <f>SUMIFS('Файл оценки'!#REF!,'Файл оценки'!#REF!,'Трудозатраты ПК'!$A39,'Файл оценки'!#REF!,'Трудозатраты ПК'!AB$46)</f>
        <v>#REF!</v>
      </c>
      <c r="AC39" s="164" t="e">
        <f>SUMIFS('Файл оценки'!#REF!,'Файл оценки'!#REF!,'Трудозатраты ПК'!$A39,'Файл оценки'!#REF!,'Трудозатраты ПК'!AC$46)</f>
        <v>#REF!</v>
      </c>
      <c r="AD39" s="164" t="e">
        <f>SUMIFS('Файл оценки'!#REF!,'Файл оценки'!#REF!,'Трудозатраты ПК'!$A39,'Файл оценки'!#REF!,'Трудозатраты ПК'!AD$46)</f>
        <v>#REF!</v>
      </c>
      <c r="AE39" s="164" t="e">
        <f>SUMIFS('Файл оценки'!#REF!,'Файл оценки'!#REF!,'Трудозатраты ПК'!$A39,'Файл оценки'!#REF!,'Трудозатраты ПК'!AE$46)</f>
        <v>#REF!</v>
      </c>
      <c r="AF39" s="164" t="e">
        <f>SUMIFS('Файл оценки'!#REF!,'Файл оценки'!#REF!,'Трудозатраты ПК'!$A39,'Файл оценки'!#REF!,'Трудозатраты ПК'!AF$46)</f>
        <v>#REF!</v>
      </c>
      <c r="AG39" s="164" t="e">
        <f>SUMIFS('Файл оценки'!#REF!,'Файл оценки'!#REF!,'Трудозатраты ПК'!$A39,'Файл оценки'!#REF!,'Трудозатраты ПК'!AG$46)</f>
        <v>#REF!</v>
      </c>
      <c r="AH39" s="164" t="e">
        <f>SUMIFS('Файл оценки'!#REF!,'Файл оценки'!#REF!,'Трудозатраты ПК'!$A39,'Файл оценки'!#REF!,'Трудозатраты ПК'!AH$46)</f>
        <v>#REF!</v>
      </c>
      <c r="AI39" s="164" t="e">
        <f>SUMIFS('Файл оценки'!#REF!,'Файл оценки'!#REF!,'Трудозатраты ПК'!$A39,'Файл оценки'!#REF!,'Трудозатраты ПК'!AI$46)</f>
        <v>#REF!</v>
      </c>
      <c r="AJ39" s="164" t="e">
        <f>SUMIFS('Файл оценки'!#REF!,'Файл оценки'!#REF!,'Трудозатраты ПК'!$A39,'Файл оценки'!#REF!,'Трудозатраты ПК'!AJ$46)</f>
        <v>#REF!</v>
      </c>
      <c r="AK39" s="164" t="e">
        <f>SUMIFS('Файл оценки'!#REF!,'Файл оценки'!#REF!,'Трудозатраты ПК'!$A39,'Файл оценки'!#REF!,'Трудозатраты ПК'!AK$46)</f>
        <v>#REF!</v>
      </c>
      <c r="AL39" s="164" t="e">
        <f>SUMIFS('Файл оценки'!#REF!,'Файл оценки'!#REF!,'Трудозатраты ПК'!$A39,'Файл оценки'!#REF!,'Трудозатраты ПК'!AL$46)</f>
        <v>#REF!</v>
      </c>
      <c r="AM39" s="164" t="e">
        <f>SUMIFS('Файл оценки'!#REF!,'Файл оценки'!#REF!,'Трудозатраты ПК'!$A39,'Файл оценки'!#REF!,'Трудозатраты ПК'!AM$46)</f>
        <v>#REF!</v>
      </c>
      <c r="AN39" s="164" t="e">
        <f>SUMIFS('Файл оценки'!#REF!,'Файл оценки'!#REF!,'Трудозатраты ПК'!$A39,'Файл оценки'!#REF!,'Трудозатраты ПК'!AN$46)</f>
        <v>#REF!</v>
      </c>
      <c r="AO39" s="164" t="e">
        <f>SUMIFS('Файл оценки'!#REF!,'Файл оценки'!#REF!,'Трудозатраты ПК'!$A39,'Файл оценки'!#REF!,'Трудозатраты ПК'!AO$46)</f>
        <v>#REF!</v>
      </c>
      <c r="AP39" s="164" t="e">
        <f>SUMIFS('Файл оценки'!#REF!,'Файл оценки'!#REF!,'Трудозатраты ПК'!$A39,'Файл оценки'!#REF!,'Трудозатраты ПК'!AP$46)</f>
        <v>#REF!</v>
      </c>
      <c r="AQ39" s="164" t="e">
        <f>SUMIFS('Файл оценки'!#REF!,'Файл оценки'!#REF!,'Трудозатраты ПК'!$A39,'Файл оценки'!#REF!,'Трудозатраты ПК'!AQ$46)</f>
        <v>#REF!</v>
      </c>
      <c r="AR39" s="164" t="e">
        <f>SUMIFS('Файл оценки'!#REF!,'Файл оценки'!#REF!,'Трудозатраты ПК'!$A39,'Файл оценки'!#REF!,'Трудозатраты ПК'!AR$46)</f>
        <v>#REF!</v>
      </c>
      <c r="AS39" s="164" t="e">
        <f>SUMIFS('Файл оценки'!#REF!,'Файл оценки'!#REF!,'Трудозатраты ПК'!$A39,'Файл оценки'!#REF!,'Трудозатраты ПК'!AS$46)</f>
        <v>#REF!</v>
      </c>
      <c r="AT39" s="164" t="e">
        <f>SUMIFS('Файл оценки'!#REF!,'Файл оценки'!#REF!,'Трудозатраты ПК'!$A39,'Файл оценки'!#REF!,'Трудозатраты ПК'!AT$46)</f>
        <v>#REF!</v>
      </c>
      <c r="AU39" s="164" t="e">
        <f>SUMIFS('Файл оценки'!#REF!,'Файл оценки'!#REF!,'Трудозатраты ПК'!$A39,'Файл оценки'!#REF!,'Трудозатраты ПК'!AU$46)</f>
        <v>#REF!</v>
      </c>
      <c r="AV39" s="164" t="e">
        <f>SUMIFS('Файл оценки'!#REF!,'Файл оценки'!#REF!,'Трудозатраты ПК'!$A39,'Файл оценки'!#REF!,'Трудозатраты ПК'!AV$46)</f>
        <v>#REF!</v>
      </c>
      <c r="AW39" s="164" t="e">
        <f>SUMIFS('Файл оценки'!#REF!,'Файл оценки'!#REF!,'Трудозатраты ПК'!$A39,'Файл оценки'!#REF!,'Трудозатраты ПК'!AW$46)</f>
        <v>#REF!</v>
      </c>
      <c r="AX39" s="164" t="e">
        <f>SUMIFS('Файл оценки'!#REF!,'Файл оценки'!#REF!,'Трудозатраты ПК'!$A39,'Файл оценки'!#REF!,'Трудозатраты ПК'!AX$46)</f>
        <v>#REF!</v>
      </c>
      <c r="AY39" s="165" t="e">
        <f t="shared" si="1"/>
        <v>#REF!</v>
      </c>
    </row>
    <row r="40" spans="1:53" ht="15.75" x14ac:dyDescent="0.25">
      <c r="A40" s="161">
        <f>Работы_Спецы!A30</f>
        <v>0</v>
      </c>
      <c r="B40" s="258"/>
      <c r="C40" s="162" t="e">
        <f t="shared" si="0"/>
        <v>#REF!</v>
      </c>
      <c r="D40" s="163" t="e">
        <f t="shared" si="2"/>
        <v>#REF!</v>
      </c>
      <c r="E40" s="164"/>
      <c r="F40" s="164"/>
      <c r="G40" s="164"/>
      <c r="H40" s="164"/>
      <c r="I40" s="164"/>
      <c r="J40" s="164" t="e">
        <f>SUMIFS('Файл оценки'!#REF!,'Файл оценки'!#REF!,'Трудозатраты ПК'!$A40,'Файл оценки'!#REF!,'Трудозатраты ПК'!J$46)</f>
        <v>#REF!</v>
      </c>
      <c r="K40" s="164" t="e">
        <f>SUMIFS('Файл оценки'!#REF!,'Файл оценки'!#REF!,'Трудозатраты ПК'!$A40,'Файл оценки'!#REF!,'Трудозатраты ПК'!K$46)</f>
        <v>#REF!</v>
      </c>
      <c r="L40" s="164" t="e">
        <f>SUMIFS('Файл оценки'!#REF!,'Файл оценки'!#REF!,'Трудозатраты ПК'!$A40,'Файл оценки'!#REF!,'Трудозатраты ПК'!L$46)</f>
        <v>#REF!</v>
      </c>
      <c r="M40" s="164" t="e">
        <f>SUMIFS('Файл оценки'!#REF!,'Файл оценки'!#REF!,'Трудозатраты ПК'!$A40,'Файл оценки'!#REF!,'Трудозатраты ПК'!M$46)</f>
        <v>#REF!</v>
      </c>
      <c r="N40" s="164" t="e">
        <f>SUMIFS('Файл оценки'!#REF!,'Файл оценки'!#REF!,'Трудозатраты ПК'!$A40,'Файл оценки'!#REF!,'Трудозатраты ПК'!N$46)</f>
        <v>#REF!</v>
      </c>
      <c r="O40" s="164" t="e">
        <f>SUMIFS('Файл оценки'!#REF!,'Файл оценки'!#REF!,'Трудозатраты ПК'!$A40,'Файл оценки'!#REF!,'Трудозатраты ПК'!O$46)</f>
        <v>#REF!</v>
      </c>
      <c r="P40" s="164" t="e">
        <f>SUMIFS('Файл оценки'!#REF!,'Файл оценки'!#REF!,'Трудозатраты ПК'!$A40,'Файл оценки'!#REF!,'Трудозатраты ПК'!P$46)</f>
        <v>#REF!</v>
      </c>
      <c r="Q40" s="164" t="e">
        <f>SUMIFS('Файл оценки'!#REF!,'Файл оценки'!#REF!,'Трудозатраты ПК'!$A40,'Файл оценки'!#REF!,'Трудозатраты ПК'!Q$46)</f>
        <v>#REF!</v>
      </c>
      <c r="R40" s="164" t="e">
        <f>SUMIFS('Файл оценки'!#REF!,'Файл оценки'!#REF!,'Трудозатраты ПК'!$A40,'Файл оценки'!#REF!,'Трудозатраты ПК'!R$46)</f>
        <v>#REF!</v>
      </c>
      <c r="S40" s="164" t="e">
        <f>SUMIFS('Файл оценки'!#REF!,'Файл оценки'!#REF!,'Трудозатраты ПК'!$A40,'Файл оценки'!#REF!,'Трудозатраты ПК'!S$46)</f>
        <v>#REF!</v>
      </c>
      <c r="T40" s="164" t="e">
        <f>SUMIFS('Файл оценки'!#REF!,'Файл оценки'!#REF!,'Трудозатраты ПК'!$A40,'Файл оценки'!#REF!,'Трудозатраты ПК'!T$46)</f>
        <v>#REF!</v>
      </c>
      <c r="U40" s="164" t="e">
        <f>SUMIFS('Файл оценки'!#REF!,'Файл оценки'!#REF!,'Трудозатраты ПК'!$A40,'Файл оценки'!#REF!,'Трудозатраты ПК'!U$46)</f>
        <v>#REF!</v>
      </c>
      <c r="V40" s="164" t="e">
        <f>SUMIFS('Файл оценки'!#REF!,'Файл оценки'!#REF!,'Трудозатраты ПК'!$A40,'Файл оценки'!#REF!,'Трудозатраты ПК'!V$46)</f>
        <v>#REF!</v>
      </c>
      <c r="W40" s="164" t="e">
        <f>SUMIFS('Файл оценки'!#REF!,'Файл оценки'!#REF!,'Трудозатраты ПК'!$A40,'Файл оценки'!#REF!,'Трудозатраты ПК'!W$46)</f>
        <v>#REF!</v>
      </c>
      <c r="X40" s="164" t="e">
        <f>SUMIFS('Файл оценки'!#REF!,'Файл оценки'!#REF!,'Трудозатраты ПК'!$A40,'Файл оценки'!#REF!,'Трудозатраты ПК'!X$46)</f>
        <v>#REF!</v>
      </c>
      <c r="Y40" s="164" t="e">
        <f>SUMIFS('Файл оценки'!#REF!,'Файл оценки'!#REF!,'Трудозатраты ПК'!$A40,'Файл оценки'!#REF!,'Трудозатраты ПК'!Y$46)</f>
        <v>#REF!</v>
      </c>
      <c r="Z40" s="164" t="e">
        <f>SUMIFS('Файл оценки'!#REF!,'Файл оценки'!#REF!,'Трудозатраты ПК'!$A40,'Файл оценки'!#REF!,'Трудозатраты ПК'!Z$46)</f>
        <v>#REF!</v>
      </c>
      <c r="AA40" s="164" t="e">
        <f>SUMIFS('Файл оценки'!#REF!,'Файл оценки'!#REF!,'Трудозатраты ПК'!$A40,'Файл оценки'!#REF!,'Трудозатраты ПК'!AA$46)</f>
        <v>#REF!</v>
      </c>
      <c r="AB40" s="164" t="e">
        <f>SUMIFS('Файл оценки'!#REF!,'Файл оценки'!#REF!,'Трудозатраты ПК'!$A40,'Файл оценки'!#REF!,'Трудозатраты ПК'!AB$46)</f>
        <v>#REF!</v>
      </c>
      <c r="AC40" s="164" t="e">
        <f>SUMIFS('Файл оценки'!#REF!,'Файл оценки'!#REF!,'Трудозатраты ПК'!$A40,'Файл оценки'!#REF!,'Трудозатраты ПК'!AC$46)</f>
        <v>#REF!</v>
      </c>
      <c r="AD40" s="164" t="e">
        <f>SUMIFS('Файл оценки'!#REF!,'Файл оценки'!#REF!,'Трудозатраты ПК'!$A40,'Файл оценки'!#REF!,'Трудозатраты ПК'!AD$46)</f>
        <v>#REF!</v>
      </c>
      <c r="AE40" s="164" t="e">
        <f>SUMIFS('Файл оценки'!#REF!,'Файл оценки'!#REF!,'Трудозатраты ПК'!$A40,'Файл оценки'!#REF!,'Трудозатраты ПК'!AE$46)</f>
        <v>#REF!</v>
      </c>
      <c r="AF40" s="164" t="e">
        <f>SUMIFS('Файл оценки'!#REF!,'Файл оценки'!#REF!,'Трудозатраты ПК'!$A40,'Файл оценки'!#REF!,'Трудозатраты ПК'!AF$46)</f>
        <v>#REF!</v>
      </c>
      <c r="AG40" s="164" t="e">
        <f>SUMIFS('Файл оценки'!#REF!,'Файл оценки'!#REF!,'Трудозатраты ПК'!$A40,'Файл оценки'!#REF!,'Трудозатраты ПК'!AG$46)</f>
        <v>#REF!</v>
      </c>
      <c r="AH40" s="164" t="e">
        <f>SUMIFS('Файл оценки'!#REF!,'Файл оценки'!#REF!,'Трудозатраты ПК'!$A40,'Файл оценки'!#REF!,'Трудозатраты ПК'!AH$46)</f>
        <v>#REF!</v>
      </c>
      <c r="AI40" s="164" t="e">
        <f>SUMIFS('Файл оценки'!#REF!,'Файл оценки'!#REF!,'Трудозатраты ПК'!$A40,'Файл оценки'!#REF!,'Трудозатраты ПК'!AI$46)</f>
        <v>#REF!</v>
      </c>
      <c r="AJ40" s="164" t="e">
        <f>SUMIFS('Файл оценки'!#REF!,'Файл оценки'!#REF!,'Трудозатраты ПК'!$A40,'Файл оценки'!#REF!,'Трудозатраты ПК'!AJ$46)</f>
        <v>#REF!</v>
      </c>
      <c r="AK40" s="164" t="e">
        <f>SUMIFS('Файл оценки'!#REF!,'Файл оценки'!#REF!,'Трудозатраты ПК'!$A40,'Файл оценки'!#REF!,'Трудозатраты ПК'!AK$46)</f>
        <v>#REF!</v>
      </c>
      <c r="AL40" s="164" t="e">
        <f>SUMIFS('Файл оценки'!#REF!,'Файл оценки'!#REF!,'Трудозатраты ПК'!$A40,'Файл оценки'!#REF!,'Трудозатраты ПК'!AL$46)</f>
        <v>#REF!</v>
      </c>
      <c r="AM40" s="164" t="e">
        <f>SUMIFS('Файл оценки'!#REF!,'Файл оценки'!#REF!,'Трудозатраты ПК'!$A40,'Файл оценки'!#REF!,'Трудозатраты ПК'!AM$46)</f>
        <v>#REF!</v>
      </c>
      <c r="AN40" s="164" t="e">
        <f>SUMIFS('Файл оценки'!#REF!,'Файл оценки'!#REF!,'Трудозатраты ПК'!$A40,'Файл оценки'!#REF!,'Трудозатраты ПК'!AN$46)</f>
        <v>#REF!</v>
      </c>
      <c r="AO40" s="164" t="e">
        <f>SUMIFS('Файл оценки'!#REF!,'Файл оценки'!#REF!,'Трудозатраты ПК'!$A40,'Файл оценки'!#REF!,'Трудозатраты ПК'!AO$46)</f>
        <v>#REF!</v>
      </c>
      <c r="AP40" s="164" t="e">
        <f>SUMIFS('Файл оценки'!#REF!,'Файл оценки'!#REF!,'Трудозатраты ПК'!$A40,'Файл оценки'!#REF!,'Трудозатраты ПК'!AP$46)</f>
        <v>#REF!</v>
      </c>
      <c r="AQ40" s="164" t="e">
        <f>SUMIFS('Файл оценки'!#REF!,'Файл оценки'!#REF!,'Трудозатраты ПК'!$A40,'Файл оценки'!#REF!,'Трудозатраты ПК'!AQ$46)</f>
        <v>#REF!</v>
      </c>
      <c r="AR40" s="164" t="e">
        <f>SUMIFS('Файл оценки'!#REF!,'Файл оценки'!#REF!,'Трудозатраты ПК'!$A40,'Файл оценки'!#REF!,'Трудозатраты ПК'!AR$46)</f>
        <v>#REF!</v>
      </c>
      <c r="AS40" s="164" t="e">
        <f>SUMIFS('Файл оценки'!#REF!,'Файл оценки'!#REF!,'Трудозатраты ПК'!$A40,'Файл оценки'!#REF!,'Трудозатраты ПК'!AS$46)</f>
        <v>#REF!</v>
      </c>
      <c r="AT40" s="164" t="e">
        <f>SUMIFS('Файл оценки'!#REF!,'Файл оценки'!#REF!,'Трудозатраты ПК'!$A40,'Файл оценки'!#REF!,'Трудозатраты ПК'!AT$46)</f>
        <v>#REF!</v>
      </c>
      <c r="AU40" s="164" t="e">
        <f>SUMIFS('Файл оценки'!#REF!,'Файл оценки'!#REF!,'Трудозатраты ПК'!$A40,'Файл оценки'!#REF!,'Трудозатраты ПК'!AU$46)</f>
        <v>#REF!</v>
      </c>
      <c r="AV40" s="164" t="e">
        <f>SUMIFS('Файл оценки'!#REF!,'Файл оценки'!#REF!,'Трудозатраты ПК'!$A40,'Файл оценки'!#REF!,'Трудозатраты ПК'!AV$46)</f>
        <v>#REF!</v>
      </c>
      <c r="AW40" s="164" t="e">
        <f>SUMIFS('Файл оценки'!#REF!,'Файл оценки'!#REF!,'Трудозатраты ПК'!$A40,'Файл оценки'!#REF!,'Трудозатраты ПК'!AW$46)</f>
        <v>#REF!</v>
      </c>
      <c r="AX40" s="164" t="e">
        <f>SUMIFS('Файл оценки'!#REF!,'Файл оценки'!#REF!,'Трудозатраты ПК'!$A40,'Файл оценки'!#REF!,'Трудозатраты ПК'!AX$46)</f>
        <v>#REF!</v>
      </c>
      <c r="AY40" s="165" t="e">
        <f t="shared" si="1"/>
        <v>#REF!</v>
      </c>
    </row>
    <row r="41" spans="1:53" ht="15.75" x14ac:dyDescent="0.25">
      <c r="A41" s="161">
        <f>Работы_Спецы!A31</f>
        <v>0</v>
      </c>
      <c r="B41" s="258"/>
      <c r="C41" s="162" t="e">
        <f t="shared" si="0"/>
        <v>#REF!</v>
      </c>
      <c r="D41" s="163" t="e">
        <f t="shared" si="2"/>
        <v>#REF!</v>
      </c>
      <c r="E41" s="164"/>
      <c r="F41" s="164"/>
      <c r="G41" s="164"/>
      <c r="H41" s="164"/>
      <c r="I41" s="164"/>
      <c r="J41" s="164" t="e">
        <f>SUMIFS('Файл оценки'!#REF!,'Файл оценки'!#REF!,'Трудозатраты ПК'!$A41,'Файл оценки'!#REF!,'Трудозатраты ПК'!J$46)</f>
        <v>#REF!</v>
      </c>
      <c r="K41" s="164" t="e">
        <f>SUMIFS('Файл оценки'!#REF!,'Файл оценки'!#REF!,'Трудозатраты ПК'!$A41,'Файл оценки'!#REF!,'Трудозатраты ПК'!K$46)</f>
        <v>#REF!</v>
      </c>
      <c r="L41" s="164" t="e">
        <f>SUMIFS('Файл оценки'!#REF!,'Файл оценки'!#REF!,'Трудозатраты ПК'!$A41,'Файл оценки'!#REF!,'Трудозатраты ПК'!L$46)</f>
        <v>#REF!</v>
      </c>
      <c r="M41" s="164" t="e">
        <f>SUMIFS('Файл оценки'!#REF!,'Файл оценки'!#REF!,'Трудозатраты ПК'!$A41,'Файл оценки'!#REF!,'Трудозатраты ПК'!M$46)</f>
        <v>#REF!</v>
      </c>
      <c r="N41" s="164" t="e">
        <f>SUMIFS('Файл оценки'!#REF!,'Файл оценки'!#REF!,'Трудозатраты ПК'!$A41,'Файл оценки'!#REF!,'Трудозатраты ПК'!N$46)</f>
        <v>#REF!</v>
      </c>
      <c r="O41" s="164" t="e">
        <f>SUMIFS('Файл оценки'!#REF!,'Файл оценки'!#REF!,'Трудозатраты ПК'!$A41,'Файл оценки'!#REF!,'Трудозатраты ПК'!O$46)</f>
        <v>#REF!</v>
      </c>
      <c r="P41" s="164" t="e">
        <f>SUMIFS('Файл оценки'!#REF!,'Файл оценки'!#REF!,'Трудозатраты ПК'!$A41,'Файл оценки'!#REF!,'Трудозатраты ПК'!P$46)</f>
        <v>#REF!</v>
      </c>
      <c r="Q41" s="164" t="e">
        <f>SUMIFS('Файл оценки'!#REF!,'Файл оценки'!#REF!,'Трудозатраты ПК'!$A41,'Файл оценки'!#REF!,'Трудозатраты ПК'!Q$46)</f>
        <v>#REF!</v>
      </c>
      <c r="R41" s="164" t="e">
        <f>SUMIFS('Файл оценки'!#REF!,'Файл оценки'!#REF!,'Трудозатраты ПК'!$A41,'Файл оценки'!#REF!,'Трудозатраты ПК'!R$46)</f>
        <v>#REF!</v>
      </c>
      <c r="S41" s="164" t="e">
        <f>SUMIFS('Файл оценки'!#REF!,'Файл оценки'!#REF!,'Трудозатраты ПК'!$A41,'Файл оценки'!#REF!,'Трудозатраты ПК'!S$46)</f>
        <v>#REF!</v>
      </c>
      <c r="T41" s="164" t="e">
        <f>SUMIFS('Файл оценки'!#REF!,'Файл оценки'!#REF!,'Трудозатраты ПК'!$A41,'Файл оценки'!#REF!,'Трудозатраты ПК'!T$46)</f>
        <v>#REF!</v>
      </c>
      <c r="U41" s="164" t="e">
        <f>SUMIFS('Файл оценки'!#REF!,'Файл оценки'!#REF!,'Трудозатраты ПК'!$A41,'Файл оценки'!#REF!,'Трудозатраты ПК'!U$46)</f>
        <v>#REF!</v>
      </c>
      <c r="V41" s="164" t="e">
        <f>SUMIFS('Файл оценки'!#REF!,'Файл оценки'!#REF!,'Трудозатраты ПК'!$A41,'Файл оценки'!#REF!,'Трудозатраты ПК'!V$46)</f>
        <v>#REF!</v>
      </c>
      <c r="W41" s="164" t="e">
        <f>SUMIFS('Файл оценки'!#REF!,'Файл оценки'!#REF!,'Трудозатраты ПК'!$A41,'Файл оценки'!#REF!,'Трудозатраты ПК'!W$46)</f>
        <v>#REF!</v>
      </c>
      <c r="X41" s="164" t="e">
        <f>SUMIFS('Файл оценки'!#REF!,'Файл оценки'!#REF!,'Трудозатраты ПК'!$A41,'Файл оценки'!#REF!,'Трудозатраты ПК'!X$46)</f>
        <v>#REF!</v>
      </c>
      <c r="Y41" s="164" t="e">
        <f>SUMIFS('Файл оценки'!#REF!,'Файл оценки'!#REF!,'Трудозатраты ПК'!$A41,'Файл оценки'!#REF!,'Трудозатраты ПК'!Y$46)</f>
        <v>#REF!</v>
      </c>
      <c r="Z41" s="164" t="e">
        <f>SUMIFS('Файл оценки'!#REF!,'Файл оценки'!#REF!,'Трудозатраты ПК'!$A41,'Файл оценки'!#REF!,'Трудозатраты ПК'!Z$46)</f>
        <v>#REF!</v>
      </c>
      <c r="AA41" s="164" t="e">
        <f>SUMIFS('Файл оценки'!#REF!,'Файл оценки'!#REF!,'Трудозатраты ПК'!$A41,'Файл оценки'!#REF!,'Трудозатраты ПК'!AA$46)</f>
        <v>#REF!</v>
      </c>
      <c r="AB41" s="164" t="e">
        <f>SUMIFS('Файл оценки'!#REF!,'Файл оценки'!#REF!,'Трудозатраты ПК'!$A41,'Файл оценки'!#REF!,'Трудозатраты ПК'!AB$46)</f>
        <v>#REF!</v>
      </c>
      <c r="AC41" s="164" t="e">
        <f>SUMIFS('Файл оценки'!#REF!,'Файл оценки'!#REF!,'Трудозатраты ПК'!$A41,'Файл оценки'!#REF!,'Трудозатраты ПК'!AC$46)</f>
        <v>#REF!</v>
      </c>
      <c r="AD41" s="164" t="e">
        <f>SUMIFS('Файл оценки'!#REF!,'Файл оценки'!#REF!,'Трудозатраты ПК'!$A41,'Файл оценки'!#REF!,'Трудозатраты ПК'!AD$46)</f>
        <v>#REF!</v>
      </c>
      <c r="AE41" s="164" t="e">
        <f>SUMIFS('Файл оценки'!#REF!,'Файл оценки'!#REF!,'Трудозатраты ПК'!$A41,'Файл оценки'!#REF!,'Трудозатраты ПК'!AE$46)</f>
        <v>#REF!</v>
      </c>
      <c r="AF41" s="164" t="e">
        <f>SUMIFS('Файл оценки'!#REF!,'Файл оценки'!#REF!,'Трудозатраты ПК'!$A41,'Файл оценки'!#REF!,'Трудозатраты ПК'!AF$46)</f>
        <v>#REF!</v>
      </c>
      <c r="AG41" s="164" t="e">
        <f>SUMIFS('Файл оценки'!#REF!,'Файл оценки'!#REF!,'Трудозатраты ПК'!$A41,'Файл оценки'!#REF!,'Трудозатраты ПК'!AG$46)</f>
        <v>#REF!</v>
      </c>
      <c r="AH41" s="164" t="e">
        <f>SUMIFS('Файл оценки'!#REF!,'Файл оценки'!#REF!,'Трудозатраты ПК'!$A41,'Файл оценки'!#REF!,'Трудозатраты ПК'!AH$46)</f>
        <v>#REF!</v>
      </c>
      <c r="AI41" s="164" t="e">
        <f>SUMIFS('Файл оценки'!#REF!,'Файл оценки'!#REF!,'Трудозатраты ПК'!$A41,'Файл оценки'!#REF!,'Трудозатраты ПК'!AI$46)</f>
        <v>#REF!</v>
      </c>
      <c r="AJ41" s="164" t="e">
        <f>SUMIFS('Файл оценки'!#REF!,'Файл оценки'!#REF!,'Трудозатраты ПК'!$A41,'Файл оценки'!#REF!,'Трудозатраты ПК'!AJ$46)</f>
        <v>#REF!</v>
      </c>
      <c r="AK41" s="164" t="e">
        <f>SUMIFS('Файл оценки'!#REF!,'Файл оценки'!#REF!,'Трудозатраты ПК'!$A41,'Файл оценки'!#REF!,'Трудозатраты ПК'!AK$46)</f>
        <v>#REF!</v>
      </c>
      <c r="AL41" s="164" t="e">
        <f>SUMIFS('Файл оценки'!#REF!,'Файл оценки'!#REF!,'Трудозатраты ПК'!$A41,'Файл оценки'!#REF!,'Трудозатраты ПК'!AL$46)</f>
        <v>#REF!</v>
      </c>
      <c r="AM41" s="164" t="e">
        <f>SUMIFS('Файл оценки'!#REF!,'Файл оценки'!#REF!,'Трудозатраты ПК'!$A41,'Файл оценки'!#REF!,'Трудозатраты ПК'!AM$46)</f>
        <v>#REF!</v>
      </c>
      <c r="AN41" s="164" t="e">
        <f>SUMIFS('Файл оценки'!#REF!,'Файл оценки'!#REF!,'Трудозатраты ПК'!$A41,'Файл оценки'!#REF!,'Трудозатраты ПК'!AN$46)</f>
        <v>#REF!</v>
      </c>
      <c r="AO41" s="164" t="e">
        <f>SUMIFS('Файл оценки'!#REF!,'Файл оценки'!#REF!,'Трудозатраты ПК'!$A41,'Файл оценки'!#REF!,'Трудозатраты ПК'!AO$46)</f>
        <v>#REF!</v>
      </c>
      <c r="AP41" s="164" t="e">
        <f>SUMIFS('Файл оценки'!#REF!,'Файл оценки'!#REF!,'Трудозатраты ПК'!$A41,'Файл оценки'!#REF!,'Трудозатраты ПК'!AP$46)</f>
        <v>#REF!</v>
      </c>
      <c r="AQ41" s="164" t="e">
        <f>SUMIFS('Файл оценки'!#REF!,'Файл оценки'!#REF!,'Трудозатраты ПК'!$A41,'Файл оценки'!#REF!,'Трудозатраты ПК'!AQ$46)</f>
        <v>#REF!</v>
      </c>
      <c r="AR41" s="164" t="e">
        <f>SUMIFS('Файл оценки'!#REF!,'Файл оценки'!#REF!,'Трудозатраты ПК'!$A41,'Файл оценки'!#REF!,'Трудозатраты ПК'!AR$46)</f>
        <v>#REF!</v>
      </c>
      <c r="AS41" s="164" t="e">
        <f>SUMIFS('Файл оценки'!#REF!,'Файл оценки'!#REF!,'Трудозатраты ПК'!$A41,'Файл оценки'!#REF!,'Трудозатраты ПК'!AS$46)</f>
        <v>#REF!</v>
      </c>
      <c r="AT41" s="164" t="e">
        <f>SUMIFS('Файл оценки'!#REF!,'Файл оценки'!#REF!,'Трудозатраты ПК'!$A41,'Файл оценки'!#REF!,'Трудозатраты ПК'!AT$46)</f>
        <v>#REF!</v>
      </c>
      <c r="AU41" s="164" t="e">
        <f>SUMIFS('Файл оценки'!#REF!,'Файл оценки'!#REF!,'Трудозатраты ПК'!$A41,'Файл оценки'!#REF!,'Трудозатраты ПК'!AU$46)</f>
        <v>#REF!</v>
      </c>
      <c r="AV41" s="164" t="e">
        <f>SUMIFS('Файл оценки'!#REF!,'Файл оценки'!#REF!,'Трудозатраты ПК'!$A41,'Файл оценки'!#REF!,'Трудозатраты ПК'!AV$46)</f>
        <v>#REF!</v>
      </c>
      <c r="AW41" s="164" t="e">
        <f>SUMIFS('Файл оценки'!#REF!,'Файл оценки'!#REF!,'Трудозатраты ПК'!$A41,'Файл оценки'!#REF!,'Трудозатраты ПК'!AW$46)</f>
        <v>#REF!</v>
      </c>
      <c r="AX41" s="164" t="e">
        <f>SUMIFS('Файл оценки'!#REF!,'Файл оценки'!#REF!,'Трудозатраты ПК'!$A41,'Файл оценки'!#REF!,'Трудозатраты ПК'!AX$46)</f>
        <v>#REF!</v>
      </c>
      <c r="AY41" s="165" t="e">
        <f t="shared" si="1"/>
        <v>#REF!</v>
      </c>
    </row>
    <row r="42" spans="1:53" ht="15.75" x14ac:dyDescent="0.25">
      <c r="A42" s="161">
        <f>Работы_Спецы!A32</f>
        <v>0</v>
      </c>
      <c r="B42" s="258"/>
      <c r="C42" s="162" t="e">
        <f t="shared" si="0"/>
        <v>#REF!</v>
      </c>
      <c r="D42" s="163" t="e">
        <f t="shared" si="2"/>
        <v>#REF!</v>
      </c>
      <c r="E42" s="164"/>
      <c r="F42" s="164"/>
      <c r="G42" s="164"/>
      <c r="H42" s="164"/>
      <c r="I42" s="164"/>
      <c r="J42" s="164" t="e">
        <f>SUMIFS('Файл оценки'!#REF!,'Файл оценки'!#REF!,'Трудозатраты ПК'!$A42,'Файл оценки'!#REF!,'Трудозатраты ПК'!J$46)</f>
        <v>#REF!</v>
      </c>
      <c r="K42" s="164" t="e">
        <f>SUMIFS('Файл оценки'!#REF!,'Файл оценки'!#REF!,'Трудозатраты ПК'!$A42,'Файл оценки'!#REF!,'Трудозатраты ПК'!K$46)</f>
        <v>#REF!</v>
      </c>
      <c r="L42" s="164" t="e">
        <f>SUMIFS('Файл оценки'!#REF!,'Файл оценки'!#REF!,'Трудозатраты ПК'!$A42,'Файл оценки'!#REF!,'Трудозатраты ПК'!L$46)</f>
        <v>#REF!</v>
      </c>
      <c r="M42" s="164" t="e">
        <f>SUMIFS('Файл оценки'!#REF!,'Файл оценки'!#REF!,'Трудозатраты ПК'!$A42,'Файл оценки'!#REF!,'Трудозатраты ПК'!M$46)</f>
        <v>#REF!</v>
      </c>
      <c r="N42" s="164" t="e">
        <f>SUMIFS('Файл оценки'!#REF!,'Файл оценки'!#REF!,'Трудозатраты ПК'!$A42,'Файл оценки'!#REF!,'Трудозатраты ПК'!N$46)</f>
        <v>#REF!</v>
      </c>
      <c r="O42" s="164" t="e">
        <f>SUMIFS('Файл оценки'!#REF!,'Файл оценки'!#REF!,'Трудозатраты ПК'!$A42,'Файл оценки'!#REF!,'Трудозатраты ПК'!O$46)</f>
        <v>#REF!</v>
      </c>
      <c r="P42" s="164" t="e">
        <f>SUMIFS('Файл оценки'!#REF!,'Файл оценки'!#REF!,'Трудозатраты ПК'!$A42,'Файл оценки'!#REF!,'Трудозатраты ПК'!P$46)</f>
        <v>#REF!</v>
      </c>
      <c r="Q42" s="164" t="e">
        <f>SUMIFS('Файл оценки'!#REF!,'Файл оценки'!#REF!,'Трудозатраты ПК'!$A42,'Файл оценки'!#REF!,'Трудозатраты ПК'!Q$46)</f>
        <v>#REF!</v>
      </c>
      <c r="R42" s="164" t="e">
        <f>SUMIFS('Файл оценки'!#REF!,'Файл оценки'!#REF!,'Трудозатраты ПК'!$A42,'Файл оценки'!#REF!,'Трудозатраты ПК'!R$46)</f>
        <v>#REF!</v>
      </c>
      <c r="S42" s="164" t="e">
        <f>SUMIFS('Файл оценки'!#REF!,'Файл оценки'!#REF!,'Трудозатраты ПК'!$A42,'Файл оценки'!#REF!,'Трудозатраты ПК'!S$46)</f>
        <v>#REF!</v>
      </c>
      <c r="T42" s="164" t="e">
        <f>SUMIFS('Файл оценки'!#REF!,'Файл оценки'!#REF!,'Трудозатраты ПК'!$A42,'Файл оценки'!#REF!,'Трудозатраты ПК'!T$46)</f>
        <v>#REF!</v>
      </c>
      <c r="U42" s="164" t="e">
        <f>SUMIFS('Файл оценки'!#REF!,'Файл оценки'!#REF!,'Трудозатраты ПК'!$A42,'Файл оценки'!#REF!,'Трудозатраты ПК'!U$46)</f>
        <v>#REF!</v>
      </c>
      <c r="V42" s="164" t="e">
        <f>SUMIFS('Файл оценки'!#REF!,'Файл оценки'!#REF!,'Трудозатраты ПК'!$A42,'Файл оценки'!#REF!,'Трудозатраты ПК'!V$46)</f>
        <v>#REF!</v>
      </c>
      <c r="W42" s="164" t="e">
        <f>SUMIFS('Файл оценки'!#REF!,'Файл оценки'!#REF!,'Трудозатраты ПК'!$A42,'Файл оценки'!#REF!,'Трудозатраты ПК'!W$46)</f>
        <v>#REF!</v>
      </c>
      <c r="X42" s="164" t="e">
        <f>SUMIFS('Файл оценки'!#REF!,'Файл оценки'!#REF!,'Трудозатраты ПК'!$A42,'Файл оценки'!#REF!,'Трудозатраты ПК'!X$46)</f>
        <v>#REF!</v>
      </c>
      <c r="Y42" s="164" t="e">
        <f>SUMIFS('Файл оценки'!#REF!,'Файл оценки'!#REF!,'Трудозатраты ПК'!$A42,'Файл оценки'!#REF!,'Трудозатраты ПК'!Y$46)</f>
        <v>#REF!</v>
      </c>
      <c r="Z42" s="164" t="e">
        <f>SUMIFS('Файл оценки'!#REF!,'Файл оценки'!#REF!,'Трудозатраты ПК'!$A42,'Файл оценки'!#REF!,'Трудозатраты ПК'!Z$46)</f>
        <v>#REF!</v>
      </c>
      <c r="AA42" s="164" t="e">
        <f>SUMIFS('Файл оценки'!#REF!,'Файл оценки'!#REF!,'Трудозатраты ПК'!$A42,'Файл оценки'!#REF!,'Трудозатраты ПК'!AA$46)</f>
        <v>#REF!</v>
      </c>
      <c r="AB42" s="164" t="e">
        <f>SUMIFS('Файл оценки'!#REF!,'Файл оценки'!#REF!,'Трудозатраты ПК'!$A42,'Файл оценки'!#REF!,'Трудозатраты ПК'!AB$46)</f>
        <v>#REF!</v>
      </c>
      <c r="AC42" s="164" t="e">
        <f>SUMIFS('Файл оценки'!#REF!,'Файл оценки'!#REF!,'Трудозатраты ПК'!$A42,'Файл оценки'!#REF!,'Трудозатраты ПК'!AC$46)</f>
        <v>#REF!</v>
      </c>
      <c r="AD42" s="164" t="e">
        <f>SUMIFS('Файл оценки'!#REF!,'Файл оценки'!#REF!,'Трудозатраты ПК'!$A42,'Файл оценки'!#REF!,'Трудозатраты ПК'!AD$46)</f>
        <v>#REF!</v>
      </c>
      <c r="AE42" s="164" t="e">
        <f>SUMIFS('Файл оценки'!#REF!,'Файл оценки'!#REF!,'Трудозатраты ПК'!$A42,'Файл оценки'!#REF!,'Трудозатраты ПК'!AE$46)</f>
        <v>#REF!</v>
      </c>
      <c r="AF42" s="164" t="e">
        <f>SUMIFS('Файл оценки'!#REF!,'Файл оценки'!#REF!,'Трудозатраты ПК'!$A42,'Файл оценки'!#REF!,'Трудозатраты ПК'!AF$46)</f>
        <v>#REF!</v>
      </c>
      <c r="AG42" s="164" t="e">
        <f>SUMIFS('Файл оценки'!#REF!,'Файл оценки'!#REF!,'Трудозатраты ПК'!$A42,'Файл оценки'!#REF!,'Трудозатраты ПК'!AG$46)</f>
        <v>#REF!</v>
      </c>
      <c r="AH42" s="164" t="e">
        <f>SUMIFS('Файл оценки'!#REF!,'Файл оценки'!#REF!,'Трудозатраты ПК'!$A42,'Файл оценки'!#REF!,'Трудозатраты ПК'!AH$46)</f>
        <v>#REF!</v>
      </c>
      <c r="AI42" s="164" t="e">
        <f>SUMIFS('Файл оценки'!#REF!,'Файл оценки'!#REF!,'Трудозатраты ПК'!$A42,'Файл оценки'!#REF!,'Трудозатраты ПК'!AI$46)</f>
        <v>#REF!</v>
      </c>
      <c r="AJ42" s="164" t="e">
        <f>SUMIFS('Файл оценки'!#REF!,'Файл оценки'!#REF!,'Трудозатраты ПК'!$A42,'Файл оценки'!#REF!,'Трудозатраты ПК'!AJ$46)</f>
        <v>#REF!</v>
      </c>
      <c r="AK42" s="164" t="e">
        <f>SUMIFS('Файл оценки'!#REF!,'Файл оценки'!#REF!,'Трудозатраты ПК'!$A42,'Файл оценки'!#REF!,'Трудозатраты ПК'!AK$46)</f>
        <v>#REF!</v>
      </c>
      <c r="AL42" s="164" t="e">
        <f>SUMIFS('Файл оценки'!#REF!,'Файл оценки'!#REF!,'Трудозатраты ПК'!$A42,'Файл оценки'!#REF!,'Трудозатраты ПК'!AL$46)</f>
        <v>#REF!</v>
      </c>
      <c r="AM42" s="164" t="e">
        <f>SUMIFS('Файл оценки'!#REF!,'Файл оценки'!#REF!,'Трудозатраты ПК'!$A42,'Файл оценки'!#REF!,'Трудозатраты ПК'!AM$46)</f>
        <v>#REF!</v>
      </c>
      <c r="AN42" s="164" t="e">
        <f>SUMIFS('Файл оценки'!#REF!,'Файл оценки'!#REF!,'Трудозатраты ПК'!$A42,'Файл оценки'!#REF!,'Трудозатраты ПК'!AN$46)</f>
        <v>#REF!</v>
      </c>
      <c r="AO42" s="164" t="e">
        <f>SUMIFS('Файл оценки'!#REF!,'Файл оценки'!#REF!,'Трудозатраты ПК'!$A42,'Файл оценки'!#REF!,'Трудозатраты ПК'!AO$46)</f>
        <v>#REF!</v>
      </c>
      <c r="AP42" s="164" t="e">
        <f>SUMIFS('Файл оценки'!#REF!,'Файл оценки'!#REF!,'Трудозатраты ПК'!$A42,'Файл оценки'!#REF!,'Трудозатраты ПК'!AP$46)</f>
        <v>#REF!</v>
      </c>
      <c r="AQ42" s="164" t="e">
        <f>SUMIFS('Файл оценки'!#REF!,'Файл оценки'!#REF!,'Трудозатраты ПК'!$A42,'Файл оценки'!#REF!,'Трудозатраты ПК'!AQ$46)</f>
        <v>#REF!</v>
      </c>
      <c r="AR42" s="164" t="e">
        <f>SUMIFS('Файл оценки'!#REF!,'Файл оценки'!#REF!,'Трудозатраты ПК'!$A42,'Файл оценки'!#REF!,'Трудозатраты ПК'!AR$46)</f>
        <v>#REF!</v>
      </c>
      <c r="AS42" s="164" t="e">
        <f>SUMIFS('Файл оценки'!#REF!,'Файл оценки'!#REF!,'Трудозатраты ПК'!$A42,'Файл оценки'!#REF!,'Трудозатраты ПК'!AS$46)</f>
        <v>#REF!</v>
      </c>
      <c r="AT42" s="164" t="e">
        <f>SUMIFS('Файл оценки'!#REF!,'Файл оценки'!#REF!,'Трудозатраты ПК'!$A42,'Файл оценки'!#REF!,'Трудозатраты ПК'!AT$46)</f>
        <v>#REF!</v>
      </c>
      <c r="AU42" s="164" t="e">
        <f>SUMIFS('Файл оценки'!#REF!,'Файл оценки'!#REF!,'Трудозатраты ПК'!$A42,'Файл оценки'!#REF!,'Трудозатраты ПК'!AU$46)</f>
        <v>#REF!</v>
      </c>
      <c r="AV42" s="164" t="e">
        <f>SUMIFS('Файл оценки'!#REF!,'Файл оценки'!#REF!,'Трудозатраты ПК'!$A42,'Файл оценки'!#REF!,'Трудозатраты ПК'!AV$46)</f>
        <v>#REF!</v>
      </c>
      <c r="AW42" s="164" t="e">
        <f>SUMIFS('Файл оценки'!#REF!,'Файл оценки'!#REF!,'Трудозатраты ПК'!$A42,'Файл оценки'!#REF!,'Трудозатраты ПК'!AW$46)</f>
        <v>#REF!</v>
      </c>
      <c r="AX42" s="164" t="e">
        <f>SUMIFS('Файл оценки'!#REF!,'Файл оценки'!#REF!,'Трудозатраты ПК'!$A42,'Файл оценки'!#REF!,'Трудозатраты ПК'!AX$46)</f>
        <v>#REF!</v>
      </c>
      <c r="AY42" s="165" t="e">
        <f t="shared" si="1"/>
        <v>#REF!</v>
      </c>
    </row>
    <row r="43" spans="1:53" ht="15.75" x14ac:dyDescent="0.25">
      <c r="A43" s="166" t="s">
        <v>175</v>
      </c>
      <c r="B43" s="259"/>
      <c r="C43" s="167" t="e">
        <f>SUM(C4:C42)</f>
        <v>#REF!</v>
      </c>
      <c r="D43" s="167"/>
      <c r="E43" s="168">
        <f t="shared" ref="E43:N43" si="3">SUM(E4:E42)/$C$47</f>
        <v>0</v>
      </c>
      <c r="F43" s="168">
        <f t="shared" si="3"/>
        <v>0</v>
      </c>
      <c r="G43" s="168">
        <f t="shared" si="3"/>
        <v>0</v>
      </c>
      <c r="H43" s="168">
        <f>SUM(H4:H42)/$C$47</f>
        <v>0</v>
      </c>
      <c r="I43" s="168">
        <f t="shared" si="3"/>
        <v>0</v>
      </c>
      <c r="J43" s="168" t="e">
        <f t="shared" si="3"/>
        <v>#REF!</v>
      </c>
      <c r="K43" s="168" t="e">
        <f>SUM(K4:K42)/$C$47</f>
        <v>#REF!</v>
      </c>
      <c r="L43" s="168" t="e">
        <f t="shared" si="3"/>
        <v>#REF!</v>
      </c>
      <c r="M43" s="168" t="e">
        <f t="shared" si="3"/>
        <v>#REF!</v>
      </c>
      <c r="N43" s="168" t="e">
        <f t="shared" si="3"/>
        <v>#REF!</v>
      </c>
      <c r="O43" s="168" t="e">
        <f t="shared" ref="O43:AF43" si="4">SUM(O4:O42)/$C$47</f>
        <v>#REF!</v>
      </c>
      <c r="P43" s="168" t="e">
        <f t="shared" si="4"/>
        <v>#REF!</v>
      </c>
      <c r="Q43" s="168" t="e">
        <f t="shared" si="4"/>
        <v>#REF!</v>
      </c>
      <c r="R43" s="168" t="e">
        <f t="shared" si="4"/>
        <v>#REF!</v>
      </c>
      <c r="S43" s="168" t="e">
        <f>SUM(S4:S42)/$C$47</f>
        <v>#REF!</v>
      </c>
      <c r="T43" s="168" t="e">
        <f t="shared" si="4"/>
        <v>#REF!</v>
      </c>
      <c r="U43" s="168" t="e">
        <f t="shared" si="4"/>
        <v>#REF!</v>
      </c>
      <c r="V43" s="168" t="e">
        <f t="shared" si="4"/>
        <v>#REF!</v>
      </c>
      <c r="W43" s="168" t="e">
        <f t="shared" si="4"/>
        <v>#REF!</v>
      </c>
      <c r="X43" s="168" t="e">
        <f t="shared" si="4"/>
        <v>#REF!</v>
      </c>
      <c r="Y43" s="168" t="e">
        <f t="shared" si="4"/>
        <v>#REF!</v>
      </c>
      <c r="Z43" s="168" t="e">
        <f t="shared" si="4"/>
        <v>#REF!</v>
      </c>
      <c r="AA43" s="168" t="e">
        <f t="shared" si="4"/>
        <v>#REF!</v>
      </c>
      <c r="AB43" s="168" t="e">
        <f t="shared" si="4"/>
        <v>#REF!</v>
      </c>
      <c r="AC43" s="168" t="e">
        <f t="shared" si="4"/>
        <v>#REF!</v>
      </c>
      <c r="AD43" s="168" t="e">
        <f>SUM(AD4:AD42)/$C$47</f>
        <v>#REF!</v>
      </c>
      <c r="AE43" s="168" t="e">
        <f t="shared" si="4"/>
        <v>#REF!</v>
      </c>
      <c r="AF43" s="168" t="e">
        <f t="shared" si="4"/>
        <v>#REF!</v>
      </c>
      <c r="AG43" s="168" t="e">
        <f t="shared" ref="AG43:AX43" si="5">SUM(AG4:AG42)/$C$47</f>
        <v>#REF!</v>
      </c>
      <c r="AH43" s="168" t="e">
        <f t="shared" si="5"/>
        <v>#REF!</v>
      </c>
      <c r="AI43" s="168" t="e">
        <f t="shared" si="5"/>
        <v>#REF!</v>
      </c>
      <c r="AJ43" s="168" t="e">
        <f t="shared" si="5"/>
        <v>#REF!</v>
      </c>
      <c r="AK43" s="168" t="e">
        <f t="shared" si="5"/>
        <v>#REF!</v>
      </c>
      <c r="AL43" s="168" t="e">
        <f t="shared" si="5"/>
        <v>#REF!</v>
      </c>
      <c r="AM43" s="168" t="e">
        <f t="shared" si="5"/>
        <v>#REF!</v>
      </c>
      <c r="AN43" s="168" t="e">
        <f t="shared" si="5"/>
        <v>#REF!</v>
      </c>
      <c r="AO43" s="168" t="e">
        <f t="shared" si="5"/>
        <v>#REF!</v>
      </c>
      <c r="AP43" s="168" t="e">
        <f t="shared" si="5"/>
        <v>#REF!</v>
      </c>
      <c r="AQ43" s="168" t="e">
        <f t="shared" si="5"/>
        <v>#REF!</v>
      </c>
      <c r="AR43" s="168" t="e">
        <f t="shared" si="5"/>
        <v>#REF!</v>
      </c>
      <c r="AS43" s="168" t="e">
        <f t="shared" si="5"/>
        <v>#REF!</v>
      </c>
      <c r="AT43" s="168" t="e">
        <f t="shared" si="5"/>
        <v>#REF!</v>
      </c>
      <c r="AU43" s="168" t="e">
        <f t="shared" si="5"/>
        <v>#REF!</v>
      </c>
      <c r="AV43" s="168" t="e">
        <f t="shared" si="5"/>
        <v>#REF!</v>
      </c>
      <c r="AW43" s="168" t="e">
        <f t="shared" si="5"/>
        <v>#REF!</v>
      </c>
      <c r="AX43" s="168" t="e">
        <f t="shared" si="5"/>
        <v>#REF!</v>
      </c>
      <c r="AZ43" s="169"/>
      <c r="BA43" s="169"/>
    </row>
    <row r="44" spans="1:53" ht="18.75" x14ac:dyDescent="0.3">
      <c r="A44" s="170" t="s">
        <v>176</v>
      </c>
      <c r="B44" s="260"/>
      <c r="C44" s="171"/>
      <c r="D44" s="171"/>
      <c r="E44" s="172">
        <v>2800</v>
      </c>
      <c r="F44" s="172">
        <v>9600</v>
      </c>
      <c r="G44" s="172">
        <v>11000</v>
      </c>
      <c r="H44" s="172"/>
      <c r="I44" s="172">
        <v>10400</v>
      </c>
      <c r="J44" s="172">
        <v>19600</v>
      </c>
      <c r="K44" s="172"/>
      <c r="L44" s="172">
        <v>18300</v>
      </c>
      <c r="M44" s="172">
        <v>11100</v>
      </c>
      <c r="N44" s="172">
        <v>9800</v>
      </c>
      <c r="O44" s="172">
        <v>22600</v>
      </c>
      <c r="P44" s="172">
        <v>15000</v>
      </c>
      <c r="Q44" s="172">
        <v>8800</v>
      </c>
      <c r="R44" s="172">
        <v>22600</v>
      </c>
      <c r="S44" s="172">
        <v>8800</v>
      </c>
      <c r="T44" s="172">
        <v>15000</v>
      </c>
      <c r="U44" s="172">
        <v>8800</v>
      </c>
      <c r="V44" s="172">
        <v>10300</v>
      </c>
      <c r="W44" s="172">
        <v>8600</v>
      </c>
      <c r="X44" s="172">
        <v>11700</v>
      </c>
      <c r="Y44" s="172">
        <v>9800</v>
      </c>
      <c r="Z44" s="172">
        <v>6800</v>
      </c>
      <c r="AA44" s="173">
        <v>15400</v>
      </c>
      <c r="AB44" s="173">
        <v>8600</v>
      </c>
      <c r="AC44" s="173">
        <v>5100</v>
      </c>
      <c r="AD44" s="173"/>
      <c r="AE44" s="173">
        <v>3200</v>
      </c>
      <c r="AF44" s="173">
        <v>10300</v>
      </c>
      <c r="AG44" s="173">
        <v>4400</v>
      </c>
      <c r="AH44" s="173"/>
      <c r="AI44" s="173"/>
      <c r="AJ44" s="173"/>
      <c r="AK44" s="173"/>
      <c r="AL44" s="173"/>
      <c r="AM44" s="173"/>
      <c r="AN44" s="173"/>
      <c r="AO44" s="173"/>
      <c r="AP44" s="173"/>
      <c r="AQ44" s="173"/>
      <c r="AR44" s="173"/>
      <c r="AS44" s="173"/>
      <c r="AT44" s="173"/>
      <c r="AU44" s="173"/>
      <c r="AV44" s="173"/>
      <c r="AW44" s="173"/>
      <c r="AX44" s="173"/>
      <c r="AZ44" s="169"/>
      <c r="BA44" s="169"/>
    </row>
    <row r="45" spans="1:53" ht="18.75" x14ac:dyDescent="0.3">
      <c r="A45" s="174" t="s">
        <v>177</v>
      </c>
      <c r="B45" s="174"/>
      <c r="C45" s="175" t="e">
        <f>SUM(E45:AX45)</f>
        <v>#REF!</v>
      </c>
      <c r="D45" s="175"/>
      <c r="E45" s="173">
        <f>E43*E44</f>
        <v>0</v>
      </c>
      <c r="F45" s="173">
        <f t="shared" ref="F45:AF45" si="6">F43*F44</f>
        <v>0</v>
      </c>
      <c r="G45" s="173">
        <f t="shared" si="6"/>
        <v>0</v>
      </c>
      <c r="H45" s="173">
        <f>H43*H44</f>
        <v>0</v>
      </c>
      <c r="I45" s="173">
        <f t="shared" si="6"/>
        <v>0</v>
      </c>
      <c r="J45" s="173" t="e">
        <f t="shared" si="6"/>
        <v>#REF!</v>
      </c>
      <c r="K45" s="173" t="e">
        <f>K43*K44</f>
        <v>#REF!</v>
      </c>
      <c r="L45" s="173" t="e">
        <f t="shared" si="6"/>
        <v>#REF!</v>
      </c>
      <c r="M45" s="173" t="e">
        <f t="shared" si="6"/>
        <v>#REF!</v>
      </c>
      <c r="N45" s="173" t="e">
        <f t="shared" si="6"/>
        <v>#REF!</v>
      </c>
      <c r="O45" s="173" t="e">
        <f t="shared" si="6"/>
        <v>#REF!</v>
      </c>
      <c r="P45" s="173" t="e">
        <f t="shared" si="6"/>
        <v>#REF!</v>
      </c>
      <c r="Q45" s="173" t="e">
        <f t="shared" si="6"/>
        <v>#REF!</v>
      </c>
      <c r="R45" s="173" t="e">
        <f t="shared" si="6"/>
        <v>#REF!</v>
      </c>
      <c r="S45" s="173" t="e">
        <f>S43*S44</f>
        <v>#REF!</v>
      </c>
      <c r="T45" s="173" t="e">
        <f t="shared" si="6"/>
        <v>#REF!</v>
      </c>
      <c r="U45" s="173" t="e">
        <f t="shared" si="6"/>
        <v>#REF!</v>
      </c>
      <c r="V45" s="173" t="e">
        <f t="shared" si="6"/>
        <v>#REF!</v>
      </c>
      <c r="W45" s="173" t="e">
        <f t="shared" si="6"/>
        <v>#REF!</v>
      </c>
      <c r="X45" s="173" t="e">
        <f t="shared" si="6"/>
        <v>#REF!</v>
      </c>
      <c r="Y45" s="173" t="e">
        <f t="shared" si="6"/>
        <v>#REF!</v>
      </c>
      <c r="Z45" s="173" t="e">
        <f t="shared" si="6"/>
        <v>#REF!</v>
      </c>
      <c r="AA45" s="173" t="e">
        <f t="shared" si="6"/>
        <v>#REF!</v>
      </c>
      <c r="AB45" s="173" t="e">
        <f t="shared" si="6"/>
        <v>#REF!</v>
      </c>
      <c r="AC45" s="173" t="e">
        <f t="shared" si="6"/>
        <v>#REF!</v>
      </c>
      <c r="AD45" s="173" t="e">
        <f>AD43*AD44</f>
        <v>#REF!</v>
      </c>
      <c r="AE45" s="173" t="e">
        <f>AE43*AE44</f>
        <v>#REF!</v>
      </c>
      <c r="AF45" s="173" t="e">
        <f t="shared" si="6"/>
        <v>#REF!</v>
      </c>
      <c r="AG45" s="173" t="e">
        <f t="shared" ref="AG45:AX45" si="7">AG43*AG44</f>
        <v>#REF!</v>
      </c>
      <c r="AH45" s="173" t="e">
        <f t="shared" si="7"/>
        <v>#REF!</v>
      </c>
      <c r="AI45" s="173" t="e">
        <f t="shared" si="7"/>
        <v>#REF!</v>
      </c>
      <c r="AJ45" s="173" t="e">
        <f t="shared" si="7"/>
        <v>#REF!</v>
      </c>
      <c r="AK45" s="173" t="e">
        <f t="shared" si="7"/>
        <v>#REF!</v>
      </c>
      <c r="AL45" s="173" t="e">
        <f t="shared" si="7"/>
        <v>#REF!</v>
      </c>
      <c r="AM45" s="173" t="e">
        <f t="shared" si="7"/>
        <v>#REF!</v>
      </c>
      <c r="AN45" s="173" t="e">
        <f t="shared" si="7"/>
        <v>#REF!</v>
      </c>
      <c r="AO45" s="173" t="e">
        <f t="shared" si="7"/>
        <v>#REF!</v>
      </c>
      <c r="AP45" s="173" t="e">
        <f t="shared" si="7"/>
        <v>#REF!</v>
      </c>
      <c r="AQ45" s="173" t="e">
        <f t="shared" si="7"/>
        <v>#REF!</v>
      </c>
      <c r="AR45" s="173" t="e">
        <f t="shared" si="7"/>
        <v>#REF!</v>
      </c>
      <c r="AS45" s="173" t="e">
        <f t="shared" si="7"/>
        <v>#REF!</v>
      </c>
      <c r="AT45" s="173" t="e">
        <f t="shared" si="7"/>
        <v>#REF!</v>
      </c>
      <c r="AU45" s="173" t="e">
        <f t="shared" si="7"/>
        <v>#REF!</v>
      </c>
      <c r="AV45" s="173" t="e">
        <f t="shared" si="7"/>
        <v>#REF!</v>
      </c>
      <c r="AW45" s="173" t="e">
        <f t="shared" si="7"/>
        <v>#REF!</v>
      </c>
      <c r="AX45" s="173" t="e">
        <f t="shared" si="7"/>
        <v>#REF!</v>
      </c>
    </row>
    <row r="46" spans="1:53" x14ac:dyDescent="0.25">
      <c r="A46" s="176"/>
      <c r="B46" s="176"/>
      <c r="C46" s="147"/>
      <c r="D46" s="147"/>
      <c r="E46" s="147"/>
      <c r="F46" s="147"/>
      <c r="G46" s="147"/>
      <c r="H46" s="147"/>
      <c r="I46" s="147"/>
      <c r="J46" s="150" t="s">
        <v>155</v>
      </c>
      <c r="L46" s="150" t="s">
        <v>156</v>
      </c>
      <c r="M46" s="150" t="s">
        <v>120</v>
      </c>
      <c r="N46" s="150" t="s">
        <v>157</v>
      </c>
      <c r="O46" s="150" t="s">
        <v>53</v>
      </c>
      <c r="P46" s="150" t="s">
        <v>128</v>
      </c>
      <c r="Q46" s="150" t="s">
        <v>129</v>
      </c>
      <c r="R46" s="150" t="s">
        <v>144</v>
      </c>
      <c r="S46" s="150" t="s">
        <v>131</v>
      </c>
      <c r="T46" s="150" t="s">
        <v>130</v>
      </c>
      <c r="V46" s="150" t="s">
        <v>136</v>
      </c>
      <c r="W46" s="150" t="s">
        <v>137</v>
      </c>
      <c r="X46" s="150" t="s">
        <v>341</v>
      </c>
      <c r="Y46" s="150" t="s">
        <v>339</v>
      </c>
      <c r="Z46" s="150" t="s">
        <v>60</v>
      </c>
      <c r="AA46" s="150" t="s">
        <v>143</v>
      </c>
      <c r="AB46" s="147"/>
      <c r="AC46" s="150" t="s">
        <v>142</v>
      </c>
      <c r="AE46" s="150" t="s">
        <v>141</v>
      </c>
      <c r="AF46" s="147"/>
      <c r="AG46" s="147"/>
      <c r="AH46" s="147"/>
      <c r="AI46" s="147"/>
      <c r="AJ46" s="147"/>
      <c r="AK46" s="147"/>
      <c r="AL46" s="147"/>
      <c r="AM46" s="147"/>
      <c r="AN46" s="147"/>
      <c r="AO46" s="147"/>
      <c r="AP46" s="147"/>
      <c r="AQ46" s="147"/>
      <c r="AR46" s="147"/>
      <c r="AS46" s="147"/>
      <c r="AT46" s="147"/>
      <c r="AU46" s="147"/>
      <c r="AV46" s="147"/>
      <c r="AW46" s="147"/>
      <c r="AX46" s="147"/>
    </row>
    <row r="47" spans="1:53" ht="15.75" x14ac:dyDescent="0.25">
      <c r="A47" s="262" t="s">
        <v>178</v>
      </c>
      <c r="B47" s="262"/>
      <c r="C47" s="177">
        <v>1</v>
      </c>
      <c r="D47" s="178"/>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c r="AW47" s="147"/>
      <c r="AX47" s="147"/>
    </row>
  </sheetData>
  <autoFilter ref="A1:AY47" xr:uid="{00000000-0009-0000-0000-00000D000000}"/>
  <dataConsolidate/>
  <mergeCells count="10">
    <mergeCell ref="O2:AG2"/>
    <mergeCell ref="AH2:AJ2"/>
    <mergeCell ref="AK2:AL2"/>
    <mergeCell ref="AM2:AX2"/>
    <mergeCell ref="A2:A3"/>
    <mergeCell ref="C2:C3"/>
    <mergeCell ref="D2:D3"/>
    <mergeCell ref="E2:I2"/>
    <mergeCell ref="J2:N2"/>
    <mergeCell ref="B2:B3"/>
  </mergeCells>
  <conditionalFormatting sqref="C4:C27">
    <cfRule type="cellIs" dxfId="15" priority="8" operator="greaterThan">
      <formula>0</formula>
    </cfRule>
  </conditionalFormatting>
  <conditionalFormatting sqref="D4:D42 E5:I27 K4:R42 T4:AY42">
    <cfRule type="cellIs" dxfId="14" priority="7" operator="greaterThan">
      <formula>0</formula>
    </cfRule>
  </conditionalFormatting>
  <conditionalFormatting sqref="AZ43:BA43">
    <cfRule type="cellIs" dxfId="13" priority="6" operator="greaterThan">
      <formula>0</formula>
    </cfRule>
  </conditionalFormatting>
  <conditionalFormatting sqref="J5:J42 E4:J4">
    <cfRule type="cellIs" dxfId="12" priority="5" operator="greaterThan">
      <formula>0</formula>
    </cfRule>
  </conditionalFormatting>
  <conditionalFormatting sqref="C28:C42">
    <cfRule type="cellIs" dxfId="11" priority="4" operator="greaterThan">
      <formula>0</formula>
    </cfRule>
  </conditionalFormatting>
  <conditionalFormatting sqref="E38:I42">
    <cfRule type="cellIs" dxfId="10" priority="3" operator="greaterThan">
      <formula>0</formula>
    </cfRule>
  </conditionalFormatting>
  <conditionalFormatting sqref="E28:I37">
    <cfRule type="cellIs" dxfId="9" priority="2" operator="greaterThan">
      <formula>0</formula>
    </cfRule>
  </conditionalFormatting>
  <conditionalFormatting sqref="S4:S42">
    <cfRule type="cellIs" dxfId="8" priority="1" operator="greaterThan">
      <formula>0</formula>
    </cfRule>
  </conditionalFormatting>
  <dataValidations count="1">
    <dataValidation type="list" allowBlank="1" showInputMessage="1" showErrorMessage="1" sqref="E1:AX1" xr:uid="{00000000-0002-0000-0D00-000000000000}">
      <formula1>"Солар, РТК ИБ, -"</formula1>
    </dataValidation>
  </dataValidation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40"/>
  <dimension ref="A1:E45"/>
  <sheetViews>
    <sheetView showFormulas="1" topLeftCell="A4" zoomScale="60" zoomScaleNormal="60" workbookViewId="0">
      <selection activeCell="A15" sqref="A15"/>
    </sheetView>
  </sheetViews>
  <sheetFormatPr defaultRowHeight="15" x14ac:dyDescent="0.25"/>
  <cols>
    <col min="1" max="1" width="25.5703125" style="274" customWidth="1"/>
    <col min="2" max="2" width="3.28515625" style="82" customWidth="1"/>
    <col min="3" max="3" width="92" style="270" customWidth="1"/>
    <col min="4" max="4" width="11.28515625" style="274" bestFit="1" customWidth="1"/>
    <col min="5" max="5" width="56.7109375" style="270" customWidth="1"/>
  </cols>
  <sheetData>
    <row r="1" spans="1:5" ht="19.5" thickBot="1" x14ac:dyDescent="0.35">
      <c r="A1" s="1968" t="s">
        <v>512</v>
      </c>
      <c r="B1" s="1969"/>
      <c r="C1" s="1970"/>
      <c r="D1" s="281" t="s">
        <v>302</v>
      </c>
      <c r="E1" s="271" t="s">
        <v>301</v>
      </c>
    </row>
    <row r="2" spans="1:5" ht="16.5" thickBot="1" x14ac:dyDescent="0.3">
      <c r="A2" s="1965" t="s">
        <v>448</v>
      </c>
      <c r="B2" s="1966"/>
      <c r="C2" s="1966"/>
      <c r="D2" s="1966"/>
      <c r="E2" s="1967"/>
    </row>
    <row r="3" spans="1:5" ht="45" x14ac:dyDescent="0.25">
      <c r="A3" s="358" t="s">
        <v>0</v>
      </c>
      <c r="B3" s="359" t="s">
        <v>75</v>
      </c>
      <c r="C3" s="360" t="s">
        <v>293</v>
      </c>
      <c r="D3" s="1971" t="s">
        <v>312</v>
      </c>
      <c r="E3" s="276"/>
    </row>
    <row r="4" spans="1:5" ht="30.75" thickBot="1" x14ac:dyDescent="0.3">
      <c r="A4" s="361" t="s">
        <v>449</v>
      </c>
      <c r="B4" s="362" t="s">
        <v>75</v>
      </c>
      <c r="C4" s="363" t="s">
        <v>513</v>
      </c>
      <c r="D4" s="1972"/>
      <c r="E4" s="272"/>
    </row>
    <row r="5" spans="1:5" ht="16.5" thickBot="1" x14ac:dyDescent="0.3">
      <c r="A5" s="1965" t="s">
        <v>1</v>
      </c>
      <c r="B5" s="1966"/>
      <c r="C5" s="1966"/>
      <c r="D5" s="1966"/>
      <c r="E5" s="1967"/>
    </row>
    <row r="6" spans="1:5" ht="30.75" thickBot="1" x14ac:dyDescent="0.3">
      <c r="A6" s="364" t="s">
        <v>2</v>
      </c>
      <c r="B6" s="359" t="s">
        <v>75</v>
      </c>
      <c r="C6" s="365" t="s">
        <v>319</v>
      </c>
      <c r="D6" s="282" t="s">
        <v>306</v>
      </c>
      <c r="E6" s="272"/>
    </row>
    <row r="7" spans="1:5" ht="16.5" thickBot="1" x14ac:dyDescent="0.3">
      <c r="A7" s="1965" t="s">
        <v>3</v>
      </c>
      <c r="B7" s="1966"/>
      <c r="C7" s="1966"/>
      <c r="D7" s="1966"/>
      <c r="E7" s="1967"/>
    </row>
    <row r="8" spans="1:5" ht="30" x14ac:dyDescent="0.25">
      <c r="A8" s="364" t="s">
        <v>4</v>
      </c>
      <c r="B8" s="366" t="s">
        <v>75</v>
      </c>
      <c r="C8" s="367" t="s">
        <v>321</v>
      </c>
      <c r="D8" s="283" t="s">
        <v>3</v>
      </c>
      <c r="E8" s="276"/>
    </row>
    <row r="9" spans="1:5" ht="30" x14ac:dyDescent="0.25">
      <c r="A9" s="368" t="s">
        <v>5</v>
      </c>
      <c r="B9" s="369" t="s">
        <v>75</v>
      </c>
      <c r="C9" s="370" t="s">
        <v>292</v>
      </c>
      <c r="D9" s="284" t="s">
        <v>49</v>
      </c>
      <c r="E9" s="277"/>
    </row>
    <row r="10" spans="1:5" ht="45" x14ac:dyDescent="0.25">
      <c r="A10" s="368" t="s">
        <v>6</v>
      </c>
      <c r="B10" s="369" t="s">
        <v>75</v>
      </c>
      <c r="C10" s="370" t="s">
        <v>320</v>
      </c>
      <c r="D10" s="284" t="s">
        <v>305</v>
      </c>
      <c r="E10" s="277"/>
    </row>
    <row r="11" spans="1:5" ht="120" x14ac:dyDescent="0.25">
      <c r="A11" s="368" t="s">
        <v>7</v>
      </c>
      <c r="B11" s="369" t="s">
        <v>75</v>
      </c>
      <c r="C11" s="370" t="s">
        <v>294</v>
      </c>
      <c r="D11" s="284" t="s">
        <v>303</v>
      </c>
      <c r="E11" s="277"/>
    </row>
    <row r="12" spans="1:5" ht="30" x14ac:dyDescent="0.25">
      <c r="A12" s="368" t="s">
        <v>8</v>
      </c>
      <c r="B12" s="369" t="s">
        <v>75</v>
      </c>
      <c r="C12" s="370" t="s">
        <v>295</v>
      </c>
      <c r="D12" s="284" t="s">
        <v>304</v>
      </c>
      <c r="E12" s="277"/>
    </row>
    <row r="13" spans="1:5" ht="120" x14ac:dyDescent="0.25">
      <c r="A13" s="368" t="s">
        <v>9</v>
      </c>
      <c r="B13" s="369" t="s">
        <v>75</v>
      </c>
      <c r="C13" s="370" t="s">
        <v>325</v>
      </c>
      <c r="D13" s="284" t="s">
        <v>309</v>
      </c>
      <c r="E13" s="277"/>
    </row>
    <row r="14" spans="1:5" ht="45" x14ac:dyDescent="0.25">
      <c r="A14" s="368" t="s">
        <v>313</v>
      </c>
      <c r="B14" s="369" t="s">
        <v>75</v>
      </c>
      <c r="C14" s="370" t="s">
        <v>317</v>
      </c>
      <c r="D14" s="284" t="s">
        <v>531</v>
      </c>
      <c r="E14" s="277"/>
    </row>
    <row r="15" spans="1:5" ht="45" x14ac:dyDescent="0.25">
      <c r="A15" s="368" t="s">
        <v>314</v>
      </c>
      <c r="B15" s="369" t="s">
        <v>75</v>
      </c>
      <c r="C15" s="370" t="s">
        <v>316</v>
      </c>
      <c r="D15" s="284" t="s">
        <v>531</v>
      </c>
      <c r="E15" s="277"/>
    </row>
    <row r="16" spans="1:5" ht="45" x14ac:dyDescent="0.25">
      <c r="A16" s="371" t="s">
        <v>315</v>
      </c>
      <c r="B16" s="369" t="s">
        <v>75</v>
      </c>
      <c r="C16" s="372" t="s">
        <v>318</v>
      </c>
      <c r="D16" s="284" t="s">
        <v>531</v>
      </c>
      <c r="E16" s="285"/>
    </row>
    <row r="17" spans="1:5" ht="135.75" thickBot="1" x14ac:dyDescent="0.3">
      <c r="A17" s="368" t="s">
        <v>10</v>
      </c>
      <c r="B17" s="369" t="s">
        <v>75</v>
      </c>
      <c r="C17" s="370" t="s">
        <v>322</v>
      </c>
      <c r="D17" s="284" t="s">
        <v>310</v>
      </c>
      <c r="E17" s="277"/>
    </row>
    <row r="18" spans="1:5" ht="16.5" thickBot="1" x14ac:dyDescent="0.3">
      <c r="A18" s="1965" t="s">
        <v>291</v>
      </c>
      <c r="B18" s="1966"/>
      <c r="C18" s="1966"/>
      <c r="D18" s="1966"/>
      <c r="E18" s="1967"/>
    </row>
    <row r="19" spans="1:5" ht="45.75" thickBot="1" x14ac:dyDescent="0.3">
      <c r="A19" s="376" t="s">
        <v>6</v>
      </c>
      <c r="B19" s="359" t="s">
        <v>75</v>
      </c>
      <c r="C19" s="367" t="s">
        <v>320</v>
      </c>
      <c r="D19" s="377" t="s">
        <v>3</v>
      </c>
      <c r="E19" s="273"/>
    </row>
    <row r="20" spans="1:5" ht="16.5" thickBot="1" x14ac:dyDescent="0.3">
      <c r="A20" s="1965" t="s">
        <v>13</v>
      </c>
      <c r="B20" s="1966"/>
      <c r="C20" s="1966"/>
      <c r="D20" s="1966"/>
      <c r="E20" s="1967"/>
    </row>
    <row r="21" spans="1:5" ht="45" x14ac:dyDescent="0.25">
      <c r="A21" s="364" t="s">
        <v>14</v>
      </c>
      <c r="B21" s="366" t="s">
        <v>75</v>
      </c>
      <c r="C21" s="367" t="s">
        <v>514</v>
      </c>
      <c r="D21" s="283" t="s">
        <v>307</v>
      </c>
      <c r="E21" s="279"/>
    </row>
    <row r="22" spans="1:5" ht="30" x14ac:dyDescent="0.25">
      <c r="A22" s="368" t="s">
        <v>15</v>
      </c>
      <c r="B22" s="359" t="s">
        <v>75</v>
      </c>
      <c r="C22" s="370" t="s">
        <v>299</v>
      </c>
      <c r="D22" s="322" t="s">
        <v>312</v>
      </c>
      <c r="E22" s="280"/>
    </row>
    <row r="23" spans="1:5" ht="330" x14ac:dyDescent="0.25">
      <c r="A23" s="368" t="s">
        <v>16</v>
      </c>
      <c r="B23" s="369" t="s">
        <v>75</v>
      </c>
      <c r="C23" s="370" t="s">
        <v>515</v>
      </c>
      <c r="D23" s="284" t="s">
        <v>308</v>
      </c>
      <c r="E23" s="280"/>
    </row>
    <row r="24" spans="1:5" ht="45" x14ac:dyDescent="0.25">
      <c r="A24" s="368" t="s">
        <v>17</v>
      </c>
      <c r="B24" s="369" t="s">
        <v>75</v>
      </c>
      <c r="C24" s="370" t="s">
        <v>516</v>
      </c>
      <c r="D24" s="284" t="s">
        <v>311</v>
      </c>
      <c r="E24" s="277"/>
    </row>
    <row r="25" spans="1:5" ht="60" x14ac:dyDescent="0.25">
      <c r="A25" s="368" t="s">
        <v>18</v>
      </c>
      <c r="B25" s="369" t="s">
        <v>75</v>
      </c>
      <c r="C25" s="370" t="s">
        <v>517</v>
      </c>
      <c r="D25" s="322" t="s">
        <v>312</v>
      </c>
      <c r="E25" s="280"/>
    </row>
    <row r="26" spans="1:5" ht="45" x14ac:dyDescent="0.25">
      <c r="A26" s="368" t="s">
        <v>451</v>
      </c>
      <c r="B26" s="369" t="s">
        <v>75</v>
      </c>
      <c r="C26" s="370" t="s">
        <v>518</v>
      </c>
      <c r="D26" s="322" t="s">
        <v>312</v>
      </c>
      <c r="E26" s="280"/>
    </row>
    <row r="27" spans="1:5" ht="30.75" thickBot="1" x14ac:dyDescent="0.3">
      <c r="A27" s="368" t="s">
        <v>452</v>
      </c>
      <c r="B27" s="369" t="s">
        <v>75</v>
      </c>
      <c r="C27" s="373" t="s">
        <v>519</v>
      </c>
      <c r="D27" s="322" t="s">
        <v>312</v>
      </c>
      <c r="E27" s="280"/>
    </row>
    <row r="28" spans="1:5" ht="375" x14ac:dyDescent="0.25">
      <c r="A28" s="368" t="s">
        <v>19</v>
      </c>
      <c r="B28" s="369" t="s">
        <v>75</v>
      </c>
      <c r="C28" s="370" t="s">
        <v>323</v>
      </c>
      <c r="D28" s="275" t="s">
        <v>324</v>
      </c>
      <c r="E28" s="277"/>
    </row>
    <row r="29" spans="1:5" ht="60.75" customHeight="1" x14ac:dyDescent="0.25">
      <c r="A29" s="368" t="s">
        <v>326</v>
      </c>
      <c r="B29" s="369" t="s">
        <v>75</v>
      </c>
      <c r="C29" s="370" t="s">
        <v>330</v>
      </c>
      <c r="D29" s="284" t="s">
        <v>327</v>
      </c>
      <c r="E29" s="277"/>
    </row>
    <row r="30" spans="1:5" ht="120" x14ac:dyDescent="0.25">
      <c r="A30" s="368" t="s">
        <v>329</v>
      </c>
      <c r="B30" s="369" t="s">
        <v>75</v>
      </c>
      <c r="C30" s="370" t="s">
        <v>331</v>
      </c>
      <c r="D30" s="322" t="s">
        <v>312</v>
      </c>
      <c r="E30" s="277"/>
    </row>
    <row r="31" spans="1:5" ht="90" x14ac:dyDescent="0.25">
      <c r="A31" s="368" t="s">
        <v>328</v>
      </c>
      <c r="B31" s="369" t="s">
        <v>75</v>
      </c>
      <c r="C31" s="370" t="s">
        <v>332</v>
      </c>
      <c r="D31" s="322" t="s">
        <v>312</v>
      </c>
      <c r="E31" s="277"/>
    </row>
    <row r="32" spans="1:5" ht="30" x14ac:dyDescent="0.25">
      <c r="A32" s="368" t="s">
        <v>21</v>
      </c>
      <c r="B32" s="369" t="s">
        <v>75</v>
      </c>
      <c r="C32" s="370" t="s">
        <v>520</v>
      </c>
      <c r="D32" s="322" t="s">
        <v>312</v>
      </c>
      <c r="E32" s="280"/>
    </row>
    <row r="33" spans="1:5" ht="165" x14ac:dyDescent="0.25">
      <c r="A33" s="368" t="s">
        <v>208</v>
      </c>
      <c r="B33" s="369" t="s">
        <v>75</v>
      </c>
      <c r="C33" s="370" t="s">
        <v>521</v>
      </c>
      <c r="D33" s="322" t="s">
        <v>312</v>
      </c>
      <c r="E33" s="280"/>
    </row>
    <row r="34" spans="1:5" ht="75" x14ac:dyDescent="0.25">
      <c r="A34" s="368" t="s">
        <v>209</v>
      </c>
      <c r="B34" s="369" t="s">
        <v>75</v>
      </c>
      <c r="C34" s="370" t="s">
        <v>522</v>
      </c>
      <c r="D34" s="322" t="s">
        <v>312</v>
      </c>
      <c r="E34" s="280"/>
    </row>
    <row r="35" spans="1:5" ht="60.75" thickBot="1" x14ac:dyDescent="0.3">
      <c r="A35" s="374" t="s">
        <v>210</v>
      </c>
      <c r="B35" s="350" t="s">
        <v>75</v>
      </c>
      <c r="C35" s="373" t="s">
        <v>523</v>
      </c>
      <c r="D35" s="378" t="s">
        <v>312</v>
      </c>
      <c r="E35" s="278"/>
    </row>
    <row r="36" spans="1:5" ht="16.5" thickBot="1" x14ac:dyDescent="0.3">
      <c r="A36" s="1965" t="s">
        <v>22</v>
      </c>
      <c r="B36" s="1966"/>
      <c r="C36" s="1966"/>
      <c r="D36" s="1966"/>
      <c r="E36" s="1967"/>
    </row>
    <row r="37" spans="1:5" ht="30" x14ac:dyDescent="0.25">
      <c r="A37" s="364" t="s">
        <v>23</v>
      </c>
      <c r="B37" s="366" t="s">
        <v>75</v>
      </c>
      <c r="C37" s="367" t="s">
        <v>298</v>
      </c>
      <c r="D37" s="320" t="s">
        <v>22</v>
      </c>
      <c r="E37" s="276"/>
    </row>
    <row r="38" spans="1:5" ht="45" x14ac:dyDescent="0.25">
      <c r="A38" s="368" t="s">
        <v>24</v>
      </c>
      <c r="B38" s="369" t="s">
        <v>75</v>
      </c>
      <c r="C38" s="370" t="s">
        <v>296</v>
      </c>
      <c r="D38" s="321" t="s">
        <v>333</v>
      </c>
      <c r="E38" s="280"/>
    </row>
    <row r="39" spans="1:5" ht="30" x14ac:dyDescent="0.25">
      <c r="A39" s="368" t="s">
        <v>25</v>
      </c>
      <c r="B39" s="369" t="s">
        <v>75</v>
      </c>
      <c r="C39" s="370" t="s">
        <v>297</v>
      </c>
      <c r="D39" s="321" t="s">
        <v>334</v>
      </c>
      <c r="E39" s="277"/>
    </row>
    <row r="40" spans="1:5" ht="30" x14ac:dyDescent="0.25">
      <c r="A40" s="368" t="s">
        <v>26</v>
      </c>
      <c r="B40" s="369" t="s">
        <v>75</v>
      </c>
      <c r="C40" s="370" t="s">
        <v>524</v>
      </c>
      <c r="D40" s="322" t="s">
        <v>312</v>
      </c>
      <c r="E40" s="280"/>
    </row>
    <row r="41" spans="1:5" ht="30" x14ac:dyDescent="0.25">
      <c r="A41" s="368" t="s">
        <v>27</v>
      </c>
      <c r="B41" s="369" t="s">
        <v>75</v>
      </c>
      <c r="C41" s="370" t="s">
        <v>525</v>
      </c>
      <c r="D41" s="322" t="s">
        <v>312</v>
      </c>
      <c r="E41" s="280"/>
    </row>
    <row r="42" spans="1:5" ht="60" x14ac:dyDescent="0.25">
      <c r="A42" s="371" t="s">
        <v>28</v>
      </c>
      <c r="B42" s="362" t="s">
        <v>75</v>
      </c>
      <c r="C42" s="365" t="s">
        <v>300</v>
      </c>
      <c r="D42" s="322" t="s">
        <v>312</v>
      </c>
      <c r="E42" s="280"/>
    </row>
    <row r="43" spans="1:5" ht="45" x14ac:dyDescent="0.25">
      <c r="A43" s="368" t="s">
        <v>526</v>
      </c>
      <c r="B43" s="369" t="s">
        <v>75</v>
      </c>
      <c r="C43" s="370" t="s">
        <v>527</v>
      </c>
      <c r="D43" s="322" t="s">
        <v>312</v>
      </c>
      <c r="E43" s="280"/>
    </row>
    <row r="44" spans="1:5" ht="45" x14ac:dyDescent="0.25">
      <c r="A44" s="368" t="s">
        <v>528</v>
      </c>
      <c r="B44" s="369" t="s">
        <v>75</v>
      </c>
      <c r="C44" s="370" t="s">
        <v>527</v>
      </c>
      <c r="D44" s="322" t="s">
        <v>312</v>
      </c>
      <c r="E44" s="280"/>
    </row>
    <row r="45" spans="1:5" ht="45.75" thickBot="1" x14ac:dyDescent="0.3">
      <c r="A45" s="374" t="s">
        <v>529</v>
      </c>
      <c r="B45" s="375" t="s">
        <v>75</v>
      </c>
      <c r="C45" s="373" t="s">
        <v>530</v>
      </c>
      <c r="D45" s="378" t="s">
        <v>312</v>
      </c>
      <c r="E45" s="278"/>
    </row>
  </sheetData>
  <mergeCells count="8">
    <mergeCell ref="A20:E20"/>
    <mergeCell ref="A36:E36"/>
    <mergeCell ref="A1:C1"/>
    <mergeCell ref="A2:E2"/>
    <mergeCell ref="D3:D4"/>
    <mergeCell ref="A5:E5"/>
    <mergeCell ref="A7:E7"/>
    <mergeCell ref="A18:E18"/>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38"/>
  <dimension ref="A1:AA17"/>
  <sheetViews>
    <sheetView workbookViewId="0">
      <selection activeCell="B26" sqref="B26"/>
    </sheetView>
  </sheetViews>
  <sheetFormatPr defaultRowHeight="15" x14ac:dyDescent="0.25"/>
  <cols>
    <col min="1" max="1" width="39.28515625" customWidth="1"/>
    <col min="2" max="2" width="48.5703125" customWidth="1"/>
    <col min="3" max="3" width="27" customWidth="1"/>
  </cols>
  <sheetData>
    <row r="1" spans="1:27" x14ac:dyDescent="0.25">
      <c r="A1" t="s">
        <v>246</v>
      </c>
      <c r="B1" t="s">
        <v>281</v>
      </c>
      <c r="C1" t="s">
        <v>282</v>
      </c>
    </row>
    <row r="2" spans="1:27" x14ac:dyDescent="0.25">
      <c r="A2" s="118" t="s">
        <v>55</v>
      </c>
      <c r="B2" t="s">
        <v>595</v>
      </c>
      <c r="C2" t="s">
        <v>280</v>
      </c>
    </row>
    <row r="3" spans="1:27" x14ac:dyDescent="0.25">
      <c r="A3" s="118" t="s">
        <v>132</v>
      </c>
      <c r="B3" t="s">
        <v>596</v>
      </c>
      <c r="C3" t="s">
        <v>276</v>
      </c>
    </row>
    <row r="4" spans="1:27" x14ac:dyDescent="0.25">
      <c r="A4" s="118" t="s">
        <v>112</v>
      </c>
      <c r="B4" t="s">
        <v>597</v>
      </c>
      <c r="C4" t="s">
        <v>277</v>
      </c>
    </row>
    <row r="5" spans="1:27" x14ac:dyDescent="0.25">
      <c r="A5" s="118" t="s">
        <v>133</v>
      </c>
      <c r="B5" t="s">
        <v>592</v>
      </c>
      <c r="C5" t="s">
        <v>278</v>
      </c>
    </row>
    <row r="6" spans="1:27" x14ac:dyDescent="0.25">
      <c r="A6" s="118" t="s">
        <v>569</v>
      </c>
      <c r="B6" t="s">
        <v>593</v>
      </c>
      <c r="C6" t="s">
        <v>279</v>
      </c>
    </row>
    <row r="7" spans="1:27" ht="30" x14ac:dyDescent="0.25">
      <c r="A7" s="118" t="s">
        <v>134</v>
      </c>
      <c r="B7" t="s">
        <v>594</v>
      </c>
    </row>
    <row r="8" spans="1:27" x14ac:dyDescent="0.25">
      <c r="A8" s="118" t="s">
        <v>135</v>
      </c>
      <c r="B8" t="s">
        <v>137</v>
      </c>
    </row>
    <row r="9" spans="1:27" x14ac:dyDescent="0.25">
      <c r="A9" s="118" t="s">
        <v>138</v>
      </c>
      <c r="B9" t="s">
        <v>598</v>
      </c>
    </row>
    <row r="10" spans="1:27" x14ac:dyDescent="0.25">
      <c r="A10" s="118" t="s">
        <v>113</v>
      </c>
      <c r="B10" t="s">
        <v>136</v>
      </c>
    </row>
    <row r="11" spans="1:27" x14ac:dyDescent="0.25">
      <c r="A11" s="118" t="s">
        <v>140</v>
      </c>
      <c r="B11" t="s">
        <v>1224</v>
      </c>
    </row>
    <row r="12" spans="1:27" x14ac:dyDescent="0.25">
      <c r="A12" s="118" t="b">
        <v>0</v>
      </c>
      <c r="B12" t="s">
        <v>157</v>
      </c>
      <c r="AA12">
        <v>0</v>
      </c>
    </row>
    <row r="13" spans="1:27" x14ac:dyDescent="0.25">
      <c r="A13" s="118" t="s">
        <v>54</v>
      </c>
      <c r="B13" t="s">
        <v>156</v>
      </c>
    </row>
    <row r="14" spans="1:27" x14ac:dyDescent="0.25">
      <c r="A14" s="118" t="s">
        <v>139</v>
      </c>
      <c r="B14" t="s">
        <v>120</v>
      </c>
    </row>
    <row r="15" spans="1:27" x14ac:dyDescent="0.25">
      <c r="B15" t="s">
        <v>622</v>
      </c>
    </row>
    <row r="16" spans="1:27" x14ac:dyDescent="0.25">
      <c r="B16" t="s">
        <v>623</v>
      </c>
    </row>
    <row r="17" spans="2:2" x14ac:dyDescent="0.25">
      <c r="B17" t="s">
        <v>624</v>
      </c>
    </row>
  </sheetData>
  <pageMargins left="0.7" right="0.7" top="0.75" bottom="0.75"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7"/>
  <dimension ref="A1:O107"/>
  <sheetViews>
    <sheetView zoomScale="70" zoomScaleNormal="70" workbookViewId="0">
      <selection activeCell="A5" sqref="A5:A10"/>
    </sheetView>
  </sheetViews>
  <sheetFormatPr defaultRowHeight="15" x14ac:dyDescent="0.25"/>
  <cols>
    <col min="1" max="1" width="53.42578125" bestFit="1" customWidth="1"/>
    <col min="2" max="2" width="23.5703125" bestFit="1" customWidth="1"/>
    <col min="4" max="4" width="31.28515625" bestFit="1" customWidth="1"/>
    <col min="5" max="5" width="45.7109375" bestFit="1" customWidth="1"/>
    <col min="6" max="6" width="33.42578125" bestFit="1" customWidth="1"/>
    <col min="7" max="7" width="7.5703125" bestFit="1" customWidth="1"/>
    <col min="8" max="8" width="31.28515625" bestFit="1" customWidth="1"/>
    <col min="9" max="9" width="45.7109375" bestFit="1" customWidth="1"/>
    <col min="10" max="10" width="33.42578125" bestFit="1" customWidth="1"/>
    <col min="11" max="11" width="7.5703125" bestFit="1" customWidth="1"/>
    <col min="12" max="12" width="31.28515625" bestFit="1" customWidth="1"/>
    <col min="13" max="13" width="45.7109375" bestFit="1" customWidth="1"/>
    <col min="14" max="14" width="33.42578125" bestFit="1" customWidth="1"/>
    <col min="15" max="15" width="7.5703125" bestFit="1" customWidth="1"/>
  </cols>
  <sheetData>
    <row r="1" spans="1:15" ht="25.9" customHeight="1" x14ac:dyDescent="0.25">
      <c r="A1" s="465" t="s">
        <v>91</v>
      </c>
      <c r="B1" s="35"/>
      <c r="C1" s="43"/>
      <c r="D1" s="1947" t="s">
        <v>360</v>
      </c>
      <c r="E1" s="1947"/>
      <c r="F1" s="1947"/>
      <c r="G1" s="1947"/>
      <c r="H1" s="1947" t="s">
        <v>361</v>
      </c>
      <c r="I1" s="1947"/>
      <c r="J1" s="1947"/>
      <c r="K1" s="1947"/>
      <c r="L1" s="1947" t="s">
        <v>362</v>
      </c>
      <c r="M1" s="1947"/>
      <c r="N1" s="1947"/>
      <c r="O1" s="1947"/>
    </row>
    <row r="2" spans="1:15" ht="31.5" x14ac:dyDescent="0.25">
      <c r="B2" s="41" t="s">
        <v>37</v>
      </c>
      <c r="C2" s="1945" t="s">
        <v>35</v>
      </c>
      <c r="D2" s="547" t="s">
        <v>94</v>
      </c>
      <c r="E2" s="548" t="s">
        <v>203</v>
      </c>
      <c r="F2" s="438" t="s">
        <v>572</v>
      </c>
      <c r="G2" s="1942" t="s">
        <v>38</v>
      </c>
      <c r="H2" s="547" t="s">
        <v>94</v>
      </c>
      <c r="I2" s="548" t="s">
        <v>203</v>
      </c>
      <c r="J2" s="548" t="s">
        <v>572</v>
      </c>
      <c r="K2" s="1942" t="s">
        <v>38</v>
      </c>
      <c r="L2" s="547" t="s">
        <v>94</v>
      </c>
      <c r="M2" s="548" t="s">
        <v>203</v>
      </c>
      <c r="N2" s="548" t="s">
        <v>572</v>
      </c>
      <c r="O2" s="1942" t="s">
        <v>38</v>
      </c>
    </row>
    <row r="3" spans="1:15" ht="16.5" thickBot="1" x14ac:dyDescent="0.3">
      <c r="A3" s="12" t="s">
        <v>36</v>
      </c>
      <c r="B3" s="42">
        <f xml:space="preserve"> 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row>
    <row r="4" spans="1:15" ht="16.5" thickBot="1" x14ac:dyDescent="0.3">
      <c r="A4" s="326" t="s">
        <v>448</v>
      </c>
      <c r="B4" s="327"/>
      <c r="C4" s="327"/>
      <c r="D4" s="327"/>
      <c r="E4" s="327"/>
      <c r="F4" s="327"/>
      <c r="G4" s="327"/>
      <c r="H4" s="327"/>
      <c r="I4" s="327"/>
      <c r="J4" s="327"/>
      <c r="K4" s="327"/>
      <c r="L4" s="327"/>
      <c r="M4" s="327"/>
      <c r="N4" s="327"/>
      <c r="O4" s="396"/>
    </row>
    <row r="5" spans="1:15" x14ac:dyDescent="0.25">
      <c r="A5" s="1932" t="s">
        <v>0</v>
      </c>
      <c r="B5" s="404" t="s">
        <v>32</v>
      </c>
      <c r="C5" s="324"/>
      <c r="D5" s="550">
        <v>1</v>
      </c>
      <c r="E5" s="550">
        <v>0.5</v>
      </c>
      <c r="F5" s="552">
        <v>0</v>
      </c>
      <c r="G5" s="230">
        <f xml:space="preserve"> SUM(D5:F5) + $C5</f>
        <v>1.5</v>
      </c>
      <c r="H5" s="550">
        <v>1</v>
      </c>
      <c r="I5" s="550">
        <v>0.5</v>
      </c>
      <c r="J5" s="552">
        <v>0</v>
      </c>
      <c r="K5" s="230">
        <f t="shared" ref="K5:K10" si="0" xml:space="preserve"> SUM(H5:J5) + $C5</f>
        <v>1.5</v>
      </c>
      <c r="L5" s="550">
        <v>1</v>
      </c>
      <c r="M5" s="550">
        <v>0.5</v>
      </c>
      <c r="N5" s="552">
        <v>0</v>
      </c>
      <c r="O5" s="230">
        <f t="shared" ref="O5:O10" si="1" xml:space="preserve"> SUM(L5:N5) + $C5</f>
        <v>1.5</v>
      </c>
    </row>
    <row r="6" spans="1:15" x14ac:dyDescent="0.25">
      <c r="A6" s="1932"/>
      <c r="B6" s="19" t="s">
        <v>33</v>
      </c>
      <c r="C6" s="22"/>
      <c r="D6" s="549">
        <v>2</v>
      </c>
      <c r="E6" s="549">
        <v>1</v>
      </c>
      <c r="F6" s="553">
        <v>0</v>
      </c>
      <c r="G6" s="21">
        <f xml:space="preserve"> SUM(D6:F6) + $C6</f>
        <v>3</v>
      </c>
      <c r="H6" s="549">
        <v>2</v>
      </c>
      <c r="I6" s="549">
        <v>1</v>
      </c>
      <c r="J6" s="553">
        <v>0</v>
      </c>
      <c r="K6" s="21">
        <f t="shared" si="0"/>
        <v>3</v>
      </c>
      <c r="L6" s="549">
        <v>2</v>
      </c>
      <c r="M6" s="549">
        <v>1</v>
      </c>
      <c r="N6" s="553">
        <v>0</v>
      </c>
      <c r="O6" s="21">
        <f t="shared" si="1"/>
        <v>3</v>
      </c>
    </row>
    <row r="7" spans="1:15" x14ac:dyDescent="0.25">
      <c r="A7" s="1973"/>
      <c r="B7" s="19" t="s">
        <v>34</v>
      </c>
      <c r="C7" s="22"/>
      <c r="D7" s="549">
        <v>4</v>
      </c>
      <c r="E7" s="549">
        <v>1.5</v>
      </c>
      <c r="F7" s="553">
        <v>0</v>
      </c>
      <c r="G7" s="21">
        <f xml:space="preserve"> SUM(D7:F7) + $C7</f>
        <v>5.5</v>
      </c>
      <c r="H7" s="549">
        <v>4</v>
      </c>
      <c r="I7" s="549">
        <v>1.5</v>
      </c>
      <c r="J7" s="553">
        <v>0</v>
      </c>
      <c r="K7" s="21">
        <f t="shared" si="0"/>
        <v>5.5</v>
      </c>
      <c r="L7" s="549">
        <v>4</v>
      </c>
      <c r="M7" s="549">
        <v>1.5</v>
      </c>
      <c r="N7" s="553">
        <v>0</v>
      </c>
      <c r="O7" s="21">
        <f t="shared" si="1"/>
        <v>5.5</v>
      </c>
    </row>
    <row r="8" spans="1:15" x14ac:dyDescent="0.25">
      <c r="A8" s="1932" t="s">
        <v>449</v>
      </c>
      <c r="B8" s="404" t="s">
        <v>32</v>
      </c>
      <c r="C8" s="324"/>
      <c r="D8" s="549">
        <v>1</v>
      </c>
      <c r="E8" s="549">
        <v>0.5</v>
      </c>
      <c r="F8" s="553">
        <v>0</v>
      </c>
      <c r="G8" s="21">
        <f xml:space="preserve"> SUM(D8:F8) + $C8</f>
        <v>1.5</v>
      </c>
      <c r="H8" s="549">
        <v>1</v>
      </c>
      <c r="I8" s="549">
        <v>0.5</v>
      </c>
      <c r="J8" s="553">
        <v>0</v>
      </c>
      <c r="K8" s="21">
        <f t="shared" si="0"/>
        <v>1.5</v>
      </c>
      <c r="L8" s="549">
        <v>1</v>
      </c>
      <c r="M8" s="549">
        <v>0.5</v>
      </c>
      <c r="N8" s="553">
        <v>0</v>
      </c>
      <c r="O8" s="21">
        <f t="shared" si="1"/>
        <v>1.5</v>
      </c>
    </row>
    <row r="9" spans="1:15" x14ac:dyDescent="0.25">
      <c r="A9" s="1932"/>
      <c r="B9" s="19" t="s">
        <v>33</v>
      </c>
      <c r="C9" s="22"/>
      <c r="D9" s="549">
        <v>2</v>
      </c>
      <c r="E9" s="549">
        <v>1</v>
      </c>
      <c r="F9" s="553">
        <v>0</v>
      </c>
      <c r="G9" s="21">
        <f t="shared" ref="G9:G93" si="2" xml:space="preserve"> SUM(D9:F9) + $C9</f>
        <v>3</v>
      </c>
      <c r="H9" s="549">
        <v>2</v>
      </c>
      <c r="I9" s="549">
        <v>1</v>
      </c>
      <c r="J9" s="553">
        <v>0</v>
      </c>
      <c r="K9" s="21">
        <f t="shared" si="0"/>
        <v>3</v>
      </c>
      <c r="L9" s="549">
        <v>2</v>
      </c>
      <c r="M9" s="549">
        <v>1</v>
      </c>
      <c r="N9" s="553">
        <v>0</v>
      </c>
      <c r="O9" s="21">
        <f t="shared" si="1"/>
        <v>3</v>
      </c>
    </row>
    <row r="10" spans="1:15" ht="15.75" thickBot="1" x14ac:dyDescent="0.3">
      <c r="A10" s="1932"/>
      <c r="B10" s="13" t="s">
        <v>34</v>
      </c>
      <c r="C10" s="34"/>
      <c r="D10" s="551">
        <v>4</v>
      </c>
      <c r="E10" s="551">
        <v>1.5</v>
      </c>
      <c r="F10" s="554">
        <v>0</v>
      </c>
      <c r="G10" s="77">
        <f t="shared" si="2"/>
        <v>5.5</v>
      </c>
      <c r="H10" s="551">
        <v>4</v>
      </c>
      <c r="I10" s="551">
        <v>1.5</v>
      </c>
      <c r="J10" s="554">
        <v>0</v>
      </c>
      <c r="K10" s="77">
        <f t="shared" si="0"/>
        <v>5.5</v>
      </c>
      <c r="L10" s="551">
        <v>4</v>
      </c>
      <c r="M10" s="551">
        <v>1.5</v>
      </c>
      <c r="N10" s="554">
        <v>0</v>
      </c>
      <c r="O10" s="77">
        <f t="shared" si="1"/>
        <v>5.5</v>
      </c>
    </row>
    <row r="11" spans="1:15" ht="16.5" thickBot="1" x14ac:dyDescent="0.3">
      <c r="A11" s="326" t="s">
        <v>1</v>
      </c>
      <c r="B11" s="327"/>
      <c r="C11" s="327"/>
      <c r="D11" s="327"/>
      <c r="E11" s="327"/>
      <c r="F11" s="327"/>
      <c r="G11" s="329"/>
      <c r="H11" s="327"/>
      <c r="I11" s="327"/>
      <c r="J11" s="327"/>
      <c r="K11" s="329"/>
      <c r="L11" s="327"/>
      <c r="M11" s="327"/>
      <c r="N11" s="327"/>
      <c r="O11" s="328"/>
    </row>
    <row r="12" spans="1:15" x14ac:dyDescent="0.25">
      <c r="A12" s="1932" t="s">
        <v>2</v>
      </c>
      <c r="B12" s="404" t="s">
        <v>32</v>
      </c>
      <c r="C12" s="324"/>
      <c r="D12" s="558">
        <v>12</v>
      </c>
      <c r="E12" s="560">
        <v>1</v>
      </c>
      <c r="F12" s="561">
        <v>0</v>
      </c>
      <c r="G12" s="230">
        <f t="shared" si="2"/>
        <v>13</v>
      </c>
      <c r="H12" s="567">
        <v>12</v>
      </c>
      <c r="I12" s="569">
        <v>1</v>
      </c>
      <c r="J12" s="570">
        <v>0</v>
      </c>
      <c r="K12" s="230">
        <f xml:space="preserve"> SUM(H12:J12) + $C12</f>
        <v>13</v>
      </c>
      <c r="L12" s="576">
        <v>12</v>
      </c>
      <c r="M12" s="578">
        <v>1</v>
      </c>
      <c r="N12" s="579">
        <v>0</v>
      </c>
      <c r="O12" s="230">
        <f xml:space="preserve"> SUM(L12:N12) + $C12</f>
        <v>13</v>
      </c>
    </row>
    <row r="13" spans="1:15" x14ac:dyDescent="0.25">
      <c r="A13" s="1932"/>
      <c r="B13" s="19" t="s">
        <v>33</v>
      </c>
      <c r="C13" s="22"/>
      <c r="D13" s="555">
        <v>16</v>
      </c>
      <c r="E13" s="556">
        <v>2</v>
      </c>
      <c r="F13" s="562">
        <v>0</v>
      </c>
      <c r="G13" s="21">
        <f t="shared" si="2"/>
        <v>18</v>
      </c>
      <c r="H13" s="564">
        <v>16</v>
      </c>
      <c r="I13" s="565">
        <v>2</v>
      </c>
      <c r="J13" s="571">
        <v>0</v>
      </c>
      <c r="K13" s="21">
        <f xml:space="preserve"> SUM(H13:J13) + $C13</f>
        <v>18</v>
      </c>
      <c r="L13" s="573">
        <v>16</v>
      </c>
      <c r="M13" s="574">
        <v>2</v>
      </c>
      <c r="N13" s="580">
        <v>0</v>
      </c>
      <c r="O13" s="21">
        <f xml:space="preserve"> SUM(L13:N13) + $C13</f>
        <v>18</v>
      </c>
    </row>
    <row r="14" spans="1:15" ht="15.75" thickBot="1" x14ac:dyDescent="0.3">
      <c r="A14" s="1932"/>
      <c r="B14" s="13" t="s">
        <v>34</v>
      </c>
      <c r="C14" s="34"/>
      <c r="D14" s="559">
        <v>18</v>
      </c>
      <c r="E14" s="557">
        <v>3</v>
      </c>
      <c r="F14" s="563">
        <v>0</v>
      </c>
      <c r="G14" s="77">
        <f t="shared" si="2"/>
        <v>21</v>
      </c>
      <c r="H14" s="568">
        <v>18</v>
      </c>
      <c r="I14" s="566">
        <v>3</v>
      </c>
      <c r="J14" s="572">
        <v>0</v>
      </c>
      <c r="K14" s="77">
        <f xml:space="preserve"> SUM(H14:J14) + $C14</f>
        <v>21</v>
      </c>
      <c r="L14" s="577">
        <v>18</v>
      </c>
      <c r="M14" s="575">
        <v>3</v>
      </c>
      <c r="N14" s="581">
        <v>0</v>
      </c>
      <c r="O14" s="77">
        <f xml:space="preserve"> SUM(L14:N14) + $C14</f>
        <v>21</v>
      </c>
    </row>
    <row r="15" spans="1:15" ht="16.5" thickBot="1" x14ac:dyDescent="0.3">
      <c r="A15" s="330" t="s">
        <v>3</v>
      </c>
      <c r="B15" s="329"/>
      <c r="C15" s="329"/>
      <c r="D15" s="329"/>
      <c r="E15" s="329"/>
      <c r="F15" s="329"/>
      <c r="G15" s="329"/>
      <c r="H15" s="329"/>
      <c r="I15" s="329"/>
      <c r="J15" s="329"/>
      <c r="K15" s="329"/>
      <c r="L15" s="329"/>
      <c r="M15" s="329"/>
      <c r="N15" s="329"/>
      <c r="O15" s="328"/>
    </row>
    <row r="16" spans="1:15" x14ac:dyDescent="0.25">
      <c r="A16" s="1944" t="s">
        <v>4</v>
      </c>
      <c r="B16" s="325" t="s">
        <v>32</v>
      </c>
      <c r="C16" s="324"/>
      <c r="D16" s="427">
        <v>0.25</v>
      </c>
      <c r="E16" s="400">
        <v>0</v>
      </c>
      <c r="F16" s="428">
        <v>0</v>
      </c>
      <c r="G16" s="230">
        <f t="shared" si="2"/>
        <v>0.25</v>
      </c>
      <c r="H16" s="678">
        <v>0.25</v>
      </c>
      <c r="I16" s="660">
        <v>0</v>
      </c>
      <c r="J16" s="679">
        <v>0</v>
      </c>
      <c r="K16" s="230">
        <f t="shared" ref="K16:K36" si="3" xml:space="preserve"> SUM(H16:J16) + $C16</f>
        <v>0.25</v>
      </c>
      <c r="L16" s="678">
        <v>0.25</v>
      </c>
      <c r="M16" s="660">
        <v>0</v>
      </c>
      <c r="N16" s="679">
        <v>0</v>
      </c>
      <c r="O16" s="230">
        <f t="shared" ref="O16:O36" si="4" xml:space="preserve"> SUM(L16:N16) + $C16</f>
        <v>0.25</v>
      </c>
    </row>
    <row r="17" spans="1:15" x14ac:dyDescent="0.25">
      <c r="A17" s="1937"/>
      <c r="B17" s="18" t="s">
        <v>33</v>
      </c>
      <c r="C17" s="22"/>
      <c r="D17" s="38">
        <v>0.25</v>
      </c>
      <c r="E17" s="15">
        <v>0</v>
      </c>
      <c r="F17" s="33">
        <v>0</v>
      </c>
      <c r="G17" s="21">
        <f t="shared" si="2"/>
        <v>0.25</v>
      </c>
      <c r="H17" s="625">
        <v>0.25</v>
      </c>
      <c r="I17" s="616">
        <v>0</v>
      </c>
      <c r="J17" s="623">
        <v>0</v>
      </c>
      <c r="K17" s="21">
        <f t="shared" si="3"/>
        <v>0.25</v>
      </c>
      <c r="L17" s="625">
        <v>0.25</v>
      </c>
      <c r="M17" s="616">
        <v>0</v>
      </c>
      <c r="N17" s="623">
        <v>0</v>
      </c>
      <c r="O17" s="21">
        <f t="shared" si="4"/>
        <v>0.25</v>
      </c>
    </row>
    <row r="18" spans="1:15" x14ac:dyDescent="0.25">
      <c r="A18" s="1937"/>
      <c r="B18" s="18" t="s">
        <v>34</v>
      </c>
      <c r="C18" s="22"/>
      <c r="D18" s="583">
        <v>0.25</v>
      </c>
      <c r="E18" s="15">
        <v>0</v>
      </c>
      <c r="F18" s="33">
        <v>0</v>
      </c>
      <c r="G18" s="21">
        <f t="shared" si="2"/>
        <v>0.25</v>
      </c>
      <c r="H18" s="625">
        <v>0.25</v>
      </c>
      <c r="I18" s="616">
        <v>0</v>
      </c>
      <c r="J18" s="623">
        <v>0</v>
      </c>
      <c r="K18" s="21">
        <f t="shared" si="3"/>
        <v>0.25</v>
      </c>
      <c r="L18" s="625">
        <v>0.25</v>
      </c>
      <c r="M18" s="616">
        <v>0</v>
      </c>
      <c r="N18" s="623">
        <v>0</v>
      </c>
      <c r="O18" s="21">
        <f t="shared" si="4"/>
        <v>0.25</v>
      </c>
    </row>
    <row r="19" spans="1:15" x14ac:dyDescent="0.25">
      <c r="A19" s="1937" t="s">
        <v>5</v>
      </c>
      <c r="B19" s="19" t="s">
        <v>32</v>
      </c>
      <c r="C19" s="22"/>
      <c r="D19" s="583">
        <v>1</v>
      </c>
      <c r="E19" s="582">
        <v>0</v>
      </c>
      <c r="F19" s="586">
        <v>0</v>
      </c>
      <c r="G19" s="21">
        <f t="shared" si="2"/>
        <v>1</v>
      </c>
      <c r="H19" s="625">
        <v>1</v>
      </c>
      <c r="I19" s="615">
        <v>0</v>
      </c>
      <c r="J19" s="691">
        <v>0</v>
      </c>
      <c r="K19" s="21">
        <f t="shared" si="3"/>
        <v>1</v>
      </c>
      <c r="L19" s="625">
        <v>1</v>
      </c>
      <c r="M19" s="615">
        <v>0</v>
      </c>
      <c r="N19" s="691">
        <v>0</v>
      </c>
      <c r="O19" s="21">
        <f t="shared" si="4"/>
        <v>1</v>
      </c>
    </row>
    <row r="20" spans="1:15" x14ac:dyDescent="0.25">
      <c r="A20" s="1937"/>
      <c r="B20" s="19" t="s">
        <v>33</v>
      </c>
      <c r="C20" s="22"/>
      <c r="D20" s="583">
        <v>2</v>
      </c>
      <c r="E20" s="582">
        <v>0</v>
      </c>
      <c r="F20" s="586">
        <v>0</v>
      </c>
      <c r="G20" s="21">
        <f t="shared" si="2"/>
        <v>2</v>
      </c>
      <c r="H20" s="625">
        <v>2</v>
      </c>
      <c r="I20" s="615">
        <v>0</v>
      </c>
      <c r="J20" s="691">
        <v>0</v>
      </c>
      <c r="K20" s="21">
        <f t="shared" si="3"/>
        <v>2</v>
      </c>
      <c r="L20" s="625">
        <v>2</v>
      </c>
      <c r="M20" s="615">
        <v>0</v>
      </c>
      <c r="N20" s="691">
        <v>0</v>
      </c>
      <c r="O20" s="21">
        <f t="shared" si="4"/>
        <v>2</v>
      </c>
    </row>
    <row r="21" spans="1:15" x14ac:dyDescent="0.25">
      <c r="A21" s="1937"/>
      <c r="B21" s="19" t="s">
        <v>34</v>
      </c>
      <c r="C21" s="22"/>
      <c r="D21" s="583">
        <v>3</v>
      </c>
      <c r="E21" s="582">
        <v>0</v>
      </c>
      <c r="F21" s="586">
        <v>0</v>
      </c>
      <c r="G21" s="21">
        <f t="shared" si="2"/>
        <v>3</v>
      </c>
      <c r="H21" s="625">
        <v>3</v>
      </c>
      <c r="I21" s="615">
        <v>0</v>
      </c>
      <c r="J21" s="691">
        <v>0</v>
      </c>
      <c r="K21" s="21">
        <f t="shared" si="3"/>
        <v>3</v>
      </c>
      <c r="L21" s="625">
        <v>3</v>
      </c>
      <c r="M21" s="615">
        <v>0</v>
      </c>
      <c r="N21" s="691">
        <v>0</v>
      </c>
      <c r="O21" s="21">
        <f t="shared" si="4"/>
        <v>3</v>
      </c>
    </row>
    <row r="22" spans="1:15" x14ac:dyDescent="0.25">
      <c r="A22" s="1937" t="s">
        <v>6</v>
      </c>
      <c r="B22" s="19" t="s">
        <v>32</v>
      </c>
      <c r="C22" s="22"/>
      <c r="D22" s="582">
        <v>12</v>
      </c>
      <c r="E22" s="630">
        <f>1.5*E$3</f>
        <v>0</v>
      </c>
      <c r="F22" s="586">
        <v>0</v>
      </c>
      <c r="G22" s="21">
        <f t="shared" si="2"/>
        <v>12</v>
      </c>
      <c r="H22" s="615">
        <v>12</v>
      </c>
      <c r="I22" s="630">
        <f>1.5*I$3</f>
        <v>0</v>
      </c>
      <c r="J22" s="691">
        <v>0</v>
      </c>
      <c r="K22" s="21">
        <f t="shared" si="3"/>
        <v>12</v>
      </c>
      <c r="L22" s="615">
        <v>12</v>
      </c>
      <c r="M22" s="630">
        <f>1.5*M$3</f>
        <v>0</v>
      </c>
      <c r="N22" s="691">
        <v>0</v>
      </c>
      <c r="O22" s="21">
        <f t="shared" si="4"/>
        <v>12</v>
      </c>
    </row>
    <row r="23" spans="1:15" x14ac:dyDescent="0.25">
      <c r="A23" s="1937"/>
      <c r="B23" s="19" t="s">
        <v>33</v>
      </c>
      <c r="C23" s="22"/>
      <c r="D23" s="582">
        <v>14</v>
      </c>
      <c r="E23" s="630">
        <f>2*E$3</f>
        <v>0</v>
      </c>
      <c r="F23" s="586">
        <v>0</v>
      </c>
      <c r="G23" s="21">
        <f t="shared" si="2"/>
        <v>14</v>
      </c>
      <c r="H23" s="615">
        <v>14</v>
      </c>
      <c r="I23" s="630">
        <f>2*I$3</f>
        <v>0</v>
      </c>
      <c r="J23" s="691">
        <v>0</v>
      </c>
      <c r="K23" s="21">
        <f t="shared" si="3"/>
        <v>14</v>
      </c>
      <c r="L23" s="615">
        <v>14</v>
      </c>
      <c r="M23" s="630">
        <f>2*M$3</f>
        <v>0</v>
      </c>
      <c r="N23" s="691">
        <v>0</v>
      </c>
      <c r="O23" s="21">
        <f t="shared" si="4"/>
        <v>14</v>
      </c>
    </row>
    <row r="24" spans="1:15" x14ac:dyDescent="0.25">
      <c r="A24" s="1937"/>
      <c r="B24" s="19" t="s">
        <v>34</v>
      </c>
      <c r="C24" s="22"/>
      <c r="D24" s="582">
        <v>18</v>
      </c>
      <c r="E24" s="630">
        <f>2.5*E$3</f>
        <v>0</v>
      </c>
      <c r="F24" s="586">
        <v>0</v>
      </c>
      <c r="G24" s="21">
        <f t="shared" si="2"/>
        <v>18</v>
      </c>
      <c r="H24" s="615">
        <v>18</v>
      </c>
      <c r="I24" s="630">
        <f>2.5*I$3</f>
        <v>0</v>
      </c>
      <c r="J24" s="691">
        <v>0</v>
      </c>
      <c r="K24" s="21">
        <f t="shared" si="3"/>
        <v>18</v>
      </c>
      <c r="L24" s="615">
        <v>18</v>
      </c>
      <c r="M24" s="630">
        <f>2.5*M$3</f>
        <v>0</v>
      </c>
      <c r="N24" s="691">
        <v>0</v>
      </c>
      <c r="O24" s="21">
        <f t="shared" si="4"/>
        <v>18</v>
      </c>
    </row>
    <row r="25" spans="1:15" x14ac:dyDescent="0.25">
      <c r="A25" s="1937" t="s">
        <v>7</v>
      </c>
      <c r="B25" s="19" t="s">
        <v>32</v>
      </c>
      <c r="C25" s="22"/>
      <c r="D25" s="583">
        <v>4</v>
      </c>
      <c r="E25" s="582">
        <v>1</v>
      </c>
      <c r="F25" s="586">
        <v>0</v>
      </c>
      <c r="G25" s="21">
        <f t="shared" si="2"/>
        <v>5</v>
      </c>
      <c r="H25" s="625">
        <v>4</v>
      </c>
      <c r="I25" s="615">
        <v>1</v>
      </c>
      <c r="J25" s="691">
        <v>0</v>
      </c>
      <c r="K25" s="21">
        <f t="shared" si="3"/>
        <v>5</v>
      </c>
      <c r="L25" s="625">
        <v>4</v>
      </c>
      <c r="M25" s="615">
        <v>1</v>
      </c>
      <c r="N25" s="691">
        <v>0</v>
      </c>
      <c r="O25" s="21">
        <f t="shared" si="4"/>
        <v>5</v>
      </c>
    </row>
    <row r="26" spans="1:15" x14ac:dyDescent="0.25">
      <c r="A26" s="1937"/>
      <c r="B26" s="19" t="s">
        <v>33</v>
      </c>
      <c r="C26" s="22"/>
      <c r="D26" s="583">
        <v>6</v>
      </c>
      <c r="E26" s="582">
        <v>2</v>
      </c>
      <c r="F26" s="586">
        <v>0</v>
      </c>
      <c r="G26" s="21">
        <f t="shared" si="2"/>
        <v>8</v>
      </c>
      <c r="H26" s="625">
        <v>6</v>
      </c>
      <c r="I26" s="615">
        <v>2</v>
      </c>
      <c r="J26" s="691">
        <v>0</v>
      </c>
      <c r="K26" s="21">
        <f t="shared" si="3"/>
        <v>8</v>
      </c>
      <c r="L26" s="625">
        <v>6</v>
      </c>
      <c r="M26" s="615">
        <v>2</v>
      </c>
      <c r="N26" s="691">
        <v>0</v>
      </c>
      <c r="O26" s="21">
        <f t="shared" si="4"/>
        <v>8</v>
      </c>
    </row>
    <row r="27" spans="1:15" x14ac:dyDescent="0.25">
      <c r="A27" s="1937"/>
      <c r="B27" s="19" t="s">
        <v>34</v>
      </c>
      <c r="C27" s="22"/>
      <c r="D27" s="583">
        <v>8</v>
      </c>
      <c r="E27" s="582">
        <v>3</v>
      </c>
      <c r="F27" s="586">
        <v>0</v>
      </c>
      <c r="G27" s="21">
        <f t="shared" si="2"/>
        <v>11</v>
      </c>
      <c r="H27" s="625">
        <v>8</v>
      </c>
      <c r="I27" s="615">
        <v>3</v>
      </c>
      <c r="J27" s="691">
        <v>0</v>
      </c>
      <c r="K27" s="21">
        <f t="shared" si="3"/>
        <v>11</v>
      </c>
      <c r="L27" s="625">
        <v>8</v>
      </c>
      <c r="M27" s="615">
        <v>3</v>
      </c>
      <c r="N27" s="691">
        <v>0</v>
      </c>
      <c r="O27" s="21">
        <f t="shared" si="4"/>
        <v>11</v>
      </c>
    </row>
    <row r="28" spans="1:15" x14ac:dyDescent="0.25">
      <c r="A28" s="1937" t="s">
        <v>8</v>
      </c>
      <c r="B28" s="19" t="s">
        <v>32</v>
      </c>
      <c r="C28" s="22"/>
      <c r="D28" s="583">
        <v>6</v>
      </c>
      <c r="E28" s="582">
        <v>0</v>
      </c>
      <c r="F28" s="586">
        <v>0</v>
      </c>
      <c r="G28" s="21">
        <f t="shared" si="2"/>
        <v>6</v>
      </c>
      <c r="H28" s="625">
        <v>6</v>
      </c>
      <c r="I28" s="615">
        <v>0</v>
      </c>
      <c r="J28" s="691">
        <v>0</v>
      </c>
      <c r="K28" s="21">
        <f t="shared" si="3"/>
        <v>6</v>
      </c>
      <c r="L28" s="625">
        <v>6</v>
      </c>
      <c r="M28" s="615">
        <v>0</v>
      </c>
      <c r="N28" s="691">
        <v>0</v>
      </c>
      <c r="O28" s="21">
        <f t="shared" si="4"/>
        <v>6</v>
      </c>
    </row>
    <row r="29" spans="1:15" x14ac:dyDescent="0.25">
      <c r="A29" s="1937"/>
      <c r="B29" s="19" t="s">
        <v>33</v>
      </c>
      <c r="C29" s="22"/>
      <c r="D29" s="583">
        <v>6</v>
      </c>
      <c r="E29" s="582">
        <v>0</v>
      </c>
      <c r="F29" s="586">
        <v>0</v>
      </c>
      <c r="G29" s="21">
        <f t="shared" si="2"/>
        <v>6</v>
      </c>
      <c r="H29" s="625">
        <v>6</v>
      </c>
      <c r="I29" s="615">
        <v>0</v>
      </c>
      <c r="J29" s="691">
        <v>0</v>
      </c>
      <c r="K29" s="21">
        <f t="shared" si="3"/>
        <v>6</v>
      </c>
      <c r="L29" s="625">
        <v>6</v>
      </c>
      <c r="M29" s="615">
        <v>0</v>
      </c>
      <c r="N29" s="691">
        <v>0</v>
      </c>
      <c r="O29" s="21">
        <f t="shared" si="4"/>
        <v>6</v>
      </c>
    </row>
    <row r="30" spans="1:15" x14ac:dyDescent="0.25">
      <c r="A30" s="1937"/>
      <c r="B30" s="19" t="s">
        <v>34</v>
      </c>
      <c r="C30" s="22"/>
      <c r="D30" s="583">
        <v>6</v>
      </c>
      <c r="E30" s="582">
        <v>0</v>
      </c>
      <c r="F30" s="586">
        <v>0</v>
      </c>
      <c r="G30" s="21">
        <f t="shared" si="2"/>
        <v>6</v>
      </c>
      <c r="H30" s="625">
        <v>6</v>
      </c>
      <c r="I30" s="615">
        <v>0</v>
      </c>
      <c r="J30" s="691">
        <v>0</v>
      </c>
      <c r="K30" s="21">
        <f t="shared" si="3"/>
        <v>6</v>
      </c>
      <c r="L30" s="625">
        <v>6</v>
      </c>
      <c r="M30" s="615">
        <v>0</v>
      </c>
      <c r="N30" s="691">
        <v>0</v>
      </c>
      <c r="O30" s="21">
        <f t="shared" si="4"/>
        <v>6</v>
      </c>
    </row>
    <row r="31" spans="1:15" x14ac:dyDescent="0.25">
      <c r="A31" s="1937" t="s">
        <v>9</v>
      </c>
      <c r="B31" s="19" t="s">
        <v>32</v>
      </c>
      <c r="C31" s="22"/>
      <c r="D31" s="631">
        <f>2+(0.5*D$3)</f>
        <v>2</v>
      </c>
      <c r="E31" s="582">
        <v>0</v>
      </c>
      <c r="F31" s="586">
        <v>0</v>
      </c>
      <c r="G31" s="21">
        <f t="shared" si="2"/>
        <v>2</v>
      </c>
      <c r="H31" s="631">
        <f>2+(0.5*H$3)</f>
        <v>2</v>
      </c>
      <c r="I31" s="615">
        <v>0</v>
      </c>
      <c r="J31" s="691">
        <v>0</v>
      </c>
      <c r="K31" s="21">
        <f t="shared" si="3"/>
        <v>2</v>
      </c>
      <c r="L31" s="631">
        <f>2+(0.5*L$3)</f>
        <v>2</v>
      </c>
      <c r="M31" s="615">
        <v>0</v>
      </c>
      <c r="N31" s="691">
        <v>0</v>
      </c>
      <c r="O31" s="21">
        <f t="shared" si="4"/>
        <v>2</v>
      </c>
    </row>
    <row r="32" spans="1:15" x14ac:dyDescent="0.25">
      <c r="A32" s="1937"/>
      <c r="B32" s="19" t="s">
        <v>33</v>
      </c>
      <c r="C32" s="22"/>
      <c r="D32" s="631">
        <f>4+(0.5*D$3)</f>
        <v>4</v>
      </c>
      <c r="E32" s="582">
        <v>0</v>
      </c>
      <c r="F32" s="586">
        <v>0</v>
      </c>
      <c r="G32" s="21">
        <f t="shared" si="2"/>
        <v>4</v>
      </c>
      <c r="H32" s="631">
        <f>4+(0.5*H$3)</f>
        <v>4</v>
      </c>
      <c r="I32" s="615">
        <v>0</v>
      </c>
      <c r="J32" s="691">
        <v>0</v>
      </c>
      <c r="K32" s="21">
        <f t="shared" si="3"/>
        <v>4</v>
      </c>
      <c r="L32" s="631">
        <f>4+(0.5*L$3)</f>
        <v>4</v>
      </c>
      <c r="M32" s="615">
        <v>0</v>
      </c>
      <c r="N32" s="691">
        <v>0</v>
      </c>
      <c r="O32" s="21">
        <f t="shared" si="4"/>
        <v>4</v>
      </c>
    </row>
    <row r="33" spans="1:15" x14ac:dyDescent="0.25">
      <c r="A33" s="1937"/>
      <c r="B33" s="19" t="s">
        <v>34</v>
      </c>
      <c r="C33" s="22"/>
      <c r="D33" s="631">
        <f>6+(0.5*D$3)</f>
        <v>6</v>
      </c>
      <c r="E33" s="582">
        <v>0</v>
      </c>
      <c r="F33" s="586">
        <v>0</v>
      </c>
      <c r="G33" s="21">
        <f t="shared" si="2"/>
        <v>6</v>
      </c>
      <c r="H33" s="631">
        <f>6+(0.5*H$3)</f>
        <v>6</v>
      </c>
      <c r="I33" s="615">
        <v>0</v>
      </c>
      <c r="J33" s="691">
        <v>0</v>
      </c>
      <c r="K33" s="21">
        <f t="shared" si="3"/>
        <v>6</v>
      </c>
      <c r="L33" s="631">
        <f>6+(0.5*L$3)</f>
        <v>6</v>
      </c>
      <c r="M33" s="615">
        <v>0</v>
      </c>
      <c r="N33" s="691">
        <v>0</v>
      </c>
      <c r="O33" s="21">
        <f t="shared" si="4"/>
        <v>6</v>
      </c>
    </row>
    <row r="34" spans="1:15" x14ac:dyDescent="0.25">
      <c r="A34" s="1937" t="s">
        <v>10</v>
      </c>
      <c r="B34" s="19" t="s">
        <v>32</v>
      </c>
      <c r="C34" s="22"/>
      <c r="D34" s="583">
        <v>2</v>
      </c>
      <c r="E34" s="582">
        <v>0</v>
      </c>
      <c r="F34" s="586">
        <v>0</v>
      </c>
      <c r="G34" s="21">
        <f t="shared" si="2"/>
        <v>2</v>
      </c>
      <c r="H34" s="625">
        <v>2</v>
      </c>
      <c r="I34" s="615">
        <v>0</v>
      </c>
      <c r="J34" s="691">
        <v>0</v>
      </c>
      <c r="K34" s="21">
        <f t="shared" si="3"/>
        <v>2</v>
      </c>
      <c r="L34" s="625">
        <v>2</v>
      </c>
      <c r="M34" s="615">
        <v>0</v>
      </c>
      <c r="N34" s="691">
        <v>0</v>
      </c>
      <c r="O34" s="21">
        <f t="shared" si="4"/>
        <v>2</v>
      </c>
    </row>
    <row r="35" spans="1:15" x14ac:dyDescent="0.25">
      <c r="A35" s="1937"/>
      <c r="B35" s="19" t="s">
        <v>33</v>
      </c>
      <c r="C35" s="22"/>
      <c r="D35" s="583">
        <v>2</v>
      </c>
      <c r="E35" s="582">
        <v>0</v>
      </c>
      <c r="F35" s="586">
        <v>0</v>
      </c>
      <c r="G35" s="21">
        <f t="shared" si="2"/>
        <v>2</v>
      </c>
      <c r="H35" s="625">
        <v>2</v>
      </c>
      <c r="I35" s="615">
        <v>0</v>
      </c>
      <c r="J35" s="691">
        <v>0</v>
      </c>
      <c r="K35" s="21">
        <f t="shared" si="3"/>
        <v>2</v>
      </c>
      <c r="L35" s="625">
        <v>2</v>
      </c>
      <c r="M35" s="615">
        <v>0</v>
      </c>
      <c r="N35" s="691">
        <v>0</v>
      </c>
      <c r="O35" s="21">
        <f t="shared" si="4"/>
        <v>2</v>
      </c>
    </row>
    <row r="36" spans="1:15" ht="15.75" thickBot="1" x14ac:dyDescent="0.3">
      <c r="A36" s="1938"/>
      <c r="B36" s="13" t="s">
        <v>34</v>
      </c>
      <c r="C36" s="34"/>
      <c r="D36" s="584">
        <v>2</v>
      </c>
      <c r="E36" s="585">
        <v>0</v>
      </c>
      <c r="F36" s="587">
        <v>0</v>
      </c>
      <c r="G36" s="77">
        <f t="shared" si="2"/>
        <v>2</v>
      </c>
      <c r="H36" s="626">
        <v>2</v>
      </c>
      <c r="I36" s="673">
        <v>0</v>
      </c>
      <c r="J36" s="693">
        <v>0</v>
      </c>
      <c r="K36" s="77">
        <f t="shared" si="3"/>
        <v>2</v>
      </c>
      <c r="L36" s="626">
        <v>2</v>
      </c>
      <c r="M36" s="673">
        <v>0</v>
      </c>
      <c r="N36" s="693">
        <v>0</v>
      </c>
      <c r="O36" s="77">
        <f t="shared" si="4"/>
        <v>2</v>
      </c>
    </row>
    <row r="37" spans="1:15" ht="16.5" thickBot="1" x14ac:dyDescent="0.3">
      <c r="A37" s="330" t="s">
        <v>11</v>
      </c>
      <c r="B37" s="329"/>
      <c r="C37" s="329"/>
      <c r="D37" s="329"/>
      <c r="E37" s="329"/>
      <c r="F37" s="329"/>
      <c r="G37" s="329"/>
      <c r="H37" s="329"/>
      <c r="I37" s="329"/>
      <c r="J37" s="329"/>
      <c r="K37" s="329"/>
      <c r="L37" s="329"/>
      <c r="M37" s="329"/>
      <c r="N37" s="329"/>
      <c r="O37" s="328"/>
    </row>
    <row r="38" spans="1:15" x14ac:dyDescent="0.25">
      <c r="A38" s="1932" t="s">
        <v>12</v>
      </c>
      <c r="B38" s="404" t="s">
        <v>32</v>
      </c>
      <c r="C38" s="324"/>
      <c r="D38" s="589">
        <v>12</v>
      </c>
      <c r="E38" s="589">
        <v>0.5</v>
      </c>
      <c r="F38" s="591">
        <v>0</v>
      </c>
      <c r="G38" s="230">
        <f t="shared" si="2"/>
        <v>12.5</v>
      </c>
      <c r="H38" s="595">
        <v>12</v>
      </c>
      <c r="I38" s="595">
        <v>0.5</v>
      </c>
      <c r="J38" s="597">
        <v>0</v>
      </c>
      <c r="K38" s="230">
        <f xml:space="preserve"> SUM(H38:J38) + $C38</f>
        <v>12.5</v>
      </c>
      <c r="L38" s="601">
        <v>12</v>
      </c>
      <c r="M38" s="601">
        <v>0.5</v>
      </c>
      <c r="N38" s="603">
        <v>0</v>
      </c>
      <c r="O38" s="230">
        <f xml:space="preserve"> SUM(L38:N38) + $C38</f>
        <v>12.5</v>
      </c>
    </row>
    <row r="39" spans="1:15" x14ac:dyDescent="0.25">
      <c r="A39" s="1932"/>
      <c r="B39" s="19" t="s">
        <v>33</v>
      </c>
      <c r="C39" s="22"/>
      <c r="D39" s="588">
        <v>16</v>
      </c>
      <c r="E39" s="588">
        <v>1</v>
      </c>
      <c r="F39" s="592">
        <v>0</v>
      </c>
      <c r="G39" s="21">
        <f t="shared" si="2"/>
        <v>17</v>
      </c>
      <c r="H39" s="594">
        <v>16</v>
      </c>
      <c r="I39" s="594">
        <v>1</v>
      </c>
      <c r="J39" s="598">
        <v>0</v>
      </c>
      <c r="K39" s="21">
        <f xml:space="preserve"> SUM(H39:J39) + $C39</f>
        <v>17</v>
      </c>
      <c r="L39" s="600">
        <v>16</v>
      </c>
      <c r="M39" s="600">
        <v>1</v>
      </c>
      <c r="N39" s="604">
        <v>0</v>
      </c>
      <c r="O39" s="21">
        <f xml:space="preserve"> SUM(L39:N39) + $C39</f>
        <v>17</v>
      </c>
    </row>
    <row r="40" spans="1:15" ht="15.75" thickBot="1" x14ac:dyDescent="0.3">
      <c r="A40" s="1932"/>
      <c r="B40" s="13" t="s">
        <v>34</v>
      </c>
      <c r="C40" s="34"/>
      <c r="D40" s="590">
        <v>20</v>
      </c>
      <c r="E40" s="590">
        <v>1.5</v>
      </c>
      <c r="F40" s="593">
        <v>0</v>
      </c>
      <c r="G40" s="77">
        <f t="shared" si="2"/>
        <v>21.5</v>
      </c>
      <c r="H40" s="596">
        <v>20</v>
      </c>
      <c r="I40" s="596">
        <v>1.5</v>
      </c>
      <c r="J40" s="599">
        <v>0</v>
      </c>
      <c r="K40" s="77">
        <f xml:space="preserve"> SUM(H40:J40) + $C40</f>
        <v>21.5</v>
      </c>
      <c r="L40" s="602">
        <v>20</v>
      </c>
      <c r="M40" s="602">
        <v>1.5</v>
      </c>
      <c r="N40" s="605">
        <v>0</v>
      </c>
      <c r="O40" s="77">
        <f xml:space="preserve"> SUM(L40:N40) + $C40</f>
        <v>21.5</v>
      </c>
    </row>
    <row r="41" spans="1:15" ht="16.5" thickBot="1" x14ac:dyDescent="0.3">
      <c r="A41" s="330" t="s">
        <v>13</v>
      </c>
      <c r="B41" s="329"/>
      <c r="C41" s="329"/>
      <c r="D41" s="329"/>
      <c r="E41" s="329"/>
      <c r="F41" s="329"/>
      <c r="G41" s="329"/>
      <c r="H41" s="329"/>
      <c r="I41" s="329"/>
      <c r="J41" s="329"/>
      <c r="K41" s="329"/>
      <c r="L41" s="329"/>
      <c r="M41" s="329"/>
      <c r="N41" s="329"/>
      <c r="O41" s="328"/>
    </row>
    <row r="42" spans="1:15" x14ac:dyDescent="0.25">
      <c r="A42" s="1932" t="s">
        <v>14</v>
      </c>
      <c r="B42" s="404" t="s">
        <v>32</v>
      </c>
      <c r="C42" s="324"/>
      <c r="D42" s="610">
        <v>1</v>
      </c>
      <c r="E42" s="609">
        <v>0</v>
      </c>
      <c r="F42" s="612">
        <v>0</v>
      </c>
      <c r="G42" s="230">
        <f t="shared" si="2"/>
        <v>1</v>
      </c>
      <c r="H42" s="678">
        <v>1</v>
      </c>
      <c r="I42" s="660">
        <v>0</v>
      </c>
      <c r="J42" s="690">
        <v>0</v>
      </c>
      <c r="K42" s="230">
        <f t="shared" ref="K42:K86" si="5" xml:space="preserve"> SUM(H42:J42) + $C42</f>
        <v>1</v>
      </c>
      <c r="L42" s="678">
        <v>1</v>
      </c>
      <c r="M42" s="660">
        <v>0</v>
      </c>
      <c r="N42" s="690">
        <v>0</v>
      </c>
      <c r="O42" s="230">
        <f t="shared" ref="O42:O86" si="6" xml:space="preserve"> SUM(L42:N42) + $C42</f>
        <v>1</v>
      </c>
    </row>
    <row r="43" spans="1:15" x14ac:dyDescent="0.25">
      <c r="A43" s="1932"/>
      <c r="B43" s="19" t="s">
        <v>33</v>
      </c>
      <c r="C43" s="22"/>
      <c r="D43" s="607">
        <v>2</v>
      </c>
      <c r="E43" s="606">
        <v>0</v>
      </c>
      <c r="F43" s="613">
        <v>0</v>
      </c>
      <c r="G43" s="21">
        <f t="shared" si="2"/>
        <v>2</v>
      </c>
      <c r="H43" s="625">
        <v>2</v>
      </c>
      <c r="I43" s="616">
        <v>0</v>
      </c>
      <c r="J43" s="691">
        <v>0</v>
      </c>
      <c r="K43" s="21">
        <f t="shared" si="5"/>
        <v>2</v>
      </c>
      <c r="L43" s="625">
        <v>2</v>
      </c>
      <c r="M43" s="616">
        <v>0</v>
      </c>
      <c r="N43" s="691">
        <v>0</v>
      </c>
      <c r="O43" s="21">
        <f t="shared" si="6"/>
        <v>2</v>
      </c>
    </row>
    <row r="44" spans="1:15" x14ac:dyDescent="0.25">
      <c r="A44" s="1932"/>
      <c r="B44" s="19" t="s">
        <v>34</v>
      </c>
      <c r="C44" s="22"/>
      <c r="D44" s="607">
        <v>3</v>
      </c>
      <c r="E44" s="606">
        <v>0</v>
      </c>
      <c r="F44" s="613">
        <v>0</v>
      </c>
      <c r="G44" s="21">
        <f t="shared" si="2"/>
        <v>3</v>
      </c>
      <c r="H44" s="625">
        <v>3</v>
      </c>
      <c r="I44" s="616">
        <v>0</v>
      </c>
      <c r="J44" s="691">
        <v>0</v>
      </c>
      <c r="K44" s="21">
        <f t="shared" si="5"/>
        <v>3</v>
      </c>
      <c r="L44" s="625">
        <v>3</v>
      </c>
      <c r="M44" s="616">
        <v>0</v>
      </c>
      <c r="N44" s="691">
        <v>0</v>
      </c>
      <c r="O44" s="21">
        <f t="shared" si="6"/>
        <v>3</v>
      </c>
    </row>
    <row r="45" spans="1:15" x14ac:dyDescent="0.25">
      <c r="A45" s="1933" t="s">
        <v>15</v>
      </c>
      <c r="B45" s="19" t="s">
        <v>32</v>
      </c>
      <c r="C45" s="22"/>
      <c r="D45" s="607">
        <v>8</v>
      </c>
      <c r="E45" s="631">
        <f>IF(E$3&lt;=2,2,0)+IF(E$3=3,2.5,0)+IF(E$3&gt;3,3,0)</f>
        <v>2</v>
      </c>
      <c r="F45" s="613">
        <v>0</v>
      </c>
      <c r="G45" s="21">
        <f t="shared" si="2"/>
        <v>10</v>
      </c>
      <c r="H45" s="625">
        <v>8</v>
      </c>
      <c r="I45" s="631">
        <f>IF(I$3&lt;=2,2,0)+IF(I$3=3,2.5,0)+IF(I$3&gt;3,3,0)</f>
        <v>2</v>
      </c>
      <c r="J45" s="691">
        <v>0</v>
      </c>
      <c r="K45" s="21">
        <f t="shared" si="5"/>
        <v>10</v>
      </c>
      <c r="L45" s="625">
        <v>8</v>
      </c>
      <c r="M45" s="631">
        <f>IF(M$3&lt;=2,2,0)+IF(M$3=3,2.5,0)+IF(M$3&gt;3,3,0)</f>
        <v>2</v>
      </c>
      <c r="N45" s="691">
        <v>0</v>
      </c>
      <c r="O45" s="21">
        <f t="shared" si="6"/>
        <v>10</v>
      </c>
    </row>
    <row r="46" spans="1:15" x14ac:dyDescent="0.25">
      <c r="A46" s="1933"/>
      <c r="B46" s="19" t="s">
        <v>33</v>
      </c>
      <c r="C46" s="22"/>
      <c r="D46" s="607">
        <v>10</v>
      </c>
      <c r="E46" s="631">
        <f>IF(E$3&lt;=2,2,0)+IF(E$3=3,2.5,0)+IF(E$3&gt;3,3,0)</f>
        <v>2</v>
      </c>
      <c r="F46" s="613">
        <v>0</v>
      </c>
      <c r="G46" s="21">
        <f t="shared" si="2"/>
        <v>12</v>
      </c>
      <c r="H46" s="625">
        <v>10</v>
      </c>
      <c r="I46" s="631">
        <f>IF(I$3&lt;=2,2,0)+IF(I$3=3,2.5,0)+IF(I$3&gt;3,3,0)</f>
        <v>2</v>
      </c>
      <c r="J46" s="691">
        <v>0</v>
      </c>
      <c r="K46" s="21">
        <f t="shared" si="5"/>
        <v>12</v>
      </c>
      <c r="L46" s="625">
        <v>10</v>
      </c>
      <c r="M46" s="631">
        <f>IF(M$3&lt;=2,2,0)+IF(M$3=3,2.5,0)+IF(M$3&gt;3,3,0)</f>
        <v>2</v>
      </c>
      <c r="N46" s="691">
        <v>0</v>
      </c>
      <c r="O46" s="21">
        <f t="shared" si="6"/>
        <v>12</v>
      </c>
    </row>
    <row r="47" spans="1:15" x14ac:dyDescent="0.25">
      <c r="A47" s="1933"/>
      <c r="B47" s="19" t="s">
        <v>34</v>
      </c>
      <c r="C47" s="22"/>
      <c r="D47" s="607">
        <v>12</v>
      </c>
      <c r="E47" s="631">
        <f>IF(E$3&lt;=2,2,0)+IF(E$3=3,2.5,0)+IF(E$3&gt;3,3,0)</f>
        <v>2</v>
      </c>
      <c r="F47" s="613">
        <v>0</v>
      </c>
      <c r="G47" s="21">
        <f t="shared" si="2"/>
        <v>14</v>
      </c>
      <c r="H47" s="625">
        <v>12</v>
      </c>
      <c r="I47" s="631">
        <f>IF(I$3&lt;=2,2,0)+IF(I$3=3,2.5,0)+IF(I$3&gt;3,3,0)</f>
        <v>2</v>
      </c>
      <c r="J47" s="691">
        <v>0</v>
      </c>
      <c r="K47" s="21">
        <f t="shared" si="5"/>
        <v>14</v>
      </c>
      <c r="L47" s="625">
        <v>12</v>
      </c>
      <c r="M47" s="631">
        <f>IF(M$3&lt;=2,2,0)+IF(M$3=3,2.5,0)+IF(M$3&gt;3,3,0)</f>
        <v>2</v>
      </c>
      <c r="N47" s="691">
        <v>0</v>
      </c>
      <c r="O47" s="21">
        <f t="shared" si="6"/>
        <v>14</v>
      </c>
    </row>
    <row r="48" spans="1:15" x14ac:dyDescent="0.25">
      <c r="A48" s="1933" t="s">
        <v>16</v>
      </c>
      <c r="B48" s="19" t="s">
        <v>32</v>
      </c>
      <c r="C48" s="22"/>
      <c r="D48" s="631">
        <f>1*D$3</f>
        <v>0</v>
      </c>
      <c r="E48" s="608">
        <v>0</v>
      </c>
      <c r="F48" s="613">
        <v>0</v>
      </c>
      <c r="G48" s="21">
        <f t="shared" si="2"/>
        <v>0</v>
      </c>
      <c r="H48" s="631">
        <f>1*H$3</f>
        <v>0</v>
      </c>
      <c r="I48" s="658">
        <v>0</v>
      </c>
      <c r="J48" s="691">
        <v>0</v>
      </c>
      <c r="K48" s="21">
        <f t="shared" si="5"/>
        <v>0</v>
      </c>
      <c r="L48" s="631">
        <f>1*L$3</f>
        <v>0</v>
      </c>
      <c r="M48" s="658">
        <v>0</v>
      </c>
      <c r="N48" s="691">
        <v>0</v>
      </c>
      <c r="O48" s="21">
        <f t="shared" si="6"/>
        <v>0</v>
      </c>
    </row>
    <row r="49" spans="1:15" x14ac:dyDescent="0.25">
      <c r="A49" s="1933"/>
      <c r="B49" s="19" t="s">
        <v>33</v>
      </c>
      <c r="C49" s="22"/>
      <c r="D49" s="631">
        <f>1.5*D$3</f>
        <v>0</v>
      </c>
      <c r="E49" s="608">
        <v>0</v>
      </c>
      <c r="F49" s="613">
        <v>0</v>
      </c>
      <c r="G49" s="21">
        <f t="shared" si="2"/>
        <v>0</v>
      </c>
      <c r="H49" s="631">
        <f>1.5*H$3</f>
        <v>0</v>
      </c>
      <c r="I49" s="658">
        <v>0</v>
      </c>
      <c r="J49" s="691">
        <v>0</v>
      </c>
      <c r="K49" s="21">
        <f t="shared" si="5"/>
        <v>0</v>
      </c>
      <c r="L49" s="631">
        <f>1.5*L$3</f>
        <v>0</v>
      </c>
      <c r="M49" s="658">
        <v>0</v>
      </c>
      <c r="N49" s="691">
        <v>0</v>
      </c>
      <c r="O49" s="21">
        <f t="shared" si="6"/>
        <v>0</v>
      </c>
    </row>
    <row r="50" spans="1:15" x14ac:dyDescent="0.25">
      <c r="A50" s="1933"/>
      <c r="B50" s="19" t="s">
        <v>34</v>
      </c>
      <c r="C50" s="22"/>
      <c r="D50" s="631">
        <f>2*D$3</f>
        <v>0</v>
      </c>
      <c r="E50" s="608">
        <v>0</v>
      </c>
      <c r="F50" s="613">
        <v>0</v>
      </c>
      <c r="G50" s="21">
        <f t="shared" si="2"/>
        <v>0</v>
      </c>
      <c r="H50" s="631">
        <f>2*H$3</f>
        <v>0</v>
      </c>
      <c r="I50" s="658">
        <v>0</v>
      </c>
      <c r="J50" s="691">
        <v>0</v>
      </c>
      <c r="K50" s="21">
        <f t="shared" si="5"/>
        <v>0</v>
      </c>
      <c r="L50" s="631">
        <f>2*L$3</f>
        <v>0</v>
      </c>
      <c r="M50" s="658">
        <v>0</v>
      </c>
      <c r="N50" s="691">
        <v>0</v>
      </c>
      <c r="O50" s="21">
        <f t="shared" si="6"/>
        <v>0</v>
      </c>
    </row>
    <row r="51" spans="1:15" x14ac:dyDescent="0.25">
      <c r="A51" s="1933" t="s">
        <v>17</v>
      </c>
      <c r="B51" s="19" t="s">
        <v>32</v>
      </c>
      <c r="C51" s="22"/>
      <c r="D51" s="631">
        <f>1*D$3</f>
        <v>0</v>
      </c>
      <c r="E51" s="608">
        <v>0</v>
      </c>
      <c r="F51" s="613">
        <v>0</v>
      </c>
      <c r="G51" s="21">
        <f t="shared" si="2"/>
        <v>0</v>
      </c>
      <c r="H51" s="631">
        <f>1*H$3</f>
        <v>0</v>
      </c>
      <c r="I51" s="658">
        <v>0</v>
      </c>
      <c r="J51" s="691">
        <v>0</v>
      </c>
      <c r="K51" s="21">
        <f t="shared" si="5"/>
        <v>0</v>
      </c>
      <c r="L51" s="631">
        <f>1*L$3</f>
        <v>0</v>
      </c>
      <c r="M51" s="658">
        <v>0</v>
      </c>
      <c r="N51" s="691">
        <v>0</v>
      </c>
      <c r="O51" s="21">
        <f t="shared" si="6"/>
        <v>0</v>
      </c>
    </row>
    <row r="52" spans="1:15" x14ac:dyDescent="0.25">
      <c r="A52" s="1933"/>
      <c r="B52" s="19" t="s">
        <v>33</v>
      </c>
      <c r="C52" s="22"/>
      <c r="D52" s="631">
        <f>1.5*D$3</f>
        <v>0</v>
      </c>
      <c r="E52" s="608">
        <v>0</v>
      </c>
      <c r="F52" s="613">
        <v>0</v>
      </c>
      <c r="G52" s="21">
        <f t="shared" si="2"/>
        <v>0</v>
      </c>
      <c r="H52" s="631">
        <f>1.5*H$3</f>
        <v>0</v>
      </c>
      <c r="I52" s="658">
        <v>0</v>
      </c>
      <c r="J52" s="691">
        <v>0</v>
      </c>
      <c r="K52" s="21">
        <f t="shared" si="5"/>
        <v>0</v>
      </c>
      <c r="L52" s="631">
        <f>1.5*L$3</f>
        <v>0</v>
      </c>
      <c r="M52" s="658">
        <v>0</v>
      </c>
      <c r="N52" s="691">
        <v>0</v>
      </c>
      <c r="O52" s="21">
        <f t="shared" si="6"/>
        <v>0</v>
      </c>
    </row>
    <row r="53" spans="1:15" x14ac:dyDescent="0.25">
      <c r="A53" s="1933"/>
      <c r="B53" s="19" t="s">
        <v>34</v>
      </c>
      <c r="C53" s="22"/>
      <c r="D53" s="631">
        <f>2*D$3</f>
        <v>0</v>
      </c>
      <c r="E53" s="608">
        <v>0</v>
      </c>
      <c r="F53" s="613">
        <v>0</v>
      </c>
      <c r="G53" s="21">
        <f t="shared" si="2"/>
        <v>0</v>
      </c>
      <c r="H53" s="631">
        <f>2*H$3</f>
        <v>0</v>
      </c>
      <c r="I53" s="658">
        <v>0</v>
      </c>
      <c r="J53" s="691">
        <v>0</v>
      </c>
      <c r="K53" s="21">
        <f t="shared" si="5"/>
        <v>0</v>
      </c>
      <c r="L53" s="631">
        <f>2*L$3</f>
        <v>0</v>
      </c>
      <c r="M53" s="658">
        <v>0</v>
      </c>
      <c r="N53" s="691">
        <v>0</v>
      </c>
      <c r="O53" s="21">
        <f t="shared" si="6"/>
        <v>0</v>
      </c>
    </row>
    <row r="54" spans="1:15" x14ac:dyDescent="0.25">
      <c r="A54" s="1933" t="s">
        <v>18</v>
      </c>
      <c r="B54" s="19" t="s">
        <v>32</v>
      </c>
      <c r="C54" s="22"/>
      <c r="D54" s="631">
        <f>1*D$3</f>
        <v>0</v>
      </c>
      <c r="E54" s="608">
        <v>0</v>
      </c>
      <c r="F54" s="613">
        <v>0</v>
      </c>
      <c r="G54" s="21">
        <f t="shared" si="2"/>
        <v>0</v>
      </c>
      <c r="H54" s="631">
        <f>1*H$3</f>
        <v>0</v>
      </c>
      <c r="I54" s="658">
        <v>0</v>
      </c>
      <c r="J54" s="691">
        <v>0</v>
      </c>
      <c r="K54" s="21">
        <f t="shared" si="5"/>
        <v>0</v>
      </c>
      <c r="L54" s="631">
        <f>1*L$3</f>
        <v>0</v>
      </c>
      <c r="M54" s="658">
        <v>0</v>
      </c>
      <c r="N54" s="691">
        <v>0</v>
      </c>
      <c r="O54" s="21">
        <f t="shared" si="6"/>
        <v>0</v>
      </c>
    </row>
    <row r="55" spans="1:15" x14ac:dyDescent="0.25">
      <c r="A55" s="1933"/>
      <c r="B55" s="19" t="s">
        <v>33</v>
      </c>
      <c r="C55" s="22"/>
      <c r="D55" s="631">
        <f>1*D$3</f>
        <v>0</v>
      </c>
      <c r="E55" s="608">
        <v>0</v>
      </c>
      <c r="F55" s="613">
        <v>0</v>
      </c>
      <c r="G55" s="21">
        <f t="shared" si="2"/>
        <v>0</v>
      </c>
      <c r="H55" s="631">
        <f>1*H$3</f>
        <v>0</v>
      </c>
      <c r="I55" s="658">
        <v>0</v>
      </c>
      <c r="J55" s="691">
        <v>0</v>
      </c>
      <c r="K55" s="21">
        <f t="shared" si="5"/>
        <v>0</v>
      </c>
      <c r="L55" s="631">
        <f>1*L$3</f>
        <v>0</v>
      </c>
      <c r="M55" s="658">
        <v>0</v>
      </c>
      <c r="N55" s="691">
        <v>0</v>
      </c>
      <c r="O55" s="21">
        <f t="shared" si="6"/>
        <v>0</v>
      </c>
    </row>
    <row r="56" spans="1:15" x14ac:dyDescent="0.25">
      <c r="A56" s="1933"/>
      <c r="B56" s="19" t="s">
        <v>34</v>
      </c>
      <c r="C56" s="22"/>
      <c r="D56" s="631">
        <f>1*D$3</f>
        <v>0</v>
      </c>
      <c r="E56" s="608">
        <v>0</v>
      </c>
      <c r="F56" s="613">
        <v>0</v>
      </c>
      <c r="G56" s="21">
        <f t="shared" si="2"/>
        <v>0</v>
      </c>
      <c r="H56" s="631">
        <f>1*H$3</f>
        <v>0</v>
      </c>
      <c r="I56" s="658">
        <v>0</v>
      </c>
      <c r="J56" s="691">
        <v>0</v>
      </c>
      <c r="K56" s="21">
        <f t="shared" si="5"/>
        <v>0</v>
      </c>
      <c r="L56" s="631">
        <f>1*L$3</f>
        <v>0</v>
      </c>
      <c r="M56" s="658">
        <v>0</v>
      </c>
      <c r="N56" s="691">
        <v>0</v>
      </c>
      <c r="O56" s="21">
        <f t="shared" si="6"/>
        <v>0</v>
      </c>
    </row>
    <row r="57" spans="1:15" x14ac:dyDescent="0.25">
      <c r="A57" s="1933" t="s">
        <v>19</v>
      </c>
      <c r="B57" s="19" t="s">
        <v>32</v>
      </c>
      <c r="C57" s="22"/>
      <c r="D57" s="611">
        <v>2</v>
      </c>
      <c r="E57" s="608">
        <v>0</v>
      </c>
      <c r="F57" s="613">
        <v>0</v>
      </c>
      <c r="G57" s="21">
        <f t="shared" si="2"/>
        <v>2</v>
      </c>
      <c r="H57" s="689">
        <v>2</v>
      </c>
      <c r="I57" s="658">
        <v>0</v>
      </c>
      <c r="J57" s="691">
        <v>0</v>
      </c>
      <c r="K57" s="21">
        <f t="shared" si="5"/>
        <v>2</v>
      </c>
      <c r="L57" s="689">
        <v>2</v>
      </c>
      <c r="M57" s="658">
        <v>0</v>
      </c>
      <c r="N57" s="691">
        <v>0</v>
      </c>
      <c r="O57" s="21">
        <f t="shared" si="6"/>
        <v>2</v>
      </c>
    </row>
    <row r="58" spans="1:15" x14ac:dyDescent="0.25">
      <c r="A58" s="1933"/>
      <c r="B58" s="19" t="s">
        <v>33</v>
      </c>
      <c r="C58" s="22"/>
      <c r="D58" s="611">
        <v>4</v>
      </c>
      <c r="E58" s="608">
        <v>0</v>
      </c>
      <c r="F58" s="613">
        <v>0</v>
      </c>
      <c r="G58" s="21">
        <f t="shared" si="2"/>
        <v>4</v>
      </c>
      <c r="H58" s="689">
        <v>4</v>
      </c>
      <c r="I58" s="658">
        <v>0</v>
      </c>
      <c r="J58" s="691">
        <v>0</v>
      </c>
      <c r="K58" s="21">
        <f t="shared" si="5"/>
        <v>4</v>
      </c>
      <c r="L58" s="689">
        <v>4</v>
      </c>
      <c r="M58" s="658">
        <v>0</v>
      </c>
      <c r="N58" s="691">
        <v>0</v>
      </c>
      <c r="O58" s="21">
        <f t="shared" si="6"/>
        <v>4</v>
      </c>
    </row>
    <row r="59" spans="1:15" x14ac:dyDescent="0.25">
      <c r="A59" s="1933"/>
      <c r="B59" s="19" t="s">
        <v>34</v>
      </c>
      <c r="C59" s="22"/>
      <c r="D59" s="611">
        <v>6</v>
      </c>
      <c r="E59" s="608">
        <v>0</v>
      </c>
      <c r="F59" s="613">
        <v>0</v>
      </c>
      <c r="G59" s="21">
        <f t="shared" si="2"/>
        <v>6</v>
      </c>
      <c r="H59" s="689">
        <v>6</v>
      </c>
      <c r="I59" s="658">
        <v>0</v>
      </c>
      <c r="J59" s="691">
        <v>0</v>
      </c>
      <c r="K59" s="21">
        <f t="shared" si="5"/>
        <v>6</v>
      </c>
      <c r="L59" s="689">
        <v>6</v>
      </c>
      <c r="M59" s="658">
        <v>0</v>
      </c>
      <c r="N59" s="691">
        <v>0</v>
      </c>
      <c r="O59" s="21">
        <f t="shared" si="6"/>
        <v>6</v>
      </c>
    </row>
    <row r="60" spans="1:15" x14ac:dyDescent="0.25">
      <c r="A60" s="1933" t="s">
        <v>20</v>
      </c>
      <c r="B60" s="19" t="s">
        <v>32</v>
      </c>
      <c r="C60" s="22"/>
      <c r="D60" s="611">
        <v>8</v>
      </c>
      <c r="E60" s="631">
        <f>IF(E$3&lt;=2,2,0)+IF(E$3=3,2.5,0)+IF(E$3&gt;3,3,0)</f>
        <v>2</v>
      </c>
      <c r="F60" s="613">
        <v>0</v>
      </c>
      <c r="G60" s="21">
        <f t="shared" si="2"/>
        <v>10</v>
      </c>
      <c r="H60" s="689">
        <v>8</v>
      </c>
      <c r="I60" s="631">
        <f>IF(I$3&lt;=2,2,0)+IF(I$3=3,2.5,0)+IF(I$3&gt;3,3,0)</f>
        <v>2</v>
      </c>
      <c r="J60" s="691">
        <v>0</v>
      </c>
      <c r="K60" s="21">
        <f t="shared" si="5"/>
        <v>10</v>
      </c>
      <c r="L60" s="689">
        <v>8</v>
      </c>
      <c r="M60" s="631">
        <f>IF(M$3&lt;=2,2,0)+IF(M$3=3,2.5,0)+IF(M$3&gt;3,3,0)</f>
        <v>2</v>
      </c>
      <c r="N60" s="691">
        <v>0</v>
      </c>
      <c r="O60" s="21">
        <f t="shared" si="6"/>
        <v>10</v>
      </c>
    </row>
    <row r="61" spans="1:15" x14ac:dyDescent="0.25">
      <c r="A61" s="1933"/>
      <c r="B61" s="19" t="s">
        <v>33</v>
      </c>
      <c r="C61" s="22"/>
      <c r="D61" s="611">
        <v>10</v>
      </c>
      <c r="E61" s="631">
        <f>IF(E$3&lt;=2,2,0)+IF(E$3=3,2.5,0)+IF(E$3&gt;3,3,0)</f>
        <v>2</v>
      </c>
      <c r="F61" s="613">
        <v>0</v>
      </c>
      <c r="G61" s="21">
        <f t="shared" si="2"/>
        <v>12</v>
      </c>
      <c r="H61" s="689">
        <v>10</v>
      </c>
      <c r="I61" s="631">
        <f>IF(I$3&lt;=2,2,0)+IF(I$3=3,2.5,0)+IF(I$3&gt;3,3,0)</f>
        <v>2</v>
      </c>
      <c r="J61" s="691">
        <v>0</v>
      </c>
      <c r="K61" s="21">
        <f t="shared" si="5"/>
        <v>12</v>
      </c>
      <c r="L61" s="689">
        <v>10</v>
      </c>
      <c r="M61" s="631">
        <f>IF(M$3&lt;=2,2,0)+IF(M$3=3,2.5,0)+IF(M$3&gt;3,3,0)</f>
        <v>2</v>
      </c>
      <c r="N61" s="691">
        <v>0</v>
      </c>
      <c r="O61" s="21">
        <f t="shared" si="6"/>
        <v>12</v>
      </c>
    </row>
    <row r="62" spans="1:15" x14ac:dyDescent="0.25">
      <c r="A62" s="1933"/>
      <c r="B62" s="19" t="s">
        <v>34</v>
      </c>
      <c r="C62" s="22"/>
      <c r="D62" s="611">
        <v>12</v>
      </c>
      <c r="E62" s="631">
        <f>IF(E$3&lt;=2,2,0)+IF(E$3=3,2.5,0)+IF(E$3&gt;3,3,0)</f>
        <v>2</v>
      </c>
      <c r="F62" s="613">
        <v>0</v>
      </c>
      <c r="G62" s="21">
        <f t="shared" si="2"/>
        <v>14</v>
      </c>
      <c r="H62" s="689">
        <v>12</v>
      </c>
      <c r="I62" s="631">
        <f>IF(I$3&lt;=2,2,0)+IF(I$3=3,2.5,0)+IF(I$3&gt;3,3,0)</f>
        <v>2</v>
      </c>
      <c r="J62" s="691">
        <v>0</v>
      </c>
      <c r="K62" s="21">
        <f t="shared" si="5"/>
        <v>14</v>
      </c>
      <c r="L62" s="689">
        <v>12</v>
      </c>
      <c r="M62" s="631">
        <f>IF(M$3&lt;=2,2,0)+IF(M$3=3,2.5,0)+IF(M$3&gt;3,3,0)</f>
        <v>2</v>
      </c>
      <c r="N62" s="691">
        <v>0</v>
      </c>
      <c r="O62" s="21">
        <f t="shared" si="6"/>
        <v>14</v>
      </c>
    </row>
    <row r="63" spans="1:15" x14ac:dyDescent="0.25">
      <c r="A63" s="1933" t="s">
        <v>451</v>
      </c>
      <c r="B63" s="19" t="s">
        <v>32</v>
      </c>
      <c r="C63" s="22"/>
      <c r="D63" s="607">
        <v>2</v>
      </c>
      <c r="E63" s="611">
        <v>0</v>
      </c>
      <c r="F63" s="614">
        <v>0</v>
      </c>
      <c r="G63" s="21">
        <f t="shared" si="2"/>
        <v>2</v>
      </c>
      <c r="H63" s="625">
        <v>2</v>
      </c>
      <c r="I63" s="689">
        <v>0</v>
      </c>
      <c r="J63" s="692">
        <v>0</v>
      </c>
      <c r="K63" s="21">
        <f t="shared" si="5"/>
        <v>2</v>
      </c>
      <c r="L63" s="625">
        <v>2</v>
      </c>
      <c r="M63" s="689">
        <v>0</v>
      </c>
      <c r="N63" s="692">
        <v>0</v>
      </c>
      <c r="O63" s="21">
        <f t="shared" si="6"/>
        <v>2</v>
      </c>
    </row>
    <row r="64" spans="1:15" x14ac:dyDescent="0.25">
      <c r="A64" s="1933"/>
      <c r="B64" s="19" t="s">
        <v>33</v>
      </c>
      <c r="C64" s="22"/>
      <c r="D64" s="607">
        <v>2</v>
      </c>
      <c r="E64" s="611">
        <v>0</v>
      </c>
      <c r="F64" s="614">
        <v>0</v>
      </c>
      <c r="G64" s="21">
        <f t="shared" si="2"/>
        <v>2</v>
      </c>
      <c r="H64" s="625">
        <v>2</v>
      </c>
      <c r="I64" s="689">
        <v>0</v>
      </c>
      <c r="J64" s="692">
        <v>0</v>
      </c>
      <c r="K64" s="21">
        <f t="shared" si="5"/>
        <v>2</v>
      </c>
      <c r="L64" s="625">
        <v>2</v>
      </c>
      <c r="M64" s="689">
        <v>0</v>
      </c>
      <c r="N64" s="692">
        <v>0</v>
      </c>
      <c r="O64" s="21">
        <f t="shared" si="6"/>
        <v>2</v>
      </c>
    </row>
    <row r="65" spans="1:15" x14ac:dyDescent="0.25">
      <c r="A65" s="1933"/>
      <c r="B65" s="19" t="s">
        <v>34</v>
      </c>
      <c r="C65" s="22"/>
      <c r="D65" s="607">
        <v>2</v>
      </c>
      <c r="E65" s="611">
        <v>0</v>
      </c>
      <c r="F65" s="614">
        <v>0</v>
      </c>
      <c r="G65" s="21">
        <f t="shared" si="2"/>
        <v>2</v>
      </c>
      <c r="H65" s="625">
        <v>2</v>
      </c>
      <c r="I65" s="689">
        <v>0</v>
      </c>
      <c r="J65" s="692">
        <v>0</v>
      </c>
      <c r="K65" s="21">
        <f t="shared" si="5"/>
        <v>2</v>
      </c>
      <c r="L65" s="625">
        <v>2</v>
      </c>
      <c r="M65" s="689">
        <v>0</v>
      </c>
      <c r="N65" s="692">
        <v>0</v>
      </c>
      <c r="O65" s="21">
        <f t="shared" si="6"/>
        <v>2</v>
      </c>
    </row>
    <row r="66" spans="1:15" x14ac:dyDescent="0.25">
      <c r="A66" s="1933" t="s">
        <v>452</v>
      </c>
      <c r="B66" s="19" t="s">
        <v>32</v>
      </c>
      <c r="C66" s="22"/>
      <c r="D66" s="607">
        <v>1</v>
      </c>
      <c r="E66" s="611">
        <v>0</v>
      </c>
      <c r="F66" s="614">
        <v>0</v>
      </c>
      <c r="G66" s="21">
        <f t="shared" si="2"/>
        <v>1</v>
      </c>
      <c r="H66" s="625">
        <v>1</v>
      </c>
      <c r="I66" s="689">
        <v>0</v>
      </c>
      <c r="J66" s="692">
        <v>0</v>
      </c>
      <c r="K66" s="21">
        <f t="shared" si="5"/>
        <v>1</v>
      </c>
      <c r="L66" s="625">
        <v>1</v>
      </c>
      <c r="M66" s="689">
        <v>0</v>
      </c>
      <c r="N66" s="692">
        <v>0</v>
      </c>
      <c r="O66" s="21">
        <f t="shared" si="6"/>
        <v>1</v>
      </c>
    </row>
    <row r="67" spans="1:15" x14ac:dyDescent="0.25">
      <c r="A67" s="1933"/>
      <c r="B67" s="19" t="s">
        <v>33</v>
      </c>
      <c r="C67" s="22"/>
      <c r="D67" s="607">
        <v>1</v>
      </c>
      <c r="E67" s="611">
        <v>0</v>
      </c>
      <c r="F67" s="614">
        <v>0</v>
      </c>
      <c r="G67" s="21">
        <f t="shared" si="2"/>
        <v>1</v>
      </c>
      <c r="H67" s="625">
        <v>1</v>
      </c>
      <c r="I67" s="689">
        <v>0</v>
      </c>
      <c r="J67" s="692">
        <v>0</v>
      </c>
      <c r="K67" s="21">
        <f t="shared" si="5"/>
        <v>1</v>
      </c>
      <c r="L67" s="625">
        <v>1</v>
      </c>
      <c r="M67" s="689">
        <v>0</v>
      </c>
      <c r="N67" s="692">
        <v>0</v>
      </c>
      <c r="O67" s="21">
        <f t="shared" si="6"/>
        <v>1</v>
      </c>
    </row>
    <row r="68" spans="1:15" x14ac:dyDescent="0.25">
      <c r="A68" s="1933"/>
      <c r="B68" s="19" t="s">
        <v>34</v>
      </c>
      <c r="C68" s="22"/>
      <c r="D68" s="607">
        <v>1</v>
      </c>
      <c r="E68" s="611">
        <v>0</v>
      </c>
      <c r="F68" s="614">
        <v>0</v>
      </c>
      <c r="G68" s="21">
        <f t="shared" si="2"/>
        <v>1</v>
      </c>
      <c r="H68" s="625">
        <v>1</v>
      </c>
      <c r="I68" s="689">
        <v>0</v>
      </c>
      <c r="J68" s="692">
        <v>0</v>
      </c>
      <c r="K68" s="21">
        <f t="shared" si="5"/>
        <v>1</v>
      </c>
      <c r="L68" s="625">
        <v>1</v>
      </c>
      <c r="M68" s="689">
        <v>0</v>
      </c>
      <c r="N68" s="692">
        <v>0</v>
      </c>
      <c r="O68" s="21">
        <f t="shared" si="6"/>
        <v>1</v>
      </c>
    </row>
    <row r="69" spans="1:15" x14ac:dyDescent="0.25">
      <c r="A69" s="1936" t="s">
        <v>533</v>
      </c>
      <c r="B69" s="19" t="s">
        <v>32</v>
      </c>
      <c r="C69" s="22"/>
      <c r="D69" s="607">
        <v>2</v>
      </c>
      <c r="E69" s="611">
        <v>2</v>
      </c>
      <c r="F69" s="614">
        <v>0</v>
      </c>
      <c r="G69" s="21">
        <f t="shared" si="2"/>
        <v>4</v>
      </c>
      <c r="H69" s="625">
        <v>2</v>
      </c>
      <c r="I69" s="689">
        <v>2</v>
      </c>
      <c r="J69" s="692">
        <v>0</v>
      </c>
      <c r="K69" s="21">
        <f t="shared" si="5"/>
        <v>4</v>
      </c>
      <c r="L69" s="625">
        <v>2</v>
      </c>
      <c r="M69" s="689">
        <v>2</v>
      </c>
      <c r="N69" s="692">
        <v>0</v>
      </c>
      <c r="O69" s="21">
        <f t="shared" si="6"/>
        <v>4</v>
      </c>
    </row>
    <row r="70" spans="1:15" x14ac:dyDescent="0.25">
      <c r="A70" s="1936"/>
      <c r="B70" s="19" t="s">
        <v>33</v>
      </c>
      <c r="C70" s="22"/>
      <c r="D70" s="607">
        <v>4</v>
      </c>
      <c r="E70" s="611">
        <v>2</v>
      </c>
      <c r="F70" s="614">
        <v>0</v>
      </c>
      <c r="G70" s="21">
        <f t="shared" si="2"/>
        <v>6</v>
      </c>
      <c r="H70" s="625">
        <v>4</v>
      </c>
      <c r="I70" s="689">
        <v>2</v>
      </c>
      <c r="J70" s="692">
        <v>0</v>
      </c>
      <c r="K70" s="21">
        <f t="shared" si="5"/>
        <v>6</v>
      </c>
      <c r="L70" s="625">
        <v>4</v>
      </c>
      <c r="M70" s="689">
        <v>2</v>
      </c>
      <c r="N70" s="692">
        <v>0</v>
      </c>
      <c r="O70" s="21">
        <f t="shared" si="6"/>
        <v>6</v>
      </c>
    </row>
    <row r="71" spans="1:15" x14ac:dyDescent="0.25">
      <c r="A71" s="1936"/>
      <c r="B71" s="19" t="s">
        <v>34</v>
      </c>
      <c r="C71" s="22"/>
      <c r="D71" s="607">
        <v>6</v>
      </c>
      <c r="E71" s="611">
        <v>2</v>
      </c>
      <c r="F71" s="614">
        <v>0</v>
      </c>
      <c r="G71" s="21">
        <f t="shared" si="2"/>
        <v>8</v>
      </c>
      <c r="H71" s="625">
        <v>6</v>
      </c>
      <c r="I71" s="689">
        <v>2</v>
      </c>
      <c r="J71" s="692">
        <v>0</v>
      </c>
      <c r="K71" s="21">
        <f t="shared" si="5"/>
        <v>8</v>
      </c>
      <c r="L71" s="625">
        <v>6</v>
      </c>
      <c r="M71" s="689">
        <v>2</v>
      </c>
      <c r="N71" s="692">
        <v>0</v>
      </c>
      <c r="O71" s="21">
        <f t="shared" si="6"/>
        <v>8</v>
      </c>
    </row>
    <row r="72" spans="1:15" x14ac:dyDescent="0.25">
      <c r="A72" s="1933" t="s">
        <v>534</v>
      </c>
      <c r="B72" s="19" t="s">
        <v>32</v>
      </c>
      <c r="C72" s="22"/>
      <c r="D72" s="607">
        <v>2</v>
      </c>
      <c r="E72" s="611">
        <v>2</v>
      </c>
      <c r="F72" s="614">
        <v>0</v>
      </c>
      <c r="G72" s="21">
        <f t="shared" si="2"/>
        <v>4</v>
      </c>
      <c r="H72" s="625">
        <v>2</v>
      </c>
      <c r="I72" s="689">
        <v>2</v>
      </c>
      <c r="J72" s="692">
        <v>0</v>
      </c>
      <c r="K72" s="21">
        <f t="shared" si="5"/>
        <v>4</v>
      </c>
      <c r="L72" s="625">
        <v>2</v>
      </c>
      <c r="M72" s="689">
        <v>2</v>
      </c>
      <c r="N72" s="692">
        <v>0</v>
      </c>
      <c r="O72" s="21">
        <f t="shared" si="6"/>
        <v>4</v>
      </c>
    </row>
    <row r="73" spans="1:15" x14ac:dyDescent="0.25">
      <c r="A73" s="1933"/>
      <c r="B73" s="19" t="s">
        <v>33</v>
      </c>
      <c r="C73" s="22"/>
      <c r="D73" s="607">
        <v>4</v>
      </c>
      <c r="E73" s="611">
        <v>2</v>
      </c>
      <c r="F73" s="614">
        <v>0</v>
      </c>
      <c r="G73" s="21">
        <f t="shared" si="2"/>
        <v>6</v>
      </c>
      <c r="H73" s="625">
        <v>4</v>
      </c>
      <c r="I73" s="689">
        <v>2</v>
      </c>
      <c r="J73" s="692">
        <v>0</v>
      </c>
      <c r="K73" s="21">
        <f t="shared" si="5"/>
        <v>6</v>
      </c>
      <c r="L73" s="625">
        <v>4</v>
      </c>
      <c r="M73" s="689">
        <v>2</v>
      </c>
      <c r="N73" s="692">
        <v>0</v>
      </c>
      <c r="O73" s="21">
        <f t="shared" si="6"/>
        <v>6</v>
      </c>
    </row>
    <row r="74" spans="1:15" x14ac:dyDescent="0.25">
      <c r="A74" s="1933"/>
      <c r="B74" s="19" t="s">
        <v>34</v>
      </c>
      <c r="C74" s="22"/>
      <c r="D74" s="607">
        <v>6</v>
      </c>
      <c r="E74" s="611">
        <v>2</v>
      </c>
      <c r="F74" s="614">
        <v>0</v>
      </c>
      <c r="G74" s="21">
        <f t="shared" si="2"/>
        <v>8</v>
      </c>
      <c r="H74" s="625">
        <v>6</v>
      </c>
      <c r="I74" s="689">
        <v>2</v>
      </c>
      <c r="J74" s="692">
        <v>0</v>
      </c>
      <c r="K74" s="21">
        <f t="shared" si="5"/>
        <v>8</v>
      </c>
      <c r="L74" s="625">
        <v>6</v>
      </c>
      <c r="M74" s="689">
        <v>2</v>
      </c>
      <c r="N74" s="692">
        <v>0</v>
      </c>
      <c r="O74" s="21">
        <f t="shared" si="6"/>
        <v>8</v>
      </c>
    </row>
    <row r="75" spans="1:15" x14ac:dyDescent="0.25">
      <c r="A75" s="1933" t="s">
        <v>21</v>
      </c>
      <c r="B75" s="19" t="s">
        <v>32</v>
      </c>
      <c r="C75" s="22"/>
      <c r="D75" s="38" t="s">
        <v>90</v>
      </c>
      <c r="E75" s="38" t="s">
        <v>90</v>
      </c>
      <c r="F75" s="38" t="s">
        <v>90</v>
      </c>
      <c r="G75" s="21">
        <f t="shared" si="2"/>
        <v>0</v>
      </c>
      <c r="H75" s="625" t="s">
        <v>90</v>
      </c>
      <c r="I75" s="625" t="s">
        <v>90</v>
      </c>
      <c r="J75" s="625" t="s">
        <v>90</v>
      </c>
      <c r="K75" s="21">
        <f t="shared" si="5"/>
        <v>0</v>
      </c>
      <c r="L75" s="625" t="s">
        <v>90</v>
      </c>
      <c r="M75" s="625" t="s">
        <v>90</v>
      </c>
      <c r="N75" s="625" t="s">
        <v>90</v>
      </c>
      <c r="O75" s="21">
        <f t="shared" si="6"/>
        <v>0</v>
      </c>
    </row>
    <row r="76" spans="1:15" x14ac:dyDescent="0.25">
      <c r="A76" s="1933"/>
      <c r="B76" s="19" t="s">
        <v>33</v>
      </c>
      <c r="C76" s="22"/>
      <c r="D76" s="38" t="s">
        <v>90</v>
      </c>
      <c r="E76" s="38" t="s">
        <v>90</v>
      </c>
      <c r="F76" s="38" t="s">
        <v>90</v>
      </c>
      <c r="G76" s="21">
        <f t="shared" si="2"/>
        <v>0</v>
      </c>
      <c r="H76" s="625" t="s">
        <v>90</v>
      </c>
      <c r="I76" s="625" t="s">
        <v>90</v>
      </c>
      <c r="J76" s="625" t="s">
        <v>90</v>
      </c>
      <c r="K76" s="21">
        <f t="shared" si="5"/>
        <v>0</v>
      </c>
      <c r="L76" s="625" t="s">
        <v>90</v>
      </c>
      <c r="M76" s="625" t="s">
        <v>90</v>
      </c>
      <c r="N76" s="625" t="s">
        <v>90</v>
      </c>
      <c r="O76" s="21">
        <f t="shared" si="6"/>
        <v>0</v>
      </c>
    </row>
    <row r="77" spans="1:15" x14ac:dyDescent="0.25">
      <c r="A77" s="1933"/>
      <c r="B77" s="13" t="s">
        <v>34</v>
      </c>
      <c r="C77" s="22"/>
      <c r="D77" s="38" t="s">
        <v>90</v>
      </c>
      <c r="E77" s="38" t="s">
        <v>90</v>
      </c>
      <c r="F77" s="38" t="s">
        <v>90</v>
      </c>
      <c r="G77" s="21">
        <f t="shared" si="2"/>
        <v>0</v>
      </c>
      <c r="H77" s="625" t="s">
        <v>90</v>
      </c>
      <c r="I77" s="625" t="s">
        <v>90</v>
      </c>
      <c r="J77" s="625" t="s">
        <v>90</v>
      </c>
      <c r="K77" s="21">
        <f t="shared" si="5"/>
        <v>0</v>
      </c>
      <c r="L77" s="625" t="s">
        <v>90</v>
      </c>
      <c r="M77" s="625" t="s">
        <v>90</v>
      </c>
      <c r="N77" s="625" t="s">
        <v>90</v>
      </c>
      <c r="O77" s="21">
        <f t="shared" si="6"/>
        <v>0</v>
      </c>
    </row>
    <row r="78" spans="1:15" x14ac:dyDescent="0.25">
      <c r="A78" s="1933" t="s">
        <v>181</v>
      </c>
      <c r="B78" s="19" t="s">
        <v>32</v>
      </c>
      <c r="C78" s="22"/>
      <c r="D78" s="625">
        <v>1</v>
      </c>
      <c r="E78" s="625">
        <v>0</v>
      </c>
      <c r="F78" s="625">
        <v>0</v>
      </c>
      <c r="G78" s="21">
        <f t="shared" si="2"/>
        <v>1</v>
      </c>
      <c r="H78" s="625">
        <v>1</v>
      </c>
      <c r="I78" s="625">
        <v>0</v>
      </c>
      <c r="J78" s="625">
        <v>0</v>
      </c>
      <c r="K78" s="21">
        <f t="shared" si="5"/>
        <v>1</v>
      </c>
      <c r="L78" s="625">
        <v>1</v>
      </c>
      <c r="M78" s="625">
        <v>0</v>
      </c>
      <c r="N78" s="625">
        <v>0</v>
      </c>
      <c r="O78" s="21">
        <f t="shared" si="6"/>
        <v>1</v>
      </c>
    </row>
    <row r="79" spans="1:15" x14ac:dyDescent="0.25">
      <c r="A79" s="1933"/>
      <c r="B79" s="19" t="s">
        <v>33</v>
      </c>
      <c r="C79" s="22"/>
      <c r="D79" s="625">
        <v>1</v>
      </c>
      <c r="E79" s="616">
        <v>0</v>
      </c>
      <c r="F79" s="623">
        <v>0</v>
      </c>
      <c r="G79" s="21">
        <f t="shared" si="2"/>
        <v>1</v>
      </c>
      <c r="H79" s="625">
        <v>1</v>
      </c>
      <c r="I79" s="616">
        <v>0</v>
      </c>
      <c r="J79" s="623">
        <v>0</v>
      </c>
      <c r="K79" s="21">
        <f t="shared" si="5"/>
        <v>1</v>
      </c>
      <c r="L79" s="625">
        <v>1</v>
      </c>
      <c r="M79" s="616">
        <v>0</v>
      </c>
      <c r="N79" s="623">
        <v>0</v>
      </c>
      <c r="O79" s="21">
        <f t="shared" si="6"/>
        <v>1</v>
      </c>
    </row>
    <row r="80" spans="1:15" x14ac:dyDescent="0.25">
      <c r="A80" s="1933"/>
      <c r="B80" s="19" t="s">
        <v>34</v>
      </c>
      <c r="C80" s="22"/>
      <c r="D80" s="625">
        <v>1</v>
      </c>
      <c r="E80" s="616">
        <v>0</v>
      </c>
      <c r="F80" s="623">
        <v>0</v>
      </c>
      <c r="G80" s="21">
        <f t="shared" si="2"/>
        <v>1</v>
      </c>
      <c r="H80" s="625">
        <v>1</v>
      </c>
      <c r="I80" s="616">
        <v>0</v>
      </c>
      <c r="J80" s="623">
        <v>0</v>
      </c>
      <c r="K80" s="21">
        <f t="shared" si="5"/>
        <v>1</v>
      </c>
      <c r="L80" s="625">
        <v>1</v>
      </c>
      <c r="M80" s="616">
        <v>0</v>
      </c>
      <c r="N80" s="623">
        <v>0</v>
      </c>
      <c r="O80" s="21">
        <f t="shared" si="6"/>
        <v>1</v>
      </c>
    </row>
    <row r="81" spans="1:15" x14ac:dyDescent="0.25">
      <c r="A81" s="1933" t="s">
        <v>182</v>
      </c>
      <c r="B81" s="19" t="s">
        <v>32</v>
      </c>
      <c r="C81" s="22"/>
      <c r="D81" s="625">
        <v>1</v>
      </c>
      <c r="E81" s="616">
        <v>0</v>
      </c>
      <c r="F81" s="623">
        <v>0</v>
      </c>
      <c r="G81" s="21">
        <f t="shared" si="2"/>
        <v>1</v>
      </c>
      <c r="H81" s="625">
        <v>1</v>
      </c>
      <c r="I81" s="616">
        <v>0</v>
      </c>
      <c r="J81" s="623">
        <v>0</v>
      </c>
      <c r="K81" s="21">
        <f t="shared" si="5"/>
        <v>1</v>
      </c>
      <c r="L81" s="625">
        <v>1</v>
      </c>
      <c r="M81" s="616">
        <v>0</v>
      </c>
      <c r="N81" s="623">
        <v>0</v>
      </c>
      <c r="O81" s="21">
        <f t="shared" si="6"/>
        <v>1</v>
      </c>
    </row>
    <row r="82" spans="1:15" x14ac:dyDescent="0.25">
      <c r="A82" s="1933"/>
      <c r="B82" s="19" t="s">
        <v>33</v>
      </c>
      <c r="C82" s="22"/>
      <c r="D82" s="625">
        <v>2</v>
      </c>
      <c r="E82" s="631">
        <f>IF(E$3&lt;=2,2,0)+IF(E$3=3,2.5,0)+IF(E$3&gt;3,3,0)</f>
        <v>2</v>
      </c>
      <c r="F82" s="691">
        <v>0</v>
      </c>
      <c r="G82" s="21">
        <f t="shared" si="2"/>
        <v>4</v>
      </c>
      <c r="H82" s="625">
        <v>2</v>
      </c>
      <c r="I82" s="631">
        <f>IF(I$3&lt;=2,2,0)+IF(I$3=3,2.5,0)+IF(I$3&gt;3,3,0)</f>
        <v>2</v>
      </c>
      <c r="J82" s="691">
        <v>0</v>
      </c>
      <c r="K82" s="21">
        <f t="shared" si="5"/>
        <v>4</v>
      </c>
      <c r="L82" s="625">
        <v>2</v>
      </c>
      <c r="M82" s="631">
        <f>IF(M$3&lt;=2,2,0)+IF(M$3=3,2.5,0)+IF(M$3&gt;3,3,0)</f>
        <v>2</v>
      </c>
      <c r="N82" s="691">
        <v>0</v>
      </c>
      <c r="O82" s="21">
        <f t="shared" si="6"/>
        <v>4</v>
      </c>
    </row>
    <row r="83" spans="1:15" x14ac:dyDescent="0.25">
      <c r="A83" s="1933"/>
      <c r="B83" s="19" t="s">
        <v>34</v>
      </c>
      <c r="C83" s="22"/>
      <c r="D83" s="625">
        <v>2</v>
      </c>
      <c r="E83" s="631">
        <f>IF(E$3&lt;=2,2,0)+IF(E$3=3,2.5,0)+IF(E$3&gt;3,3,0)</f>
        <v>2</v>
      </c>
      <c r="F83" s="691">
        <v>0</v>
      </c>
      <c r="G83" s="21">
        <f t="shared" si="2"/>
        <v>4</v>
      </c>
      <c r="H83" s="625">
        <v>2</v>
      </c>
      <c r="I83" s="631">
        <f>IF(I$3&lt;=2,2,0)+IF(I$3=3,2.5,0)+IF(I$3&gt;3,3,0)</f>
        <v>2</v>
      </c>
      <c r="J83" s="691">
        <v>0</v>
      </c>
      <c r="K83" s="21">
        <f t="shared" si="5"/>
        <v>4</v>
      </c>
      <c r="L83" s="625">
        <v>2</v>
      </c>
      <c r="M83" s="631">
        <f>IF(M$3&lt;=2,2,0)+IF(M$3=3,2.5,0)+IF(M$3&gt;3,3,0)</f>
        <v>2</v>
      </c>
      <c r="N83" s="691">
        <v>0</v>
      </c>
      <c r="O83" s="21">
        <f t="shared" si="6"/>
        <v>4</v>
      </c>
    </row>
    <row r="84" spans="1:15" x14ac:dyDescent="0.25">
      <c r="A84" s="1935" t="s">
        <v>183</v>
      </c>
      <c r="B84" s="19" t="s">
        <v>32</v>
      </c>
      <c r="C84" s="22"/>
      <c r="D84" s="625">
        <v>0.5</v>
      </c>
      <c r="E84" s="631">
        <f>IF(E$3&lt;=2,2,0)+IF(E$3=3,2.5,0)+IF(E$3&gt;3,3,0)</f>
        <v>2</v>
      </c>
      <c r="F84" s="691">
        <v>0</v>
      </c>
      <c r="G84" s="21">
        <f t="shared" si="2"/>
        <v>2.5</v>
      </c>
      <c r="H84" s="625">
        <v>0.5</v>
      </c>
      <c r="I84" s="631">
        <f>IF(I$3&lt;=2,2,0)+IF(I$3=3,2.5,0)+IF(I$3&gt;3,3,0)</f>
        <v>2</v>
      </c>
      <c r="J84" s="691">
        <v>0</v>
      </c>
      <c r="K84" s="21">
        <f t="shared" si="5"/>
        <v>2.5</v>
      </c>
      <c r="L84" s="625">
        <v>0.5</v>
      </c>
      <c r="M84" s="631">
        <f>IF(M$3&lt;=2,2,0)+IF(M$3=3,2.5,0)+IF(M$3&gt;3,3,0)</f>
        <v>2</v>
      </c>
      <c r="N84" s="691">
        <v>0</v>
      </c>
      <c r="O84" s="21">
        <f t="shared" si="6"/>
        <v>2.5</v>
      </c>
    </row>
    <row r="85" spans="1:15" x14ac:dyDescent="0.25">
      <c r="A85" s="1935"/>
      <c r="B85" s="19" t="s">
        <v>33</v>
      </c>
      <c r="C85" s="22"/>
      <c r="D85" s="625">
        <v>0.5</v>
      </c>
      <c r="E85" s="615">
        <v>0</v>
      </c>
      <c r="F85" s="691">
        <v>0</v>
      </c>
      <c r="G85" s="21">
        <f t="shared" si="2"/>
        <v>0.5</v>
      </c>
      <c r="H85" s="625">
        <v>0.5</v>
      </c>
      <c r="I85" s="615">
        <v>0</v>
      </c>
      <c r="J85" s="691">
        <v>0</v>
      </c>
      <c r="K85" s="21">
        <f t="shared" si="5"/>
        <v>0.5</v>
      </c>
      <c r="L85" s="625">
        <v>0.5</v>
      </c>
      <c r="M85" s="615">
        <v>0</v>
      </c>
      <c r="N85" s="691">
        <v>0</v>
      </c>
      <c r="O85" s="21">
        <f t="shared" si="6"/>
        <v>0.5</v>
      </c>
    </row>
    <row r="86" spans="1:15" ht="15.75" thickBot="1" x14ac:dyDescent="0.3">
      <c r="A86" s="1935"/>
      <c r="B86" s="13" t="s">
        <v>34</v>
      </c>
      <c r="C86" s="34"/>
      <c r="D86" s="626">
        <v>0.5</v>
      </c>
      <c r="E86" s="673">
        <v>0</v>
      </c>
      <c r="F86" s="693">
        <v>0</v>
      </c>
      <c r="G86" s="77">
        <f t="shared" si="2"/>
        <v>0.5</v>
      </c>
      <c r="H86" s="626">
        <v>0.5</v>
      </c>
      <c r="I86" s="673">
        <v>0</v>
      </c>
      <c r="J86" s="693">
        <v>0</v>
      </c>
      <c r="K86" s="77">
        <f t="shared" si="5"/>
        <v>0.5</v>
      </c>
      <c r="L86" s="626">
        <v>0.5</v>
      </c>
      <c r="M86" s="673">
        <v>0</v>
      </c>
      <c r="N86" s="693">
        <v>0</v>
      </c>
      <c r="O86" s="77">
        <f t="shared" si="6"/>
        <v>0.5</v>
      </c>
    </row>
    <row r="87" spans="1:15" ht="16.5" thickBot="1" x14ac:dyDescent="0.3">
      <c r="A87" s="330" t="s">
        <v>22</v>
      </c>
      <c r="B87" s="329"/>
      <c r="C87" s="329"/>
      <c r="D87" s="393"/>
      <c r="E87" s="437"/>
      <c r="F87" s="437"/>
      <c r="G87" s="329"/>
      <c r="H87" s="393"/>
      <c r="I87" s="437"/>
      <c r="J87" s="437"/>
      <c r="K87" s="329"/>
      <c r="L87" s="393"/>
      <c r="M87" s="437"/>
      <c r="N87" s="437"/>
      <c r="O87" s="328"/>
    </row>
    <row r="88" spans="1:15" x14ac:dyDescent="0.25">
      <c r="A88" s="1907" t="s">
        <v>23</v>
      </c>
      <c r="B88" s="404" t="s">
        <v>32</v>
      </c>
      <c r="C88" s="324"/>
      <c r="D88" s="625">
        <v>0.25</v>
      </c>
      <c r="E88" s="678">
        <v>0</v>
      </c>
      <c r="F88" s="690">
        <v>0</v>
      </c>
      <c r="G88" s="230">
        <f t="shared" si="2"/>
        <v>0.25</v>
      </c>
      <c r="H88" s="625">
        <v>0.25</v>
      </c>
      <c r="I88" s="678">
        <v>0</v>
      </c>
      <c r="J88" s="690">
        <v>0</v>
      </c>
      <c r="K88" s="230">
        <f t="shared" ref="K88:K93" si="7" xml:space="preserve"> SUM(H88:J88) + $C88</f>
        <v>0.25</v>
      </c>
      <c r="L88" s="625">
        <v>0.25</v>
      </c>
      <c r="M88" s="678">
        <v>0</v>
      </c>
      <c r="N88" s="690">
        <v>0</v>
      </c>
      <c r="O88" s="230">
        <f t="shared" ref="O88:O93" si="8" xml:space="preserve"> SUM(L88:N88) + $C88</f>
        <v>0.25</v>
      </c>
    </row>
    <row r="89" spans="1:15" x14ac:dyDescent="0.25">
      <c r="A89" s="1907"/>
      <c r="B89" s="19" t="s">
        <v>33</v>
      </c>
      <c r="C89" s="22"/>
      <c r="D89" s="625">
        <v>0.25</v>
      </c>
      <c r="E89" s="625">
        <v>0</v>
      </c>
      <c r="F89" s="691">
        <v>0</v>
      </c>
      <c r="G89" s="21">
        <f t="shared" si="2"/>
        <v>0.25</v>
      </c>
      <c r="H89" s="625">
        <v>0.25</v>
      </c>
      <c r="I89" s="625">
        <v>0</v>
      </c>
      <c r="J89" s="691">
        <v>0</v>
      </c>
      <c r="K89" s="21">
        <f t="shared" si="7"/>
        <v>0.25</v>
      </c>
      <c r="L89" s="625">
        <v>0.25</v>
      </c>
      <c r="M89" s="625">
        <v>0</v>
      </c>
      <c r="N89" s="691">
        <v>0</v>
      </c>
      <c r="O89" s="21">
        <f t="shared" si="8"/>
        <v>0.25</v>
      </c>
    </row>
    <row r="90" spans="1:15" x14ac:dyDescent="0.25">
      <c r="A90" s="1907"/>
      <c r="B90" s="19" t="s">
        <v>34</v>
      </c>
      <c r="C90" s="22"/>
      <c r="D90" s="625">
        <v>0.25</v>
      </c>
      <c r="E90" s="625">
        <v>0</v>
      </c>
      <c r="F90" s="691">
        <v>0</v>
      </c>
      <c r="G90" s="21">
        <f t="shared" si="2"/>
        <v>0.25</v>
      </c>
      <c r="H90" s="625">
        <v>0.25</v>
      </c>
      <c r="I90" s="625">
        <v>0</v>
      </c>
      <c r="J90" s="691">
        <v>0</v>
      </c>
      <c r="K90" s="21">
        <f t="shared" si="7"/>
        <v>0.25</v>
      </c>
      <c r="L90" s="625">
        <v>0.25</v>
      </c>
      <c r="M90" s="625">
        <v>0</v>
      </c>
      <c r="N90" s="691">
        <v>0</v>
      </c>
      <c r="O90" s="21">
        <f t="shared" si="8"/>
        <v>0.25</v>
      </c>
    </row>
    <row r="91" spans="1:15" x14ac:dyDescent="0.25">
      <c r="A91" s="1974" t="s">
        <v>24</v>
      </c>
      <c r="B91" s="19" t="s">
        <v>32</v>
      </c>
      <c r="C91" s="22"/>
      <c r="D91" s="625">
        <v>8</v>
      </c>
      <c r="E91" s="625">
        <v>0</v>
      </c>
      <c r="F91" s="691">
        <v>0</v>
      </c>
      <c r="G91" s="21">
        <f t="shared" si="2"/>
        <v>8</v>
      </c>
      <c r="H91" s="625">
        <v>8</v>
      </c>
      <c r="I91" s="625">
        <v>0</v>
      </c>
      <c r="J91" s="691">
        <v>0</v>
      </c>
      <c r="K91" s="21">
        <f t="shared" si="7"/>
        <v>8</v>
      </c>
      <c r="L91" s="625">
        <v>8</v>
      </c>
      <c r="M91" s="625">
        <v>0</v>
      </c>
      <c r="N91" s="691">
        <v>0</v>
      </c>
      <c r="O91" s="21">
        <f t="shared" si="8"/>
        <v>8</v>
      </c>
    </row>
    <row r="92" spans="1:15" x14ac:dyDescent="0.25">
      <c r="A92" s="1974"/>
      <c r="B92" s="19" t="s">
        <v>33</v>
      </c>
      <c r="C92" s="22"/>
      <c r="D92" s="625">
        <v>10</v>
      </c>
      <c r="E92" s="625">
        <v>0</v>
      </c>
      <c r="F92" s="691">
        <v>0</v>
      </c>
      <c r="G92" s="21">
        <f t="shared" si="2"/>
        <v>10</v>
      </c>
      <c r="H92" s="625">
        <v>10</v>
      </c>
      <c r="I92" s="625">
        <v>0</v>
      </c>
      <c r="J92" s="691">
        <v>0</v>
      </c>
      <c r="K92" s="21">
        <f t="shared" si="7"/>
        <v>10</v>
      </c>
      <c r="L92" s="625">
        <v>10</v>
      </c>
      <c r="M92" s="625">
        <v>0</v>
      </c>
      <c r="N92" s="691">
        <v>0</v>
      </c>
      <c r="O92" s="21">
        <f t="shared" si="8"/>
        <v>10</v>
      </c>
    </row>
    <row r="93" spans="1:15" x14ac:dyDescent="0.25">
      <c r="A93" s="1974"/>
      <c r="B93" s="19" t="s">
        <v>34</v>
      </c>
      <c r="C93" s="22"/>
      <c r="D93" s="625">
        <v>12</v>
      </c>
      <c r="E93" s="625">
        <v>0</v>
      </c>
      <c r="F93" s="691">
        <v>0</v>
      </c>
      <c r="G93" s="21">
        <f t="shared" si="2"/>
        <v>12</v>
      </c>
      <c r="H93" s="625">
        <v>12</v>
      </c>
      <c r="I93" s="625">
        <v>0</v>
      </c>
      <c r="J93" s="691">
        <v>0</v>
      </c>
      <c r="K93" s="21">
        <f t="shared" si="7"/>
        <v>12</v>
      </c>
      <c r="L93" s="625">
        <v>12</v>
      </c>
      <c r="M93" s="625">
        <v>0</v>
      </c>
      <c r="N93" s="691">
        <v>0</v>
      </c>
      <c r="O93" s="21">
        <f t="shared" si="8"/>
        <v>12</v>
      </c>
    </row>
    <row r="94" spans="1:15" x14ac:dyDescent="0.25">
      <c r="A94" s="1974" t="s">
        <v>25</v>
      </c>
      <c r="B94" s="19" t="s">
        <v>32</v>
      </c>
      <c r="C94" s="22"/>
      <c r="D94" s="625">
        <v>8</v>
      </c>
      <c r="E94" s="615">
        <v>1</v>
      </c>
      <c r="F94" s="691">
        <v>0</v>
      </c>
      <c r="G94" s="21">
        <f t="shared" ref="G94:G105" si="9" xml:space="preserve"> SUM(D94:F94) + $C94</f>
        <v>9</v>
      </c>
      <c r="H94" s="625">
        <v>8</v>
      </c>
      <c r="I94" s="615">
        <v>1</v>
      </c>
      <c r="J94" s="691">
        <v>0</v>
      </c>
      <c r="K94" s="21">
        <f t="shared" ref="K94:K105" si="10" xml:space="preserve"> SUM(H94:J94) + $C94</f>
        <v>9</v>
      </c>
      <c r="L94" s="625">
        <v>8</v>
      </c>
      <c r="M94" s="615">
        <v>1</v>
      </c>
      <c r="N94" s="691">
        <v>0</v>
      </c>
      <c r="O94" s="21">
        <f t="shared" ref="O94:O105" si="11" xml:space="preserve"> SUM(L94:N94) + $C94</f>
        <v>9</v>
      </c>
    </row>
    <row r="95" spans="1:15" x14ac:dyDescent="0.25">
      <c r="A95" s="1974"/>
      <c r="B95" s="19" t="s">
        <v>33</v>
      </c>
      <c r="C95" s="22"/>
      <c r="D95" s="640">
        <v>8</v>
      </c>
      <c r="E95" s="615">
        <v>1</v>
      </c>
      <c r="F95" s="691">
        <v>0</v>
      </c>
      <c r="G95" s="21">
        <f t="shared" si="9"/>
        <v>9</v>
      </c>
      <c r="H95" s="640">
        <v>8</v>
      </c>
      <c r="I95" s="615">
        <v>1</v>
      </c>
      <c r="J95" s="691">
        <v>0</v>
      </c>
      <c r="K95" s="21">
        <f t="shared" si="10"/>
        <v>9</v>
      </c>
      <c r="L95" s="640">
        <v>8</v>
      </c>
      <c r="M95" s="615">
        <v>1</v>
      </c>
      <c r="N95" s="691">
        <v>0</v>
      </c>
      <c r="O95" s="21">
        <f t="shared" si="11"/>
        <v>9</v>
      </c>
    </row>
    <row r="96" spans="1:15" x14ac:dyDescent="0.25">
      <c r="A96" s="1974"/>
      <c r="B96" s="19" t="s">
        <v>34</v>
      </c>
      <c r="C96" s="22"/>
      <c r="D96" s="640">
        <v>8</v>
      </c>
      <c r="E96" s="616">
        <v>1</v>
      </c>
      <c r="F96" s="658">
        <v>0</v>
      </c>
      <c r="G96" s="21">
        <f t="shared" si="9"/>
        <v>9</v>
      </c>
      <c r="H96" s="640">
        <v>8</v>
      </c>
      <c r="I96" s="616">
        <v>1</v>
      </c>
      <c r="J96" s="658">
        <v>0</v>
      </c>
      <c r="K96" s="21">
        <f t="shared" si="10"/>
        <v>9</v>
      </c>
      <c r="L96" s="640">
        <v>8</v>
      </c>
      <c r="M96" s="616">
        <v>1</v>
      </c>
      <c r="N96" s="658">
        <v>0</v>
      </c>
      <c r="O96" s="21">
        <f t="shared" si="11"/>
        <v>9</v>
      </c>
    </row>
    <row r="97" spans="1:15" x14ac:dyDescent="0.25">
      <c r="A97" s="1974" t="s">
        <v>26</v>
      </c>
      <c r="B97" s="19" t="s">
        <v>32</v>
      </c>
      <c r="C97" s="22"/>
      <c r="D97" s="678">
        <v>6</v>
      </c>
      <c r="E97" s="678">
        <v>0</v>
      </c>
      <c r="F97" s="690">
        <v>0</v>
      </c>
      <c r="G97" s="230">
        <f t="shared" si="9"/>
        <v>6</v>
      </c>
      <c r="H97" s="678">
        <v>6</v>
      </c>
      <c r="I97" s="678">
        <v>0</v>
      </c>
      <c r="J97" s="690">
        <v>0</v>
      </c>
      <c r="K97" s="230">
        <f t="shared" si="10"/>
        <v>6</v>
      </c>
      <c r="L97" s="678">
        <v>6</v>
      </c>
      <c r="M97" s="678">
        <v>0</v>
      </c>
      <c r="N97" s="690">
        <v>0</v>
      </c>
      <c r="O97" s="21">
        <f t="shared" si="11"/>
        <v>6</v>
      </c>
    </row>
    <row r="98" spans="1:15" x14ac:dyDescent="0.25">
      <c r="A98" s="1974"/>
      <c r="B98" s="19" t="s">
        <v>33</v>
      </c>
      <c r="C98" s="22"/>
      <c r="D98" s="625">
        <v>6</v>
      </c>
      <c r="E98" s="625">
        <v>0</v>
      </c>
      <c r="F98" s="691">
        <v>0</v>
      </c>
      <c r="G98" s="21">
        <f t="shared" si="9"/>
        <v>6</v>
      </c>
      <c r="H98" s="625">
        <v>6</v>
      </c>
      <c r="I98" s="625">
        <v>0</v>
      </c>
      <c r="J98" s="691">
        <v>0</v>
      </c>
      <c r="K98" s="21">
        <f t="shared" si="10"/>
        <v>6</v>
      </c>
      <c r="L98" s="625">
        <v>6</v>
      </c>
      <c r="M98" s="625">
        <v>0</v>
      </c>
      <c r="N98" s="691">
        <v>0</v>
      </c>
      <c r="O98" s="21">
        <f t="shared" si="11"/>
        <v>6</v>
      </c>
    </row>
    <row r="99" spans="1:15" x14ac:dyDescent="0.25">
      <c r="A99" s="1974"/>
      <c r="B99" s="19" t="s">
        <v>34</v>
      </c>
      <c r="C99" s="22"/>
      <c r="D99" s="625">
        <v>6</v>
      </c>
      <c r="E99" s="625">
        <v>0</v>
      </c>
      <c r="F99" s="691">
        <v>0</v>
      </c>
      <c r="G99" s="21">
        <f t="shared" si="9"/>
        <v>6</v>
      </c>
      <c r="H99" s="625">
        <v>6</v>
      </c>
      <c r="I99" s="625">
        <v>0</v>
      </c>
      <c r="J99" s="691">
        <v>0</v>
      </c>
      <c r="K99" s="21">
        <f t="shared" si="10"/>
        <v>6</v>
      </c>
      <c r="L99" s="625">
        <v>6</v>
      </c>
      <c r="M99" s="625">
        <v>0</v>
      </c>
      <c r="N99" s="691">
        <v>0</v>
      </c>
      <c r="O99" s="21">
        <f t="shared" si="11"/>
        <v>6</v>
      </c>
    </row>
    <row r="100" spans="1:15" x14ac:dyDescent="0.25">
      <c r="A100" s="1974" t="s">
        <v>27</v>
      </c>
      <c r="B100" s="19" t="s">
        <v>32</v>
      </c>
      <c r="C100" s="22"/>
      <c r="D100" s="625">
        <v>4</v>
      </c>
      <c r="E100" s="625">
        <v>0</v>
      </c>
      <c r="F100" s="691">
        <v>0</v>
      </c>
      <c r="G100" s="21">
        <f t="shared" si="9"/>
        <v>4</v>
      </c>
      <c r="H100" s="625">
        <v>4</v>
      </c>
      <c r="I100" s="625">
        <v>0</v>
      </c>
      <c r="J100" s="691">
        <v>0</v>
      </c>
      <c r="K100" s="21">
        <f t="shared" si="10"/>
        <v>4</v>
      </c>
      <c r="L100" s="625">
        <v>4</v>
      </c>
      <c r="M100" s="625">
        <v>0</v>
      </c>
      <c r="N100" s="691">
        <v>0</v>
      </c>
      <c r="O100" s="21">
        <f t="shared" si="11"/>
        <v>4</v>
      </c>
    </row>
    <row r="101" spans="1:15" x14ac:dyDescent="0.25">
      <c r="A101" s="1974"/>
      <c r="B101" s="19" t="s">
        <v>33</v>
      </c>
      <c r="C101" s="22"/>
      <c r="D101" s="625">
        <v>4</v>
      </c>
      <c r="E101" s="625">
        <v>0</v>
      </c>
      <c r="F101" s="691">
        <v>0</v>
      </c>
      <c r="G101" s="21">
        <f t="shared" si="9"/>
        <v>4</v>
      </c>
      <c r="H101" s="625">
        <v>4</v>
      </c>
      <c r="I101" s="625">
        <v>0</v>
      </c>
      <c r="J101" s="691">
        <v>0</v>
      </c>
      <c r="K101" s="21">
        <f t="shared" si="10"/>
        <v>4</v>
      </c>
      <c r="L101" s="625">
        <v>4</v>
      </c>
      <c r="M101" s="625">
        <v>0</v>
      </c>
      <c r="N101" s="691">
        <v>0</v>
      </c>
      <c r="O101" s="21">
        <f t="shared" si="11"/>
        <v>4</v>
      </c>
    </row>
    <row r="102" spans="1:15" x14ac:dyDescent="0.25">
      <c r="A102" s="1974"/>
      <c r="B102" s="19" t="s">
        <v>34</v>
      </c>
      <c r="C102" s="22"/>
      <c r="D102" s="625">
        <v>4</v>
      </c>
      <c r="E102" s="625">
        <v>0</v>
      </c>
      <c r="F102" s="691">
        <v>0</v>
      </c>
      <c r="G102" s="21">
        <f t="shared" si="9"/>
        <v>4</v>
      </c>
      <c r="H102" s="625">
        <v>4</v>
      </c>
      <c r="I102" s="625">
        <v>0</v>
      </c>
      <c r="J102" s="691">
        <v>0</v>
      </c>
      <c r="K102" s="21">
        <f t="shared" si="10"/>
        <v>4</v>
      </c>
      <c r="L102" s="625">
        <v>4</v>
      </c>
      <c r="M102" s="625">
        <v>0</v>
      </c>
      <c r="N102" s="691">
        <v>0</v>
      </c>
      <c r="O102" s="21">
        <f t="shared" si="11"/>
        <v>4</v>
      </c>
    </row>
    <row r="103" spans="1:15" x14ac:dyDescent="0.25">
      <c r="A103" s="1907" t="s">
        <v>28</v>
      </c>
      <c r="B103" s="19" t="s">
        <v>32</v>
      </c>
      <c r="C103" s="22"/>
      <c r="D103" s="625">
        <v>2</v>
      </c>
      <c r="E103" s="615">
        <v>1</v>
      </c>
      <c r="F103" s="691">
        <v>0</v>
      </c>
      <c r="G103" s="21">
        <f t="shared" si="9"/>
        <v>3</v>
      </c>
      <c r="H103" s="625">
        <v>2</v>
      </c>
      <c r="I103" s="615">
        <v>1</v>
      </c>
      <c r="J103" s="691">
        <v>0</v>
      </c>
      <c r="K103" s="21">
        <f t="shared" si="10"/>
        <v>3</v>
      </c>
      <c r="L103" s="625">
        <v>2</v>
      </c>
      <c r="M103" s="615">
        <v>1</v>
      </c>
      <c r="N103" s="691">
        <v>0</v>
      </c>
      <c r="O103" s="21">
        <f t="shared" si="11"/>
        <v>3</v>
      </c>
    </row>
    <row r="104" spans="1:15" x14ac:dyDescent="0.25">
      <c r="A104" s="1907"/>
      <c r="B104" s="19" t="s">
        <v>33</v>
      </c>
      <c r="C104" s="22"/>
      <c r="D104" s="625">
        <v>3</v>
      </c>
      <c r="E104" s="615">
        <v>1</v>
      </c>
      <c r="F104" s="691">
        <v>0</v>
      </c>
      <c r="G104" s="21">
        <f t="shared" si="9"/>
        <v>4</v>
      </c>
      <c r="H104" s="625">
        <v>3</v>
      </c>
      <c r="I104" s="615">
        <v>1</v>
      </c>
      <c r="J104" s="691">
        <v>0</v>
      </c>
      <c r="K104" s="21">
        <f t="shared" si="10"/>
        <v>4</v>
      </c>
      <c r="L104" s="625">
        <v>3</v>
      </c>
      <c r="M104" s="615">
        <v>1</v>
      </c>
      <c r="N104" s="691">
        <v>0</v>
      </c>
      <c r="O104" s="21">
        <f t="shared" si="11"/>
        <v>4</v>
      </c>
    </row>
    <row r="105" spans="1:15" ht="15.75" thickBot="1" x14ac:dyDescent="0.3">
      <c r="A105" s="1975"/>
      <c r="B105" s="20" t="s">
        <v>34</v>
      </c>
      <c r="C105" s="23"/>
      <c r="D105" s="649">
        <v>4</v>
      </c>
      <c r="E105" s="650">
        <v>1</v>
      </c>
      <c r="F105" s="694">
        <v>0</v>
      </c>
      <c r="G105" s="24">
        <f t="shared" si="9"/>
        <v>5</v>
      </c>
      <c r="H105" s="649">
        <v>4</v>
      </c>
      <c r="I105" s="650">
        <v>1</v>
      </c>
      <c r="J105" s="694">
        <v>0</v>
      </c>
      <c r="K105" s="24">
        <f t="shared" si="10"/>
        <v>5</v>
      </c>
      <c r="L105" s="649">
        <v>4</v>
      </c>
      <c r="M105" s="650">
        <v>1</v>
      </c>
      <c r="N105" s="694">
        <v>0</v>
      </c>
      <c r="O105" s="24">
        <f t="shared" si="11"/>
        <v>5</v>
      </c>
    </row>
    <row r="107" spans="1:15" x14ac:dyDescent="0.25">
      <c r="A107" s="125" t="s">
        <v>89</v>
      </c>
    </row>
  </sheetData>
  <customSheetViews>
    <customSheetView guid="{B91A3F61-3B23-46E3-9B55-19B17EB6638A}" state="hidden">
      <pageMargins left="0.7" right="0.7" top="0.75" bottom="0.75" header="0.3" footer="0.3"/>
    </customSheetView>
    <customSheetView guid="{F5CB9414-DBF4-48FF-9213-FFE745451535}" state="hidden">
      <pageMargins left="0.7" right="0.7" top="0.75" bottom="0.75" header="0.3" footer="0.3"/>
    </customSheetView>
    <customSheetView guid="{A1A876F1-3EAA-4E5F-BD51-8B131AB8854B}" state="hidden">
      <pageMargins left="0.7" right="0.7" top="0.75" bottom="0.75" header="0.3" footer="0.3"/>
    </customSheetView>
    <customSheetView guid="{18A094BB-EA3E-4938-9069-21F549B37E23}" state="hidden">
      <pageMargins left="0.7" right="0.7" top="0.75" bottom="0.75" header="0.3" footer="0.3"/>
    </customSheetView>
  </customSheetViews>
  <mergeCells count="39">
    <mergeCell ref="H1:K1"/>
    <mergeCell ref="K2:K3"/>
    <mergeCell ref="L1:O1"/>
    <mergeCell ref="O2:O3"/>
    <mergeCell ref="A97:A99"/>
    <mergeCell ref="A54:A56"/>
    <mergeCell ref="A19:A21"/>
    <mergeCell ref="A22:A24"/>
    <mergeCell ref="A25:A27"/>
    <mergeCell ref="A28:A30"/>
    <mergeCell ref="A31:A33"/>
    <mergeCell ref="A34:A36"/>
    <mergeCell ref="A38:A40"/>
    <mergeCell ref="A42:A44"/>
    <mergeCell ref="A45:A47"/>
    <mergeCell ref="A48:A50"/>
    <mergeCell ref="A100:A102"/>
    <mergeCell ref="A103:A105"/>
    <mergeCell ref="A57:A59"/>
    <mergeCell ref="A60:A62"/>
    <mergeCell ref="A75:A77"/>
    <mergeCell ref="A88:A90"/>
    <mergeCell ref="A91:A93"/>
    <mergeCell ref="A94:A96"/>
    <mergeCell ref="A78:A80"/>
    <mergeCell ref="A81:A83"/>
    <mergeCell ref="A84:A86"/>
    <mergeCell ref="A63:A65"/>
    <mergeCell ref="A66:A68"/>
    <mergeCell ref="A69:A71"/>
    <mergeCell ref="A72:A74"/>
    <mergeCell ref="A51:A53"/>
    <mergeCell ref="A16:A18"/>
    <mergeCell ref="D1:G1"/>
    <mergeCell ref="C2:C3"/>
    <mergeCell ref="G2:G3"/>
    <mergeCell ref="A8:A10"/>
    <mergeCell ref="A12:A14"/>
    <mergeCell ref="A5:A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8"/>
  <dimension ref="A1:S107"/>
  <sheetViews>
    <sheetView zoomScale="70" zoomScaleNormal="70" workbookViewId="0">
      <selection activeCell="A5" sqref="A5:A10"/>
    </sheetView>
  </sheetViews>
  <sheetFormatPr defaultRowHeight="15" x14ac:dyDescent="0.25"/>
  <cols>
    <col min="1" max="1" width="53.42578125" bestFit="1" customWidth="1"/>
    <col min="2" max="2" width="23.5703125" bestFit="1" customWidth="1"/>
    <col min="3" max="3" width="9.28515625" bestFit="1" customWidth="1"/>
    <col min="4" max="4" width="31" customWidth="1"/>
    <col min="5" max="5" width="33.7109375" bestFit="1" customWidth="1"/>
    <col min="6" max="6" width="31" bestFit="1" customWidth="1"/>
    <col min="7" max="7" width="7.5703125" bestFit="1" customWidth="1"/>
    <col min="8" max="8" width="31" customWidth="1"/>
    <col min="9" max="9" width="33.7109375" bestFit="1" customWidth="1"/>
    <col min="10" max="10" width="31" bestFit="1" customWidth="1"/>
    <col min="11" max="11" width="10.28515625" customWidth="1"/>
    <col min="12" max="12" width="31" customWidth="1"/>
    <col min="13" max="13" width="33.7109375" bestFit="1" customWidth="1"/>
    <col min="14" max="14" width="31" bestFit="1" customWidth="1"/>
    <col min="15" max="15" width="14.42578125" customWidth="1"/>
    <col min="16" max="16" width="31" customWidth="1"/>
    <col min="17" max="17" width="33.7109375" bestFit="1" customWidth="1"/>
    <col min="18" max="18" width="31" bestFit="1" customWidth="1"/>
    <col min="19" max="19" width="13.5703125" customWidth="1"/>
  </cols>
  <sheetData>
    <row r="1" spans="1:19" ht="16.5" thickBot="1" x14ac:dyDescent="0.3">
      <c r="A1" s="465" t="s">
        <v>91</v>
      </c>
      <c r="B1" s="35"/>
      <c r="C1" s="43"/>
      <c r="D1" s="1939" t="s">
        <v>357</v>
      </c>
      <c r="E1" s="1940"/>
      <c r="F1" s="1940"/>
      <c r="G1" s="1941"/>
      <c r="H1" s="1939" t="s">
        <v>358</v>
      </c>
      <c r="I1" s="1940"/>
      <c r="J1" s="1940"/>
      <c r="K1" s="1941"/>
      <c r="L1" s="1939" t="s">
        <v>356</v>
      </c>
      <c r="M1" s="1940"/>
      <c r="N1" s="1940"/>
      <c r="O1" s="1941"/>
      <c r="P1" s="1939" t="s">
        <v>283</v>
      </c>
      <c r="Q1" s="1940"/>
      <c r="R1" s="1940"/>
      <c r="S1" s="1941"/>
    </row>
    <row r="2" spans="1:19" ht="31.5" x14ac:dyDescent="0.25">
      <c r="B2" s="41" t="s">
        <v>37</v>
      </c>
      <c r="C2" s="1945" t="s">
        <v>35</v>
      </c>
      <c r="D2" s="547" t="s">
        <v>184</v>
      </c>
      <c r="E2" s="548" t="s">
        <v>185</v>
      </c>
      <c r="F2" s="548" t="s">
        <v>186</v>
      </c>
      <c r="G2" s="1942" t="s">
        <v>38</v>
      </c>
      <c r="H2" s="547" t="s">
        <v>184</v>
      </c>
      <c r="I2" s="548" t="s">
        <v>185</v>
      </c>
      <c r="J2" s="548" t="s">
        <v>186</v>
      </c>
      <c r="K2" s="1942" t="s">
        <v>38</v>
      </c>
      <c r="L2" s="547" t="s">
        <v>184</v>
      </c>
      <c r="M2" s="548" t="s">
        <v>185</v>
      </c>
      <c r="N2" s="548" t="s">
        <v>186</v>
      </c>
      <c r="O2" s="1942" t="s">
        <v>38</v>
      </c>
      <c r="P2" s="547" t="s">
        <v>184</v>
      </c>
      <c r="Q2" s="548" t="s">
        <v>185</v>
      </c>
      <c r="R2" s="548" t="s">
        <v>186</v>
      </c>
      <c r="S2" s="1942" t="s">
        <v>38</v>
      </c>
    </row>
    <row r="3" spans="1:19" ht="16.5" thickBot="1" x14ac:dyDescent="0.3">
      <c r="A3" s="12" t="s">
        <v>36</v>
      </c>
      <c r="B3" s="42">
        <f>ТрЗ_ОП!F5</f>
        <v>1</v>
      </c>
      <c r="C3" s="1946"/>
      <c r="D3" s="40">
        <f>INDEX(ТрЗ_ОП!$P$11:$P$102,MATCH(D2,ТрЗ_ОП!$O$11:$O$102,0))</f>
        <v>0</v>
      </c>
      <c r="E3" s="40">
        <f>INDEX(ТрЗ_ОП!$P$11:$P$102,MATCH(E2,ТрЗ_ОП!$O$11:$O$102,0))</f>
        <v>0</v>
      </c>
      <c r="F3" s="40">
        <f>INDEX(ТрЗ_ОП!$P$11:$P$102,MATCH(F2,ТрЗ_ОП!$O$11:$O$102,0))</f>
        <v>0</v>
      </c>
      <c r="G3" s="1942"/>
      <c r="H3" s="40">
        <f>INDEX(ТрЗ_ОП!$P$11:$P$102,MATCH(H2,ТрЗ_ОП!$O$11:$O$102,0))</f>
        <v>0</v>
      </c>
      <c r="I3" s="40">
        <f>INDEX(ТрЗ_ОП!$P$11:$P$102,MATCH(I2,ТрЗ_ОП!$O$11:$O$102,0))</f>
        <v>0</v>
      </c>
      <c r="J3" s="40">
        <f>INDEX(ТрЗ_ОП!$P$11:$P$102,MATCH(J2,ТрЗ_ОП!$O$11:$O$102,0))</f>
        <v>0</v>
      </c>
      <c r="K3" s="1942"/>
      <c r="L3" s="40">
        <f>INDEX(ТрЗ_ОП!$P$11:$P$102,MATCH(L2,ТрЗ_ОП!$O$11:$O$102,0))</f>
        <v>0</v>
      </c>
      <c r="M3" s="40">
        <f>INDEX(ТрЗ_ОП!$P$11:$P$102,MATCH(M2,ТрЗ_ОП!$O$11:$O$102,0))</f>
        <v>0</v>
      </c>
      <c r="N3" s="40">
        <f>INDEX(ТрЗ_ОП!$P$11:$P$102,MATCH(N2,ТрЗ_ОП!$O$11:$O$102,0))</f>
        <v>0</v>
      </c>
      <c r="O3" s="1942"/>
      <c r="P3" s="40">
        <f>INDEX(ТрЗ_ОП!$P$11:$P$102,MATCH(P2,ТрЗ_ОП!$O$11:$O$102,0))</f>
        <v>0</v>
      </c>
      <c r="Q3" s="40">
        <f>INDEX(ТрЗ_ОП!$P$11:$P$102,MATCH(Q2,ТрЗ_ОП!$O$11:$O$102,0))</f>
        <v>0</v>
      </c>
      <c r="R3" s="40">
        <f>INDEX(ТрЗ_ОП!$P$11:$P$102,MATCH(R2,ТрЗ_ОП!$O$11:$O$102,0))</f>
        <v>0</v>
      </c>
      <c r="S3" s="1976"/>
    </row>
    <row r="4" spans="1:19" ht="16.5" thickBot="1" x14ac:dyDescent="0.3">
      <c r="A4" s="326" t="s">
        <v>448</v>
      </c>
      <c r="B4" s="327"/>
      <c r="C4" s="327"/>
      <c r="D4" s="327"/>
      <c r="E4" s="327"/>
      <c r="F4" s="327"/>
      <c r="G4" s="327"/>
      <c r="H4" s="327"/>
      <c r="I4" s="327"/>
      <c r="J4" s="327"/>
      <c r="K4" s="327"/>
      <c r="L4" s="327"/>
      <c r="M4" s="327"/>
      <c r="N4" s="327"/>
      <c r="O4" s="327"/>
      <c r="P4" s="327"/>
      <c r="Q4" s="327"/>
      <c r="R4" s="396"/>
      <c r="S4" s="14"/>
    </row>
    <row r="5" spans="1:19" x14ac:dyDescent="0.25">
      <c r="A5" s="1943" t="s">
        <v>0</v>
      </c>
      <c r="B5" s="404" t="s">
        <v>32</v>
      </c>
      <c r="C5" s="324"/>
      <c r="D5" s="661">
        <v>2</v>
      </c>
      <c r="E5" s="435">
        <f t="shared" ref="E5:E10" si="0">0.5*E$3</f>
        <v>0</v>
      </c>
      <c r="F5" s="406">
        <f t="shared" ref="F5:F10" si="1">IF(F$3 = 1, 0, IF( F$3 = 2, 1, IF(F$3 =3, 2, 2)))</f>
        <v>2</v>
      </c>
      <c r="G5" s="230">
        <f xml:space="preserve"> SUM(D5:F5) + $C5</f>
        <v>4</v>
      </c>
      <c r="H5" s="661">
        <v>2</v>
      </c>
      <c r="I5" s="435">
        <f t="shared" ref="I5:I10" si="2">0.5*I$3</f>
        <v>0</v>
      </c>
      <c r="J5" s="406">
        <f t="shared" ref="J5:J10" si="3">IF(J$3 = 1, 0, IF( J$3 = 2, 1, IF(J$3 =3, 2, 2)))</f>
        <v>2</v>
      </c>
      <c r="K5" s="230">
        <f t="shared" ref="K5:K10" si="4" xml:space="preserve"> SUM(H5:J5) + $C5</f>
        <v>4</v>
      </c>
      <c r="L5" s="661">
        <v>2</v>
      </c>
      <c r="M5" s="435">
        <f t="shared" ref="M5:M10" si="5">0.5*M$3</f>
        <v>0</v>
      </c>
      <c r="N5" s="406">
        <f t="shared" ref="N5:N10" si="6">IF(N$3 = 1, 0, IF( N$3 = 2, 1, IF(N$3 =3, 2, 2)))</f>
        <v>2</v>
      </c>
      <c r="O5" s="230">
        <f t="shared" ref="O5:O10" si="7" xml:space="preserve"> SUM(L5:N5) + $C5</f>
        <v>4</v>
      </c>
      <c r="P5" s="661">
        <v>2</v>
      </c>
      <c r="Q5" s="435">
        <f t="shared" ref="Q5:Q10" si="8">0.5*Q$3</f>
        <v>0</v>
      </c>
      <c r="R5" s="406">
        <f t="shared" ref="R5:R10" si="9">IF(R$3 = 1, 0, IF( R$3 = 2, 1, IF(R$3 =3, 2, 2)))</f>
        <v>2</v>
      </c>
      <c r="S5" s="21">
        <f t="shared" ref="S5:S10" si="10" xml:space="preserve"> SUM(P5:R5) + $C5</f>
        <v>4</v>
      </c>
    </row>
    <row r="6" spans="1:19" x14ac:dyDescent="0.25">
      <c r="A6" s="1943"/>
      <c r="B6" s="19" t="s">
        <v>33</v>
      </c>
      <c r="C6" s="22"/>
      <c r="D6" s="615">
        <v>3</v>
      </c>
      <c r="E6" s="435">
        <f t="shared" si="0"/>
        <v>0</v>
      </c>
      <c r="F6" s="629">
        <f t="shared" si="1"/>
        <v>2</v>
      </c>
      <c r="G6" s="21">
        <f xml:space="preserve"> SUM(D6:F6) + $C6</f>
        <v>5</v>
      </c>
      <c r="H6" s="615">
        <v>3</v>
      </c>
      <c r="I6" s="435">
        <f t="shared" si="2"/>
        <v>0</v>
      </c>
      <c r="J6" s="629">
        <f t="shared" si="3"/>
        <v>2</v>
      </c>
      <c r="K6" s="21">
        <f t="shared" si="4"/>
        <v>5</v>
      </c>
      <c r="L6" s="615">
        <v>3</v>
      </c>
      <c r="M6" s="435">
        <f t="shared" si="5"/>
        <v>0</v>
      </c>
      <c r="N6" s="629">
        <f t="shared" si="6"/>
        <v>2</v>
      </c>
      <c r="O6" s="21">
        <f t="shared" si="7"/>
        <v>5</v>
      </c>
      <c r="P6" s="615">
        <v>3</v>
      </c>
      <c r="Q6" s="435">
        <f t="shared" si="8"/>
        <v>0</v>
      </c>
      <c r="R6" s="629">
        <f t="shared" si="9"/>
        <v>2</v>
      </c>
      <c r="S6" s="21">
        <f t="shared" si="10"/>
        <v>5</v>
      </c>
    </row>
    <row r="7" spans="1:19" x14ac:dyDescent="0.25">
      <c r="A7" s="1944"/>
      <c r="B7" s="403" t="s">
        <v>34</v>
      </c>
      <c r="C7" s="22"/>
      <c r="D7" s="615">
        <v>4</v>
      </c>
      <c r="E7" s="435">
        <f t="shared" si="0"/>
        <v>0</v>
      </c>
      <c r="F7" s="629">
        <f t="shared" si="1"/>
        <v>2</v>
      </c>
      <c r="G7" s="21">
        <f xml:space="preserve"> SUM(D7:F7) + $C7</f>
        <v>6</v>
      </c>
      <c r="H7" s="615">
        <v>4</v>
      </c>
      <c r="I7" s="435">
        <f t="shared" si="2"/>
        <v>0</v>
      </c>
      <c r="J7" s="629">
        <f t="shared" si="3"/>
        <v>2</v>
      </c>
      <c r="K7" s="21">
        <f t="shared" si="4"/>
        <v>6</v>
      </c>
      <c r="L7" s="615">
        <v>4</v>
      </c>
      <c r="M7" s="435">
        <f t="shared" si="5"/>
        <v>0</v>
      </c>
      <c r="N7" s="629">
        <f t="shared" si="6"/>
        <v>2</v>
      </c>
      <c r="O7" s="21">
        <f t="shared" si="7"/>
        <v>6</v>
      </c>
      <c r="P7" s="615">
        <v>4</v>
      </c>
      <c r="Q7" s="435">
        <f t="shared" si="8"/>
        <v>0</v>
      </c>
      <c r="R7" s="629">
        <f t="shared" si="9"/>
        <v>2</v>
      </c>
      <c r="S7" s="21">
        <f t="shared" si="10"/>
        <v>6</v>
      </c>
    </row>
    <row r="8" spans="1:19" x14ac:dyDescent="0.25">
      <c r="A8" s="1932" t="s">
        <v>449</v>
      </c>
      <c r="B8" s="404" t="s">
        <v>32</v>
      </c>
      <c r="C8" s="324"/>
      <c r="D8" s="661">
        <v>2</v>
      </c>
      <c r="E8" s="435">
        <f t="shared" si="0"/>
        <v>0</v>
      </c>
      <c r="F8" s="406">
        <f t="shared" si="1"/>
        <v>2</v>
      </c>
      <c r="G8" s="230">
        <f xml:space="preserve"> SUM(D8:F8) + $C8</f>
        <v>4</v>
      </c>
      <c r="H8" s="661">
        <v>2</v>
      </c>
      <c r="I8" s="435">
        <f t="shared" si="2"/>
        <v>0</v>
      </c>
      <c r="J8" s="406">
        <f t="shared" si="3"/>
        <v>2</v>
      </c>
      <c r="K8" s="230">
        <f t="shared" si="4"/>
        <v>4</v>
      </c>
      <c r="L8" s="661">
        <v>2</v>
      </c>
      <c r="M8" s="435">
        <f t="shared" si="5"/>
        <v>0</v>
      </c>
      <c r="N8" s="406">
        <f t="shared" si="6"/>
        <v>2</v>
      </c>
      <c r="O8" s="230">
        <f t="shared" si="7"/>
        <v>4</v>
      </c>
      <c r="P8" s="661">
        <v>2</v>
      </c>
      <c r="Q8" s="435">
        <f t="shared" si="8"/>
        <v>0</v>
      </c>
      <c r="R8" s="406">
        <f t="shared" si="9"/>
        <v>2</v>
      </c>
      <c r="S8" s="230">
        <f t="shared" si="10"/>
        <v>4</v>
      </c>
    </row>
    <row r="9" spans="1:19" x14ac:dyDescent="0.25">
      <c r="A9" s="1932"/>
      <c r="B9" s="19" t="s">
        <v>33</v>
      </c>
      <c r="C9" s="22"/>
      <c r="D9" s="615">
        <v>3</v>
      </c>
      <c r="E9" s="435">
        <f t="shared" si="0"/>
        <v>0</v>
      </c>
      <c r="F9" s="629">
        <f t="shared" si="1"/>
        <v>2</v>
      </c>
      <c r="G9" s="21">
        <f xml:space="preserve"> SUM(D9:F9) + $C9</f>
        <v>5</v>
      </c>
      <c r="H9" s="615">
        <v>3</v>
      </c>
      <c r="I9" s="435">
        <f t="shared" si="2"/>
        <v>0</v>
      </c>
      <c r="J9" s="629">
        <f t="shared" si="3"/>
        <v>2</v>
      </c>
      <c r="K9" s="21">
        <f t="shared" si="4"/>
        <v>5</v>
      </c>
      <c r="L9" s="615">
        <v>3</v>
      </c>
      <c r="M9" s="435">
        <f t="shared" si="5"/>
        <v>0</v>
      </c>
      <c r="N9" s="629">
        <f t="shared" si="6"/>
        <v>2</v>
      </c>
      <c r="O9" s="21">
        <f t="shared" si="7"/>
        <v>5</v>
      </c>
      <c r="P9" s="615">
        <v>3</v>
      </c>
      <c r="Q9" s="435">
        <f t="shared" si="8"/>
        <v>0</v>
      </c>
      <c r="R9" s="629">
        <f t="shared" si="9"/>
        <v>2</v>
      </c>
      <c r="S9" s="21">
        <f t="shared" si="10"/>
        <v>5</v>
      </c>
    </row>
    <row r="10" spans="1:19" ht="15.75" thickBot="1" x14ac:dyDescent="0.3">
      <c r="A10" s="1932"/>
      <c r="B10" s="13" t="s">
        <v>34</v>
      </c>
      <c r="C10" s="34"/>
      <c r="D10" s="673">
        <v>4</v>
      </c>
      <c r="E10" s="435">
        <f t="shared" si="0"/>
        <v>0</v>
      </c>
      <c r="F10" s="629">
        <f t="shared" si="1"/>
        <v>2</v>
      </c>
      <c r="G10" s="77">
        <f t="shared" ref="G10:G93" si="11" xml:space="preserve"> SUM(D10:F10) + $C10</f>
        <v>6</v>
      </c>
      <c r="H10" s="673">
        <v>4</v>
      </c>
      <c r="I10" s="435">
        <f t="shared" si="2"/>
        <v>0</v>
      </c>
      <c r="J10" s="629">
        <f t="shared" si="3"/>
        <v>2</v>
      </c>
      <c r="K10" s="77">
        <f t="shared" si="4"/>
        <v>6</v>
      </c>
      <c r="L10" s="673">
        <v>4</v>
      </c>
      <c r="M10" s="435">
        <f t="shared" si="5"/>
        <v>0</v>
      </c>
      <c r="N10" s="629">
        <f t="shared" si="6"/>
        <v>2</v>
      </c>
      <c r="O10" s="77">
        <f t="shared" si="7"/>
        <v>6</v>
      </c>
      <c r="P10" s="673">
        <v>4</v>
      </c>
      <c r="Q10" s="435">
        <f t="shared" si="8"/>
        <v>0</v>
      </c>
      <c r="R10" s="629">
        <f t="shared" si="9"/>
        <v>2</v>
      </c>
      <c r="S10" s="77">
        <f t="shared" si="10"/>
        <v>6</v>
      </c>
    </row>
    <row r="11" spans="1:19" ht="16.5" thickBot="1" x14ac:dyDescent="0.3">
      <c r="A11" s="326" t="s">
        <v>1</v>
      </c>
      <c r="B11" s="327"/>
      <c r="C11" s="327"/>
      <c r="D11" s="327"/>
      <c r="E11" s="327"/>
      <c r="F11" s="327"/>
      <c r="G11" s="329"/>
      <c r="H11" s="327"/>
      <c r="I11" s="327"/>
      <c r="J11" s="327"/>
      <c r="K11" s="329"/>
      <c r="L11" s="327"/>
      <c r="M11" s="327"/>
      <c r="N11" s="327"/>
      <c r="O11" s="329"/>
      <c r="P11" s="327"/>
      <c r="Q11" s="327"/>
      <c r="R11" s="327"/>
      <c r="S11" s="328"/>
    </row>
    <row r="12" spans="1:19" x14ac:dyDescent="0.25">
      <c r="A12" s="1932" t="s">
        <v>2</v>
      </c>
      <c r="B12" s="404" t="s">
        <v>32</v>
      </c>
      <c r="C12" s="324"/>
      <c r="D12" s="678">
        <v>2</v>
      </c>
      <c r="E12" s="436">
        <f>IF(E$3&gt;0, 2,0)</f>
        <v>0</v>
      </c>
      <c r="F12" s="406">
        <f>IF(F$3 = 1, 0, IF( F$3 = 2, 1, IF(F$3 =3, 2, 2)))</f>
        <v>2</v>
      </c>
      <c r="G12" s="230">
        <f t="shared" si="11"/>
        <v>4</v>
      </c>
      <c r="H12" s="678">
        <v>2</v>
      </c>
      <c r="I12" s="436">
        <f>IF(I$3&gt;0, 2,0)</f>
        <v>0</v>
      </c>
      <c r="J12" s="406">
        <f>IF(J$3 = 1, 0, IF( J$3 = 2, 1, IF(J$3 =3, 2, 2)))</f>
        <v>2</v>
      </c>
      <c r="K12" s="230">
        <f xml:space="preserve"> SUM(H12:J12) + $C12</f>
        <v>4</v>
      </c>
      <c r="L12" s="678">
        <v>2</v>
      </c>
      <c r="M12" s="436">
        <f>IF(M$3&gt;0, 2,0)</f>
        <v>0</v>
      </c>
      <c r="N12" s="406">
        <f>IF(N$3 = 1, 0, IF( N$3 = 2, 1, IF(N$3 =3, 2, 2)))</f>
        <v>2</v>
      </c>
      <c r="O12" s="230">
        <f xml:space="preserve"> SUM(L12:N12) + $C12</f>
        <v>4</v>
      </c>
      <c r="P12" s="678">
        <v>2</v>
      </c>
      <c r="Q12" s="436">
        <f>IF(Q$3&gt;0, 2,0)</f>
        <v>0</v>
      </c>
      <c r="R12" s="406">
        <f>IF(R$3 = 1, 0, IF( R$3 = 2, 1, IF(R$3 =3, 2, 2)))</f>
        <v>2</v>
      </c>
      <c r="S12" s="230">
        <f xml:space="preserve"> SUM(P12:R12) + $C12</f>
        <v>4</v>
      </c>
    </row>
    <row r="13" spans="1:19" x14ac:dyDescent="0.25">
      <c r="A13" s="1932"/>
      <c r="B13" s="19" t="s">
        <v>33</v>
      </c>
      <c r="C13" s="22"/>
      <c r="D13" s="625">
        <v>3</v>
      </c>
      <c r="E13" s="631">
        <f>IF(E$3&gt;0, 2,0)</f>
        <v>0</v>
      </c>
      <c r="F13" s="629">
        <f>IF(F$3 = 1, 0, IF( F$3 = 2, 1, IF(F$3 =3, 2, 2)))</f>
        <v>2</v>
      </c>
      <c r="G13" s="21">
        <f t="shared" si="11"/>
        <v>5</v>
      </c>
      <c r="H13" s="625">
        <v>3</v>
      </c>
      <c r="I13" s="631">
        <f>IF(I$3&gt;0, 2,0)</f>
        <v>0</v>
      </c>
      <c r="J13" s="629">
        <f>IF(J$3 = 1, 0, IF( J$3 = 2, 1, IF(J$3 =3, 2, 2)))</f>
        <v>2</v>
      </c>
      <c r="K13" s="21">
        <f xml:space="preserve"> SUM(H13:J13) + $C13</f>
        <v>5</v>
      </c>
      <c r="L13" s="625">
        <v>3</v>
      </c>
      <c r="M13" s="631">
        <f>IF(M$3&gt;0, 2,0)</f>
        <v>0</v>
      </c>
      <c r="N13" s="629">
        <f>IF(N$3 = 1, 0, IF( N$3 = 2, 1, IF(N$3 =3, 2, 2)))</f>
        <v>2</v>
      </c>
      <c r="O13" s="21">
        <f xml:space="preserve"> SUM(L13:N13) + $C13</f>
        <v>5</v>
      </c>
      <c r="P13" s="625">
        <v>3</v>
      </c>
      <c r="Q13" s="631">
        <f>IF(Q$3&gt;0, 2,0)</f>
        <v>0</v>
      </c>
      <c r="R13" s="629">
        <f>IF(R$3 = 1, 0, IF( R$3 = 2, 1, IF(R$3 =3, 2, 2)))</f>
        <v>2</v>
      </c>
      <c r="S13" s="21">
        <f xml:space="preserve"> SUM(P13:R13) + $C13</f>
        <v>5</v>
      </c>
    </row>
    <row r="14" spans="1:19" ht="15.75" thickBot="1" x14ac:dyDescent="0.3">
      <c r="A14" s="1932"/>
      <c r="B14" s="13" t="s">
        <v>34</v>
      </c>
      <c r="C14" s="34"/>
      <c r="D14" s="626">
        <v>5</v>
      </c>
      <c r="E14" s="682">
        <f>IF(E$3&gt;0, 2,0)</f>
        <v>0</v>
      </c>
      <c r="F14" s="435">
        <f>IF(F$3 = 1, 0, IF( F$3 = 2, 1, IF(F$3 =3, 2, 2)))</f>
        <v>2</v>
      </c>
      <c r="G14" s="77">
        <f t="shared" si="11"/>
        <v>7</v>
      </c>
      <c r="H14" s="626">
        <v>5</v>
      </c>
      <c r="I14" s="682">
        <f>IF(I$3&gt;0, 2,0)</f>
        <v>0</v>
      </c>
      <c r="J14" s="435">
        <f>IF(J$3 = 1, 0, IF( J$3 = 2, 1, IF(J$3 =3, 2, 2)))</f>
        <v>2</v>
      </c>
      <c r="K14" s="77">
        <f xml:space="preserve"> SUM(H14:J14) + $C14</f>
        <v>7</v>
      </c>
      <c r="L14" s="626">
        <v>5</v>
      </c>
      <c r="M14" s="682">
        <f>IF(M$3&gt;0, 2,0)</f>
        <v>0</v>
      </c>
      <c r="N14" s="435">
        <f>IF(N$3 = 1, 0, IF( N$3 = 2, 1, IF(N$3 =3, 2, 2)))</f>
        <v>2</v>
      </c>
      <c r="O14" s="77">
        <f xml:space="preserve"> SUM(L14:N14) + $C14</f>
        <v>7</v>
      </c>
      <c r="P14" s="626">
        <v>5</v>
      </c>
      <c r="Q14" s="682">
        <f>IF(Q$3&gt;0, 2,0)</f>
        <v>0</v>
      </c>
      <c r="R14" s="435">
        <f>IF(R$3 = 1, 0, IF( R$3 = 2, 1, IF(R$3 =3, 2, 2)))</f>
        <v>2</v>
      </c>
      <c r="S14" s="77">
        <f xml:space="preserve"> SUM(P14:R14) + $C14</f>
        <v>7</v>
      </c>
    </row>
    <row r="15" spans="1:19" ht="16.5" thickBot="1" x14ac:dyDescent="0.3">
      <c r="A15" s="330" t="s">
        <v>3</v>
      </c>
      <c r="B15" s="329"/>
      <c r="C15" s="329"/>
      <c r="D15" s="329"/>
      <c r="E15" s="329"/>
      <c r="F15" s="329"/>
      <c r="G15" s="329"/>
      <c r="H15" s="329"/>
      <c r="I15" s="329"/>
      <c r="J15" s="329"/>
      <c r="K15" s="329"/>
      <c r="L15" s="329"/>
      <c r="M15" s="329"/>
      <c r="N15" s="329"/>
      <c r="O15" s="329"/>
      <c r="P15" s="329"/>
      <c r="Q15" s="329"/>
      <c r="R15" s="329"/>
      <c r="S15" s="328"/>
    </row>
    <row r="16" spans="1:19" x14ac:dyDescent="0.25">
      <c r="A16" s="1944" t="s">
        <v>4</v>
      </c>
      <c r="B16" s="325" t="s">
        <v>32</v>
      </c>
      <c r="C16" s="324"/>
      <c r="D16" s="427">
        <v>0.25</v>
      </c>
      <c r="E16" s="400">
        <v>0</v>
      </c>
      <c r="F16" s="428">
        <v>0</v>
      </c>
      <c r="G16" s="230">
        <f t="shared" si="11"/>
        <v>0.25</v>
      </c>
      <c r="H16" s="678">
        <v>0.25</v>
      </c>
      <c r="I16" s="713">
        <v>0</v>
      </c>
      <c r="J16" s="679">
        <v>0</v>
      </c>
      <c r="K16" s="230">
        <f t="shared" ref="K16:K36" si="12" xml:space="preserve"> SUM(H16:J16) + $C16</f>
        <v>0.25</v>
      </c>
      <c r="L16" s="678">
        <v>0.25</v>
      </c>
      <c r="M16" s="713">
        <v>0</v>
      </c>
      <c r="N16" s="679">
        <v>0</v>
      </c>
      <c r="O16" s="230">
        <f t="shared" ref="O16:O36" si="13" xml:space="preserve"> SUM(L16:N16) + $C16</f>
        <v>0.25</v>
      </c>
      <c r="P16" s="678">
        <v>0.25</v>
      </c>
      <c r="Q16" s="713">
        <v>0</v>
      </c>
      <c r="R16" s="679">
        <v>0</v>
      </c>
      <c r="S16" s="230">
        <f t="shared" ref="S16:S36" si="14" xml:space="preserve"> SUM(P16:R16) + $C16</f>
        <v>0.25</v>
      </c>
    </row>
    <row r="17" spans="1:19" x14ac:dyDescent="0.25">
      <c r="A17" s="1937"/>
      <c r="B17" s="18" t="s">
        <v>33</v>
      </c>
      <c r="C17" s="22"/>
      <c r="D17" s="678">
        <v>0.25</v>
      </c>
      <c r="E17" s="15">
        <v>0</v>
      </c>
      <c r="F17" s="33">
        <v>0</v>
      </c>
      <c r="G17" s="21">
        <f t="shared" si="11"/>
        <v>0.25</v>
      </c>
      <c r="H17" s="678">
        <v>0.25</v>
      </c>
      <c r="I17" s="616">
        <v>0</v>
      </c>
      <c r="J17" s="623">
        <v>0</v>
      </c>
      <c r="K17" s="21">
        <f t="shared" si="12"/>
        <v>0.25</v>
      </c>
      <c r="L17" s="678">
        <v>0.25</v>
      </c>
      <c r="M17" s="616">
        <v>0</v>
      </c>
      <c r="N17" s="623">
        <v>0</v>
      </c>
      <c r="O17" s="21">
        <f t="shared" si="13"/>
        <v>0.25</v>
      </c>
      <c r="P17" s="678">
        <v>0.25</v>
      </c>
      <c r="Q17" s="616">
        <v>0</v>
      </c>
      <c r="R17" s="623">
        <v>0</v>
      </c>
      <c r="S17" s="21">
        <f t="shared" si="14"/>
        <v>0.25</v>
      </c>
    </row>
    <row r="18" spans="1:19" x14ac:dyDescent="0.25">
      <c r="A18" s="1937"/>
      <c r="B18" s="18" t="s">
        <v>34</v>
      </c>
      <c r="C18" s="22"/>
      <c r="D18" s="678">
        <v>0.25</v>
      </c>
      <c r="E18" s="15">
        <v>0</v>
      </c>
      <c r="F18" s="33">
        <v>0</v>
      </c>
      <c r="G18" s="21">
        <f t="shared" si="11"/>
        <v>0.25</v>
      </c>
      <c r="H18" s="678">
        <v>0.25</v>
      </c>
      <c r="I18" s="616">
        <v>0</v>
      </c>
      <c r="J18" s="623">
        <v>0</v>
      </c>
      <c r="K18" s="21">
        <f t="shared" si="12"/>
        <v>0.25</v>
      </c>
      <c r="L18" s="678">
        <v>0.25</v>
      </c>
      <c r="M18" s="616">
        <v>0</v>
      </c>
      <c r="N18" s="623">
        <v>0</v>
      </c>
      <c r="O18" s="21">
        <f t="shared" si="13"/>
        <v>0.25</v>
      </c>
      <c r="P18" s="678">
        <v>0.25</v>
      </c>
      <c r="Q18" s="616">
        <v>0</v>
      </c>
      <c r="R18" s="623">
        <v>0</v>
      </c>
      <c r="S18" s="21">
        <f t="shared" si="14"/>
        <v>0.25</v>
      </c>
    </row>
    <row r="19" spans="1:19" x14ac:dyDescent="0.25">
      <c r="A19" s="1937" t="s">
        <v>5</v>
      </c>
      <c r="B19" s="19" t="s">
        <v>32</v>
      </c>
      <c r="C19" s="22"/>
      <c r="D19" s="625">
        <v>1</v>
      </c>
      <c r="E19" s="616">
        <v>0</v>
      </c>
      <c r="F19" s="623">
        <v>0</v>
      </c>
      <c r="G19" s="21">
        <f t="shared" si="11"/>
        <v>1</v>
      </c>
      <c r="H19" s="625">
        <v>1</v>
      </c>
      <c r="I19" s="616">
        <v>0</v>
      </c>
      <c r="J19" s="623">
        <v>0</v>
      </c>
      <c r="K19" s="21">
        <f t="shared" si="12"/>
        <v>1</v>
      </c>
      <c r="L19" s="625">
        <v>1</v>
      </c>
      <c r="M19" s="616">
        <v>0</v>
      </c>
      <c r="N19" s="623">
        <v>0</v>
      </c>
      <c r="O19" s="21">
        <f t="shared" si="13"/>
        <v>1</v>
      </c>
      <c r="P19" s="625">
        <v>1</v>
      </c>
      <c r="Q19" s="616">
        <v>0</v>
      </c>
      <c r="R19" s="623">
        <v>0</v>
      </c>
      <c r="S19" s="21">
        <f t="shared" si="14"/>
        <v>1</v>
      </c>
    </row>
    <row r="20" spans="1:19" x14ac:dyDescent="0.25">
      <c r="A20" s="1937"/>
      <c r="B20" s="19" t="s">
        <v>33</v>
      </c>
      <c r="C20" s="22"/>
      <c r="D20" s="625">
        <v>2</v>
      </c>
      <c r="E20" s="616">
        <v>0</v>
      </c>
      <c r="F20" s="623">
        <v>0</v>
      </c>
      <c r="G20" s="21">
        <f t="shared" si="11"/>
        <v>2</v>
      </c>
      <c r="H20" s="625">
        <v>2</v>
      </c>
      <c r="I20" s="616">
        <v>0</v>
      </c>
      <c r="J20" s="623">
        <v>0</v>
      </c>
      <c r="K20" s="21">
        <f t="shared" si="12"/>
        <v>2</v>
      </c>
      <c r="L20" s="625">
        <v>2</v>
      </c>
      <c r="M20" s="616">
        <v>0</v>
      </c>
      <c r="N20" s="623">
        <v>0</v>
      </c>
      <c r="O20" s="21">
        <f t="shared" si="13"/>
        <v>2</v>
      </c>
      <c r="P20" s="625">
        <v>2</v>
      </c>
      <c r="Q20" s="616">
        <v>0</v>
      </c>
      <c r="R20" s="623">
        <v>0</v>
      </c>
      <c r="S20" s="21">
        <f t="shared" si="14"/>
        <v>2</v>
      </c>
    </row>
    <row r="21" spans="1:19" x14ac:dyDescent="0.25">
      <c r="A21" s="1937"/>
      <c r="B21" s="19" t="s">
        <v>34</v>
      </c>
      <c r="C21" s="22"/>
      <c r="D21" s="625">
        <v>4</v>
      </c>
      <c r="E21" s="616">
        <v>0</v>
      </c>
      <c r="F21" s="623">
        <v>0</v>
      </c>
      <c r="G21" s="21">
        <f t="shared" si="11"/>
        <v>4</v>
      </c>
      <c r="H21" s="625">
        <v>4</v>
      </c>
      <c r="I21" s="616">
        <v>0</v>
      </c>
      <c r="J21" s="623">
        <v>0</v>
      </c>
      <c r="K21" s="21">
        <f t="shared" si="12"/>
        <v>4</v>
      </c>
      <c r="L21" s="625">
        <v>4</v>
      </c>
      <c r="M21" s="616">
        <v>0</v>
      </c>
      <c r="N21" s="623">
        <v>0</v>
      </c>
      <c r="O21" s="21">
        <f t="shared" si="13"/>
        <v>4</v>
      </c>
      <c r="P21" s="625">
        <v>4</v>
      </c>
      <c r="Q21" s="616">
        <v>0</v>
      </c>
      <c r="R21" s="623">
        <v>0</v>
      </c>
      <c r="S21" s="21">
        <f t="shared" si="14"/>
        <v>4</v>
      </c>
    </row>
    <row r="22" spans="1:19" x14ac:dyDescent="0.25">
      <c r="A22" s="1937" t="s">
        <v>6</v>
      </c>
      <c r="B22" s="19" t="s">
        <v>32</v>
      </c>
      <c r="C22" s="22"/>
      <c r="D22" s="625">
        <v>2</v>
      </c>
      <c r="E22" s="631">
        <f>IF(D$3&gt;0, 2,0)</f>
        <v>0</v>
      </c>
      <c r="F22" s="629">
        <f>IF(F$3 = 1, 1, IF( F$3 = 2, 2, IF(F$3 =3, 3,  IF(F$3 =4, 4, 5))))</f>
        <v>5</v>
      </c>
      <c r="G22" s="21">
        <f t="shared" si="11"/>
        <v>7</v>
      </c>
      <c r="H22" s="625">
        <v>2</v>
      </c>
      <c r="I22" s="631">
        <f>IF(H$3&gt;0, 2,0)</f>
        <v>0</v>
      </c>
      <c r="J22" s="629">
        <f>IF(J$3 = 1, 1, IF( J$3 = 2, 2, IF(J$3 =3, 3,  IF(J$3 =4, 4, 5))))</f>
        <v>5</v>
      </c>
      <c r="K22" s="21">
        <f t="shared" si="12"/>
        <v>7</v>
      </c>
      <c r="L22" s="625">
        <v>2</v>
      </c>
      <c r="M22" s="631">
        <f>IF(L$3&gt;0, 2,0)</f>
        <v>0</v>
      </c>
      <c r="N22" s="629">
        <f>IF(N$3 = 1, 1, IF( N$3 = 2, 2, IF(N$3 =3, 3,  IF(N$3 =4, 4, 5))))</f>
        <v>5</v>
      </c>
      <c r="O22" s="21">
        <f t="shared" si="13"/>
        <v>7</v>
      </c>
      <c r="P22" s="625">
        <v>2</v>
      </c>
      <c r="Q22" s="631">
        <f>IF(P$3&gt;0, 2,0)</f>
        <v>0</v>
      </c>
      <c r="R22" s="629">
        <f>IF(R$3 = 1, 1, IF( R$3 = 2, 2, IF(R$3 =3, 3,  IF(R$3 =4, 4, 5))))</f>
        <v>5</v>
      </c>
      <c r="S22" s="21">
        <f t="shared" si="14"/>
        <v>7</v>
      </c>
    </row>
    <row r="23" spans="1:19" x14ac:dyDescent="0.25">
      <c r="A23" s="1937"/>
      <c r="B23" s="19" t="s">
        <v>33</v>
      </c>
      <c r="C23" s="22"/>
      <c r="D23" s="625">
        <v>4</v>
      </c>
      <c r="E23" s="631">
        <f>IF(D$3&gt;0, 2,0)</f>
        <v>0</v>
      </c>
      <c r="F23" s="629">
        <f>IF(F$3 = 1, 1.5, IF( F$3 = 2, 3, IF(F$3 =3, 4.5,  IF(F$3 =4, 6, 7.5))))</f>
        <v>7.5</v>
      </c>
      <c r="G23" s="21">
        <f t="shared" si="11"/>
        <v>11.5</v>
      </c>
      <c r="H23" s="625">
        <v>4</v>
      </c>
      <c r="I23" s="631">
        <f>IF(H$3&gt;0, 2,0)</f>
        <v>0</v>
      </c>
      <c r="J23" s="629">
        <f>IF(J$3 = 1, 1.5, IF( J$3 = 2, 3, IF(J$3 =3, 4.5,  IF(J$3 =4, 6, 7.5))))</f>
        <v>7.5</v>
      </c>
      <c r="K23" s="21">
        <f t="shared" si="12"/>
        <v>11.5</v>
      </c>
      <c r="L23" s="625">
        <v>4</v>
      </c>
      <c r="M23" s="631">
        <f>IF(L$3&gt;0, 2,0)</f>
        <v>0</v>
      </c>
      <c r="N23" s="629">
        <f>IF(N$3 = 1, 1.5, IF( N$3 = 2, 3, IF(N$3 =3, 4.5,  IF(N$3 =4, 6, 7.5))))</f>
        <v>7.5</v>
      </c>
      <c r="O23" s="21">
        <f t="shared" si="13"/>
        <v>11.5</v>
      </c>
      <c r="P23" s="625">
        <v>4</v>
      </c>
      <c r="Q23" s="631">
        <f>IF(P$3&gt;0, 2,0)</f>
        <v>0</v>
      </c>
      <c r="R23" s="629">
        <f>IF(R$3 = 1, 1.5, IF( R$3 = 2, 3, IF(R$3 =3, 4.5,  IF(R$3 =4, 6, 7.5))))</f>
        <v>7.5</v>
      </c>
      <c r="S23" s="21">
        <f t="shared" si="14"/>
        <v>11.5</v>
      </c>
    </row>
    <row r="24" spans="1:19" x14ac:dyDescent="0.25">
      <c r="A24" s="1937"/>
      <c r="B24" s="19" t="s">
        <v>34</v>
      </c>
      <c r="C24" s="22"/>
      <c r="D24" s="625">
        <v>8</v>
      </c>
      <c r="E24" s="631">
        <f>IF(D$3&gt;0, 2,0)</f>
        <v>0</v>
      </c>
      <c r="F24" s="629">
        <f>IF(F$3 = 1, 2, IF( F$3 = 2, 4, IF(F$3 =3, 6,  IF(F$3 =4, 8, 10))))</f>
        <v>10</v>
      </c>
      <c r="G24" s="21">
        <f t="shared" si="11"/>
        <v>18</v>
      </c>
      <c r="H24" s="625">
        <v>8</v>
      </c>
      <c r="I24" s="631">
        <f>IF(H$3&gt;0, 2,0)</f>
        <v>0</v>
      </c>
      <c r="J24" s="629">
        <f>IF(J$3 = 1, 2, IF( J$3 = 2, 4, IF(J$3 =3, 6,  IF(J$3 =4, 8, 10))))</f>
        <v>10</v>
      </c>
      <c r="K24" s="21">
        <f t="shared" si="12"/>
        <v>18</v>
      </c>
      <c r="L24" s="625">
        <v>8</v>
      </c>
      <c r="M24" s="631">
        <f>IF(L$3&gt;0, 2,0)</f>
        <v>0</v>
      </c>
      <c r="N24" s="629">
        <f>IF(N$3 = 1, 2, IF( N$3 = 2, 4, IF(N$3 =3, 6,  IF(N$3 =4, 8, 10))))</f>
        <v>10</v>
      </c>
      <c r="O24" s="21">
        <f t="shared" si="13"/>
        <v>18</v>
      </c>
      <c r="P24" s="625">
        <v>8</v>
      </c>
      <c r="Q24" s="631">
        <f>IF(P$3&gt;0, 2,0)</f>
        <v>0</v>
      </c>
      <c r="R24" s="629">
        <f>IF(R$3 = 1, 2, IF( R$3 = 2, 4, IF(R$3 =3, 6,  IF(R$3 =4, 8, 10))))</f>
        <v>10</v>
      </c>
      <c r="S24" s="21">
        <f t="shared" si="14"/>
        <v>18</v>
      </c>
    </row>
    <row r="25" spans="1:19" x14ac:dyDescent="0.25">
      <c r="A25" s="1937" t="s">
        <v>7</v>
      </c>
      <c r="B25" s="19" t="s">
        <v>32</v>
      </c>
      <c r="C25" s="22"/>
      <c r="D25" s="631">
        <f>D$22*0.15</f>
        <v>0.3</v>
      </c>
      <c r="E25" s="616">
        <v>0</v>
      </c>
      <c r="F25" s="623">
        <v>0</v>
      </c>
      <c r="G25" s="21">
        <f t="shared" si="11"/>
        <v>0.3</v>
      </c>
      <c r="H25" s="631">
        <f>H$22*0.15</f>
        <v>0.3</v>
      </c>
      <c r="I25" s="616">
        <v>0</v>
      </c>
      <c r="J25" s="623">
        <v>0</v>
      </c>
      <c r="K25" s="21">
        <f t="shared" si="12"/>
        <v>0.3</v>
      </c>
      <c r="L25" s="631">
        <f>L$22*0.15</f>
        <v>0.3</v>
      </c>
      <c r="M25" s="616">
        <v>0</v>
      </c>
      <c r="N25" s="623">
        <v>0</v>
      </c>
      <c r="O25" s="21">
        <f t="shared" si="13"/>
        <v>0.3</v>
      </c>
      <c r="P25" s="631">
        <f>P$22*0.15</f>
        <v>0.3</v>
      </c>
      <c r="Q25" s="616">
        <v>0</v>
      </c>
      <c r="R25" s="623">
        <v>0</v>
      </c>
      <c r="S25" s="21">
        <f t="shared" si="14"/>
        <v>0.3</v>
      </c>
    </row>
    <row r="26" spans="1:19" x14ac:dyDescent="0.25">
      <c r="A26" s="1937"/>
      <c r="B26" s="19" t="s">
        <v>33</v>
      </c>
      <c r="C26" s="22"/>
      <c r="D26" s="631">
        <f>D$23*0.15</f>
        <v>0.6</v>
      </c>
      <c r="E26" s="616">
        <v>0</v>
      </c>
      <c r="F26" s="623">
        <v>0</v>
      </c>
      <c r="G26" s="21">
        <f t="shared" si="11"/>
        <v>0.6</v>
      </c>
      <c r="H26" s="631">
        <f>H$23*0.15</f>
        <v>0.6</v>
      </c>
      <c r="I26" s="616">
        <v>0</v>
      </c>
      <c r="J26" s="623">
        <v>0</v>
      </c>
      <c r="K26" s="21">
        <f t="shared" si="12"/>
        <v>0.6</v>
      </c>
      <c r="L26" s="631">
        <f>L$23*0.15</f>
        <v>0.6</v>
      </c>
      <c r="M26" s="616">
        <v>0</v>
      </c>
      <c r="N26" s="623">
        <v>0</v>
      </c>
      <c r="O26" s="21">
        <f t="shared" si="13"/>
        <v>0.6</v>
      </c>
      <c r="P26" s="631">
        <f>P$23*0.15</f>
        <v>0.6</v>
      </c>
      <c r="Q26" s="616">
        <v>0</v>
      </c>
      <c r="R26" s="623">
        <v>0</v>
      </c>
      <c r="S26" s="21">
        <f t="shared" si="14"/>
        <v>0.6</v>
      </c>
    </row>
    <row r="27" spans="1:19" x14ac:dyDescent="0.25">
      <c r="A27" s="1937"/>
      <c r="B27" s="19" t="s">
        <v>34</v>
      </c>
      <c r="C27" s="22"/>
      <c r="D27" s="631">
        <f>D$24*0.15</f>
        <v>1.2</v>
      </c>
      <c r="E27" s="616">
        <v>0</v>
      </c>
      <c r="F27" s="623">
        <v>0</v>
      </c>
      <c r="G27" s="21">
        <f t="shared" si="11"/>
        <v>1.2</v>
      </c>
      <c r="H27" s="631">
        <f>H$24*0.15</f>
        <v>1.2</v>
      </c>
      <c r="I27" s="616">
        <v>0</v>
      </c>
      <c r="J27" s="623">
        <v>0</v>
      </c>
      <c r="K27" s="21">
        <f t="shared" si="12"/>
        <v>1.2</v>
      </c>
      <c r="L27" s="631">
        <f>L$24*0.15</f>
        <v>1.2</v>
      </c>
      <c r="M27" s="616">
        <v>0</v>
      </c>
      <c r="N27" s="623">
        <v>0</v>
      </c>
      <c r="O27" s="21">
        <f t="shared" si="13"/>
        <v>1.2</v>
      </c>
      <c r="P27" s="631">
        <f>P$24*0.15</f>
        <v>1.2</v>
      </c>
      <c r="Q27" s="616">
        <v>0</v>
      </c>
      <c r="R27" s="623">
        <v>0</v>
      </c>
      <c r="S27" s="21">
        <f t="shared" si="14"/>
        <v>1.2</v>
      </c>
    </row>
    <row r="28" spans="1:19" x14ac:dyDescent="0.25">
      <c r="A28" s="1937" t="s">
        <v>8</v>
      </c>
      <c r="B28" s="19" t="s">
        <v>32</v>
      </c>
      <c r="C28" s="22"/>
      <c r="D28" s="625">
        <v>1</v>
      </c>
      <c r="E28" s="616">
        <v>0</v>
      </c>
      <c r="F28" s="623">
        <v>0</v>
      </c>
      <c r="G28" s="21">
        <f t="shared" si="11"/>
        <v>1</v>
      </c>
      <c r="H28" s="625">
        <v>1</v>
      </c>
      <c r="I28" s="616">
        <v>0</v>
      </c>
      <c r="J28" s="623">
        <v>0</v>
      </c>
      <c r="K28" s="21">
        <f t="shared" si="12"/>
        <v>1</v>
      </c>
      <c r="L28" s="625">
        <v>1</v>
      </c>
      <c r="M28" s="616">
        <v>0</v>
      </c>
      <c r="N28" s="623">
        <v>0</v>
      </c>
      <c r="O28" s="21">
        <f t="shared" si="13"/>
        <v>1</v>
      </c>
      <c r="P28" s="625">
        <v>1</v>
      </c>
      <c r="Q28" s="616">
        <v>0</v>
      </c>
      <c r="R28" s="623">
        <v>0</v>
      </c>
      <c r="S28" s="21">
        <f t="shared" si="14"/>
        <v>1</v>
      </c>
    </row>
    <row r="29" spans="1:19" x14ac:dyDescent="0.25">
      <c r="A29" s="1937"/>
      <c r="B29" s="19" t="s">
        <v>33</v>
      </c>
      <c r="C29" s="22"/>
      <c r="D29" s="625">
        <v>2</v>
      </c>
      <c r="E29" s="616">
        <v>0</v>
      </c>
      <c r="F29" s="623">
        <v>0</v>
      </c>
      <c r="G29" s="21">
        <f t="shared" si="11"/>
        <v>2</v>
      </c>
      <c r="H29" s="625">
        <v>2</v>
      </c>
      <c r="I29" s="616">
        <v>0</v>
      </c>
      <c r="J29" s="623">
        <v>0</v>
      </c>
      <c r="K29" s="21">
        <f t="shared" si="12"/>
        <v>2</v>
      </c>
      <c r="L29" s="625">
        <v>2</v>
      </c>
      <c r="M29" s="616">
        <v>0</v>
      </c>
      <c r="N29" s="623">
        <v>0</v>
      </c>
      <c r="O29" s="21">
        <f t="shared" si="13"/>
        <v>2</v>
      </c>
      <c r="P29" s="625">
        <v>2</v>
      </c>
      <c r="Q29" s="616">
        <v>0</v>
      </c>
      <c r="R29" s="623">
        <v>0</v>
      </c>
      <c r="S29" s="21">
        <f t="shared" si="14"/>
        <v>2</v>
      </c>
    </row>
    <row r="30" spans="1:19" x14ac:dyDescent="0.25">
      <c r="A30" s="1937"/>
      <c r="B30" s="19" t="s">
        <v>34</v>
      </c>
      <c r="C30" s="22"/>
      <c r="D30" s="625">
        <v>3</v>
      </c>
      <c r="E30" s="616">
        <v>0</v>
      </c>
      <c r="F30" s="623">
        <v>0</v>
      </c>
      <c r="G30" s="21">
        <f t="shared" si="11"/>
        <v>3</v>
      </c>
      <c r="H30" s="625">
        <v>3</v>
      </c>
      <c r="I30" s="616">
        <v>0</v>
      </c>
      <c r="J30" s="623">
        <v>0</v>
      </c>
      <c r="K30" s="21">
        <f t="shared" si="12"/>
        <v>3</v>
      </c>
      <c r="L30" s="625">
        <v>3</v>
      </c>
      <c r="M30" s="616">
        <v>0</v>
      </c>
      <c r="N30" s="623">
        <v>0</v>
      </c>
      <c r="O30" s="21">
        <f t="shared" si="13"/>
        <v>3</v>
      </c>
      <c r="P30" s="625">
        <v>3</v>
      </c>
      <c r="Q30" s="616">
        <v>0</v>
      </c>
      <c r="R30" s="623">
        <v>0</v>
      </c>
      <c r="S30" s="21">
        <f t="shared" si="14"/>
        <v>3</v>
      </c>
    </row>
    <row r="31" spans="1:19" x14ac:dyDescent="0.25">
      <c r="A31" s="1937" t="s">
        <v>9</v>
      </c>
      <c r="B31" s="19" t="s">
        <v>32</v>
      </c>
      <c r="C31" s="22"/>
      <c r="D31" s="631">
        <f>0.5+(0.25*D$3)</f>
        <v>0.5</v>
      </c>
      <c r="E31" s="631">
        <f t="shared" ref="E31:E36" si="15">0.25*E$3</f>
        <v>0</v>
      </c>
      <c r="F31" s="623">
        <v>0</v>
      </c>
      <c r="G31" s="21">
        <f t="shared" si="11"/>
        <v>0.5</v>
      </c>
      <c r="H31" s="631">
        <f>0.5+(0.25*H$3)</f>
        <v>0.5</v>
      </c>
      <c r="I31" s="631">
        <f t="shared" ref="I31:I36" si="16">0.25*I$3</f>
        <v>0</v>
      </c>
      <c r="J31" s="623">
        <v>0</v>
      </c>
      <c r="K31" s="21">
        <f t="shared" si="12"/>
        <v>0.5</v>
      </c>
      <c r="L31" s="631">
        <f>0.5+(0.25*L$3)</f>
        <v>0.5</v>
      </c>
      <c r="M31" s="631">
        <f t="shared" ref="M31:M36" si="17">0.25*M$3</f>
        <v>0</v>
      </c>
      <c r="N31" s="623">
        <v>0</v>
      </c>
      <c r="O31" s="21">
        <f t="shared" si="13"/>
        <v>0.5</v>
      </c>
      <c r="P31" s="631">
        <f>0.5+(0.25*P$3)</f>
        <v>0.5</v>
      </c>
      <c r="Q31" s="631">
        <f t="shared" ref="Q31:Q36" si="18">0.25*Q$3</f>
        <v>0</v>
      </c>
      <c r="R31" s="623">
        <v>0</v>
      </c>
      <c r="S31" s="21">
        <f t="shared" si="14"/>
        <v>0.5</v>
      </c>
    </row>
    <row r="32" spans="1:19" x14ac:dyDescent="0.25">
      <c r="A32" s="1937"/>
      <c r="B32" s="19" t="s">
        <v>33</v>
      </c>
      <c r="C32" s="22"/>
      <c r="D32" s="631">
        <f>1+(0.25*D$3)</f>
        <v>1</v>
      </c>
      <c r="E32" s="631">
        <f t="shared" si="15"/>
        <v>0</v>
      </c>
      <c r="F32" s="623">
        <v>0</v>
      </c>
      <c r="G32" s="21">
        <f t="shared" si="11"/>
        <v>1</v>
      </c>
      <c r="H32" s="631">
        <f>1+(0.25*H$3)</f>
        <v>1</v>
      </c>
      <c r="I32" s="631">
        <f t="shared" si="16"/>
        <v>0</v>
      </c>
      <c r="J32" s="623">
        <v>0</v>
      </c>
      <c r="K32" s="21">
        <f t="shared" si="12"/>
        <v>1</v>
      </c>
      <c r="L32" s="631">
        <f>1+(0.25*L$3)</f>
        <v>1</v>
      </c>
      <c r="M32" s="631">
        <f t="shared" si="17"/>
        <v>0</v>
      </c>
      <c r="N32" s="623">
        <v>0</v>
      </c>
      <c r="O32" s="21">
        <f t="shared" si="13"/>
        <v>1</v>
      </c>
      <c r="P32" s="631">
        <f>1+(0.25*P$3)</f>
        <v>1</v>
      </c>
      <c r="Q32" s="631">
        <f t="shared" si="18"/>
        <v>0</v>
      </c>
      <c r="R32" s="623">
        <v>0</v>
      </c>
      <c r="S32" s="21">
        <f t="shared" si="14"/>
        <v>1</v>
      </c>
    </row>
    <row r="33" spans="1:19" x14ac:dyDescent="0.25">
      <c r="A33" s="1937"/>
      <c r="B33" s="19" t="s">
        <v>34</v>
      </c>
      <c r="C33" s="22"/>
      <c r="D33" s="631">
        <f>1.5+(0.25*D$3)</f>
        <v>1.5</v>
      </c>
      <c r="E33" s="631">
        <f t="shared" si="15"/>
        <v>0</v>
      </c>
      <c r="F33" s="623">
        <v>0</v>
      </c>
      <c r="G33" s="21">
        <f t="shared" si="11"/>
        <v>1.5</v>
      </c>
      <c r="H33" s="631">
        <f>1.5+(0.25*H$3)</f>
        <v>1.5</v>
      </c>
      <c r="I33" s="631">
        <f t="shared" si="16"/>
        <v>0</v>
      </c>
      <c r="J33" s="623">
        <v>0</v>
      </c>
      <c r="K33" s="21">
        <f t="shared" si="12"/>
        <v>1.5</v>
      </c>
      <c r="L33" s="631">
        <f>1.5+(0.25*L$3)</f>
        <v>1.5</v>
      </c>
      <c r="M33" s="631">
        <f t="shared" si="17"/>
        <v>0</v>
      </c>
      <c r="N33" s="623">
        <v>0</v>
      </c>
      <c r="O33" s="21">
        <f t="shared" si="13"/>
        <v>1.5</v>
      </c>
      <c r="P33" s="631">
        <f>1.5+(0.25*P$3)</f>
        <v>1.5</v>
      </c>
      <c r="Q33" s="631">
        <f t="shared" si="18"/>
        <v>0</v>
      </c>
      <c r="R33" s="623">
        <v>0</v>
      </c>
      <c r="S33" s="21">
        <f t="shared" si="14"/>
        <v>1.5</v>
      </c>
    </row>
    <row r="34" spans="1:19" x14ac:dyDescent="0.25">
      <c r="A34" s="1937" t="s">
        <v>10</v>
      </c>
      <c r="B34" s="19" t="s">
        <v>32</v>
      </c>
      <c r="C34" s="22"/>
      <c r="D34" s="625">
        <v>2</v>
      </c>
      <c r="E34" s="631">
        <f t="shared" si="15"/>
        <v>0</v>
      </c>
      <c r="F34" s="629">
        <f>IF(F$3 = 1, 0, IF( F$3 = 2, 0.5, IF(F$3 =3, 1, IF(F$3 = 4, 1.5, 2))))</f>
        <v>2</v>
      </c>
      <c r="G34" s="21">
        <f t="shared" si="11"/>
        <v>4</v>
      </c>
      <c r="H34" s="625">
        <v>2</v>
      </c>
      <c r="I34" s="631">
        <f t="shared" si="16"/>
        <v>0</v>
      </c>
      <c r="J34" s="629">
        <f>IF(J$3 = 1, 0, IF( J$3 = 2, 0.5, IF(J$3 =3, 1, IF(J$3 = 4, 1.5, 2))))</f>
        <v>2</v>
      </c>
      <c r="K34" s="21">
        <f t="shared" si="12"/>
        <v>4</v>
      </c>
      <c r="L34" s="625">
        <v>2</v>
      </c>
      <c r="M34" s="631">
        <f t="shared" si="17"/>
        <v>0</v>
      </c>
      <c r="N34" s="629">
        <f>IF(N$3 = 1, 0, IF( N$3 = 2, 0.5, IF(N$3 =3, 1, IF(N$3 = 4, 1.5, 2))))</f>
        <v>2</v>
      </c>
      <c r="O34" s="21">
        <f t="shared" si="13"/>
        <v>4</v>
      </c>
      <c r="P34" s="625">
        <v>2</v>
      </c>
      <c r="Q34" s="631">
        <f t="shared" si="18"/>
        <v>0</v>
      </c>
      <c r="R34" s="629">
        <f>IF(R$3 = 1, 0, IF( R$3 = 2, 0.5, IF(R$3 =3, 1, IF(R$3 = 4, 1.5, 2))))</f>
        <v>2</v>
      </c>
      <c r="S34" s="21">
        <f t="shared" si="14"/>
        <v>4</v>
      </c>
    </row>
    <row r="35" spans="1:19" x14ac:dyDescent="0.25">
      <c r="A35" s="1937"/>
      <c r="B35" s="19" t="s">
        <v>33</v>
      </c>
      <c r="C35" s="22"/>
      <c r="D35" s="625">
        <v>2</v>
      </c>
      <c r="E35" s="631">
        <f t="shared" si="15"/>
        <v>0</v>
      </c>
      <c r="F35" s="629">
        <f>IF(F$3 = 1, 0, IF( F$3 = 2, 0.75, IF(F$3 =3, 1.25, IF(F$3 = 4, 1.75, 2.5))))</f>
        <v>2.5</v>
      </c>
      <c r="G35" s="21">
        <f t="shared" si="11"/>
        <v>4.5</v>
      </c>
      <c r="H35" s="625">
        <v>2</v>
      </c>
      <c r="I35" s="631">
        <f t="shared" si="16"/>
        <v>0</v>
      </c>
      <c r="J35" s="629">
        <f>IF(J$3 = 1, 0, IF( J$3 = 2, 0.75, IF(J$3 =3, 1.25, IF(J$3 = 4, 1.75, 2.5))))</f>
        <v>2.5</v>
      </c>
      <c r="K35" s="21">
        <f t="shared" si="12"/>
        <v>4.5</v>
      </c>
      <c r="L35" s="625">
        <v>2</v>
      </c>
      <c r="M35" s="631">
        <f t="shared" si="17"/>
        <v>0</v>
      </c>
      <c r="N35" s="629">
        <f>IF(N$3 = 1, 0, IF( N$3 = 2, 0.75, IF(N$3 =3, 1.25, IF(N$3 = 4, 1.75, 2.5))))</f>
        <v>2.5</v>
      </c>
      <c r="O35" s="21">
        <f t="shared" si="13"/>
        <v>4.5</v>
      </c>
      <c r="P35" s="625">
        <v>2</v>
      </c>
      <c r="Q35" s="631">
        <f t="shared" si="18"/>
        <v>0</v>
      </c>
      <c r="R35" s="629">
        <f>IF(R$3 = 1, 0, IF( R$3 = 2, 0.75, IF(R$3 =3, 1.25, IF(R$3 = 4, 1.75, 2.5))))</f>
        <v>2.5</v>
      </c>
      <c r="S35" s="21">
        <f t="shared" si="14"/>
        <v>4.5</v>
      </c>
    </row>
    <row r="36" spans="1:19" ht="15.75" thickBot="1" x14ac:dyDescent="0.3">
      <c r="A36" s="1938"/>
      <c r="B36" s="13" t="s">
        <v>34</v>
      </c>
      <c r="C36" s="34"/>
      <c r="D36" s="626">
        <v>2</v>
      </c>
      <c r="E36" s="631">
        <f t="shared" si="15"/>
        <v>0</v>
      </c>
      <c r="F36" s="629">
        <f>IF(F$3 = 1, 0, IF( F$3 = 2, 1, IF(F$3 =3, 2, IF(F$3 = 4, 3, 4))))</f>
        <v>4</v>
      </c>
      <c r="G36" s="77">
        <f t="shared" si="11"/>
        <v>6</v>
      </c>
      <c r="H36" s="626">
        <v>2</v>
      </c>
      <c r="I36" s="631">
        <f t="shared" si="16"/>
        <v>0</v>
      </c>
      <c r="J36" s="629">
        <f>IF(J$3 = 1, 0, IF( J$3 = 2, 1, IF(J$3 =3, 2, IF(J$3 = 4, 3, 4))))</f>
        <v>4</v>
      </c>
      <c r="K36" s="77">
        <f t="shared" si="12"/>
        <v>6</v>
      </c>
      <c r="L36" s="626">
        <v>2</v>
      </c>
      <c r="M36" s="631">
        <f t="shared" si="17"/>
        <v>0</v>
      </c>
      <c r="N36" s="629">
        <f>IF(N$3 = 1, 0, IF( N$3 = 2, 1, IF(N$3 =3, 2, IF(N$3 = 4, 3, 4))))</f>
        <v>4</v>
      </c>
      <c r="O36" s="77">
        <f t="shared" si="13"/>
        <v>6</v>
      </c>
      <c r="P36" s="626">
        <v>2</v>
      </c>
      <c r="Q36" s="631">
        <f t="shared" si="18"/>
        <v>0</v>
      </c>
      <c r="R36" s="629">
        <f>IF(R$3 = 1, 0, IF( R$3 = 2, 1, IF(R$3 =3, 2, IF(R$3 = 4, 3, 4))))</f>
        <v>4</v>
      </c>
      <c r="S36" s="77">
        <f t="shared" si="14"/>
        <v>6</v>
      </c>
    </row>
    <row r="37" spans="1:19" ht="16.5" thickBot="1" x14ac:dyDescent="0.3">
      <c r="A37" s="330" t="s">
        <v>11</v>
      </c>
      <c r="B37" s="329"/>
      <c r="C37" s="329"/>
      <c r="D37" s="329"/>
      <c r="E37" s="329"/>
      <c r="F37" s="329"/>
      <c r="G37" s="329"/>
      <c r="H37" s="329"/>
      <c r="I37" s="329"/>
      <c r="J37" s="329"/>
      <c r="K37" s="329"/>
      <c r="L37" s="329"/>
      <c r="M37" s="329"/>
      <c r="N37" s="329"/>
      <c r="O37" s="329"/>
      <c r="P37" s="329"/>
      <c r="Q37" s="329"/>
      <c r="R37" s="329"/>
      <c r="S37" s="328"/>
    </row>
    <row r="38" spans="1:19" x14ac:dyDescent="0.25">
      <c r="A38" s="1932" t="s">
        <v>12</v>
      </c>
      <c r="B38" s="404" t="s">
        <v>32</v>
      </c>
      <c r="C38" s="324"/>
      <c r="D38" s="678">
        <v>2</v>
      </c>
      <c r="E38" s="436">
        <f>IF(E$3&gt;0, 2,0)</f>
        <v>0</v>
      </c>
      <c r="F38" s="629">
        <f>IF(F$3 = 1, 1, IF( F$3 = 2, 2, IF(F$3 =3, 3,  IF(F$3 =4, 4, 5))))</f>
        <v>5</v>
      </c>
      <c r="G38" s="230">
        <f t="shared" si="11"/>
        <v>7</v>
      </c>
      <c r="H38" s="678">
        <v>2</v>
      </c>
      <c r="I38" s="436">
        <f>IF(I$3&gt;0, 2,0)</f>
        <v>0</v>
      </c>
      <c r="J38" s="629">
        <f>IF(J$3 = 1, 1, IF( J$3 = 2, 2, IF(J$3 =3, 3,  IF(J$3 =4, 4, 5))))</f>
        <v>5</v>
      </c>
      <c r="K38" s="230">
        <f xml:space="preserve"> SUM(H38:J38) + $C38</f>
        <v>7</v>
      </c>
      <c r="L38" s="678">
        <v>2</v>
      </c>
      <c r="M38" s="436">
        <f>IF(M$3&gt;0, 2,0)</f>
        <v>0</v>
      </c>
      <c r="N38" s="629">
        <f>IF(N$3 = 1, 1, IF( N$3 = 2, 2, IF(N$3 =3, 3,  IF(N$3 =4, 4, 5))))</f>
        <v>5</v>
      </c>
      <c r="O38" s="230">
        <f xml:space="preserve"> SUM(L38:N38) + $C38</f>
        <v>7</v>
      </c>
      <c r="P38" s="678">
        <v>2</v>
      </c>
      <c r="Q38" s="436">
        <f>IF(Q$3&gt;0, 2,0)</f>
        <v>0</v>
      </c>
      <c r="R38" s="629">
        <f>IF(R$3 = 1, 1, IF( R$3 = 2, 2, IF(R$3 =3, 3,  IF(R$3 =4, 4, 5))))</f>
        <v>5</v>
      </c>
      <c r="S38" s="230">
        <f xml:space="preserve"> SUM(P38:R38) + $C38</f>
        <v>7</v>
      </c>
    </row>
    <row r="39" spans="1:19" x14ac:dyDescent="0.25">
      <c r="A39" s="1932"/>
      <c r="B39" s="19" t="s">
        <v>33</v>
      </c>
      <c r="C39" s="22"/>
      <c r="D39" s="625">
        <v>4</v>
      </c>
      <c r="E39" s="436">
        <f>IF(E$3&gt;0, 2,0)</f>
        <v>0</v>
      </c>
      <c r="F39" s="629">
        <f>IF(F$3 = 1, 1.5, IF( F$3 = 2, 3, IF(F$3 =3, 4.5,  IF(F$3 =4, 6, 7.5))))</f>
        <v>7.5</v>
      </c>
      <c r="G39" s="21">
        <f t="shared" si="11"/>
        <v>11.5</v>
      </c>
      <c r="H39" s="625">
        <v>4</v>
      </c>
      <c r="I39" s="436">
        <f>IF(I$3&gt;0, 2,0)</f>
        <v>0</v>
      </c>
      <c r="J39" s="629">
        <f>IF(J$3 = 1, 1.5, IF( J$3 = 2, 3, IF(J$3 =3, 4.5,  IF(J$3 =4, 6, 7.5))))</f>
        <v>7.5</v>
      </c>
      <c r="K39" s="21">
        <f xml:space="preserve"> SUM(H39:J39) + $C39</f>
        <v>11.5</v>
      </c>
      <c r="L39" s="625">
        <v>4</v>
      </c>
      <c r="M39" s="436">
        <f>IF(M$3&gt;0, 2,0)</f>
        <v>0</v>
      </c>
      <c r="N39" s="629">
        <f>IF(N$3 = 1, 1.5, IF( N$3 = 2, 3, IF(N$3 =3, 4.5,  IF(N$3 =4, 6, 7.5))))</f>
        <v>7.5</v>
      </c>
      <c r="O39" s="21">
        <f xml:space="preserve"> SUM(L39:N39) + $C39</f>
        <v>11.5</v>
      </c>
      <c r="P39" s="625">
        <v>4</v>
      </c>
      <c r="Q39" s="436">
        <f>IF(Q$3&gt;0, 2,0)</f>
        <v>0</v>
      </c>
      <c r="R39" s="629">
        <f>IF(R$3 = 1, 1.5, IF( R$3 = 2, 3, IF(R$3 =3, 4.5,  IF(R$3 =4, 6, 7.5))))</f>
        <v>7.5</v>
      </c>
      <c r="S39" s="21">
        <f xml:space="preserve"> SUM(P39:R39) + $C39</f>
        <v>11.5</v>
      </c>
    </row>
    <row r="40" spans="1:19" ht="15.75" thickBot="1" x14ac:dyDescent="0.3">
      <c r="A40" s="1932"/>
      <c r="B40" s="13" t="s">
        <v>34</v>
      </c>
      <c r="C40" s="34"/>
      <c r="D40" s="626">
        <v>8</v>
      </c>
      <c r="E40" s="436">
        <f>IF(E$3&gt;0, 2,0)</f>
        <v>0</v>
      </c>
      <c r="F40" s="629">
        <f>IF(F$3 = 1, 2, IF(F$3 = 2, 4, IF(F$3 =3, 6,  IF(F$3 =4, 8, 10))))</f>
        <v>10</v>
      </c>
      <c r="G40" s="77">
        <f t="shared" si="11"/>
        <v>18</v>
      </c>
      <c r="H40" s="626">
        <v>8</v>
      </c>
      <c r="I40" s="436">
        <f>IF(I$3&gt;0, 2,0)</f>
        <v>0</v>
      </c>
      <c r="J40" s="629">
        <f>IF(J$3 = 1, 2, IF(J$3 = 2, 4, IF(J$3 =3, 6,  IF(J$3 =4, 8, 10))))</f>
        <v>10</v>
      </c>
      <c r="K40" s="77">
        <f xml:space="preserve"> SUM(H40:J40) + $C40</f>
        <v>18</v>
      </c>
      <c r="L40" s="626">
        <v>8</v>
      </c>
      <c r="M40" s="436">
        <f>IF(M$3&gt;0, 2,0)</f>
        <v>0</v>
      </c>
      <c r="N40" s="629">
        <f>IF(N$3 = 1, 2, IF(N$3 = 2, 4, IF(N$3 =3, 6,  IF(N$3 =4, 8, 10))))</f>
        <v>10</v>
      </c>
      <c r="O40" s="77">
        <f xml:space="preserve"> SUM(L40:N40) + $C40</f>
        <v>18</v>
      </c>
      <c r="P40" s="626">
        <v>8</v>
      </c>
      <c r="Q40" s="436">
        <f>IF(Q$3&gt;0, 2,0)</f>
        <v>0</v>
      </c>
      <c r="R40" s="629">
        <f>IF(R$3 = 1, 2, IF(R$3 = 2, 4, IF(R$3 =3, 6,  IF(R$3 =4, 8, 10))))</f>
        <v>10</v>
      </c>
      <c r="S40" s="77">
        <f xml:space="preserve"> SUM(P40:R40) + $C40</f>
        <v>18</v>
      </c>
    </row>
    <row r="41" spans="1:19" ht="16.5" thickBot="1" x14ac:dyDescent="0.3">
      <c r="A41" s="330" t="s">
        <v>13</v>
      </c>
      <c r="B41" s="329"/>
      <c r="C41" s="329"/>
      <c r="D41" s="329"/>
      <c r="E41" s="329"/>
      <c r="F41" s="329"/>
      <c r="G41" s="329"/>
      <c r="H41" s="329"/>
      <c r="I41" s="329"/>
      <c r="J41" s="329"/>
      <c r="K41" s="329"/>
      <c r="L41" s="329"/>
      <c r="M41" s="329"/>
      <c r="N41" s="329"/>
      <c r="O41" s="329"/>
      <c r="P41" s="329"/>
      <c r="Q41" s="329"/>
      <c r="R41" s="329"/>
      <c r="S41" s="328"/>
    </row>
    <row r="42" spans="1:19" x14ac:dyDescent="0.25">
      <c r="A42" s="1932" t="s">
        <v>14</v>
      </c>
      <c r="B42" s="404" t="s">
        <v>32</v>
      </c>
      <c r="C42" s="324"/>
      <c r="D42" s="625">
        <v>1</v>
      </c>
      <c r="E42" s="616">
        <v>0</v>
      </c>
      <c r="F42" s="623">
        <v>0</v>
      </c>
      <c r="G42" s="230">
        <f t="shared" si="11"/>
        <v>1</v>
      </c>
      <c r="H42" s="625">
        <v>1</v>
      </c>
      <c r="I42" s="616">
        <v>0</v>
      </c>
      <c r="J42" s="623">
        <v>0</v>
      </c>
      <c r="K42" s="230">
        <f t="shared" ref="K42:K86" si="19" xml:space="preserve"> SUM(H42:J42) + $C42</f>
        <v>1</v>
      </c>
      <c r="L42" s="625">
        <v>1</v>
      </c>
      <c r="M42" s="616">
        <v>0</v>
      </c>
      <c r="N42" s="623">
        <v>0</v>
      </c>
      <c r="O42" s="230">
        <f t="shared" ref="O42:O86" si="20" xml:space="preserve"> SUM(L42:N42) + $C42</f>
        <v>1</v>
      </c>
      <c r="P42" s="625">
        <v>1</v>
      </c>
      <c r="Q42" s="616">
        <v>0</v>
      </c>
      <c r="R42" s="623">
        <v>0</v>
      </c>
      <c r="S42" s="230">
        <f t="shared" ref="S42:S86" si="21" xml:space="preserve"> SUM(P42:R42) + $C42</f>
        <v>1</v>
      </c>
    </row>
    <row r="43" spans="1:19" x14ac:dyDescent="0.25">
      <c r="A43" s="1932"/>
      <c r="B43" s="19" t="s">
        <v>33</v>
      </c>
      <c r="C43" s="22"/>
      <c r="D43" s="625">
        <v>2</v>
      </c>
      <c r="E43" s="616">
        <v>0</v>
      </c>
      <c r="F43" s="623">
        <v>0</v>
      </c>
      <c r="G43" s="21">
        <f t="shared" si="11"/>
        <v>2</v>
      </c>
      <c r="H43" s="625">
        <v>2</v>
      </c>
      <c r="I43" s="616">
        <v>0</v>
      </c>
      <c r="J43" s="623">
        <v>0</v>
      </c>
      <c r="K43" s="21">
        <f t="shared" si="19"/>
        <v>2</v>
      </c>
      <c r="L43" s="625">
        <v>2</v>
      </c>
      <c r="M43" s="616">
        <v>0</v>
      </c>
      <c r="N43" s="623">
        <v>0</v>
      </c>
      <c r="O43" s="21">
        <f t="shared" si="20"/>
        <v>2</v>
      </c>
      <c r="P43" s="625">
        <v>2</v>
      </c>
      <c r="Q43" s="616">
        <v>0</v>
      </c>
      <c r="R43" s="623">
        <v>0</v>
      </c>
      <c r="S43" s="21">
        <f t="shared" si="21"/>
        <v>2</v>
      </c>
    </row>
    <row r="44" spans="1:19" x14ac:dyDescent="0.25">
      <c r="A44" s="1932"/>
      <c r="B44" s="19" t="s">
        <v>34</v>
      </c>
      <c r="C44" s="22"/>
      <c r="D44" s="625">
        <v>4</v>
      </c>
      <c r="E44" s="616">
        <v>0</v>
      </c>
      <c r="F44" s="623">
        <v>0</v>
      </c>
      <c r="G44" s="21">
        <f t="shared" si="11"/>
        <v>4</v>
      </c>
      <c r="H44" s="625">
        <v>4</v>
      </c>
      <c r="I44" s="616">
        <v>0</v>
      </c>
      <c r="J44" s="623">
        <v>0</v>
      </c>
      <c r="K44" s="21">
        <f t="shared" si="19"/>
        <v>4</v>
      </c>
      <c r="L44" s="625">
        <v>4</v>
      </c>
      <c r="M44" s="616">
        <v>0</v>
      </c>
      <c r="N44" s="623">
        <v>0</v>
      </c>
      <c r="O44" s="21">
        <f t="shared" si="20"/>
        <v>4</v>
      </c>
      <c r="P44" s="625">
        <v>4</v>
      </c>
      <c r="Q44" s="616">
        <v>0</v>
      </c>
      <c r="R44" s="623">
        <v>0</v>
      </c>
      <c r="S44" s="21">
        <f t="shared" si="21"/>
        <v>4</v>
      </c>
    </row>
    <row r="45" spans="1:19" x14ac:dyDescent="0.25">
      <c r="A45" s="1933" t="s">
        <v>15</v>
      </c>
      <c r="B45" s="19" t="s">
        <v>32</v>
      </c>
      <c r="C45" s="22"/>
      <c r="D45" s="625">
        <v>4</v>
      </c>
      <c r="E45" s="631">
        <f>IF(E$3&gt;0, 2,0)</f>
        <v>0</v>
      </c>
      <c r="F45" s="629">
        <f>IF(F$3 = 1, 1, IF( F$3 = 2, 2, IF(F$3 =3, 3,  IF(F$3 =4, 4, 5))))</f>
        <v>5</v>
      </c>
      <c r="G45" s="21">
        <f t="shared" si="11"/>
        <v>9</v>
      </c>
      <c r="H45" s="625">
        <v>4</v>
      </c>
      <c r="I45" s="631">
        <f>IF(I$3&gt;0, 2,0)</f>
        <v>0</v>
      </c>
      <c r="J45" s="629">
        <f>IF(J$3 = 1, 1, IF( J$3 = 2, 2, IF(J$3 =3, 3,  IF(J$3 =4, 4, 5))))</f>
        <v>5</v>
      </c>
      <c r="K45" s="21">
        <f t="shared" si="19"/>
        <v>9</v>
      </c>
      <c r="L45" s="625">
        <v>4</v>
      </c>
      <c r="M45" s="631">
        <f>IF(M$3&gt;0, 2,0)</f>
        <v>0</v>
      </c>
      <c r="N45" s="629">
        <f>IF(N$3 = 1, 1, IF( N$3 = 2, 2, IF(N$3 =3, 3,  IF(N$3 =4, 4, 5))))</f>
        <v>5</v>
      </c>
      <c r="O45" s="21">
        <f t="shared" si="20"/>
        <v>9</v>
      </c>
      <c r="P45" s="625">
        <v>4</v>
      </c>
      <c r="Q45" s="631">
        <f>IF(Q$3&gt;0, 2,0)</f>
        <v>0</v>
      </c>
      <c r="R45" s="629">
        <f>IF(R$3 = 1, 1, IF( R$3 = 2, 2, IF(R$3 =3, 3,  IF(R$3 =4, 4, 5))))</f>
        <v>5</v>
      </c>
      <c r="S45" s="21">
        <f t="shared" si="21"/>
        <v>9</v>
      </c>
    </row>
    <row r="46" spans="1:19" x14ac:dyDescent="0.25">
      <c r="A46" s="1933"/>
      <c r="B46" s="19" t="s">
        <v>33</v>
      </c>
      <c r="C46" s="22"/>
      <c r="D46" s="625">
        <v>6</v>
      </c>
      <c r="E46" s="631">
        <f>IF(E$3&gt;0, 2,0)</f>
        <v>0</v>
      </c>
      <c r="F46" s="629">
        <f>IF(F$3 = 1, 1.5, IF(F$3 = 2, 3, IF(F$3 =3, 4.5,  IF(F$3 =4, 6, 7.5))))</f>
        <v>7.5</v>
      </c>
      <c r="G46" s="21">
        <f t="shared" si="11"/>
        <v>13.5</v>
      </c>
      <c r="H46" s="625">
        <v>6</v>
      </c>
      <c r="I46" s="631">
        <f>IF(I$3&gt;0, 2,0)</f>
        <v>0</v>
      </c>
      <c r="J46" s="629">
        <f>IF(J$3 = 1, 1.5, IF(J$3 = 2, 3, IF(J$3 =3, 4.5,  IF(J$3 =4, 6, 7.5))))</f>
        <v>7.5</v>
      </c>
      <c r="K46" s="21">
        <f t="shared" si="19"/>
        <v>13.5</v>
      </c>
      <c r="L46" s="625">
        <v>6</v>
      </c>
      <c r="M46" s="631">
        <f>IF(M$3&gt;0, 2,0)</f>
        <v>0</v>
      </c>
      <c r="N46" s="629">
        <f>IF(N$3 = 1, 1.5, IF(N$3 = 2, 3, IF(N$3 =3, 4.5,  IF(N$3 =4, 6, 7.5))))</f>
        <v>7.5</v>
      </c>
      <c r="O46" s="21">
        <f t="shared" si="20"/>
        <v>13.5</v>
      </c>
      <c r="P46" s="625">
        <v>6</v>
      </c>
      <c r="Q46" s="631">
        <f>IF(Q$3&gt;0, 2,0)</f>
        <v>0</v>
      </c>
      <c r="R46" s="629">
        <f>IF(R$3 = 1, 1.5, IF(R$3 = 2, 3, IF(R$3 =3, 4.5,  IF(R$3 =4, 6, 7.5))))</f>
        <v>7.5</v>
      </c>
      <c r="S46" s="21">
        <f t="shared" si="21"/>
        <v>13.5</v>
      </c>
    </row>
    <row r="47" spans="1:19" x14ac:dyDescent="0.25">
      <c r="A47" s="1933"/>
      <c r="B47" s="19" t="s">
        <v>34</v>
      </c>
      <c r="C47" s="22"/>
      <c r="D47" s="625">
        <v>8</v>
      </c>
      <c r="E47" s="631">
        <f>IF(E$3&gt;0, 2,0)</f>
        <v>0</v>
      </c>
      <c r="F47" s="629">
        <f>IF(F$3 = 1, 2, IF(F$3 = 2, 4, IF(F$3 =3, 6,  IF(F$3 =4, 8, 10))))</f>
        <v>10</v>
      </c>
      <c r="G47" s="21">
        <f t="shared" si="11"/>
        <v>18</v>
      </c>
      <c r="H47" s="625">
        <v>8</v>
      </c>
      <c r="I47" s="631">
        <f>IF(I$3&gt;0, 2,0)</f>
        <v>0</v>
      </c>
      <c r="J47" s="629">
        <f>IF(J$3 = 1, 2, IF(J$3 = 2, 4, IF(J$3 =3, 6,  IF(J$3 =4, 8, 10))))</f>
        <v>10</v>
      </c>
      <c r="K47" s="21">
        <f t="shared" si="19"/>
        <v>18</v>
      </c>
      <c r="L47" s="625">
        <v>8</v>
      </c>
      <c r="M47" s="631">
        <f>IF(M$3&gt;0, 2,0)</f>
        <v>0</v>
      </c>
      <c r="N47" s="629">
        <f>IF(N$3 = 1, 2, IF(N$3 = 2, 4, IF(N$3 =3, 6,  IF(N$3 =4, 8, 10))))</f>
        <v>10</v>
      </c>
      <c r="O47" s="21">
        <f t="shared" si="20"/>
        <v>18</v>
      </c>
      <c r="P47" s="625">
        <v>8</v>
      </c>
      <c r="Q47" s="631">
        <f>IF(Q$3&gt;0, 2,0)</f>
        <v>0</v>
      </c>
      <c r="R47" s="629">
        <f>IF(R$3 = 1, 2, IF(R$3 = 2, 4, IF(R$3 =3, 6,  IF(R$3 =4, 8, 10))))</f>
        <v>10</v>
      </c>
      <c r="S47" s="21">
        <f t="shared" si="21"/>
        <v>18</v>
      </c>
    </row>
    <row r="48" spans="1:19" x14ac:dyDescent="0.25">
      <c r="A48" s="1933" t="s">
        <v>16</v>
      </c>
      <c r="B48" s="19" t="s">
        <v>32</v>
      </c>
      <c r="C48" s="22"/>
      <c r="D48" s="631">
        <f>2*D$3</f>
        <v>0</v>
      </c>
      <c r="E48" s="631">
        <f>0.25*E$3</f>
        <v>0</v>
      </c>
      <c r="F48" s="616">
        <v>0</v>
      </c>
      <c r="G48" s="21">
        <f t="shared" si="11"/>
        <v>0</v>
      </c>
      <c r="H48" s="631">
        <f>2*H$3</f>
        <v>0</v>
      </c>
      <c r="I48" s="631">
        <f>0.25*I$3</f>
        <v>0</v>
      </c>
      <c r="J48" s="616">
        <v>0</v>
      </c>
      <c r="K48" s="21">
        <f t="shared" si="19"/>
        <v>0</v>
      </c>
      <c r="L48" s="631">
        <f>2*L$3</f>
        <v>0</v>
      </c>
      <c r="M48" s="631">
        <f>0.25*M$3</f>
        <v>0</v>
      </c>
      <c r="N48" s="616">
        <v>0</v>
      </c>
      <c r="O48" s="21">
        <f t="shared" si="20"/>
        <v>0</v>
      </c>
      <c r="P48" s="631">
        <f>2*P$3</f>
        <v>0</v>
      </c>
      <c r="Q48" s="631">
        <f>0.25*Q$3</f>
        <v>0</v>
      </c>
      <c r="R48" s="616">
        <v>0</v>
      </c>
      <c r="S48" s="21">
        <f t="shared" si="21"/>
        <v>0</v>
      </c>
    </row>
    <row r="49" spans="1:19" x14ac:dyDescent="0.25">
      <c r="A49" s="1933"/>
      <c r="B49" s="19" t="s">
        <v>33</v>
      </c>
      <c r="C49" s="22"/>
      <c r="D49" s="631">
        <f>3*D$3</f>
        <v>0</v>
      </c>
      <c r="E49" s="631">
        <f>0.5*E$3</f>
        <v>0</v>
      </c>
      <c r="F49" s="616">
        <v>0</v>
      </c>
      <c r="G49" s="21">
        <f t="shared" si="11"/>
        <v>0</v>
      </c>
      <c r="H49" s="631">
        <f>3*H$3</f>
        <v>0</v>
      </c>
      <c r="I49" s="631">
        <f>0.5*I$3</f>
        <v>0</v>
      </c>
      <c r="J49" s="616">
        <v>0</v>
      </c>
      <c r="K49" s="21">
        <f t="shared" si="19"/>
        <v>0</v>
      </c>
      <c r="L49" s="631">
        <f>3*L$3</f>
        <v>0</v>
      </c>
      <c r="M49" s="631">
        <f>0.5*M$3</f>
        <v>0</v>
      </c>
      <c r="N49" s="616">
        <v>0</v>
      </c>
      <c r="O49" s="21">
        <f t="shared" si="20"/>
        <v>0</v>
      </c>
      <c r="P49" s="631">
        <f>3*P$3</f>
        <v>0</v>
      </c>
      <c r="Q49" s="631">
        <f>0.5*Q$3</f>
        <v>0</v>
      </c>
      <c r="R49" s="616">
        <v>0</v>
      </c>
      <c r="S49" s="21">
        <f t="shared" si="21"/>
        <v>0</v>
      </c>
    </row>
    <row r="50" spans="1:19" x14ac:dyDescent="0.25">
      <c r="A50" s="1933"/>
      <c r="B50" s="19" t="s">
        <v>34</v>
      </c>
      <c r="C50" s="22"/>
      <c r="D50" s="631">
        <f>4*D$3</f>
        <v>0</v>
      </c>
      <c r="E50" s="631">
        <f>0.75*E$3</f>
        <v>0</v>
      </c>
      <c r="F50" s="616">
        <v>0</v>
      </c>
      <c r="G50" s="21">
        <f t="shared" si="11"/>
        <v>0</v>
      </c>
      <c r="H50" s="631">
        <f>4*H$3</f>
        <v>0</v>
      </c>
      <c r="I50" s="631">
        <f>0.75*I$3</f>
        <v>0</v>
      </c>
      <c r="J50" s="616">
        <v>0</v>
      </c>
      <c r="K50" s="21">
        <f t="shared" si="19"/>
        <v>0</v>
      </c>
      <c r="L50" s="631">
        <f>4*L$3</f>
        <v>0</v>
      </c>
      <c r="M50" s="631">
        <f>0.75*M$3</f>
        <v>0</v>
      </c>
      <c r="N50" s="616">
        <v>0</v>
      </c>
      <c r="O50" s="21">
        <f t="shared" si="20"/>
        <v>0</v>
      </c>
      <c r="P50" s="631">
        <f>4*P$3</f>
        <v>0</v>
      </c>
      <c r="Q50" s="631">
        <f>0.75*Q$3</f>
        <v>0</v>
      </c>
      <c r="R50" s="616">
        <v>0</v>
      </c>
      <c r="S50" s="21">
        <f t="shared" si="21"/>
        <v>0</v>
      </c>
    </row>
    <row r="51" spans="1:19" x14ac:dyDescent="0.25">
      <c r="A51" s="1933" t="s">
        <v>17</v>
      </c>
      <c r="B51" s="19" t="s">
        <v>32</v>
      </c>
      <c r="C51" s="22"/>
      <c r="D51" s="631">
        <f>2.5*D$3</f>
        <v>0</v>
      </c>
      <c r="E51" s="631">
        <f>0.5*E$3</f>
        <v>0</v>
      </c>
      <c r="F51" s="616">
        <v>0</v>
      </c>
      <c r="G51" s="21">
        <f t="shared" si="11"/>
        <v>0</v>
      </c>
      <c r="H51" s="631">
        <f>2.5*H$3</f>
        <v>0</v>
      </c>
      <c r="I51" s="631">
        <f>0.5*I$3</f>
        <v>0</v>
      </c>
      <c r="J51" s="616">
        <v>0</v>
      </c>
      <c r="K51" s="21">
        <f t="shared" si="19"/>
        <v>0</v>
      </c>
      <c r="L51" s="631">
        <f>2.5*L$3</f>
        <v>0</v>
      </c>
      <c r="M51" s="631">
        <f>0.5*M$3</f>
        <v>0</v>
      </c>
      <c r="N51" s="616">
        <v>0</v>
      </c>
      <c r="O51" s="21">
        <f t="shared" si="20"/>
        <v>0</v>
      </c>
      <c r="P51" s="631">
        <f>2.5*P$3</f>
        <v>0</v>
      </c>
      <c r="Q51" s="631">
        <f>0.5*Q$3</f>
        <v>0</v>
      </c>
      <c r="R51" s="616">
        <v>0</v>
      </c>
      <c r="S51" s="21">
        <f t="shared" si="21"/>
        <v>0</v>
      </c>
    </row>
    <row r="52" spans="1:19" x14ac:dyDescent="0.25">
      <c r="A52" s="1933"/>
      <c r="B52" s="19" t="s">
        <v>33</v>
      </c>
      <c r="C52" s="22"/>
      <c r="D52" s="631">
        <f>4.5*D$3</f>
        <v>0</v>
      </c>
      <c r="E52" s="631">
        <f>0.5*E$3</f>
        <v>0</v>
      </c>
      <c r="F52" s="616">
        <v>0</v>
      </c>
      <c r="G52" s="21">
        <f t="shared" si="11"/>
        <v>0</v>
      </c>
      <c r="H52" s="631">
        <f>4.5*H$3</f>
        <v>0</v>
      </c>
      <c r="I52" s="631">
        <f>0.5*I$3</f>
        <v>0</v>
      </c>
      <c r="J52" s="616">
        <v>0</v>
      </c>
      <c r="K52" s="21">
        <f t="shared" si="19"/>
        <v>0</v>
      </c>
      <c r="L52" s="631">
        <f>4.5*L$3</f>
        <v>0</v>
      </c>
      <c r="M52" s="631">
        <f>0.5*M$3</f>
        <v>0</v>
      </c>
      <c r="N52" s="616">
        <v>0</v>
      </c>
      <c r="O52" s="21">
        <f t="shared" si="20"/>
        <v>0</v>
      </c>
      <c r="P52" s="631">
        <f>4.5*P$3</f>
        <v>0</v>
      </c>
      <c r="Q52" s="631">
        <f>0.5*Q$3</f>
        <v>0</v>
      </c>
      <c r="R52" s="616">
        <v>0</v>
      </c>
      <c r="S52" s="21">
        <f t="shared" si="21"/>
        <v>0</v>
      </c>
    </row>
    <row r="53" spans="1:19" x14ac:dyDescent="0.25">
      <c r="A53" s="1933"/>
      <c r="B53" s="19" t="s">
        <v>34</v>
      </c>
      <c r="C53" s="22"/>
      <c r="D53" s="631">
        <f>7.5*D$3</f>
        <v>0</v>
      </c>
      <c r="E53" s="631">
        <f>0.5*E$3</f>
        <v>0</v>
      </c>
      <c r="F53" s="616">
        <v>0</v>
      </c>
      <c r="G53" s="21">
        <f t="shared" si="11"/>
        <v>0</v>
      </c>
      <c r="H53" s="631">
        <f>7.5*H$3</f>
        <v>0</v>
      </c>
      <c r="I53" s="631">
        <f>0.5*I$3</f>
        <v>0</v>
      </c>
      <c r="J53" s="616">
        <v>0</v>
      </c>
      <c r="K53" s="21">
        <f t="shared" si="19"/>
        <v>0</v>
      </c>
      <c r="L53" s="631">
        <f>7.5*L$3</f>
        <v>0</v>
      </c>
      <c r="M53" s="631">
        <f>0.5*M$3</f>
        <v>0</v>
      </c>
      <c r="N53" s="616">
        <v>0</v>
      </c>
      <c r="O53" s="21">
        <f t="shared" si="20"/>
        <v>0</v>
      </c>
      <c r="P53" s="631">
        <f>7.5*P$3</f>
        <v>0</v>
      </c>
      <c r="Q53" s="631">
        <f>0.5*Q$3</f>
        <v>0</v>
      </c>
      <c r="R53" s="616">
        <v>0</v>
      </c>
      <c r="S53" s="21">
        <f t="shared" si="21"/>
        <v>0</v>
      </c>
    </row>
    <row r="54" spans="1:19" x14ac:dyDescent="0.25">
      <c r="A54" s="1933" t="s">
        <v>18</v>
      </c>
      <c r="B54" s="19" t="s">
        <v>32</v>
      </c>
      <c r="C54" s="22"/>
      <c r="D54" s="631">
        <f>1*D$3</f>
        <v>0</v>
      </c>
      <c r="E54" s="631">
        <f>1*E$3</f>
        <v>0</v>
      </c>
      <c r="F54" s="616">
        <v>0</v>
      </c>
      <c r="G54" s="21">
        <f t="shared" si="11"/>
        <v>0</v>
      </c>
      <c r="H54" s="631">
        <f>1*H$3</f>
        <v>0</v>
      </c>
      <c r="I54" s="631">
        <f>1*I$3</f>
        <v>0</v>
      </c>
      <c r="J54" s="616">
        <v>0</v>
      </c>
      <c r="K54" s="21">
        <f t="shared" si="19"/>
        <v>0</v>
      </c>
      <c r="L54" s="631">
        <f>1*L$3</f>
        <v>0</v>
      </c>
      <c r="M54" s="631">
        <f>1*M$3</f>
        <v>0</v>
      </c>
      <c r="N54" s="616">
        <v>0</v>
      </c>
      <c r="O54" s="21">
        <f t="shared" si="20"/>
        <v>0</v>
      </c>
      <c r="P54" s="631">
        <f>1*P$3</f>
        <v>0</v>
      </c>
      <c r="Q54" s="631">
        <f>1*Q$3</f>
        <v>0</v>
      </c>
      <c r="R54" s="616">
        <v>0</v>
      </c>
      <c r="S54" s="21">
        <f t="shared" si="21"/>
        <v>0</v>
      </c>
    </row>
    <row r="55" spans="1:19" x14ac:dyDescent="0.25">
      <c r="A55" s="1933"/>
      <c r="B55" s="19" t="s">
        <v>33</v>
      </c>
      <c r="C55" s="22"/>
      <c r="D55" s="631">
        <f>1.5*D$3</f>
        <v>0</v>
      </c>
      <c r="E55" s="631">
        <f>1.5*E$3</f>
        <v>0</v>
      </c>
      <c r="F55" s="616">
        <v>0</v>
      </c>
      <c r="G55" s="21">
        <f t="shared" si="11"/>
        <v>0</v>
      </c>
      <c r="H55" s="631">
        <f>1.5*H$3</f>
        <v>0</v>
      </c>
      <c r="I55" s="631">
        <f>1.5*I$3</f>
        <v>0</v>
      </c>
      <c r="J55" s="616">
        <v>0</v>
      </c>
      <c r="K55" s="21">
        <f t="shared" si="19"/>
        <v>0</v>
      </c>
      <c r="L55" s="631">
        <f>1.5*L$3</f>
        <v>0</v>
      </c>
      <c r="M55" s="631">
        <f>1.5*M$3</f>
        <v>0</v>
      </c>
      <c r="N55" s="616">
        <v>0</v>
      </c>
      <c r="O55" s="21">
        <f t="shared" si="20"/>
        <v>0</v>
      </c>
      <c r="P55" s="631">
        <f>1.5*P$3</f>
        <v>0</v>
      </c>
      <c r="Q55" s="631">
        <f>1.5*Q$3</f>
        <v>0</v>
      </c>
      <c r="R55" s="616">
        <v>0</v>
      </c>
      <c r="S55" s="21">
        <f t="shared" si="21"/>
        <v>0</v>
      </c>
    </row>
    <row r="56" spans="1:19" x14ac:dyDescent="0.25">
      <c r="A56" s="1933"/>
      <c r="B56" s="19" t="s">
        <v>34</v>
      </c>
      <c r="C56" s="22"/>
      <c r="D56" s="631">
        <f>2*D$3</f>
        <v>0</v>
      </c>
      <c r="E56" s="631">
        <f>2*E$3</f>
        <v>0</v>
      </c>
      <c r="F56" s="616">
        <v>0</v>
      </c>
      <c r="G56" s="21">
        <f t="shared" si="11"/>
        <v>0</v>
      </c>
      <c r="H56" s="631">
        <f>2*H$3</f>
        <v>0</v>
      </c>
      <c r="I56" s="631">
        <f>2*I$3</f>
        <v>0</v>
      </c>
      <c r="J56" s="616">
        <v>0</v>
      </c>
      <c r="K56" s="21">
        <f t="shared" si="19"/>
        <v>0</v>
      </c>
      <c r="L56" s="631">
        <f>2*L$3</f>
        <v>0</v>
      </c>
      <c r="M56" s="631">
        <f>2*M$3</f>
        <v>0</v>
      </c>
      <c r="N56" s="616">
        <v>0</v>
      </c>
      <c r="O56" s="21">
        <f t="shared" si="20"/>
        <v>0</v>
      </c>
      <c r="P56" s="631">
        <f>2*P$3</f>
        <v>0</v>
      </c>
      <c r="Q56" s="631">
        <f>2*Q$3</f>
        <v>0</v>
      </c>
      <c r="R56" s="616">
        <v>0</v>
      </c>
      <c r="S56" s="21">
        <f t="shared" si="21"/>
        <v>0</v>
      </c>
    </row>
    <row r="57" spans="1:19" x14ac:dyDescent="0.25">
      <c r="A57" s="1933" t="s">
        <v>19</v>
      </c>
      <c r="B57" s="19" t="s">
        <v>32</v>
      </c>
      <c r="C57" s="22"/>
      <c r="D57" s="625">
        <v>3</v>
      </c>
      <c r="E57" s="616">
        <v>1</v>
      </c>
      <c r="F57" s="616">
        <v>0</v>
      </c>
      <c r="G57" s="21">
        <f t="shared" si="11"/>
        <v>4</v>
      </c>
      <c r="H57" s="625">
        <v>3</v>
      </c>
      <c r="I57" s="616">
        <v>1</v>
      </c>
      <c r="J57" s="616">
        <v>0</v>
      </c>
      <c r="K57" s="21">
        <f t="shared" si="19"/>
        <v>4</v>
      </c>
      <c r="L57" s="625">
        <v>3</v>
      </c>
      <c r="M57" s="616">
        <v>1</v>
      </c>
      <c r="N57" s="616">
        <v>0</v>
      </c>
      <c r="O57" s="21">
        <f t="shared" si="20"/>
        <v>4</v>
      </c>
      <c r="P57" s="625">
        <v>3</v>
      </c>
      <c r="Q57" s="616">
        <v>1</v>
      </c>
      <c r="R57" s="616">
        <v>0</v>
      </c>
      <c r="S57" s="21">
        <f t="shared" si="21"/>
        <v>4</v>
      </c>
    </row>
    <row r="58" spans="1:19" x14ac:dyDescent="0.25">
      <c r="A58" s="1933"/>
      <c r="B58" s="19" t="s">
        <v>33</v>
      </c>
      <c r="C58" s="22"/>
      <c r="D58" s="625">
        <v>4</v>
      </c>
      <c r="E58" s="616">
        <v>1.5</v>
      </c>
      <c r="F58" s="616">
        <v>0</v>
      </c>
      <c r="G58" s="21">
        <f t="shared" si="11"/>
        <v>5.5</v>
      </c>
      <c r="H58" s="625">
        <v>4</v>
      </c>
      <c r="I58" s="616">
        <v>1.5</v>
      </c>
      <c r="J58" s="616">
        <v>0</v>
      </c>
      <c r="K58" s="21">
        <f t="shared" si="19"/>
        <v>5.5</v>
      </c>
      <c r="L58" s="625">
        <v>4</v>
      </c>
      <c r="M58" s="616">
        <v>1.5</v>
      </c>
      <c r="N58" s="616">
        <v>0</v>
      </c>
      <c r="O58" s="21">
        <f t="shared" si="20"/>
        <v>5.5</v>
      </c>
      <c r="P58" s="625">
        <v>4</v>
      </c>
      <c r="Q58" s="616">
        <v>1.5</v>
      </c>
      <c r="R58" s="616">
        <v>0</v>
      </c>
      <c r="S58" s="21">
        <f t="shared" si="21"/>
        <v>5.5</v>
      </c>
    </row>
    <row r="59" spans="1:19" x14ac:dyDescent="0.25">
      <c r="A59" s="1933"/>
      <c r="B59" s="19" t="s">
        <v>34</v>
      </c>
      <c r="C59" s="22"/>
      <c r="D59" s="625">
        <v>5</v>
      </c>
      <c r="E59" s="616">
        <v>2</v>
      </c>
      <c r="F59" s="616">
        <v>0</v>
      </c>
      <c r="G59" s="21">
        <f t="shared" si="11"/>
        <v>7</v>
      </c>
      <c r="H59" s="625">
        <v>5</v>
      </c>
      <c r="I59" s="616">
        <v>2</v>
      </c>
      <c r="J59" s="616">
        <v>0</v>
      </c>
      <c r="K59" s="21">
        <f t="shared" si="19"/>
        <v>7</v>
      </c>
      <c r="L59" s="625">
        <v>5</v>
      </c>
      <c r="M59" s="616">
        <v>2</v>
      </c>
      <c r="N59" s="616">
        <v>0</v>
      </c>
      <c r="O59" s="21">
        <f t="shared" si="20"/>
        <v>7</v>
      </c>
      <c r="P59" s="625">
        <v>5</v>
      </c>
      <c r="Q59" s="616">
        <v>2</v>
      </c>
      <c r="R59" s="616">
        <v>0</v>
      </c>
      <c r="S59" s="21">
        <f t="shared" si="21"/>
        <v>7</v>
      </c>
    </row>
    <row r="60" spans="1:19" x14ac:dyDescent="0.25">
      <c r="A60" s="1933" t="s">
        <v>20</v>
      </c>
      <c r="B60" s="19" t="s">
        <v>32</v>
      </c>
      <c r="C60" s="22"/>
      <c r="D60" s="625">
        <v>6</v>
      </c>
      <c r="E60" s="631">
        <f>IF(E$3&gt;0, 1,0)</f>
        <v>0</v>
      </c>
      <c r="F60" s="629">
        <f>IF(F$3 = 1, 1, IF(F$3 = 2, 2, IF(F$3 =3, 3,  IF(F$3 =4, 4, 5))))</f>
        <v>5</v>
      </c>
      <c r="G60" s="21">
        <f t="shared" si="11"/>
        <v>11</v>
      </c>
      <c r="H60" s="625">
        <v>6</v>
      </c>
      <c r="I60" s="631">
        <f>IF(I$3&gt;0, 1,0)</f>
        <v>0</v>
      </c>
      <c r="J60" s="629">
        <f>IF(J$3 = 1, 1, IF(J$3 = 2, 2, IF(J$3 =3, 3,  IF(J$3 =4, 4, 5))))</f>
        <v>5</v>
      </c>
      <c r="K60" s="21">
        <f t="shared" si="19"/>
        <v>11</v>
      </c>
      <c r="L60" s="625">
        <v>6</v>
      </c>
      <c r="M60" s="631">
        <f>IF(M$3&gt;0, 1,0)</f>
        <v>0</v>
      </c>
      <c r="N60" s="629">
        <f>IF(N$3 = 1, 1, IF(N$3 = 2, 2, IF(N$3 =3, 3,  IF(N$3 =4, 4, 5))))</f>
        <v>5</v>
      </c>
      <c r="O60" s="21">
        <f t="shared" si="20"/>
        <v>11</v>
      </c>
      <c r="P60" s="625">
        <v>6</v>
      </c>
      <c r="Q60" s="631">
        <f>IF(Q$3&gt;0, 1,0)</f>
        <v>0</v>
      </c>
      <c r="R60" s="629">
        <f>IF(R$3 = 1, 1, IF(R$3 = 2, 2, IF(R$3 =3, 3,  IF(R$3 =4, 4, 5))))</f>
        <v>5</v>
      </c>
      <c r="S60" s="21">
        <f t="shared" si="21"/>
        <v>11</v>
      </c>
    </row>
    <row r="61" spans="1:19" x14ac:dyDescent="0.25">
      <c r="A61" s="1933"/>
      <c r="B61" s="19" t="s">
        <v>33</v>
      </c>
      <c r="C61" s="22"/>
      <c r="D61" s="625">
        <v>8</v>
      </c>
      <c r="E61" s="631">
        <f>IF(E$3&gt;0, 2,0)</f>
        <v>0</v>
      </c>
      <c r="F61" s="629">
        <f>IF(F$3 = 1, 1.5, IF(F$3 = 2, 3, IF(F$3 =3, 4.5,  IF(F$3 =4, 6, 7.5))))</f>
        <v>7.5</v>
      </c>
      <c r="G61" s="21">
        <f t="shared" si="11"/>
        <v>15.5</v>
      </c>
      <c r="H61" s="625">
        <v>8</v>
      </c>
      <c r="I61" s="631">
        <f>IF(I$3&gt;0, 2,0)</f>
        <v>0</v>
      </c>
      <c r="J61" s="629">
        <f>IF(J$3 = 1, 1.5, IF(J$3 = 2, 3, IF(J$3 =3, 4.5,  IF(J$3 =4, 6, 7.5))))</f>
        <v>7.5</v>
      </c>
      <c r="K61" s="21">
        <f t="shared" si="19"/>
        <v>15.5</v>
      </c>
      <c r="L61" s="625">
        <v>8</v>
      </c>
      <c r="M61" s="631">
        <f>IF(M$3&gt;0, 2,0)</f>
        <v>0</v>
      </c>
      <c r="N61" s="629">
        <f>IF(N$3 = 1, 1.5, IF(N$3 = 2, 3, IF(N$3 =3, 4.5,  IF(N$3 =4, 6, 7.5))))</f>
        <v>7.5</v>
      </c>
      <c r="O61" s="21">
        <f t="shared" si="20"/>
        <v>15.5</v>
      </c>
      <c r="P61" s="625">
        <v>8</v>
      </c>
      <c r="Q61" s="631">
        <f>IF(Q$3&gt;0, 2,0)</f>
        <v>0</v>
      </c>
      <c r="R61" s="629">
        <f>IF(R$3 = 1, 1.5, IF(R$3 = 2, 3, IF(R$3 =3, 4.5,  IF(R$3 =4, 6, 7.5))))</f>
        <v>7.5</v>
      </c>
      <c r="S61" s="21">
        <f t="shared" si="21"/>
        <v>15.5</v>
      </c>
    </row>
    <row r="62" spans="1:19" x14ac:dyDescent="0.25">
      <c r="A62" s="1933"/>
      <c r="B62" s="19" t="s">
        <v>34</v>
      </c>
      <c r="C62" s="22"/>
      <c r="D62" s="625">
        <v>10</v>
      </c>
      <c r="E62" s="631">
        <f>IF(E$3&gt;0, 3,0)</f>
        <v>0</v>
      </c>
      <c r="F62" s="629">
        <f>IF(F$3 = 1, 2, IF(F$3 = 2, 4, IF(F$3 =3, 6,  IF(F$3 =4, 8, 10))))</f>
        <v>10</v>
      </c>
      <c r="G62" s="21">
        <f t="shared" si="11"/>
        <v>20</v>
      </c>
      <c r="H62" s="625">
        <v>10</v>
      </c>
      <c r="I62" s="631">
        <f>IF(I$3&gt;0, 3,0)</f>
        <v>0</v>
      </c>
      <c r="J62" s="629">
        <f>IF(J$3 = 1, 2, IF(J$3 = 2, 4, IF(J$3 =3, 6,  IF(J$3 =4, 8, 10))))</f>
        <v>10</v>
      </c>
      <c r="K62" s="21">
        <f t="shared" si="19"/>
        <v>20</v>
      </c>
      <c r="L62" s="625">
        <v>10</v>
      </c>
      <c r="M62" s="631">
        <f>IF(M$3&gt;0, 3,0)</f>
        <v>0</v>
      </c>
      <c r="N62" s="629">
        <f>IF(N$3 = 1, 2, IF(N$3 = 2, 4, IF(N$3 =3, 6,  IF(N$3 =4, 8, 10))))</f>
        <v>10</v>
      </c>
      <c r="O62" s="21">
        <f t="shared" si="20"/>
        <v>20</v>
      </c>
      <c r="P62" s="625">
        <v>10</v>
      </c>
      <c r="Q62" s="631">
        <f>IF(Q$3&gt;0, 3,0)</f>
        <v>0</v>
      </c>
      <c r="R62" s="629">
        <f>IF(R$3 = 1, 2, IF(R$3 = 2, 4, IF(R$3 =3, 6,  IF(R$3 =4, 8, 10))))</f>
        <v>10</v>
      </c>
      <c r="S62" s="21">
        <f t="shared" si="21"/>
        <v>20</v>
      </c>
    </row>
    <row r="63" spans="1:19" x14ac:dyDescent="0.25">
      <c r="A63" s="1933" t="s">
        <v>451</v>
      </c>
      <c r="B63" s="19" t="s">
        <v>32</v>
      </c>
      <c r="C63" s="22"/>
      <c r="D63" s="631">
        <f>1*D$3</f>
        <v>0</v>
      </c>
      <c r="E63" s="631">
        <f t="shared" ref="E63:E74" si="22">IF(E$3&gt;0, 0.5,0)</f>
        <v>0</v>
      </c>
      <c r="F63" s="616">
        <v>0</v>
      </c>
      <c r="G63" s="21">
        <f t="shared" si="11"/>
        <v>0</v>
      </c>
      <c r="H63" s="631">
        <f>1*H$3</f>
        <v>0</v>
      </c>
      <c r="I63" s="631">
        <f t="shared" ref="I63:I74" si="23">IF(I$3&gt;0, 0.5,0)</f>
        <v>0</v>
      </c>
      <c r="J63" s="616">
        <v>0</v>
      </c>
      <c r="K63" s="21">
        <f t="shared" si="19"/>
        <v>0</v>
      </c>
      <c r="L63" s="631">
        <f>1*L$3</f>
        <v>0</v>
      </c>
      <c r="M63" s="631">
        <f t="shared" ref="M63:M74" si="24">IF(M$3&gt;0, 0.5,0)</f>
        <v>0</v>
      </c>
      <c r="N63" s="616">
        <v>0</v>
      </c>
      <c r="O63" s="21">
        <f t="shared" si="20"/>
        <v>0</v>
      </c>
      <c r="P63" s="631">
        <f>1*P$3</f>
        <v>0</v>
      </c>
      <c r="Q63" s="631">
        <f t="shared" ref="Q63:Q74" si="25">IF(Q$3&gt;0, 0.5,0)</f>
        <v>0</v>
      </c>
      <c r="R63" s="616">
        <v>0</v>
      </c>
      <c r="S63" s="21">
        <f t="shared" si="21"/>
        <v>0</v>
      </c>
    </row>
    <row r="64" spans="1:19" x14ac:dyDescent="0.25">
      <c r="A64" s="1933"/>
      <c r="B64" s="19" t="s">
        <v>33</v>
      </c>
      <c r="C64" s="22"/>
      <c r="D64" s="631">
        <f>1.5*D$3</f>
        <v>0</v>
      </c>
      <c r="E64" s="631">
        <f t="shared" si="22"/>
        <v>0</v>
      </c>
      <c r="F64" s="616">
        <v>0</v>
      </c>
      <c r="G64" s="21">
        <f t="shared" si="11"/>
        <v>0</v>
      </c>
      <c r="H64" s="631">
        <f>1.5*H$3</f>
        <v>0</v>
      </c>
      <c r="I64" s="631">
        <f t="shared" si="23"/>
        <v>0</v>
      </c>
      <c r="J64" s="616">
        <v>0</v>
      </c>
      <c r="K64" s="21">
        <f t="shared" si="19"/>
        <v>0</v>
      </c>
      <c r="L64" s="631">
        <f>1.5*L$3</f>
        <v>0</v>
      </c>
      <c r="M64" s="631">
        <f t="shared" si="24"/>
        <v>0</v>
      </c>
      <c r="N64" s="616">
        <v>0</v>
      </c>
      <c r="O64" s="21">
        <f t="shared" si="20"/>
        <v>0</v>
      </c>
      <c r="P64" s="631">
        <f>1.5*P$3</f>
        <v>0</v>
      </c>
      <c r="Q64" s="631">
        <f t="shared" si="25"/>
        <v>0</v>
      </c>
      <c r="R64" s="616">
        <v>0</v>
      </c>
      <c r="S64" s="21">
        <f t="shared" si="21"/>
        <v>0</v>
      </c>
    </row>
    <row r="65" spans="1:19" x14ac:dyDescent="0.25">
      <c r="A65" s="1933"/>
      <c r="B65" s="19" t="s">
        <v>34</v>
      </c>
      <c r="C65" s="22"/>
      <c r="D65" s="631">
        <f>2*D$3</f>
        <v>0</v>
      </c>
      <c r="E65" s="631">
        <f t="shared" si="22"/>
        <v>0</v>
      </c>
      <c r="F65" s="616">
        <v>0</v>
      </c>
      <c r="G65" s="21">
        <f t="shared" si="11"/>
        <v>0</v>
      </c>
      <c r="H65" s="631">
        <f>2*H$3</f>
        <v>0</v>
      </c>
      <c r="I65" s="631">
        <f t="shared" si="23"/>
        <v>0</v>
      </c>
      <c r="J65" s="616">
        <v>0</v>
      </c>
      <c r="K65" s="21">
        <f t="shared" si="19"/>
        <v>0</v>
      </c>
      <c r="L65" s="631">
        <f>2*L$3</f>
        <v>0</v>
      </c>
      <c r="M65" s="631">
        <f t="shared" si="24"/>
        <v>0</v>
      </c>
      <c r="N65" s="616">
        <v>0</v>
      </c>
      <c r="O65" s="21">
        <f t="shared" si="20"/>
        <v>0</v>
      </c>
      <c r="P65" s="631">
        <f>2*P$3</f>
        <v>0</v>
      </c>
      <c r="Q65" s="631">
        <f t="shared" si="25"/>
        <v>0</v>
      </c>
      <c r="R65" s="616">
        <v>0</v>
      </c>
      <c r="S65" s="21">
        <f t="shared" si="21"/>
        <v>0</v>
      </c>
    </row>
    <row r="66" spans="1:19" x14ac:dyDescent="0.25">
      <c r="A66" s="1933" t="s">
        <v>452</v>
      </c>
      <c r="B66" s="19" t="s">
        <v>32</v>
      </c>
      <c r="C66" s="22"/>
      <c r="D66" s="631">
        <f>0.5+(0.25*D$3)</f>
        <v>0.5</v>
      </c>
      <c r="E66" s="631">
        <f t="shared" si="22"/>
        <v>0</v>
      </c>
      <c r="F66" s="616">
        <v>0</v>
      </c>
      <c r="G66" s="21">
        <f t="shared" si="11"/>
        <v>0.5</v>
      </c>
      <c r="H66" s="631">
        <f>0.5+(0.25*H$3)</f>
        <v>0.5</v>
      </c>
      <c r="I66" s="631">
        <f t="shared" si="23"/>
        <v>0</v>
      </c>
      <c r="J66" s="616">
        <v>0</v>
      </c>
      <c r="K66" s="21">
        <f t="shared" si="19"/>
        <v>0.5</v>
      </c>
      <c r="L66" s="631">
        <f>0.5+(0.25*L$3)</f>
        <v>0.5</v>
      </c>
      <c r="M66" s="631">
        <f t="shared" si="24"/>
        <v>0</v>
      </c>
      <c r="N66" s="616">
        <v>0</v>
      </c>
      <c r="O66" s="21">
        <f t="shared" si="20"/>
        <v>0.5</v>
      </c>
      <c r="P66" s="631">
        <f>0.5+(0.25*P$3)</f>
        <v>0.5</v>
      </c>
      <c r="Q66" s="631">
        <f t="shared" si="25"/>
        <v>0</v>
      </c>
      <c r="R66" s="616">
        <v>0</v>
      </c>
      <c r="S66" s="21">
        <f t="shared" si="21"/>
        <v>0.5</v>
      </c>
    </row>
    <row r="67" spans="1:19" x14ac:dyDescent="0.25">
      <c r="A67" s="1933"/>
      <c r="B67" s="19" t="s">
        <v>33</v>
      </c>
      <c r="C67" s="22"/>
      <c r="D67" s="631">
        <f>1+(0.25*D$3)</f>
        <v>1</v>
      </c>
      <c r="E67" s="631">
        <f t="shared" si="22"/>
        <v>0</v>
      </c>
      <c r="F67" s="616">
        <v>0</v>
      </c>
      <c r="G67" s="21">
        <f t="shared" si="11"/>
        <v>1</v>
      </c>
      <c r="H67" s="631">
        <f>1+(0.25*H$3)</f>
        <v>1</v>
      </c>
      <c r="I67" s="631">
        <f t="shared" si="23"/>
        <v>0</v>
      </c>
      <c r="J67" s="616">
        <v>0</v>
      </c>
      <c r="K67" s="21">
        <f t="shared" si="19"/>
        <v>1</v>
      </c>
      <c r="L67" s="631">
        <f>1+(0.25*L$3)</f>
        <v>1</v>
      </c>
      <c r="M67" s="631">
        <f t="shared" si="24"/>
        <v>0</v>
      </c>
      <c r="N67" s="616">
        <v>0</v>
      </c>
      <c r="O67" s="21">
        <f t="shared" si="20"/>
        <v>1</v>
      </c>
      <c r="P67" s="631">
        <f>1+(0.25*P$3)</f>
        <v>1</v>
      </c>
      <c r="Q67" s="631">
        <f t="shared" si="25"/>
        <v>0</v>
      </c>
      <c r="R67" s="616">
        <v>0</v>
      </c>
      <c r="S67" s="21">
        <f t="shared" si="21"/>
        <v>1</v>
      </c>
    </row>
    <row r="68" spans="1:19" x14ac:dyDescent="0.25">
      <c r="A68" s="1933"/>
      <c r="B68" s="19" t="s">
        <v>34</v>
      </c>
      <c r="C68" s="22"/>
      <c r="D68" s="631">
        <f>1.5+(0.25*D$3)</f>
        <v>1.5</v>
      </c>
      <c r="E68" s="631">
        <f t="shared" si="22"/>
        <v>0</v>
      </c>
      <c r="F68" s="616">
        <v>0</v>
      </c>
      <c r="G68" s="21">
        <f t="shared" si="11"/>
        <v>1.5</v>
      </c>
      <c r="H68" s="631">
        <f>1.5+(0.25*H$3)</f>
        <v>1.5</v>
      </c>
      <c r="I68" s="631">
        <f t="shared" si="23"/>
        <v>0</v>
      </c>
      <c r="J68" s="616">
        <v>0</v>
      </c>
      <c r="K68" s="21">
        <f t="shared" si="19"/>
        <v>1.5</v>
      </c>
      <c r="L68" s="631">
        <f>1.5+(0.25*L$3)</f>
        <v>1.5</v>
      </c>
      <c r="M68" s="631">
        <f t="shared" si="24"/>
        <v>0</v>
      </c>
      <c r="N68" s="616">
        <v>0</v>
      </c>
      <c r="O68" s="21">
        <f t="shared" si="20"/>
        <v>1.5</v>
      </c>
      <c r="P68" s="631">
        <f>1.5+(0.25*P$3)</f>
        <v>1.5</v>
      </c>
      <c r="Q68" s="631">
        <f t="shared" si="25"/>
        <v>0</v>
      </c>
      <c r="R68" s="616">
        <v>0</v>
      </c>
      <c r="S68" s="21">
        <f t="shared" si="21"/>
        <v>1.5</v>
      </c>
    </row>
    <row r="69" spans="1:19" x14ac:dyDescent="0.25">
      <c r="A69" s="1936" t="s">
        <v>533</v>
      </c>
      <c r="B69" s="19" t="s">
        <v>32</v>
      </c>
      <c r="C69" s="22"/>
      <c r="D69" s="631">
        <f>4+(0.5*D$3)</f>
        <v>4</v>
      </c>
      <c r="E69" s="631">
        <f t="shared" si="22"/>
        <v>0</v>
      </c>
      <c r="F69" s="616">
        <v>0</v>
      </c>
      <c r="G69" s="21">
        <f t="shared" si="11"/>
        <v>4</v>
      </c>
      <c r="H69" s="631">
        <f>4+(0.5*H$3)</f>
        <v>4</v>
      </c>
      <c r="I69" s="631">
        <f t="shared" si="23"/>
        <v>0</v>
      </c>
      <c r="J69" s="616">
        <v>0</v>
      </c>
      <c r="K69" s="21">
        <f t="shared" si="19"/>
        <v>4</v>
      </c>
      <c r="L69" s="631">
        <f>4+(0.5*L$3)</f>
        <v>4</v>
      </c>
      <c r="M69" s="631">
        <f t="shared" si="24"/>
        <v>0</v>
      </c>
      <c r="N69" s="616">
        <v>0</v>
      </c>
      <c r="O69" s="21">
        <f t="shared" si="20"/>
        <v>4</v>
      </c>
      <c r="P69" s="631">
        <f>4+(0.5*P$3)</f>
        <v>4</v>
      </c>
      <c r="Q69" s="631">
        <f t="shared" si="25"/>
        <v>0</v>
      </c>
      <c r="R69" s="616">
        <v>0</v>
      </c>
      <c r="S69" s="21">
        <f t="shared" si="21"/>
        <v>4</v>
      </c>
    </row>
    <row r="70" spans="1:19" x14ac:dyDescent="0.25">
      <c r="A70" s="1936"/>
      <c r="B70" s="19" t="s">
        <v>33</v>
      </c>
      <c r="C70" s="22"/>
      <c r="D70" s="631">
        <f>6+(0.5*D$3)</f>
        <v>6</v>
      </c>
      <c r="E70" s="631">
        <f t="shared" si="22"/>
        <v>0</v>
      </c>
      <c r="F70" s="616">
        <v>0</v>
      </c>
      <c r="G70" s="21">
        <f t="shared" si="11"/>
        <v>6</v>
      </c>
      <c r="H70" s="631">
        <f>6+(0.5*H$3)</f>
        <v>6</v>
      </c>
      <c r="I70" s="631">
        <f t="shared" si="23"/>
        <v>0</v>
      </c>
      <c r="J70" s="616">
        <v>0</v>
      </c>
      <c r="K70" s="21">
        <f t="shared" si="19"/>
        <v>6</v>
      </c>
      <c r="L70" s="631">
        <f>6+(0.5*L$3)</f>
        <v>6</v>
      </c>
      <c r="M70" s="631">
        <f t="shared" si="24"/>
        <v>0</v>
      </c>
      <c r="N70" s="616">
        <v>0</v>
      </c>
      <c r="O70" s="21">
        <f t="shared" si="20"/>
        <v>6</v>
      </c>
      <c r="P70" s="631">
        <f>6+(0.5*P$3)</f>
        <v>6</v>
      </c>
      <c r="Q70" s="631">
        <f t="shared" si="25"/>
        <v>0</v>
      </c>
      <c r="R70" s="616">
        <v>0</v>
      </c>
      <c r="S70" s="21">
        <f t="shared" si="21"/>
        <v>6</v>
      </c>
    </row>
    <row r="71" spans="1:19" x14ac:dyDescent="0.25">
      <c r="A71" s="1936"/>
      <c r="B71" s="19" t="s">
        <v>34</v>
      </c>
      <c r="C71" s="22"/>
      <c r="D71" s="631">
        <f>8+(0.5*D$3)</f>
        <v>8</v>
      </c>
      <c r="E71" s="631">
        <f t="shared" si="22"/>
        <v>0</v>
      </c>
      <c r="F71" s="616">
        <v>0</v>
      </c>
      <c r="G71" s="21">
        <f t="shared" si="11"/>
        <v>8</v>
      </c>
      <c r="H71" s="631">
        <f>8+(0.5*H$3)</f>
        <v>8</v>
      </c>
      <c r="I71" s="631">
        <f t="shared" si="23"/>
        <v>0</v>
      </c>
      <c r="J71" s="616">
        <v>0</v>
      </c>
      <c r="K71" s="21">
        <f t="shared" si="19"/>
        <v>8</v>
      </c>
      <c r="L71" s="631">
        <f>8+(0.5*L$3)</f>
        <v>8</v>
      </c>
      <c r="M71" s="631">
        <f t="shared" si="24"/>
        <v>0</v>
      </c>
      <c r="N71" s="616">
        <v>0</v>
      </c>
      <c r="O71" s="21">
        <f t="shared" si="20"/>
        <v>8</v>
      </c>
      <c r="P71" s="631">
        <f>8+(0.5*P$3)</f>
        <v>8</v>
      </c>
      <c r="Q71" s="631">
        <f t="shared" si="25"/>
        <v>0</v>
      </c>
      <c r="R71" s="616">
        <v>0</v>
      </c>
      <c r="S71" s="21">
        <f t="shared" si="21"/>
        <v>8</v>
      </c>
    </row>
    <row r="72" spans="1:19" x14ac:dyDescent="0.25">
      <c r="A72" s="1933" t="s">
        <v>534</v>
      </c>
      <c r="B72" s="19" t="s">
        <v>32</v>
      </c>
      <c r="C72" s="22"/>
      <c r="D72" s="631">
        <f>4+(0.5*D$3)</f>
        <v>4</v>
      </c>
      <c r="E72" s="631">
        <f t="shared" si="22"/>
        <v>0</v>
      </c>
      <c r="F72" s="616">
        <v>0</v>
      </c>
      <c r="G72" s="21">
        <f t="shared" si="11"/>
        <v>4</v>
      </c>
      <c r="H72" s="631">
        <f>4+(0.5*H$3)</f>
        <v>4</v>
      </c>
      <c r="I72" s="631">
        <f t="shared" si="23"/>
        <v>0</v>
      </c>
      <c r="J72" s="616">
        <v>0</v>
      </c>
      <c r="K72" s="21">
        <f t="shared" si="19"/>
        <v>4</v>
      </c>
      <c r="L72" s="631">
        <f>4+(0.5*L$3)</f>
        <v>4</v>
      </c>
      <c r="M72" s="631">
        <f t="shared" si="24"/>
        <v>0</v>
      </c>
      <c r="N72" s="616">
        <v>0</v>
      </c>
      <c r="O72" s="21">
        <f t="shared" si="20"/>
        <v>4</v>
      </c>
      <c r="P72" s="631">
        <f>4+(0.5*P$3)</f>
        <v>4</v>
      </c>
      <c r="Q72" s="631">
        <f t="shared" si="25"/>
        <v>0</v>
      </c>
      <c r="R72" s="616">
        <v>0</v>
      </c>
      <c r="S72" s="21">
        <f t="shared" si="21"/>
        <v>4</v>
      </c>
    </row>
    <row r="73" spans="1:19" x14ac:dyDescent="0.25">
      <c r="A73" s="1933"/>
      <c r="B73" s="19" t="s">
        <v>33</v>
      </c>
      <c r="C73" s="22"/>
      <c r="D73" s="631">
        <f>6+(0.5*D$3)</f>
        <v>6</v>
      </c>
      <c r="E73" s="631">
        <f t="shared" si="22"/>
        <v>0</v>
      </c>
      <c r="F73" s="616">
        <v>0</v>
      </c>
      <c r="G73" s="21">
        <f t="shared" si="11"/>
        <v>6</v>
      </c>
      <c r="H73" s="631">
        <f>6+(0.5*H$3)</f>
        <v>6</v>
      </c>
      <c r="I73" s="631">
        <f t="shared" si="23"/>
        <v>0</v>
      </c>
      <c r="J73" s="616">
        <v>0</v>
      </c>
      <c r="K73" s="21">
        <f t="shared" si="19"/>
        <v>6</v>
      </c>
      <c r="L73" s="631">
        <f>6+(0.5*L$3)</f>
        <v>6</v>
      </c>
      <c r="M73" s="631">
        <f t="shared" si="24"/>
        <v>0</v>
      </c>
      <c r="N73" s="616">
        <v>0</v>
      </c>
      <c r="O73" s="21">
        <f t="shared" si="20"/>
        <v>6</v>
      </c>
      <c r="P73" s="631">
        <f>6+(0.5*P$3)</f>
        <v>6</v>
      </c>
      <c r="Q73" s="631">
        <f t="shared" si="25"/>
        <v>0</v>
      </c>
      <c r="R73" s="616">
        <v>0</v>
      </c>
      <c r="S73" s="21">
        <f t="shared" si="21"/>
        <v>6</v>
      </c>
    </row>
    <row r="74" spans="1:19" x14ac:dyDescent="0.25">
      <c r="A74" s="1933"/>
      <c r="B74" s="19" t="s">
        <v>34</v>
      </c>
      <c r="C74" s="22"/>
      <c r="D74" s="631">
        <f>8+(0.5*D$3)</f>
        <v>8</v>
      </c>
      <c r="E74" s="631">
        <f t="shared" si="22"/>
        <v>0</v>
      </c>
      <c r="F74" s="616">
        <v>0</v>
      </c>
      <c r="G74" s="21">
        <f t="shared" si="11"/>
        <v>8</v>
      </c>
      <c r="H74" s="631">
        <f>8+(0.5*H$3)</f>
        <v>8</v>
      </c>
      <c r="I74" s="631">
        <f t="shared" si="23"/>
        <v>0</v>
      </c>
      <c r="J74" s="616">
        <v>0</v>
      </c>
      <c r="K74" s="21">
        <f t="shared" si="19"/>
        <v>8</v>
      </c>
      <c r="L74" s="631">
        <f>8+(0.5*L$3)</f>
        <v>8</v>
      </c>
      <c r="M74" s="631">
        <f t="shared" si="24"/>
        <v>0</v>
      </c>
      <c r="N74" s="616">
        <v>0</v>
      </c>
      <c r="O74" s="21">
        <f t="shared" si="20"/>
        <v>8</v>
      </c>
      <c r="P74" s="631">
        <f>8+(0.5*P$3)</f>
        <v>8</v>
      </c>
      <c r="Q74" s="631">
        <f t="shared" si="25"/>
        <v>0</v>
      </c>
      <c r="R74" s="616">
        <v>0</v>
      </c>
      <c r="S74" s="21">
        <f t="shared" si="21"/>
        <v>8</v>
      </c>
    </row>
    <row r="75" spans="1:19" x14ac:dyDescent="0.25">
      <c r="A75" s="1974" t="s">
        <v>21</v>
      </c>
      <c r="B75" s="19" t="s">
        <v>32</v>
      </c>
      <c r="C75" s="22"/>
      <c r="D75" s="38" t="s">
        <v>90</v>
      </c>
      <c r="E75" s="38" t="s">
        <v>90</v>
      </c>
      <c r="F75" s="38" t="s">
        <v>90</v>
      </c>
      <c r="G75" s="21">
        <f t="shared" si="11"/>
        <v>0</v>
      </c>
      <c r="H75" s="38" t="s">
        <v>90</v>
      </c>
      <c r="I75" s="38" t="s">
        <v>90</v>
      </c>
      <c r="J75" s="38" t="s">
        <v>90</v>
      </c>
      <c r="K75" s="21">
        <f t="shared" si="19"/>
        <v>0</v>
      </c>
      <c r="L75" s="38" t="s">
        <v>90</v>
      </c>
      <c r="M75" s="38" t="s">
        <v>90</v>
      </c>
      <c r="N75" s="38" t="s">
        <v>90</v>
      </c>
      <c r="O75" s="21">
        <f t="shared" si="20"/>
        <v>0</v>
      </c>
      <c r="P75" s="38" t="s">
        <v>90</v>
      </c>
      <c r="Q75" s="38" t="s">
        <v>90</v>
      </c>
      <c r="R75" s="38" t="s">
        <v>90</v>
      </c>
      <c r="S75" s="21">
        <f t="shared" si="21"/>
        <v>0</v>
      </c>
    </row>
    <row r="76" spans="1:19" x14ac:dyDescent="0.25">
      <c r="A76" s="1974"/>
      <c r="B76" s="19" t="s">
        <v>33</v>
      </c>
      <c r="C76" s="22"/>
      <c r="D76" s="38" t="s">
        <v>90</v>
      </c>
      <c r="E76" s="38" t="s">
        <v>90</v>
      </c>
      <c r="F76" s="38" t="s">
        <v>90</v>
      </c>
      <c r="G76" s="21">
        <f t="shared" si="11"/>
        <v>0</v>
      </c>
      <c r="H76" s="38" t="s">
        <v>90</v>
      </c>
      <c r="I76" s="38" t="s">
        <v>90</v>
      </c>
      <c r="J76" s="38" t="s">
        <v>90</v>
      </c>
      <c r="K76" s="21">
        <f t="shared" si="19"/>
        <v>0</v>
      </c>
      <c r="L76" s="38" t="s">
        <v>90</v>
      </c>
      <c r="M76" s="38" t="s">
        <v>90</v>
      </c>
      <c r="N76" s="38" t="s">
        <v>90</v>
      </c>
      <c r="O76" s="21">
        <f t="shared" si="20"/>
        <v>0</v>
      </c>
      <c r="P76" s="38" t="s">
        <v>90</v>
      </c>
      <c r="Q76" s="38" t="s">
        <v>90</v>
      </c>
      <c r="R76" s="38" t="s">
        <v>90</v>
      </c>
      <c r="S76" s="21">
        <f t="shared" si="21"/>
        <v>0</v>
      </c>
    </row>
    <row r="77" spans="1:19" x14ac:dyDescent="0.25">
      <c r="A77" s="1974"/>
      <c r="B77" s="13" t="s">
        <v>34</v>
      </c>
      <c r="C77" s="34"/>
      <c r="D77" s="38" t="s">
        <v>90</v>
      </c>
      <c r="E77" s="38" t="s">
        <v>90</v>
      </c>
      <c r="F77" s="38" t="s">
        <v>90</v>
      </c>
      <c r="G77" s="21">
        <f t="shared" si="11"/>
        <v>0</v>
      </c>
      <c r="H77" s="38" t="s">
        <v>90</v>
      </c>
      <c r="I77" s="38" t="s">
        <v>90</v>
      </c>
      <c r="J77" s="38" t="s">
        <v>90</v>
      </c>
      <c r="K77" s="21">
        <f t="shared" si="19"/>
        <v>0</v>
      </c>
      <c r="L77" s="38" t="s">
        <v>90</v>
      </c>
      <c r="M77" s="38" t="s">
        <v>90</v>
      </c>
      <c r="N77" s="38" t="s">
        <v>90</v>
      </c>
      <c r="O77" s="21">
        <f t="shared" si="20"/>
        <v>0</v>
      </c>
      <c r="P77" s="38" t="s">
        <v>90</v>
      </c>
      <c r="Q77" s="38" t="s">
        <v>90</v>
      </c>
      <c r="R77" s="38" t="s">
        <v>90</v>
      </c>
      <c r="S77" s="21">
        <f t="shared" si="21"/>
        <v>0</v>
      </c>
    </row>
    <row r="78" spans="1:19" x14ac:dyDescent="0.25">
      <c r="A78" s="1933" t="s">
        <v>181</v>
      </c>
      <c r="B78" s="19" t="s">
        <v>32</v>
      </c>
      <c r="C78" s="22"/>
      <c r="D78" s="124">
        <f t="shared" ref="D78:E83" si="26">0.25*D$3</f>
        <v>0</v>
      </c>
      <c r="E78" s="124">
        <f t="shared" si="26"/>
        <v>0</v>
      </c>
      <c r="F78" s="193">
        <v>0</v>
      </c>
      <c r="G78" s="21">
        <f t="shared" si="11"/>
        <v>0</v>
      </c>
      <c r="H78" s="631">
        <f t="shared" ref="H78:I83" si="27">0.25*H$3</f>
        <v>0</v>
      </c>
      <c r="I78" s="631">
        <f t="shared" si="27"/>
        <v>0</v>
      </c>
      <c r="J78" s="646">
        <v>0</v>
      </c>
      <c r="K78" s="21">
        <f t="shared" si="19"/>
        <v>0</v>
      </c>
      <c r="L78" s="631">
        <f t="shared" ref="L78:M83" si="28">0.25*L$3</f>
        <v>0</v>
      </c>
      <c r="M78" s="631">
        <f t="shared" si="28"/>
        <v>0</v>
      </c>
      <c r="N78" s="646">
        <v>0</v>
      </c>
      <c r="O78" s="21">
        <f t="shared" si="20"/>
        <v>0</v>
      </c>
      <c r="P78" s="631">
        <f t="shared" ref="P78:Q83" si="29">0.25*P$3</f>
        <v>0</v>
      </c>
      <c r="Q78" s="631">
        <f t="shared" si="29"/>
        <v>0</v>
      </c>
      <c r="R78" s="646">
        <v>0</v>
      </c>
      <c r="S78" s="21">
        <f t="shared" si="21"/>
        <v>0</v>
      </c>
    </row>
    <row r="79" spans="1:19" x14ac:dyDescent="0.25">
      <c r="A79" s="1933"/>
      <c r="B79" s="19" t="s">
        <v>33</v>
      </c>
      <c r="C79" s="22"/>
      <c r="D79" s="124">
        <f t="shared" si="26"/>
        <v>0</v>
      </c>
      <c r="E79" s="124">
        <f t="shared" si="26"/>
        <v>0</v>
      </c>
      <c r="F79" s="193">
        <v>0</v>
      </c>
      <c r="G79" s="21">
        <f t="shared" si="11"/>
        <v>0</v>
      </c>
      <c r="H79" s="631">
        <f t="shared" si="27"/>
        <v>0</v>
      </c>
      <c r="I79" s="631">
        <f t="shared" si="27"/>
        <v>0</v>
      </c>
      <c r="J79" s="646">
        <v>0</v>
      </c>
      <c r="K79" s="21">
        <f t="shared" si="19"/>
        <v>0</v>
      </c>
      <c r="L79" s="631">
        <f t="shared" si="28"/>
        <v>0</v>
      </c>
      <c r="M79" s="631">
        <f t="shared" si="28"/>
        <v>0</v>
      </c>
      <c r="N79" s="646">
        <v>0</v>
      </c>
      <c r="O79" s="21">
        <f t="shared" si="20"/>
        <v>0</v>
      </c>
      <c r="P79" s="631">
        <f t="shared" si="29"/>
        <v>0</v>
      </c>
      <c r="Q79" s="631">
        <f t="shared" si="29"/>
        <v>0</v>
      </c>
      <c r="R79" s="646">
        <v>0</v>
      </c>
      <c r="S79" s="21">
        <f t="shared" si="21"/>
        <v>0</v>
      </c>
    </row>
    <row r="80" spans="1:19" x14ac:dyDescent="0.25">
      <c r="A80" s="1933"/>
      <c r="B80" s="19" t="s">
        <v>34</v>
      </c>
      <c r="C80" s="22"/>
      <c r="D80" s="124">
        <f t="shared" si="26"/>
        <v>0</v>
      </c>
      <c r="E80" s="124">
        <f t="shared" si="26"/>
        <v>0</v>
      </c>
      <c r="F80" s="193">
        <v>0</v>
      </c>
      <c r="G80" s="21">
        <f t="shared" si="11"/>
        <v>0</v>
      </c>
      <c r="H80" s="631">
        <f t="shared" si="27"/>
        <v>0</v>
      </c>
      <c r="I80" s="631">
        <f t="shared" si="27"/>
        <v>0</v>
      </c>
      <c r="J80" s="646">
        <v>0</v>
      </c>
      <c r="K80" s="21">
        <f t="shared" si="19"/>
        <v>0</v>
      </c>
      <c r="L80" s="631">
        <f t="shared" si="28"/>
        <v>0</v>
      </c>
      <c r="M80" s="631">
        <f t="shared" si="28"/>
        <v>0</v>
      </c>
      <c r="N80" s="646">
        <v>0</v>
      </c>
      <c r="O80" s="21">
        <f t="shared" si="20"/>
        <v>0</v>
      </c>
      <c r="P80" s="631">
        <f t="shared" si="29"/>
        <v>0</v>
      </c>
      <c r="Q80" s="631">
        <f t="shared" si="29"/>
        <v>0</v>
      </c>
      <c r="R80" s="646">
        <v>0</v>
      </c>
      <c r="S80" s="21">
        <f t="shared" si="21"/>
        <v>0</v>
      </c>
    </row>
    <row r="81" spans="1:19" x14ac:dyDescent="0.25">
      <c r="A81" s="1933" t="s">
        <v>182</v>
      </c>
      <c r="B81" s="19" t="s">
        <v>32</v>
      </c>
      <c r="C81" s="22"/>
      <c r="D81" s="124">
        <f t="shared" si="26"/>
        <v>0</v>
      </c>
      <c r="E81" s="124">
        <f t="shared" si="26"/>
        <v>0</v>
      </c>
      <c r="F81" s="193">
        <v>0</v>
      </c>
      <c r="G81" s="21">
        <f t="shared" si="11"/>
        <v>0</v>
      </c>
      <c r="H81" s="631">
        <f t="shared" si="27"/>
        <v>0</v>
      </c>
      <c r="I81" s="631">
        <f t="shared" si="27"/>
        <v>0</v>
      </c>
      <c r="J81" s="646">
        <v>0</v>
      </c>
      <c r="K81" s="21">
        <f t="shared" si="19"/>
        <v>0</v>
      </c>
      <c r="L81" s="631">
        <f t="shared" si="28"/>
        <v>0</v>
      </c>
      <c r="M81" s="631">
        <f t="shared" si="28"/>
        <v>0</v>
      </c>
      <c r="N81" s="646">
        <v>0</v>
      </c>
      <c r="O81" s="21">
        <f t="shared" si="20"/>
        <v>0</v>
      </c>
      <c r="P81" s="631">
        <f t="shared" si="29"/>
        <v>0</v>
      </c>
      <c r="Q81" s="631">
        <f t="shared" si="29"/>
        <v>0</v>
      </c>
      <c r="R81" s="646">
        <v>0</v>
      </c>
      <c r="S81" s="21">
        <f t="shared" si="21"/>
        <v>0</v>
      </c>
    </row>
    <row r="82" spans="1:19" x14ac:dyDescent="0.25">
      <c r="A82" s="1933"/>
      <c r="B82" s="19" t="s">
        <v>33</v>
      </c>
      <c r="C82" s="22"/>
      <c r="D82" s="124">
        <f t="shared" si="26"/>
        <v>0</v>
      </c>
      <c r="E82" s="124">
        <f t="shared" si="26"/>
        <v>0</v>
      </c>
      <c r="F82" s="193">
        <v>0</v>
      </c>
      <c r="G82" s="21">
        <f t="shared" si="11"/>
        <v>0</v>
      </c>
      <c r="H82" s="631">
        <f t="shared" si="27"/>
        <v>0</v>
      </c>
      <c r="I82" s="631">
        <f t="shared" si="27"/>
        <v>0</v>
      </c>
      <c r="J82" s="646">
        <v>0</v>
      </c>
      <c r="K82" s="21">
        <f t="shared" si="19"/>
        <v>0</v>
      </c>
      <c r="L82" s="631">
        <f t="shared" si="28"/>
        <v>0</v>
      </c>
      <c r="M82" s="631">
        <f t="shared" si="28"/>
        <v>0</v>
      </c>
      <c r="N82" s="646">
        <v>0</v>
      </c>
      <c r="O82" s="21">
        <f t="shared" si="20"/>
        <v>0</v>
      </c>
      <c r="P82" s="631">
        <f t="shared" si="29"/>
        <v>0</v>
      </c>
      <c r="Q82" s="631">
        <f t="shared" si="29"/>
        <v>0</v>
      </c>
      <c r="R82" s="646">
        <v>0</v>
      </c>
      <c r="S82" s="21">
        <f t="shared" si="21"/>
        <v>0</v>
      </c>
    </row>
    <row r="83" spans="1:19" x14ac:dyDescent="0.25">
      <c r="A83" s="1933"/>
      <c r="B83" s="19" t="s">
        <v>34</v>
      </c>
      <c r="C83" s="22"/>
      <c r="D83" s="124">
        <f t="shared" si="26"/>
        <v>0</v>
      </c>
      <c r="E83" s="124">
        <f t="shared" si="26"/>
        <v>0</v>
      </c>
      <c r="F83" s="193">
        <v>0</v>
      </c>
      <c r="G83" s="21">
        <f t="shared" si="11"/>
        <v>0</v>
      </c>
      <c r="H83" s="631">
        <f t="shared" si="27"/>
        <v>0</v>
      </c>
      <c r="I83" s="631">
        <f t="shared" si="27"/>
        <v>0</v>
      </c>
      <c r="J83" s="646">
        <v>0</v>
      </c>
      <c r="K83" s="21">
        <f t="shared" si="19"/>
        <v>0</v>
      </c>
      <c r="L83" s="631">
        <f t="shared" si="28"/>
        <v>0</v>
      </c>
      <c r="M83" s="631">
        <f t="shared" si="28"/>
        <v>0</v>
      </c>
      <c r="N83" s="646">
        <v>0</v>
      </c>
      <c r="O83" s="21">
        <f t="shared" si="20"/>
        <v>0</v>
      </c>
      <c r="P83" s="631">
        <f t="shared" si="29"/>
        <v>0</v>
      </c>
      <c r="Q83" s="631">
        <f t="shared" si="29"/>
        <v>0</v>
      </c>
      <c r="R83" s="646">
        <v>0</v>
      </c>
      <c r="S83" s="21">
        <f t="shared" si="21"/>
        <v>0</v>
      </c>
    </row>
    <row r="84" spans="1:19" x14ac:dyDescent="0.25">
      <c r="A84" s="1935" t="s">
        <v>183</v>
      </c>
      <c r="B84" s="19" t="s">
        <v>32</v>
      </c>
      <c r="C84" s="22"/>
      <c r="D84" s="124">
        <f t="shared" ref="D84:E86" si="30">0.1*D$3</f>
        <v>0</v>
      </c>
      <c r="E84" s="124">
        <f t="shared" si="30"/>
        <v>0</v>
      </c>
      <c r="F84" s="193">
        <v>0</v>
      </c>
      <c r="G84" s="21">
        <f t="shared" si="11"/>
        <v>0</v>
      </c>
      <c r="H84" s="631">
        <f t="shared" ref="H84:I86" si="31">0.1*H$3</f>
        <v>0</v>
      </c>
      <c r="I84" s="631">
        <f t="shared" si="31"/>
        <v>0</v>
      </c>
      <c r="J84" s="646">
        <v>0</v>
      </c>
      <c r="K84" s="21">
        <f t="shared" si="19"/>
        <v>0</v>
      </c>
      <c r="L84" s="631">
        <f t="shared" ref="L84:M86" si="32">0.1*L$3</f>
        <v>0</v>
      </c>
      <c r="M84" s="631">
        <f t="shared" si="32"/>
        <v>0</v>
      </c>
      <c r="N84" s="646">
        <v>0</v>
      </c>
      <c r="O84" s="21">
        <f t="shared" si="20"/>
        <v>0</v>
      </c>
      <c r="P84" s="631">
        <f t="shared" ref="P84:Q86" si="33">0.1*P$3</f>
        <v>0</v>
      </c>
      <c r="Q84" s="631">
        <f t="shared" si="33"/>
        <v>0</v>
      </c>
      <c r="R84" s="646">
        <v>0</v>
      </c>
      <c r="S84" s="21">
        <f t="shared" si="21"/>
        <v>0</v>
      </c>
    </row>
    <row r="85" spans="1:19" x14ac:dyDescent="0.25">
      <c r="A85" s="1935"/>
      <c r="B85" s="19" t="s">
        <v>33</v>
      </c>
      <c r="C85" s="22"/>
      <c r="D85" s="124">
        <f t="shared" si="30"/>
        <v>0</v>
      </c>
      <c r="E85" s="124">
        <f t="shared" si="30"/>
        <v>0</v>
      </c>
      <c r="F85" s="193">
        <v>0</v>
      </c>
      <c r="G85" s="21">
        <f t="shared" si="11"/>
        <v>0</v>
      </c>
      <c r="H85" s="631">
        <f t="shared" si="31"/>
        <v>0</v>
      </c>
      <c r="I85" s="631">
        <f t="shared" si="31"/>
        <v>0</v>
      </c>
      <c r="J85" s="646">
        <v>0</v>
      </c>
      <c r="K85" s="21">
        <f t="shared" si="19"/>
        <v>0</v>
      </c>
      <c r="L85" s="631">
        <f t="shared" si="32"/>
        <v>0</v>
      </c>
      <c r="M85" s="631">
        <f t="shared" si="32"/>
        <v>0</v>
      </c>
      <c r="N85" s="646">
        <v>0</v>
      </c>
      <c r="O85" s="21">
        <f t="shared" si="20"/>
        <v>0</v>
      </c>
      <c r="P85" s="631">
        <f t="shared" si="33"/>
        <v>0</v>
      </c>
      <c r="Q85" s="631">
        <f t="shared" si="33"/>
        <v>0</v>
      </c>
      <c r="R85" s="646">
        <v>0</v>
      </c>
      <c r="S85" s="21">
        <f t="shared" si="21"/>
        <v>0</v>
      </c>
    </row>
    <row r="86" spans="1:19" ht="15.75" thickBot="1" x14ac:dyDescent="0.3">
      <c r="A86" s="1935"/>
      <c r="B86" s="13" t="s">
        <v>34</v>
      </c>
      <c r="C86" s="34"/>
      <c r="D86" s="431">
        <f t="shared" si="30"/>
        <v>0</v>
      </c>
      <c r="E86" s="431">
        <f t="shared" si="30"/>
        <v>0</v>
      </c>
      <c r="F86" s="410">
        <v>0</v>
      </c>
      <c r="G86" s="77">
        <f t="shared" si="11"/>
        <v>0</v>
      </c>
      <c r="H86" s="682">
        <f t="shared" si="31"/>
        <v>0</v>
      </c>
      <c r="I86" s="682">
        <f t="shared" si="31"/>
        <v>0</v>
      </c>
      <c r="J86" s="663">
        <v>0</v>
      </c>
      <c r="K86" s="77">
        <f t="shared" si="19"/>
        <v>0</v>
      </c>
      <c r="L86" s="682">
        <f t="shared" si="32"/>
        <v>0</v>
      </c>
      <c r="M86" s="682">
        <f t="shared" si="32"/>
        <v>0</v>
      </c>
      <c r="N86" s="663">
        <v>0</v>
      </c>
      <c r="O86" s="77">
        <f t="shared" si="20"/>
        <v>0</v>
      </c>
      <c r="P86" s="682">
        <f t="shared" si="33"/>
        <v>0</v>
      </c>
      <c r="Q86" s="682">
        <f t="shared" si="33"/>
        <v>0</v>
      </c>
      <c r="R86" s="663">
        <v>0</v>
      </c>
      <c r="S86" s="77">
        <f t="shared" si="21"/>
        <v>0</v>
      </c>
    </row>
    <row r="87" spans="1:19" ht="16.5" thickBot="1" x14ac:dyDescent="0.3">
      <c r="A87" s="330" t="s">
        <v>22</v>
      </c>
      <c r="B87" s="329"/>
      <c r="C87" s="329"/>
      <c r="D87" s="329"/>
      <c r="E87" s="329"/>
      <c r="F87" s="329"/>
      <c r="G87" s="329"/>
      <c r="H87" s="329"/>
      <c r="I87" s="329"/>
      <c r="J87" s="329"/>
      <c r="K87" s="329"/>
      <c r="L87" s="329"/>
      <c r="M87" s="329"/>
      <c r="N87" s="329"/>
      <c r="O87" s="329"/>
      <c r="P87" s="329"/>
      <c r="Q87" s="329"/>
      <c r="R87" s="329"/>
      <c r="S87" s="328"/>
    </row>
    <row r="88" spans="1:19" x14ac:dyDescent="0.25">
      <c r="A88" s="1932" t="s">
        <v>23</v>
      </c>
      <c r="B88" s="404" t="s">
        <v>32</v>
      </c>
      <c r="C88" s="324"/>
      <c r="D88" s="427">
        <v>0.25</v>
      </c>
      <c r="E88" s="400">
        <v>0</v>
      </c>
      <c r="F88" s="428">
        <v>0</v>
      </c>
      <c r="G88" s="230">
        <f t="shared" si="11"/>
        <v>0.25</v>
      </c>
      <c r="H88" s="678">
        <v>0.25</v>
      </c>
      <c r="I88" s="713">
        <v>0</v>
      </c>
      <c r="J88" s="679">
        <v>0</v>
      </c>
      <c r="K88" s="230">
        <f t="shared" ref="K88:K105" si="34" xml:space="preserve"> SUM(H88:J88) + $C88</f>
        <v>0.25</v>
      </c>
      <c r="L88" s="678">
        <v>0.25</v>
      </c>
      <c r="M88" s="713">
        <v>0</v>
      </c>
      <c r="N88" s="679">
        <v>0</v>
      </c>
      <c r="O88" s="230">
        <f t="shared" ref="O88:O105" si="35" xml:space="preserve"> SUM(L88:N88) + $C88</f>
        <v>0.25</v>
      </c>
      <c r="P88" s="678">
        <v>0.25</v>
      </c>
      <c r="Q88" s="713">
        <v>0</v>
      </c>
      <c r="R88" s="679">
        <v>0</v>
      </c>
      <c r="S88" s="230">
        <f t="shared" ref="S88:S105" si="36" xml:space="preserve"> SUM(P88:R88) + $C88</f>
        <v>0.25</v>
      </c>
    </row>
    <row r="89" spans="1:19" x14ac:dyDescent="0.25">
      <c r="A89" s="1932"/>
      <c r="B89" s="19" t="s">
        <v>33</v>
      </c>
      <c r="C89" s="22"/>
      <c r="D89" s="678">
        <v>0.25</v>
      </c>
      <c r="E89" s="15">
        <v>0</v>
      </c>
      <c r="F89" s="33">
        <v>0</v>
      </c>
      <c r="G89" s="21">
        <f t="shared" si="11"/>
        <v>0.25</v>
      </c>
      <c r="H89" s="678">
        <v>0.25</v>
      </c>
      <c r="I89" s="616">
        <v>0</v>
      </c>
      <c r="J89" s="623">
        <v>0</v>
      </c>
      <c r="K89" s="21">
        <f t="shared" si="34"/>
        <v>0.25</v>
      </c>
      <c r="L89" s="678">
        <v>0.25</v>
      </c>
      <c r="M89" s="616">
        <v>0</v>
      </c>
      <c r="N89" s="623">
        <v>0</v>
      </c>
      <c r="O89" s="21">
        <f t="shared" si="35"/>
        <v>0.25</v>
      </c>
      <c r="P89" s="678">
        <v>0.25</v>
      </c>
      <c r="Q89" s="616">
        <v>0</v>
      </c>
      <c r="R89" s="623">
        <v>0</v>
      </c>
      <c r="S89" s="21">
        <f t="shared" si="36"/>
        <v>0.25</v>
      </c>
    </row>
    <row r="90" spans="1:19" x14ac:dyDescent="0.25">
      <c r="A90" s="1932"/>
      <c r="B90" s="19" t="s">
        <v>34</v>
      </c>
      <c r="C90" s="22"/>
      <c r="D90" s="678">
        <v>0.25</v>
      </c>
      <c r="E90" s="15">
        <v>0</v>
      </c>
      <c r="F90" s="33">
        <v>0</v>
      </c>
      <c r="G90" s="21">
        <f t="shared" si="11"/>
        <v>0.25</v>
      </c>
      <c r="H90" s="678">
        <v>0.25</v>
      </c>
      <c r="I90" s="616">
        <v>0</v>
      </c>
      <c r="J90" s="623">
        <v>0</v>
      </c>
      <c r="K90" s="21">
        <f t="shared" si="34"/>
        <v>0.25</v>
      </c>
      <c r="L90" s="678">
        <v>0.25</v>
      </c>
      <c r="M90" s="616">
        <v>0</v>
      </c>
      <c r="N90" s="623">
        <v>0</v>
      </c>
      <c r="O90" s="21">
        <f t="shared" si="35"/>
        <v>0.25</v>
      </c>
      <c r="P90" s="678">
        <v>0.25</v>
      </c>
      <c r="Q90" s="616">
        <v>0</v>
      </c>
      <c r="R90" s="623">
        <v>0</v>
      </c>
      <c r="S90" s="21">
        <f t="shared" si="36"/>
        <v>0.25</v>
      </c>
    </row>
    <row r="91" spans="1:19" x14ac:dyDescent="0.25">
      <c r="A91" s="1974" t="s">
        <v>24</v>
      </c>
      <c r="B91" s="19" t="s">
        <v>32</v>
      </c>
      <c r="C91" s="22"/>
      <c r="D91" s="625">
        <v>2</v>
      </c>
      <c r="E91" s="631">
        <f>IF(D$3&gt;0, 2,0)</f>
        <v>0</v>
      </c>
      <c r="F91" s="629">
        <f>IF(F$3 = 1, 1, IF(F$3 = 2, 2, IF(F$3 =3, 3,  IF(F$3 =4, 4, 5))))</f>
        <v>5</v>
      </c>
      <c r="G91" s="21">
        <f t="shared" si="11"/>
        <v>7</v>
      </c>
      <c r="H91" s="625">
        <v>2</v>
      </c>
      <c r="I91" s="631">
        <f>IF(H$3&gt;0, 2,0)</f>
        <v>0</v>
      </c>
      <c r="J91" s="629">
        <f>IF(J$3 = 1, 1, IF(J$3 = 2, 2, IF(J$3 =3, 3,  IF(J$3 =4, 4, 5))))</f>
        <v>5</v>
      </c>
      <c r="K91" s="21">
        <f t="shared" si="34"/>
        <v>7</v>
      </c>
      <c r="L91" s="625">
        <v>2</v>
      </c>
      <c r="M91" s="631">
        <f>IF(L$3&gt;0, 2,0)</f>
        <v>0</v>
      </c>
      <c r="N91" s="629">
        <f>IF(N$3 = 1, 1, IF(N$3 = 2, 2, IF(N$3 =3, 3,  IF(N$3 =4, 4, 5))))</f>
        <v>5</v>
      </c>
      <c r="O91" s="21">
        <f t="shared" si="35"/>
        <v>7</v>
      </c>
      <c r="P91" s="625">
        <v>2</v>
      </c>
      <c r="Q91" s="631">
        <f>IF(P$3&gt;0, 2,0)</f>
        <v>0</v>
      </c>
      <c r="R91" s="629">
        <f>IF(R$3 = 1, 1, IF(R$3 = 2, 2, IF(R$3 =3, 3,  IF(R$3 =4, 4, 5))))</f>
        <v>5</v>
      </c>
      <c r="S91" s="21">
        <f t="shared" si="36"/>
        <v>7</v>
      </c>
    </row>
    <row r="92" spans="1:19" x14ac:dyDescent="0.25">
      <c r="A92" s="1974"/>
      <c r="B92" s="19" t="s">
        <v>33</v>
      </c>
      <c r="C92" s="22"/>
      <c r="D92" s="625">
        <v>4</v>
      </c>
      <c r="E92" s="631">
        <f>IF(D$3&gt;0, 2,0)</f>
        <v>0</v>
      </c>
      <c r="F92" s="629">
        <f>IF(F$3 = 1, 1.5, IF(F$3 = 2, 3, IF(F$3 =3, 4.5,  IF(F$3 =4, 6, 7.5))))</f>
        <v>7.5</v>
      </c>
      <c r="G92" s="21">
        <f t="shared" si="11"/>
        <v>11.5</v>
      </c>
      <c r="H92" s="625">
        <v>4</v>
      </c>
      <c r="I92" s="631">
        <f>IF(H$3&gt;0, 2,0)</f>
        <v>0</v>
      </c>
      <c r="J92" s="629">
        <f>IF(J$3 = 1, 1.5, IF(J$3 = 2, 3, IF(J$3 =3, 4.5,  IF(J$3 =4, 6, 7.5))))</f>
        <v>7.5</v>
      </c>
      <c r="K92" s="21">
        <f t="shared" si="34"/>
        <v>11.5</v>
      </c>
      <c r="L92" s="625">
        <v>4</v>
      </c>
      <c r="M92" s="631">
        <f>IF(L$3&gt;0, 2,0)</f>
        <v>0</v>
      </c>
      <c r="N92" s="629">
        <f>IF(N$3 = 1, 1.5, IF(N$3 = 2, 3, IF(N$3 =3, 4.5,  IF(N$3 =4, 6, 7.5))))</f>
        <v>7.5</v>
      </c>
      <c r="O92" s="21">
        <f t="shared" si="35"/>
        <v>11.5</v>
      </c>
      <c r="P92" s="625">
        <v>4</v>
      </c>
      <c r="Q92" s="631">
        <f>IF(P$3&gt;0, 2,0)</f>
        <v>0</v>
      </c>
      <c r="R92" s="629">
        <f>IF(R$3 = 1, 1.5, IF(R$3 = 2, 3, IF(R$3 =3, 4.5,  IF(R$3 =4, 6, 7.5))))</f>
        <v>7.5</v>
      </c>
      <c r="S92" s="21">
        <f t="shared" si="36"/>
        <v>11.5</v>
      </c>
    </row>
    <row r="93" spans="1:19" x14ac:dyDescent="0.25">
      <c r="A93" s="1974"/>
      <c r="B93" s="19" t="s">
        <v>34</v>
      </c>
      <c r="C93" s="22"/>
      <c r="D93" s="625">
        <v>6</v>
      </c>
      <c r="E93" s="631">
        <f>IF(D$3&gt;0, 2,0)</f>
        <v>0</v>
      </c>
      <c r="F93" s="629">
        <f>IF(F$3 = 1, 2, IF(F$3 = 2, 4, IF(F$3 =3, 6,  IF(F$3 =4, 8, 10))))</f>
        <v>10</v>
      </c>
      <c r="G93" s="21">
        <f t="shared" si="11"/>
        <v>16</v>
      </c>
      <c r="H93" s="625">
        <v>6</v>
      </c>
      <c r="I93" s="631">
        <f>IF(H$3&gt;0, 2,0)</f>
        <v>0</v>
      </c>
      <c r="J93" s="629">
        <f>IF(J$3 = 1, 2, IF(J$3 = 2, 4, IF(J$3 =3, 6,  IF(J$3 =4, 8, 10))))</f>
        <v>10</v>
      </c>
      <c r="K93" s="21">
        <f t="shared" si="34"/>
        <v>16</v>
      </c>
      <c r="L93" s="625">
        <v>6</v>
      </c>
      <c r="M93" s="631">
        <f>IF(L$3&gt;0, 2,0)</f>
        <v>0</v>
      </c>
      <c r="N93" s="629">
        <f>IF(N$3 = 1, 2, IF(N$3 = 2, 4, IF(N$3 =3, 6,  IF(N$3 =4, 8, 10))))</f>
        <v>10</v>
      </c>
      <c r="O93" s="21">
        <f t="shared" si="35"/>
        <v>16</v>
      </c>
      <c r="P93" s="625">
        <v>6</v>
      </c>
      <c r="Q93" s="631">
        <f>IF(P$3&gt;0, 2,0)</f>
        <v>0</v>
      </c>
      <c r="R93" s="629">
        <f>IF(R$3 = 1, 2, IF(R$3 = 2, 4, IF(R$3 =3, 6,  IF(R$3 =4, 8, 10))))</f>
        <v>10</v>
      </c>
      <c r="S93" s="21">
        <f t="shared" si="36"/>
        <v>16</v>
      </c>
    </row>
    <row r="94" spans="1:19" x14ac:dyDescent="0.25">
      <c r="A94" s="1974" t="s">
        <v>25</v>
      </c>
      <c r="B94" s="19" t="s">
        <v>32</v>
      </c>
      <c r="C94" s="22"/>
      <c r="D94" s="625">
        <v>1</v>
      </c>
      <c r="E94" s="631">
        <f t="shared" ref="E94:E105" si="37">IF(D$3&gt;0, 1,0)</f>
        <v>0</v>
      </c>
      <c r="F94" s="629">
        <f>IF(F$3 = 1, 1, IF(F$3 = 2, 2, IF(F$3 =3, 3,  IF(F$3 =4, 4, 5))))</f>
        <v>5</v>
      </c>
      <c r="G94" s="21">
        <f t="shared" ref="G94:G105" si="38" xml:space="preserve"> SUM(D94:F94) + $C94</f>
        <v>6</v>
      </c>
      <c r="H94" s="625">
        <v>1</v>
      </c>
      <c r="I94" s="631">
        <f t="shared" ref="I94:I105" si="39">IF(H$3&gt;0, 1,0)</f>
        <v>0</v>
      </c>
      <c r="J94" s="629">
        <f>IF(J$3 = 1, 1, IF(J$3 = 2, 2, IF(J$3 =3, 3,  IF(J$3 =4, 4, 5))))</f>
        <v>5</v>
      </c>
      <c r="K94" s="21">
        <f t="shared" si="34"/>
        <v>6</v>
      </c>
      <c r="L94" s="625">
        <v>1</v>
      </c>
      <c r="M94" s="631">
        <f t="shared" ref="M94:M105" si="40">IF(L$3&gt;0, 1,0)</f>
        <v>0</v>
      </c>
      <c r="N94" s="629">
        <f>IF(N$3 = 1, 1, IF(N$3 = 2, 2, IF(N$3 =3, 3,  IF(N$3 =4, 4, 5))))</f>
        <v>5</v>
      </c>
      <c r="O94" s="21">
        <f t="shared" si="35"/>
        <v>6</v>
      </c>
      <c r="P94" s="625">
        <v>1</v>
      </c>
      <c r="Q94" s="631">
        <f t="shared" ref="Q94:Q105" si="41">IF(P$3&gt;0, 1,0)</f>
        <v>0</v>
      </c>
      <c r="R94" s="629">
        <f>IF(R$3 = 1, 1, IF(R$3 = 2, 2, IF(R$3 =3, 3,  IF(R$3 =4, 4, 5))))</f>
        <v>5</v>
      </c>
      <c r="S94" s="21">
        <f t="shared" si="36"/>
        <v>6</v>
      </c>
    </row>
    <row r="95" spans="1:19" x14ac:dyDescent="0.25">
      <c r="A95" s="1974"/>
      <c r="B95" s="19" t="s">
        <v>33</v>
      </c>
      <c r="C95" s="22"/>
      <c r="D95" s="625">
        <v>2</v>
      </c>
      <c r="E95" s="631">
        <f t="shared" si="37"/>
        <v>0</v>
      </c>
      <c r="F95" s="629">
        <f>IF(F$3 = 1, 1.5, IF(F$3 = 2, 3, IF(F$3 =3, 4.5,  IF(F$3 =4, 6, 7.5))))</f>
        <v>7.5</v>
      </c>
      <c r="G95" s="21">
        <f t="shared" si="38"/>
        <v>9.5</v>
      </c>
      <c r="H95" s="625">
        <v>2</v>
      </c>
      <c r="I95" s="631">
        <f t="shared" si="39"/>
        <v>0</v>
      </c>
      <c r="J95" s="629">
        <f>IF(J$3 = 1, 1.5, IF(J$3 = 2, 3, IF(J$3 =3, 4.5,  IF(J$3 =4, 6, 7.5))))</f>
        <v>7.5</v>
      </c>
      <c r="K95" s="21">
        <f t="shared" si="34"/>
        <v>9.5</v>
      </c>
      <c r="L95" s="625">
        <v>2</v>
      </c>
      <c r="M95" s="631">
        <f t="shared" si="40"/>
        <v>0</v>
      </c>
      <c r="N95" s="629">
        <f>IF(N$3 = 1, 1.5, IF(N$3 = 2, 3, IF(N$3 =3, 4.5,  IF(N$3 =4, 6, 7.5))))</f>
        <v>7.5</v>
      </c>
      <c r="O95" s="21">
        <f t="shared" si="35"/>
        <v>9.5</v>
      </c>
      <c r="P95" s="625">
        <v>2</v>
      </c>
      <c r="Q95" s="631">
        <f t="shared" si="41"/>
        <v>0</v>
      </c>
      <c r="R95" s="629">
        <f>IF(R$3 = 1, 1.5, IF(R$3 = 2, 3, IF(R$3 =3, 4.5,  IF(R$3 =4, 6, 7.5))))</f>
        <v>7.5</v>
      </c>
      <c r="S95" s="21">
        <f t="shared" si="36"/>
        <v>9.5</v>
      </c>
    </row>
    <row r="96" spans="1:19" x14ac:dyDescent="0.25">
      <c r="A96" s="1974"/>
      <c r="B96" s="19" t="s">
        <v>34</v>
      </c>
      <c r="C96" s="22"/>
      <c r="D96" s="625">
        <v>4</v>
      </c>
      <c r="E96" s="631">
        <f t="shared" si="37"/>
        <v>0</v>
      </c>
      <c r="F96" s="629">
        <f>IF(F$3 = 1, 2, IF(F$3 = 2, 4, IF(F$3 =3, 6,  IF(F$3 =4, 8, 10))))</f>
        <v>10</v>
      </c>
      <c r="G96" s="21">
        <f t="shared" si="38"/>
        <v>14</v>
      </c>
      <c r="H96" s="625">
        <v>4</v>
      </c>
      <c r="I96" s="631">
        <f t="shared" si="39"/>
        <v>0</v>
      </c>
      <c r="J96" s="629">
        <f>IF(J$3 = 1, 2, IF(J$3 = 2, 4, IF(J$3 =3, 6,  IF(J$3 =4, 8, 10))))</f>
        <v>10</v>
      </c>
      <c r="K96" s="21">
        <f t="shared" si="34"/>
        <v>14</v>
      </c>
      <c r="L96" s="625">
        <v>4</v>
      </c>
      <c r="M96" s="631">
        <f t="shared" si="40"/>
        <v>0</v>
      </c>
      <c r="N96" s="629">
        <f>IF(N$3 = 1, 2, IF(N$3 = 2, 4, IF(N$3 =3, 6,  IF(N$3 =4, 8, 10))))</f>
        <v>10</v>
      </c>
      <c r="O96" s="21">
        <f t="shared" si="35"/>
        <v>14</v>
      </c>
      <c r="P96" s="625">
        <v>4</v>
      </c>
      <c r="Q96" s="631">
        <f t="shared" si="41"/>
        <v>0</v>
      </c>
      <c r="R96" s="629">
        <f>IF(R$3 = 1, 2, IF(R$3 = 2, 4, IF(R$3 =3, 6,  IF(R$3 =4, 8, 10))))</f>
        <v>10</v>
      </c>
      <c r="S96" s="21">
        <f t="shared" si="36"/>
        <v>14</v>
      </c>
    </row>
    <row r="97" spans="1:19" x14ac:dyDescent="0.25">
      <c r="A97" s="1974" t="s">
        <v>26</v>
      </c>
      <c r="B97" s="19" t="s">
        <v>32</v>
      </c>
      <c r="C97" s="22"/>
      <c r="D97" s="625">
        <v>2</v>
      </c>
      <c r="E97" s="631">
        <f t="shared" si="37"/>
        <v>0</v>
      </c>
      <c r="F97" s="629">
        <f>IF(F$3 = 1, 1, IF(F$3 = 2, 2, IF(F$3 =3, 3,  IF(F$3 =4, 4, 5))))</f>
        <v>5</v>
      </c>
      <c r="G97" s="21">
        <f t="shared" si="38"/>
        <v>7</v>
      </c>
      <c r="H97" s="625">
        <v>2</v>
      </c>
      <c r="I97" s="631">
        <f t="shared" si="39"/>
        <v>0</v>
      </c>
      <c r="J97" s="629">
        <f>IF(J$3 = 1, 1, IF(J$3 = 2, 2, IF(J$3 =3, 3,  IF(J$3 =4, 4, 5))))</f>
        <v>5</v>
      </c>
      <c r="K97" s="21">
        <f t="shared" si="34"/>
        <v>7</v>
      </c>
      <c r="L97" s="625">
        <v>2</v>
      </c>
      <c r="M97" s="631">
        <f t="shared" si="40"/>
        <v>0</v>
      </c>
      <c r="N97" s="629">
        <f>IF(N$3 = 1, 1, IF(N$3 = 2, 2, IF(N$3 =3, 3,  IF(N$3 =4, 4, 5))))</f>
        <v>5</v>
      </c>
      <c r="O97" s="21">
        <f t="shared" si="35"/>
        <v>7</v>
      </c>
      <c r="P97" s="625">
        <v>2</v>
      </c>
      <c r="Q97" s="631">
        <f t="shared" si="41"/>
        <v>0</v>
      </c>
      <c r="R97" s="629">
        <f>IF(R$3 = 1, 1, IF(R$3 = 2, 2, IF(R$3 =3, 3,  IF(R$3 =4, 4, 5))))</f>
        <v>5</v>
      </c>
      <c r="S97" s="21">
        <f t="shared" si="36"/>
        <v>7</v>
      </c>
    </row>
    <row r="98" spans="1:19" x14ac:dyDescent="0.25">
      <c r="A98" s="1974"/>
      <c r="B98" s="19" t="s">
        <v>33</v>
      </c>
      <c r="C98" s="22"/>
      <c r="D98" s="625">
        <v>3</v>
      </c>
      <c r="E98" s="631">
        <f t="shared" si="37"/>
        <v>0</v>
      </c>
      <c r="F98" s="629">
        <f>IF(F$3 = 1, 1.5, IF(F$3 = 2, 3, IF(F$3 =3, 4.5,  IF(F$3 =4, 6, 7.5))))</f>
        <v>7.5</v>
      </c>
      <c r="G98" s="21">
        <f t="shared" si="38"/>
        <v>10.5</v>
      </c>
      <c r="H98" s="625">
        <v>3</v>
      </c>
      <c r="I98" s="631">
        <f t="shared" si="39"/>
        <v>0</v>
      </c>
      <c r="J98" s="629">
        <f>IF(J$3 = 1, 1.5, IF(J$3 = 2, 3, IF(J$3 =3, 4.5,  IF(J$3 =4, 6, 7.5))))</f>
        <v>7.5</v>
      </c>
      <c r="K98" s="21">
        <f t="shared" si="34"/>
        <v>10.5</v>
      </c>
      <c r="L98" s="625">
        <v>3</v>
      </c>
      <c r="M98" s="631">
        <f t="shared" si="40"/>
        <v>0</v>
      </c>
      <c r="N98" s="629">
        <f>IF(N$3 = 1, 1.5, IF(N$3 = 2, 3, IF(N$3 =3, 4.5,  IF(N$3 =4, 6, 7.5))))</f>
        <v>7.5</v>
      </c>
      <c r="O98" s="21">
        <f t="shared" si="35"/>
        <v>10.5</v>
      </c>
      <c r="P98" s="625">
        <v>3</v>
      </c>
      <c r="Q98" s="631">
        <f t="shared" si="41"/>
        <v>0</v>
      </c>
      <c r="R98" s="629">
        <f>IF(R$3 = 1, 1.5, IF(R$3 = 2, 3, IF(R$3 =3, 4.5,  IF(R$3 =4, 6, 7.5))))</f>
        <v>7.5</v>
      </c>
      <c r="S98" s="21">
        <f t="shared" si="36"/>
        <v>10.5</v>
      </c>
    </row>
    <row r="99" spans="1:19" x14ac:dyDescent="0.25">
      <c r="A99" s="1974"/>
      <c r="B99" s="19" t="s">
        <v>34</v>
      </c>
      <c r="C99" s="22"/>
      <c r="D99" s="625">
        <v>4</v>
      </c>
      <c r="E99" s="631">
        <f t="shared" si="37"/>
        <v>0</v>
      </c>
      <c r="F99" s="629">
        <f>IF(F$3 = 1, 2, IF(F$3 = 2, 4, IF(F$3 =3, 6,  IF(F$3 =4, 8, 10))))</f>
        <v>10</v>
      </c>
      <c r="G99" s="21">
        <f t="shared" si="38"/>
        <v>14</v>
      </c>
      <c r="H99" s="625">
        <v>4</v>
      </c>
      <c r="I99" s="631">
        <f t="shared" si="39"/>
        <v>0</v>
      </c>
      <c r="J99" s="629">
        <f>IF(J$3 = 1, 2, IF(J$3 = 2, 4, IF(J$3 =3, 6,  IF(J$3 =4, 8, 10))))</f>
        <v>10</v>
      </c>
      <c r="K99" s="21">
        <f t="shared" si="34"/>
        <v>14</v>
      </c>
      <c r="L99" s="625">
        <v>4</v>
      </c>
      <c r="M99" s="631">
        <f t="shared" si="40"/>
        <v>0</v>
      </c>
      <c r="N99" s="629">
        <f>IF(N$3 = 1, 2, IF(N$3 = 2, 4, IF(N$3 =3, 6,  IF(N$3 =4, 8, 10))))</f>
        <v>10</v>
      </c>
      <c r="O99" s="21">
        <f t="shared" si="35"/>
        <v>14</v>
      </c>
      <c r="P99" s="625">
        <v>4</v>
      </c>
      <c r="Q99" s="631">
        <f t="shared" si="41"/>
        <v>0</v>
      </c>
      <c r="R99" s="629">
        <f>IF(R$3 = 1, 2, IF(R$3 = 2, 4, IF(R$3 =3, 6,  IF(R$3 =4, 8, 10))))</f>
        <v>10</v>
      </c>
      <c r="S99" s="21">
        <f t="shared" si="36"/>
        <v>14</v>
      </c>
    </row>
    <row r="100" spans="1:19" x14ac:dyDescent="0.25">
      <c r="A100" s="1974" t="s">
        <v>27</v>
      </c>
      <c r="B100" s="19" t="s">
        <v>32</v>
      </c>
      <c r="C100" s="22"/>
      <c r="D100" s="625">
        <v>1</v>
      </c>
      <c r="E100" s="631">
        <f t="shared" si="37"/>
        <v>0</v>
      </c>
      <c r="F100" s="625">
        <v>0</v>
      </c>
      <c r="G100" s="21">
        <f t="shared" si="38"/>
        <v>1</v>
      </c>
      <c r="H100" s="625">
        <v>1</v>
      </c>
      <c r="I100" s="631">
        <f t="shared" si="39"/>
        <v>0</v>
      </c>
      <c r="J100" s="625">
        <v>0</v>
      </c>
      <c r="K100" s="21">
        <f t="shared" si="34"/>
        <v>1</v>
      </c>
      <c r="L100" s="625">
        <v>1</v>
      </c>
      <c r="M100" s="631">
        <f t="shared" si="40"/>
        <v>0</v>
      </c>
      <c r="N100" s="625">
        <v>0</v>
      </c>
      <c r="O100" s="21">
        <f t="shared" si="35"/>
        <v>1</v>
      </c>
      <c r="P100" s="625">
        <v>1</v>
      </c>
      <c r="Q100" s="631">
        <f t="shared" si="41"/>
        <v>0</v>
      </c>
      <c r="R100" s="625">
        <v>0</v>
      </c>
      <c r="S100" s="21">
        <f t="shared" si="36"/>
        <v>1</v>
      </c>
    </row>
    <row r="101" spans="1:19" x14ac:dyDescent="0.25">
      <c r="A101" s="1974"/>
      <c r="B101" s="19" t="s">
        <v>33</v>
      </c>
      <c r="C101" s="22"/>
      <c r="D101" s="625">
        <v>2</v>
      </c>
      <c r="E101" s="631">
        <f t="shared" si="37"/>
        <v>0</v>
      </c>
      <c r="F101" s="625">
        <v>0</v>
      </c>
      <c r="G101" s="21">
        <f t="shared" si="38"/>
        <v>2</v>
      </c>
      <c r="H101" s="625">
        <v>2</v>
      </c>
      <c r="I101" s="631">
        <f t="shared" si="39"/>
        <v>0</v>
      </c>
      <c r="J101" s="625">
        <v>0</v>
      </c>
      <c r="K101" s="21">
        <f t="shared" si="34"/>
        <v>2</v>
      </c>
      <c r="L101" s="625">
        <v>2</v>
      </c>
      <c r="M101" s="631">
        <f t="shared" si="40"/>
        <v>0</v>
      </c>
      <c r="N101" s="625">
        <v>0</v>
      </c>
      <c r="O101" s="21">
        <f t="shared" si="35"/>
        <v>2</v>
      </c>
      <c r="P101" s="625">
        <v>2</v>
      </c>
      <c r="Q101" s="631">
        <f t="shared" si="41"/>
        <v>0</v>
      </c>
      <c r="R101" s="625">
        <v>0</v>
      </c>
      <c r="S101" s="21">
        <f t="shared" si="36"/>
        <v>2</v>
      </c>
    </row>
    <row r="102" spans="1:19" x14ac:dyDescent="0.25">
      <c r="A102" s="1974"/>
      <c r="B102" s="19" t="s">
        <v>34</v>
      </c>
      <c r="C102" s="22"/>
      <c r="D102" s="625">
        <v>3</v>
      </c>
      <c r="E102" s="631">
        <f t="shared" si="37"/>
        <v>0</v>
      </c>
      <c r="F102" s="625">
        <v>0</v>
      </c>
      <c r="G102" s="21">
        <f t="shared" si="38"/>
        <v>3</v>
      </c>
      <c r="H102" s="625">
        <v>3</v>
      </c>
      <c r="I102" s="631">
        <f t="shared" si="39"/>
        <v>0</v>
      </c>
      <c r="J102" s="625">
        <v>0</v>
      </c>
      <c r="K102" s="21">
        <f t="shared" si="34"/>
        <v>3</v>
      </c>
      <c r="L102" s="625">
        <v>3</v>
      </c>
      <c r="M102" s="631">
        <f t="shared" si="40"/>
        <v>0</v>
      </c>
      <c r="N102" s="625">
        <v>0</v>
      </c>
      <c r="O102" s="21">
        <f t="shared" si="35"/>
        <v>3</v>
      </c>
      <c r="P102" s="625">
        <v>3</v>
      </c>
      <c r="Q102" s="631">
        <f t="shared" si="41"/>
        <v>0</v>
      </c>
      <c r="R102" s="625">
        <v>0</v>
      </c>
      <c r="S102" s="21">
        <f t="shared" si="36"/>
        <v>3</v>
      </c>
    </row>
    <row r="103" spans="1:19" x14ac:dyDescent="0.25">
      <c r="A103" s="1907" t="s">
        <v>28</v>
      </c>
      <c r="B103" s="19" t="s">
        <v>32</v>
      </c>
      <c r="C103" s="22"/>
      <c r="D103" s="625">
        <v>2</v>
      </c>
      <c r="E103" s="631">
        <f t="shared" si="37"/>
        <v>0</v>
      </c>
      <c r="F103" s="629">
        <f>IF(F$3 = 1, 0, IF(F$3 = 2, 0.5, IF(F$3 =3, 1, IF(F$3 = 4, 1.5, 2))))</f>
        <v>2</v>
      </c>
      <c r="G103" s="21">
        <f t="shared" si="38"/>
        <v>4</v>
      </c>
      <c r="H103" s="625">
        <v>2</v>
      </c>
      <c r="I103" s="631">
        <f t="shared" si="39"/>
        <v>0</v>
      </c>
      <c r="J103" s="629">
        <f>IF(J$3 = 1, 0, IF(J$3 = 2, 0.5, IF(J$3 =3, 1, IF(J$3 = 4, 1.5, 2))))</f>
        <v>2</v>
      </c>
      <c r="K103" s="21">
        <f t="shared" si="34"/>
        <v>4</v>
      </c>
      <c r="L103" s="625">
        <v>2</v>
      </c>
      <c r="M103" s="631">
        <f t="shared" si="40"/>
        <v>0</v>
      </c>
      <c r="N103" s="629">
        <f>IF(N$3 = 1, 0, IF(N$3 = 2, 0.5, IF(N$3 =3, 1, IF(N$3 = 4, 1.5, 2))))</f>
        <v>2</v>
      </c>
      <c r="O103" s="21">
        <f t="shared" si="35"/>
        <v>4</v>
      </c>
      <c r="P103" s="625">
        <v>2</v>
      </c>
      <c r="Q103" s="631">
        <f t="shared" si="41"/>
        <v>0</v>
      </c>
      <c r="R103" s="629">
        <f>IF(R$3 = 1, 0, IF(R$3 = 2, 0.5, IF(R$3 =3, 1, IF(R$3 = 4, 1.5, 2))))</f>
        <v>2</v>
      </c>
      <c r="S103" s="21">
        <f t="shared" si="36"/>
        <v>4</v>
      </c>
    </row>
    <row r="104" spans="1:19" x14ac:dyDescent="0.25">
      <c r="A104" s="1907"/>
      <c r="B104" s="19" t="s">
        <v>33</v>
      </c>
      <c r="C104" s="22"/>
      <c r="D104" s="625">
        <v>2</v>
      </c>
      <c r="E104" s="631">
        <f t="shared" si="37"/>
        <v>0</v>
      </c>
      <c r="F104" s="629">
        <f>IF(F$3 = 1, 0, IF(F$3 = 2, 0.75, IF(F$3 =3, 1.25, IF(F$3 = 4, 1.75, 2.5))))</f>
        <v>2.5</v>
      </c>
      <c r="G104" s="21">
        <f t="shared" si="38"/>
        <v>4.5</v>
      </c>
      <c r="H104" s="625">
        <v>2</v>
      </c>
      <c r="I104" s="631">
        <f t="shared" si="39"/>
        <v>0</v>
      </c>
      <c r="J104" s="629">
        <f>IF(J$3 = 1, 0, IF(J$3 = 2, 0.75, IF(J$3 =3, 1.25, IF(J$3 = 4, 1.75, 2.5))))</f>
        <v>2.5</v>
      </c>
      <c r="K104" s="21">
        <f t="shared" si="34"/>
        <v>4.5</v>
      </c>
      <c r="L104" s="625">
        <v>2</v>
      </c>
      <c r="M104" s="631">
        <f t="shared" si="40"/>
        <v>0</v>
      </c>
      <c r="N104" s="629">
        <f>IF(N$3 = 1, 0, IF(N$3 = 2, 0.75, IF(N$3 =3, 1.25, IF(N$3 = 4, 1.75, 2.5))))</f>
        <v>2.5</v>
      </c>
      <c r="O104" s="21">
        <f t="shared" si="35"/>
        <v>4.5</v>
      </c>
      <c r="P104" s="625">
        <v>2</v>
      </c>
      <c r="Q104" s="631">
        <f t="shared" si="41"/>
        <v>0</v>
      </c>
      <c r="R104" s="629">
        <f>IF(R$3 = 1, 0, IF(R$3 = 2, 0.75, IF(R$3 =3, 1.25, IF(R$3 = 4, 1.75, 2.5))))</f>
        <v>2.5</v>
      </c>
      <c r="S104" s="21">
        <f t="shared" si="36"/>
        <v>4.5</v>
      </c>
    </row>
    <row r="105" spans="1:19" ht="15.75" thickBot="1" x14ac:dyDescent="0.3">
      <c r="A105" s="1975"/>
      <c r="B105" s="20" t="s">
        <v>34</v>
      </c>
      <c r="C105" s="23"/>
      <c r="D105" s="649">
        <v>2</v>
      </c>
      <c r="E105" s="407">
        <f t="shared" si="37"/>
        <v>0</v>
      </c>
      <c r="F105" s="715">
        <f>IF(F$3 = 1, 0, IF(F$3 = 2, 1, IF(F$3 =3, 2, IF(F$3 = 4, 3, 4))))</f>
        <v>4</v>
      </c>
      <c r="G105" s="24">
        <f t="shared" si="38"/>
        <v>6</v>
      </c>
      <c r="H105" s="649">
        <v>2</v>
      </c>
      <c r="I105" s="407">
        <f t="shared" si="39"/>
        <v>0</v>
      </c>
      <c r="J105" s="715">
        <f>IF(J$3 = 1, 0, IF(J$3 = 2, 1, IF(J$3 =3, 2, IF(J$3 = 4, 3, 4))))</f>
        <v>4</v>
      </c>
      <c r="K105" s="24">
        <f t="shared" si="34"/>
        <v>6</v>
      </c>
      <c r="L105" s="649">
        <v>2</v>
      </c>
      <c r="M105" s="407">
        <f t="shared" si="40"/>
        <v>0</v>
      </c>
      <c r="N105" s="715">
        <f>IF(N$3 = 1, 0, IF(N$3 = 2, 1, IF(N$3 =3, 2, IF(N$3 = 4, 3, 4))))</f>
        <v>4</v>
      </c>
      <c r="O105" s="24">
        <f t="shared" si="35"/>
        <v>6</v>
      </c>
      <c r="P105" s="649">
        <v>2</v>
      </c>
      <c r="Q105" s="407">
        <f t="shared" si="41"/>
        <v>0</v>
      </c>
      <c r="R105" s="715">
        <f>IF(R$3 = 1, 0, IF(R$3 = 2, 1, IF(R$3 =3, 2, IF(R$3 = 4, 3, 4))))</f>
        <v>4</v>
      </c>
      <c r="S105" s="24">
        <f t="shared" si="36"/>
        <v>6</v>
      </c>
    </row>
    <row r="107" spans="1:19" x14ac:dyDescent="0.25">
      <c r="A107" s="125" t="s">
        <v>89</v>
      </c>
    </row>
  </sheetData>
  <customSheetViews>
    <customSheetView guid="{B91A3F61-3B23-46E3-9B55-19B17EB6638A}" state="hidden" topLeftCell="B1">
      <selection activeCell="F4" sqref="F4"/>
      <pageMargins left="0.7" right="0.7" top="0.75" bottom="0.75" header="0.3" footer="0.3"/>
    </customSheetView>
    <customSheetView guid="{F5CB9414-DBF4-48FF-9213-FFE745451535}" state="hidden" topLeftCell="B1">
      <selection activeCell="F4" sqref="F4"/>
      <pageMargins left="0.7" right="0.7" top="0.75" bottom="0.75" header="0.3" footer="0.3"/>
    </customSheetView>
    <customSheetView guid="{A1A876F1-3EAA-4E5F-BD51-8B131AB8854B}" state="hidden" topLeftCell="B1">
      <selection activeCell="F4" sqref="F4"/>
      <pageMargins left="0.7" right="0.7" top="0.75" bottom="0.75" header="0.3" footer="0.3"/>
    </customSheetView>
    <customSheetView guid="{18A094BB-EA3E-4938-9069-21F549B37E23}" state="hidden" topLeftCell="B1">
      <selection activeCell="F4" sqref="F4"/>
      <pageMargins left="0.7" right="0.7" top="0.75" bottom="0.75" header="0.3" footer="0.3"/>
    </customSheetView>
  </customSheetViews>
  <mergeCells count="41">
    <mergeCell ref="P1:S1"/>
    <mergeCell ref="S2:S3"/>
    <mergeCell ref="H1:K1"/>
    <mergeCell ref="K2:K3"/>
    <mergeCell ref="L1:O1"/>
    <mergeCell ref="O2:O3"/>
    <mergeCell ref="A97:A99"/>
    <mergeCell ref="A100:A102"/>
    <mergeCell ref="A103:A105"/>
    <mergeCell ref="A57:A59"/>
    <mergeCell ref="A60:A62"/>
    <mergeCell ref="A75:A77"/>
    <mergeCell ref="A88:A90"/>
    <mergeCell ref="A91:A93"/>
    <mergeCell ref="A94:A96"/>
    <mergeCell ref="A78:A80"/>
    <mergeCell ref="A81:A83"/>
    <mergeCell ref="A84:A86"/>
    <mergeCell ref="A63:A65"/>
    <mergeCell ref="A66:A68"/>
    <mergeCell ref="A69:A71"/>
    <mergeCell ref="A72:A74"/>
    <mergeCell ref="A54:A56"/>
    <mergeCell ref="A19:A21"/>
    <mergeCell ref="A22:A24"/>
    <mergeCell ref="A25:A27"/>
    <mergeCell ref="A28:A30"/>
    <mergeCell ref="A31:A33"/>
    <mergeCell ref="A34:A36"/>
    <mergeCell ref="A38:A40"/>
    <mergeCell ref="A42:A44"/>
    <mergeCell ref="A45:A47"/>
    <mergeCell ref="A48:A50"/>
    <mergeCell ref="A51:A53"/>
    <mergeCell ref="A16:A18"/>
    <mergeCell ref="D1:G1"/>
    <mergeCell ref="C2:C3"/>
    <mergeCell ref="G2:G3"/>
    <mergeCell ref="A8:A10"/>
    <mergeCell ref="A12:A14"/>
    <mergeCell ref="A5:A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4"/>
  <dimension ref="A1:M107"/>
  <sheetViews>
    <sheetView zoomScale="70" zoomScaleNormal="70" workbookViewId="0">
      <selection activeCell="A5" sqref="A5:A10"/>
    </sheetView>
  </sheetViews>
  <sheetFormatPr defaultRowHeight="15" x14ac:dyDescent="0.25"/>
  <cols>
    <col min="1" max="1" width="53.42578125" bestFit="1" customWidth="1"/>
    <col min="2" max="2" width="23.5703125" bestFit="1" customWidth="1"/>
    <col min="4" max="4" width="52.28515625" bestFit="1" customWidth="1"/>
    <col min="5" max="5" width="40.85546875" customWidth="1"/>
    <col min="6" max="6" width="31.28515625" bestFit="1" customWidth="1"/>
    <col min="7" max="7" width="7.5703125" bestFit="1" customWidth="1"/>
    <col min="8" max="8" width="52.28515625" bestFit="1" customWidth="1"/>
    <col min="9" max="9" width="40.85546875" customWidth="1"/>
    <col min="10" max="10" width="31.28515625" bestFit="1" customWidth="1"/>
    <col min="11" max="11" width="9.42578125" customWidth="1"/>
  </cols>
  <sheetData>
    <row r="1" spans="1:11" ht="16.5" thickBot="1" x14ac:dyDescent="0.3">
      <c r="A1" s="465" t="s">
        <v>91</v>
      </c>
      <c r="B1" s="35"/>
      <c r="C1" s="43"/>
      <c r="D1" s="1980" t="s">
        <v>288</v>
      </c>
      <c r="E1" s="1947"/>
      <c r="F1" s="1947"/>
      <c r="G1" s="1981"/>
      <c r="H1" s="1939" t="s">
        <v>371</v>
      </c>
      <c r="I1" s="1940"/>
      <c r="J1" s="1940"/>
      <c r="K1" s="1941"/>
    </row>
    <row r="2" spans="1:11" ht="15.75" x14ac:dyDescent="0.25">
      <c r="B2" s="41" t="s">
        <v>37</v>
      </c>
      <c r="C2" s="1945" t="s">
        <v>35</v>
      </c>
      <c r="D2" s="684" t="s">
        <v>574</v>
      </c>
      <c r="E2" s="645" t="s">
        <v>92</v>
      </c>
      <c r="F2" s="645" t="s">
        <v>573</v>
      </c>
      <c r="G2" s="1979" t="s">
        <v>38</v>
      </c>
      <c r="H2" s="684" t="s">
        <v>574</v>
      </c>
      <c r="I2" s="645" t="s">
        <v>92</v>
      </c>
      <c r="J2" s="645" t="s">
        <v>573</v>
      </c>
      <c r="K2" s="1978" t="s">
        <v>38</v>
      </c>
    </row>
    <row r="3" spans="1:11" ht="16.5" thickBot="1" x14ac:dyDescent="0.3">
      <c r="A3" s="12" t="s">
        <v>36</v>
      </c>
      <c r="B3" s="42">
        <f>ТрЗ_ОП!F5</f>
        <v>1</v>
      </c>
      <c r="C3" s="1946"/>
      <c r="D3" s="40">
        <f>INDEX(ТрЗ_ОП!$P$11:$P$102,MATCH(D2,ТрЗ_ОП!$O$11:$O$102,0))</f>
        <v>0</v>
      </c>
      <c r="E3" s="40">
        <f>INDEX(ТрЗ_ОП!$P$11:$P$102,MATCH(E2,ТрЗ_ОП!$O$11:$O$102,0))</f>
        <v>0</v>
      </c>
      <c r="F3" s="40">
        <f>INDEX(ТрЗ_ОП!$P$11:$P$102,MATCH(F2,ТрЗ_ОП!$O$11:$O$102,0))</f>
        <v>0</v>
      </c>
      <c r="G3" s="1979"/>
      <c r="H3" s="40">
        <f>INDEX(ТрЗ_ОП!$P$11:$P$102,MATCH(H2,ТрЗ_ОП!$O$11:$O$102,0))</f>
        <v>0</v>
      </c>
      <c r="I3" s="40">
        <f>INDEX(ТрЗ_ОП!$P$11:$P$102,MATCH(I2,ТрЗ_ОП!$O$11:$O$102,0))</f>
        <v>0</v>
      </c>
      <c r="J3" s="40">
        <f>INDEX(ТрЗ_ОП!$P$11:$P$102,MATCH(J2,ТрЗ_ОП!$O$11:$O$102,0))</f>
        <v>0</v>
      </c>
      <c r="K3" s="1979"/>
    </row>
    <row r="4" spans="1:11" ht="16.5" thickBot="1" x14ac:dyDescent="0.3">
      <c r="A4" s="326" t="s">
        <v>448</v>
      </c>
      <c r="B4" s="327"/>
      <c r="C4" s="327"/>
      <c r="D4" s="327"/>
      <c r="E4" s="327"/>
      <c r="F4" s="327"/>
      <c r="G4" s="327"/>
      <c r="H4" s="327"/>
      <c r="I4" s="327"/>
      <c r="J4" s="327"/>
      <c r="K4" s="396"/>
    </row>
    <row r="5" spans="1:11" x14ac:dyDescent="0.25">
      <c r="A5" s="1977" t="s">
        <v>0</v>
      </c>
      <c r="B5" s="440" t="s">
        <v>32</v>
      </c>
      <c r="C5" s="200"/>
      <c r="D5" s="651">
        <v>1.5</v>
      </c>
      <c r="E5" s="653">
        <v>0.4</v>
      </c>
      <c r="F5" s="654">
        <v>0</v>
      </c>
      <c r="G5" s="433">
        <f xml:space="preserve"> SUM(D5:F5) + $C5</f>
        <v>1.9</v>
      </c>
      <c r="H5" s="651">
        <v>1.5</v>
      </c>
      <c r="I5" s="653">
        <v>0.4</v>
      </c>
      <c r="J5" s="654">
        <v>0</v>
      </c>
      <c r="K5" s="230">
        <f t="shared" ref="K5:K10" si="0" xml:space="preserve"> SUM(H5:J5) + $C5</f>
        <v>1.9</v>
      </c>
    </row>
    <row r="6" spans="1:11" x14ac:dyDescent="0.25">
      <c r="A6" s="1932"/>
      <c r="B6" s="19" t="s">
        <v>33</v>
      </c>
      <c r="C6" s="198"/>
      <c r="D6" s="647">
        <v>2</v>
      </c>
      <c r="E6" s="615">
        <v>0.5</v>
      </c>
      <c r="F6" s="655">
        <v>0</v>
      </c>
      <c r="G6" s="21">
        <f xml:space="preserve"> SUM(D6:F6) + $C6</f>
        <v>2.5</v>
      </c>
      <c r="H6" s="647">
        <v>2</v>
      </c>
      <c r="I6" s="615">
        <v>0.5</v>
      </c>
      <c r="J6" s="655">
        <v>0</v>
      </c>
      <c r="K6" s="21">
        <f t="shared" si="0"/>
        <v>2.5</v>
      </c>
    </row>
    <row r="7" spans="1:11" x14ac:dyDescent="0.25">
      <c r="A7" s="1973"/>
      <c r="B7" s="19" t="s">
        <v>34</v>
      </c>
      <c r="C7" s="198"/>
      <c r="D7" s="647">
        <v>2.5</v>
      </c>
      <c r="E7" s="615">
        <v>0.5</v>
      </c>
      <c r="F7" s="655">
        <v>0</v>
      </c>
      <c r="G7" s="21">
        <f xml:space="preserve"> SUM(D7:F7) + $C7</f>
        <v>3</v>
      </c>
      <c r="H7" s="647">
        <v>2.5</v>
      </c>
      <c r="I7" s="615">
        <v>0.5</v>
      </c>
      <c r="J7" s="655">
        <v>0</v>
      </c>
      <c r="K7" s="21">
        <f t="shared" si="0"/>
        <v>3</v>
      </c>
    </row>
    <row r="8" spans="1:11" x14ac:dyDescent="0.25">
      <c r="A8" s="1932" t="s">
        <v>449</v>
      </c>
      <c r="B8" s="404" t="s">
        <v>32</v>
      </c>
      <c r="C8" s="420"/>
      <c r="D8" s="681">
        <v>1.5</v>
      </c>
      <c r="E8" s="661">
        <v>0.4</v>
      </c>
      <c r="F8" s="686">
        <v>0</v>
      </c>
      <c r="G8" s="230">
        <f xml:space="preserve"> SUM(D8:F8) + $C8</f>
        <v>1.9</v>
      </c>
      <c r="H8" s="681">
        <v>1.5</v>
      </c>
      <c r="I8" s="661">
        <v>0.4</v>
      </c>
      <c r="J8" s="686">
        <v>0</v>
      </c>
      <c r="K8" s="21">
        <f t="shared" si="0"/>
        <v>1.9</v>
      </c>
    </row>
    <row r="9" spans="1:11" x14ac:dyDescent="0.25">
      <c r="A9" s="1932"/>
      <c r="B9" s="19" t="s">
        <v>33</v>
      </c>
      <c r="C9" s="198"/>
      <c r="D9" s="647">
        <v>2</v>
      </c>
      <c r="E9" s="615">
        <v>0.5</v>
      </c>
      <c r="F9" s="655">
        <v>0</v>
      </c>
      <c r="G9" s="21">
        <f t="shared" ref="G9:G93" si="1" xml:space="preserve"> SUM(D9:F9) + $C9</f>
        <v>2.5</v>
      </c>
      <c r="H9" s="647">
        <v>2</v>
      </c>
      <c r="I9" s="615">
        <v>0.5</v>
      </c>
      <c r="J9" s="655">
        <v>0</v>
      </c>
      <c r="K9" s="21">
        <f t="shared" si="0"/>
        <v>2.5</v>
      </c>
    </row>
    <row r="10" spans="1:11" ht="15.75" thickBot="1" x14ac:dyDescent="0.3">
      <c r="A10" s="1932"/>
      <c r="B10" s="13" t="s">
        <v>34</v>
      </c>
      <c r="C10" s="220"/>
      <c r="D10" s="680">
        <v>2.5</v>
      </c>
      <c r="E10" s="673">
        <v>0.5</v>
      </c>
      <c r="F10" s="687">
        <v>0</v>
      </c>
      <c r="G10" s="77">
        <f t="shared" si="1"/>
        <v>3</v>
      </c>
      <c r="H10" s="680">
        <v>2.5</v>
      </c>
      <c r="I10" s="673">
        <v>0.5</v>
      </c>
      <c r="J10" s="687">
        <v>0</v>
      </c>
      <c r="K10" s="77">
        <f t="shared" si="0"/>
        <v>3</v>
      </c>
    </row>
    <row r="11" spans="1:11" ht="16.5" thickBot="1" x14ac:dyDescent="0.3">
      <c r="A11" s="326" t="s">
        <v>1</v>
      </c>
      <c r="B11" s="327"/>
      <c r="C11" s="327"/>
      <c r="D11" s="327"/>
      <c r="E11" s="327"/>
      <c r="F11" s="327"/>
      <c r="G11" s="329"/>
      <c r="H11" s="327"/>
      <c r="I11" s="327"/>
      <c r="J11" s="327"/>
      <c r="K11" s="328"/>
    </row>
    <row r="12" spans="1:11" x14ac:dyDescent="0.25">
      <c r="A12" s="1932" t="s">
        <v>2</v>
      </c>
      <c r="B12" s="404" t="s">
        <v>32</v>
      </c>
      <c r="C12" s="420"/>
      <c r="D12" s="430">
        <v>4.5</v>
      </c>
      <c r="E12" s="405">
        <v>0.5</v>
      </c>
      <c r="F12" s="686">
        <v>0.5</v>
      </c>
      <c r="G12" s="230">
        <f t="shared" si="1"/>
        <v>5.5</v>
      </c>
      <c r="H12" s="681">
        <v>4.5</v>
      </c>
      <c r="I12" s="661">
        <v>0.5</v>
      </c>
      <c r="J12" s="686">
        <v>0.5</v>
      </c>
      <c r="K12" s="230">
        <f xml:space="preserve"> SUM(H12:J12) + $C12</f>
        <v>5.5</v>
      </c>
    </row>
    <row r="13" spans="1:11" x14ac:dyDescent="0.25">
      <c r="A13" s="1932"/>
      <c r="B13" s="19" t="s">
        <v>33</v>
      </c>
      <c r="C13" s="198"/>
      <c r="D13" s="194">
        <v>5</v>
      </c>
      <c r="E13" s="11">
        <v>0.7</v>
      </c>
      <c r="F13" s="655">
        <v>0.7</v>
      </c>
      <c r="G13" s="21">
        <f t="shared" si="1"/>
        <v>6.4</v>
      </c>
      <c r="H13" s="647">
        <v>5</v>
      </c>
      <c r="I13" s="615">
        <v>0.7</v>
      </c>
      <c r="J13" s="655">
        <v>0.7</v>
      </c>
      <c r="K13" s="21">
        <f xml:space="preserve"> SUM(H13:J13) + $C13</f>
        <v>6.4</v>
      </c>
    </row>
    <row r="14" spans="1:11" ht="15.75" thickBot="1" x14ac:dyDescent="0.3">
      <c r="A14" s="1932"/>
      <c r="B14" s="13" t="s">
        <v>34</v>
      </c>
      <c r="C14" s="220"/>
      <c r="D14" s="429">
        <v>5.5</v>
      </c>
      <c r="E14" s="422">
        <v>0.7</v>
      </c>
      <c r="F14" s="687">
        <v>1</v>
      </c>
      <c r="G14" s="77">
        <f t="shared" si="1"/>
        <v>7.2</v>
      </c>
      <c r="H14" s="680">
        <v>5.5</v>
      </c>
      <c r="I14" s="673">
        <v>0.7</v>
      </c>
      <c r="J14" s="687">
        <v>1</v>
      </c>
      <c r="K14" s="77">
        <f xml:space="preserve"> SUM(H14:J14) + $C14</f>
        <v>7.2</v>
      </c>
    </row>
    <row r="15" spans="1:11" ht="16.5" thickBot="1" x14ac:dyDescent="0.3">
      <c r="A15" s="330" t="s">
        <v>3</v>
      </c>
      <c r="B15" s="329"/>
      <c r="C15" s="329"/>
      <c r="D15" s="329"/>
      <c r="E15" s="329"/>
      <c r="F15" s="329"/>
      <c r="G15" s="329"/>
      <c r="H15" s="329"/>
      <c r="I15" s="329"/>
      <c r="J15" s="329"/>
      <c r="K15" s="328"/>
    </row>
    <row r="16" spans="1:11" x14ac:dyDescent="0.25">
      <c r="A16" s="1944" t="s">
        <v>4</v>
      </c>
      <c r="B16" s="325" t="s">
        <v>32</v>
      </c>
      <c r="C16" s="420"/>
      <c r="D16" s="688">
        <f>0.5*D$3</f>
        <v>0</v>
      </c>
      <c r="E16" s="660">
        <v>0</v>
      </c>
      <c r="F16" s="665">
        <v>0</v>
      </c>
      <c r="G16" s="230">
        <f t="shared" si="1"/>
        <v>0</v>
      </c>
      <c r="H16" s="664">
        <v>1</v>
      </c>
      <c r="I16" s="660">
        <v>0</v>
      </c>
      <c r="J16" s="665">
        <v>0</v>
      </c>
      <c r="K16" s="230">
        <f t="shared" ref="K16:K36" si="2" xml:space="preserve"> SUM(H16:J16) + $C16</f>
        <v>1</v>
      </c>
    </row>
    <row r="17" spans="1:11" x14ac:dyDescent="0.25">
      <c r="A17" s="1937"/>
      <c r="B17" s="18" t="s">
        <v>33</v>
      </c>
      <c r="C17" s="198"/>
      <c r="D17" s="648">
        <f>0.5+0.5*D$3</f>
        <v>0.5</v>
      </c>
      <c r="E17" s="616">
        <v>0</v>
      </c>
      <c r="F17" s="646">
        <v>0</v>
      </c>
      <c r="G17" s="21">
        <f t="shared" si="1"/>
        <v>0.5</v>
      </c>
      <c r="H17" s="640">
        <v>1</v>
      </c>
      <c r="I17" s="616">
        <v>0</v>
      </c>
      <c r="J17" s="646">
        <v>0</v>
      </c>
      <c r="K17" s="21">
        <f t="shared" si="2"/>
        <v>1</v>
      </c>
    </row>
    <row r="18" spans="1:11" x14ac:dyDescent="0.25">
      <c r="A18" s="1937"/>
      <c r="B18" s="18" t="s">
        <v>34</v>
      </c>
      <c r="C18" s="198"/>
      <c r="D18" s="648">
        <f>1+0.5*D$3</f>
        <v>1</v>
      </c>
      <c r="E18" s="616">
        <v>0</v>
      </c>
      <c r="F18" s="646">
        <v>0</v>
      </c>
      <c r="G18" s="21">
        <f t="shared" si="1"/>
        <v>1</v>
      </c>
      <c r="H18" s="640">
        <v>1</v>
      </c>
      <c r="I18" s="616">
        <v>0</v>
      </c>
      <c r="J18" s="646">
        <v>0</v>
      </c>
      <c r="K18" s="21">
        <f t="shared" si="2"/>
        <v>1</v>
      </c>
    </row>
    <row r="19" spans="1:11" x14ac:dyDescent="0.25">
      <c r="A19" s="1937" t="s">
        <v>5</v>
      </c>
      <c r="B19" s="19" t="s">
        <v>32</v>
      </c>
      <c r="C19" s="198"/>
      <c r="D19" s="695">
        <v>1</v>
      </c>
      <c r="E19" s="616">
        <v>0</v>
      </c>
      <c r="F19" s="646">
        <v>0</v>
      </c>
      <c r="G19" s="21">
        <f t="shared" si="1"/>
        <v>1</v>
      </c>
      <c r="H19" s="695">
        <v>1</v>
      </c>
      <c r="I19" s="616">
        <v>0</v>
      </c>
      <c r="J19" s="646">
        <v>0</v>
      </c>
      <c r="K19" s="21">
        <f t="shared" si="2"/>
        <v>1</v>
      </c>
    </row>
    <row r="20" spans="1:11" x14ac:dyDescent="0.25">
      <c r="A20" s="1937"/>
      <c r="B20" s="19" t="s">
        <v>33</v>
      </c>
      <c r="C20" s="198"/>
      <c r="D20" s="695">
        <v>1</v>
      </c>
      <c r="E20" s="616">
        <v>0</v>
      </c>
      <c r="F20" s="646">
        <v>0</v>
      </c>
      <c r="G20" s="21">
        <f t="shared" si="1"/>
        <v>1</v>
      </c>
      <c r="H20" s="695">
        <v>1</v>
      </c>
      <c r="I20" s="616">
        <v>0</v>
      </c>
      <c r="J20" s="646">
        <v>0</v>
      </c>
      <c r="K20" s="21">
        <f t="shared" si="2"/>
        <v>1</v>
      </c>
    </row>
    <row r="21" spans="1:11" x14ac:dyDescent="0.25">
      <c r="A21" s="1937"/>
      <c r="B21" s="19" t="s">
        <v>34</v>
      </c>
      <c r="C21" s="198"/>
      <c r="D21" s="695">
        <v>1</v>
      </c>
      <c r="E21" s="616">
        <v>0</v>
      </c>
      <c r="F21" s="646">
        <v>0</v>
      </c>
      <c r="G21" s="21">
        <f t="shared" si="1"/>
        <v>1</v>
      </c>
      <c r="H21" s="695">
        <v>1</v>
      </c>
      <c r="I21" s="616">
        <v>0</v>
      </c>
      <c r="J21" s="646">
        <v>0</v>
      </c>
      <c r="K21" s="21">
        <f t="shared" si="2"/>
        <v>1</v>
      </c>
    </row>
    <row r="22" spans="1:11" x14ac:dyDescent="0.25">
      <c r="A22" s="1937" t="s">
        <v>6</v>
      </c>
      <c r="B22" s="19" t="s">
        <v>32</v>
      </c>
      <c r="C22" s="198"/>
      <c r="D22" s="647">
        <v>4.5</v>
      </c>
      <c r="E22" s="615">
        <v>0.5</v>
      </c>
      <c r="F22" s="655">
        <v>0.5</v>
      </c>
      <c r="G22" s="21">
        <f t="shared" si="1"/>
        <v>5.5</v>
      </c>
      <c r="H22" s="647">
        <v>4.5</v>
      </c>
      <c r="I22" s="615">
        <v>0.5</v>
      </c>
      <c r="J22" s="655">
        <v>0.5</v>
      </c>
      <c r="K22" s="21">
        <f t="shared" si="2"/>
        <v>5.5</v>
      </c>
    </row>
    <row r="23" spans="1:11" x14ac:dyDescent="0.25">
      <c r="A23" s="1937"/>
      <c r="B23" s="19" t="s">
        <v>33</v>
      </c>
      <c r="C23" s="198"/>
      <c r="D23" s="647">
        <v>5</v>
      </c>
      <c r="E23" s="615">
        <v>0.7</v>
      </c>
      <c r="F23" s="655">
        <v>1</v>
      </c>
      <c r="G23" s="21">
        <f t="shared" si="1"/>
        <v>6.7</v>
      </c>
      <c r="H23" s="647">
        <v>5</v>
      </c>
      <c r="I23" s="615">
        <v>0.7</v>
      </c>
      <c r="J23" s="655">
        <v>1</v>
      </c>
      <c r="K23" s="21">
        <f t="shared" si="2"/>
        <v>6.7</v>
      </c>
    </row>
    <row r="24" spans="1:11" x14ac:dyDescent="0.25">
      <c r="A24" s="1937"/>
      <c r="B24" s="19" t="s">
        <v>34</v>
      </c>
      <c r="C24" s="198"/>
      <c r="D24" s="647">
        <v>5.5</v>
      </c>
      <c r="E24" s="615">
        <v>0.7</v>
      </c>
      <c r="F24" s="655">
        <v>1.5</v>
      </c>
      <c r="G24" s="21">
        <f t="shared" si="1"/>
        <v>7.7</v>
      </c>
      <c r="H24" s="647">
        <v>5.5</v>
      </c>
      <c r="I24" s="615">
        <v>0.7</v>
      </c>
      <c r="J24" s="655">
        <v>1.5</v>
      </c>
      <c r="K24" s="21">
        <f t="shared" si="2"/>
        <v>7.7</v>
      </c>
    </row>
    <row r="25" spans="1:11" x14ac:dyDescent="0.25">
      <c r="A25" s="1937" t="s">
        <v>7</v>
      </c>
      <c r="B25" s="19" t="s">
        <v>32</v>
      </c>
      <c r="C25" s="198"/>
      <c r="D25" s="656">
        <f>3+D$3</f>
        <v>3</v>
      </c>
      <c r="E25" s="616">
        <v>0</v>
      </c>
      <c r="F25" s="646">
        <v>1</v>
      </c>
      <c r="G25" s="21">
        <f t="shared" si="1"/>
        <v>4</v>
      </c>
      <c r="H25" s="656">
        <f>3+H$3</f>
        <v>3</v>
      </c>
      <c r="I25" s="616">
        <v>0</v>
      </c>
      <c r="J25" s="646">
        <v>1</v>
      </c>
      <c r="K25" s="21">
        <f t="shared" si="2"/>
        <v>4</v>
      </c>
    </row>
    <row r="26" spans="1:11" x14ac:dyDescent="0.25">
      <c r="A26" s="1937"/>
      <c r="B26" s="19" t="s">
        <v>33</v>
      </c>
      <c r="C26" s="198"/>
      <c r="D26" s="656">
        <f>4+D$3</f>
        <v>4</v>
      </c>
      <c r="E26" s="616">
        <v>0</v>
      </c>
      <c r="F26" s="646">
        <v>1</v>
      </c>
      <c r="G26" s="21">
        <f t="shared" si="1"/>
        <v>5</v>
      </c>
      <c r="H26" s="656">
        <f>4+H$3</f>
        <v>4</v>
      </c>
      <c r="I26" s="616">
        <v>0</v>
      </c>
      <c r="J26" s="646">
        <v>1</v>
      </c>
      <c r="K26" s="21">
        <f t="shared" si="2"/>
        <v>5</v>
      </c>
    </row>
    <row r="27" spans="1:11" x14ac:dyDescent="0.25">
      <c r="A27" s="1937"/>
      <c r="B27" s="19" t="s">
        <v>34</v>
      </c>
      <c r="C27" s="198"/>
      <c r="D27" s="656">
        <f>5+D$3</f>
        <v>5</v>
      </c>
      <c r="E27" s="616">
        <v>0</v>
      </c>
      <c r="F27" s="646">
        <v>2</v>
      </c>
      <c r="G27" s="21">
        <f t="shared" si="1"/>
        <v>7</v>
      </c>
      <c r="H27" s="656">
        <f>5+H$3</f>
        <v>5</v>
      </c>
      <c r="I27" s="616">
        <v>0</v>
      </c>
      <c r="J27" s="646">
        <v>2</v>
      </c>
      <c r="K27" s="21">
        <f t="shared" si="2"/>
        <v>7</v>
      </c>
    </row>
    <row r="28" spans="1:11" x14ac:dyDescent="0.25">
      <c r="A28" s="1937" t="s">
        <v>8</v>
      </c>
      <c r="B28" s="19" t="s">
        <v>32</v>
      </c>
      <c r="C28" s="198"/>
      <c r="D28" s="640">
        <v>4</v>
      </c>
      <c r="E28" s="616">
        <v>0</v>
      </c>
      <c r="F28" s="646">
        <v>0</v>
      </c>
      <c r="G28" s="21">
        <f t="shared" si="1"/>
        <v>4</v>
      </c>
      <c r="H28" s="640">
        <v>4</v>
      </c>
      <c r="I28" s="616">
        <v>0</v>
      </c>
      <c r="J28" s="646">
        <v>0</v>
      </c>
      <c r="K28" s="21">
        <f t="shared" si="2"/>
        <v>4</v>
      </c>
    </row>
    <row r="29" spans="1:11" x14ac:dyDescent="0.25">
      <c r="A29" s="1937"/>
      <c r="B29" s="19" t="s">
        <v>33</v>
      </c>
      <c r="C29" s="198"/>
      <c r="D29" s="640">
        <v>4</v>
      </c>
      <c r="E29" s="616">
        <v>0</v>
      </c>
      <c r="F29" s="646">
        <v>0</v>
      </c>
      <c r="G29" s="21">
        <f t="shared" si="1"/>
        <v>4</v>
      </c>
      <c r="H29" s="640">
        <v>4</v>
      </c>
      <c r="I29" s="616">
        <v>0</v>
      </c>
      <c r="J29" s="646">
        <v>0</v>
      </c>
      <c r="K29" s="21">
        <f t="shared" si="2"/>
        <v>4</v>
      </c>
    </row>
    <row r="30" spans="1:11" x14ac:dyDescent="0.25">
      <c r="A30" s="1937"/>
      <c r="B30" s="19" t="s">
        <v>34</v>
      </c>
      <c r="C30" s="198"/>
      <c r="D30" s="640">
        <v>4</v>
      </c>
      <c r="E30" s="616">
        <v>0</v>
      </c>
      <c r="F30" s="646">
        <v>0</v>
      </c>
      <c r="G30" s="21">
        <f t="shared" si="1"/>
        <v>4</v>
      </c>
      <c r="H30" s="640">
        <v>4</v>
      </c>
      <c r="I30" s="616">
        <v>0</v>
      </c>
      <c r="J30" s="646">
        <v>0</v>
      </c>
      <c r="K30" s="21">
        <f t="shared" si="2"/>
        <v>4</v>
      </c>
    </row>
    <row r="31" spans="1:11" x14ac:dyDescent="0.25">
      <c r="A31" s="1937" t="s">
        <v>9</v>
      </c>
      <c r="B31" s="19" t="s">
        <v>32</v>
      </c>
      <c r="C31" s="198"/>
      <c r="D31" s="648">
        <f>0.5+0.5*D$3</f>
        <v>0.5</v>
      </c>
      <c r="E31" s="616">
        <v>0</v>
      </c>
      <c r="F31" s="646">
        <v>0.5</v>
      </c>
      <c r="G31" s="21">
        <f t="shared" si="1"/>
        <v>1</v>
      </c>
      <c r="H31" s="648">
        <f>0.5+0.5*H$3</f>
        <v>0.5</v>
      </c>
      <c r="I31" s="616">
        <v>0</v>
      </c>
      <c r="J31" s="646">
        <v>0.5</v>
      </c>
      <c r="K31" s="21">
        <f t="shared" si="2"/>
        <v>1</v>
      </c>
    </row>
    <row r="32" spans="1:11" x14ac:dyDescent="0.25">
      <c r="A32" s="1937"/>
      <c r="B32" s="19" t="s">
        <v>33</v>
      </c>
      <c r="C32" s="198"/>
      <c r="D32" s="648">
        <f>1+0.5*D$3</f>
        <v>1</v>
      </c>
      <c r="E32" s="616">
        <v>0</v>
      </c>
      <c r="F32" s="646">
        <v>0.5</v>
      </c>
      <c r="G32" s="21">
        <f t="shared" si="1"/>
        <v>1.5</v>
      </c>
      <c r="H32" s="648">
        <f>1+0.5*H$3</f>
        <v>1</v>
      </c>
      <c r="I32" s="616">
        <v>0</v>
      </c>
      <c r="J32" s="646">
        <v>0.5</v>
      </c>
      <c r="K32" s="21">
        <f t="shared" si="2"/>
        <v>1.5</v>
      </c>
    </row>
    <row r="33" spans="1:11" x14ac:dyDescent="0.25">
      <c r="A33" s="1937"/>
      <c r="B33" s="19" t="s">
        <v>34</v>
      </c>
      <c r="C33" s="198"/>
      <c r="D33" s="648">
        <f>2+0.5*D$3</f>
        <v>2</v>
      </c>
      <c r="E33" s="616">
        <v>0</v>
      </c>
      <c r="F33" s="646">
        <v>0.5</v>
      </c>
      <c r="G33" s="21">
        <f t="shared" si="1"/>
        <v>2.5</v>
      </c>
      <c r="H33" s="648">
        <f>2+0.5*H$3</f>
        <v>2</v>
      </c>
      <c r="I33" s="616">
        <v>0</v>
      </c>
      <c r="J33" s="646">
        <v>0.5</v>
      </c>
      <c r="K33" s="21">
        <f t="shared" si="2"/>
        <v>2.5</v>
      </c>
    </row>
    <row r="34" spans="1:11" x14ac:dyDescent="0.25">
      <c r="A34" s="1937" t="s">
        <v>10</v>
      </c>
      <c r="B34" s="19" t="s">
        <v>32</v>
      </c>
      <c r="C34" s="198"/>
      <c r="D34" s="640">
        <v>1.3</v>
      </c>
      <c r="E34" s="616">
        <v>0</v>
      </c>
      <c r="F34" s="646">
        <v>0</v>
      </c>
      <c r="G34" s="21">
        <f t="shared" si="1"/>
        <v>1.3</v>
      </c>
      <c r="H34" s="640">
        <v>1.3</v>
      </c>
      <c r="I34" s="616">
        <v>0</v>
      </c>
      <c r="J34" s="646">
        <v>0</v>
      </c>
      <c r="K34" s="21">
        <f t="shared" si="2"/>
        <v>1.3</v>
      </c>
    </row>
    <row r="35" spans="1:11" x14ac:dyDescent="0.25">
      <c r="A35" s="1937"/>
      <c r="B35" s="19" t="s">
        <v>33</v>
      </c>
      <c r="C35" s="198"/>
      <c r="D35" s="640">
        <v>1.5</v>
      </c>
      <c r="E35" s="616">
        <v>0</v>
      </c>
      <c r="F35" s="646">
        <v>0</v>
      </c>
      <c r="G35" s="21">
        <f t="shared" si="1"/>
        <v>1.5</v>
      </c>
      <c r="H35" s="640">
        <v>1.5</v>
      </c>
      <c r="I35" s="616">
        <v>0</v>
      </c>
      <c r="J35" s="646">
        <v>0</v>
      </c>
      <c r="K35" s="21">
        <f t="shared" si="2"/>
        <v>1.5</v>
      </c>
    </row>
    <row r="36" spans="1:11" ht="15.75" thickBot="1" x14ac:dyDescent="0.3">
      <c r="A36" s="1938"/>
      <c r="B36" s="13" t="s">
        <v>34</v>
      </c>
      <c r="C36" s="220"/>
      <c r="D36" s="662">
        <v>1.5</v>
      </c>
      <c r="E36" s="659">
        <v>0</v>
      </c>
      <c r="F36" s="663">
        <v>0</v>
      </c>
      <c r="G36" s="77">
        <f t="shared" si="1"/>
        <v>1.5</v>
      </c>
      <c r="H36" s="662">
        <v>1.5</v>
      </c>
      <c r="I36" s="659">
        <v>0</v>
      </c>
      <c r="J36" s="663">
        <v>0</v>
      </c>
      <c r="K36" s="77">
        <f t="shared" si="2"/>
        <v>1.5</v>
      </c>
    </row>
    <row r="37" spans="1:11" ht="16.5" thickBot="1" x14ac:dyDescent="0.3">
      <c r="A37" s="330" t="s">
        <v>11</v>
      </c>
      <c r="B37" s="329"/>
      <c r="C37" s="329"/>
      <c r="D37" s="329"/>
      <c r="E37" s="329"/>
      <c r="F37" s="329"/>
      <c r="G37" s="329"/>
      <c r="H37" s="329"/>
      <c r="I37" s="329"/>
      <c r="J37" s="329"/>
      <c r="K37" s="328"/>
    </row>
    <row r="38" spans="1:11" x14ac:dyDescent="0.25">
      <c r="A38" s="1932" t="s">
        <v>12</v>
      </c>
      <c r="B38" s="404" t="s">
        <v>32</v>
      </c>
      <c r="C38" s="420"/>
      <c r="D38" s="681">
        <v>6</v>
      </c>
      <c r="E38" s="661">
        <v>0.5</v>
      </c>
      <c r="F38" s="686">
        <v>1</v>
      </c>
      <c r="G38" s="230">
        <f t="shared" si="1"/>
        <v>7.5</v>
      </c>
      <c r="H38" s="681">
        <v>6</v>
      </c>
      <c r="I38" s="661">
        <v>0.5</v>
      </c>
      <c r="J38" s="686">
        <v>1</v>
      </c>
      <c r="K38" s="230">
        <f xml:space="preserve"> SUM(H38:J38) + $C38</f>
        <v>7.5</v>
      </c>
    </row>
    <row r="39" spans="1:11" x14ac:dyDescent="0.25">
      <c r="A39" s="1932"/>
      <c r="B39" s="19" t="s">
        <v>33</v>
      </c>
      <c r="C39" s="198"/>
      <c r="D39" s="647">
        <v>8</v>
      </c>
      <c r="E39" s="615">
        <v>0.7</v>
      </c>
      <c r="F39" s="655">
        <v>1</v>
      </c>
      <c r="G39" s="21">
        <f t="shared" si="1"/>
        <v>9.6999999999999993</v>
      </c>
      <c r="H39" s="647">
        <v>8</v>
      </c>
      <c r="I39" s="615">
        <v>0.7</v>
      </c>
      <c r="J39" s="655">
        <v>1</v>
      </c>
      <c r="K39" s="21">
        <f xml:space="preserve"> SUM(H39:J39) + $C39</f>
        <v>9.6999999999999993</v>
      </c>
    </row>
    <row r="40" spans="1:11" ht="15.75" thickBot="1" x14ac:dyDescent="0.3">
      <c r="A40" s="1932"/>
      <c r="B40" s="13" t="s">
        <v>34</v>
      </c>
      <c r="C40" s="220"/>
      <c r="D40" s="680">
        <v>10</v>
      </c>
      <c r="E40" s="673">
        <v>0.7</v>
      </c>
      <c r="F40" s="687">
        <v>2</v>
      </c>
      <c r="G40" s="77">
        <f t="shared" si="1"/>
        <v>12.7</v>
      </c>
      <c r="H40" s="680">
        <v>10</v>
      </c>
      <c r="I40" s="673">
        <v>0.7</v>
      </c>
      <c r="J40" s="687">
        <v>2</v>
      </c>
      <c r="K40" s="77">
        <f xml:space="preserve"> SUM(H40:J40) + $C40</f>
        <v>12.7</v>
      </c>
    </row>
    <row r="41" spans="1:11" ht="16.5" thickBot="1" x14ac:dyDescent="0.3">
      <c r="A41" s="330" t="s">
        <v>13</v>
      </c>
      <c r="B41" s="329"/>
      <c r="C41" s="329"/>
      <c r="D41" s="329"/>
      <c r="E41" s="329"/>
      <c r="F41" s="329"/>
      <c r="G41" s="329"/>
      <c r="H41" s="329"/>
      <c r="I41" s="329"/>
      <c r="J41" s="329"/>
      <c r="K41" s="328"/>
    </row>
    <row r="42" spans="1:11" x14ac:dyDescent="0.25">
      <c r="A42" s="1932" t="s">
        <v>14</v>
      </c>
      <c r="B42" s="404" t="s">
        <v>32</v>
      </c>
      <c r="C42" s="420"/>
      <c r="D42" s="688">
        <f>0.5*D$3</f>
        <v>0</v>
      </c>
      <c r="E42" s="660">
        <v>0</v>
      </c>
      <c r="F42" s="665">
        <v>0</v>
      </c>
      <c r="G42" s="230">
        <f t="shared" si="1"/>
        <v>0</v>
      </c>
      <c r="H42" s="688">
        <f>0.5*H$3</f>
        <v>0</v>
      </c>
      <c r="I42" s="660">
        <v>0</v>
      </c>
      <c r="J42" s="665">
        <v>0</v>
      </c>
      <c r="K42" s="230">
        <f t="shared" ref="K42:K80" si="3" xml:space="preserve"> SUM(H42:J42) + $C42</f>
        <v>0</v>
      </c>
    </row>
    <row r="43" spans="1:11" x14ac:dyDescent="0.25">
      <c r="A43" s="1932"/>
      <c r="B43" s="19" t="s">
        <v>33</v>
      </c>
      <c r="C43" s="198"/>
      <c r="D43" s="648">
        <f>0.5+0.5*D$3</f>
        <v>0.5</v>
      </c>
      <c r="E43" s="616">
        <v>0</v>
      </c>
      <c r="F43" s="646">
        <v>0</v>
      </c>
      <c r="G43" s="21">
        <f t="shared" si="1"/>
        <v>0.5</v>
      </c>
      <c r="H43" s="648">
        <f>0.5+0.5*H$3</f>
        <v>0.5</v>
      </c>
      <c r="I43" s="616">
        <v>0</v>
      </c>
      <c r="J43" s="646">
        <v>0</v>
      </c>
      <c r="K43" s="21">
        <f t="shared" si="3"/>
        <v>0.5</v>
      </c>
    </row>
    <row r="44" spans="1:11" x14ac:dyDescent="0.25">
      <c r="A44" s="1932"/>
      <c r="B44" s="19" t="s">
        <v>34</v>
      </c>
      <c r="C44" s="198"/>
      <c r="D44" s="648">
        <f>1+0.5*D$3</f>
        <v>1</v>
      </c>
      <c r="E44" s="616">
        <v>0</v>
      </c>
      <c r="F44" s="646">
        <v>0</v>
      </c>
      <c r="G44" s="21">
        <f t="shared" si="1"/>
        <v>1</v>
      </c>
      <c r="H44" s="648">
        <f>1+0.5*H$3</f>
        <v>1</v>
      </c>
      <c r="I44" s="616">
        <v>0</v>
      </c>
      <c r="J44" s="646">
        <v>0</v>
      </c>
      <c r="K44" s="21">
        <f t="shared" si="3"/>
        <v>1</v>
      </c>
    </row>
    <row r="45" spans="1:11" x14ac:dyDescent="0.25">
      <c r="A45" s="1933" t="s">
        <v>15</v>
      </c>
      <c r="B45" s="19" t="s">
        <v>32</v>
      </c>
      <c r="C45" s="198"/>
      <c r="D45" s="640">
        <v>2.2000000000000002</v>
      </c>
      <c r="E45" s="616">
        <v>0</v>
      </c>
      <c r="F45" s="646">
        <v>0</v>
      </c>
      <c r="G45" s="21">
        <f t="shared" si="1"/>
        <v>2.2000000000000002</v>
      </c>
      <c r="H45" s="640">
        <v>2.2000000000000002</v>
      </c>
      <c r="I45" s="616">
        <v>0</v>
      </c>
      <c r="J45" s="646">
        <v>0</v>
      </c>
      <c r="K45" s="21">
        <f t="shared" si="3"/>
        <v>2.2000000000000002</v>
      </c>
    </row>
    <row r="46" spans="1:11" x14ac:dyDescent="0.25">
      <c r="A46" s="1933"/>
      <c r="B46" s="19" t="s">
        <v>33</v>
      </c>
      <c r="C46" s="198"/>
      <c r="D46" s="640">
        <v>2.5</v>
      </c>
      <c r="E46" s="616">
        <v>0</v>
      </c>
      <c r="F46" s="646">
        <v>0</v>
      </c>
      <c r="G46" s="21">
        <f t="shared" si="1"/>
        <v>2.5</v>
      </c>
      <c r="H46" s="640">
        <v>2.5</v>
      </c>
      <c r="I46" s="616">
        <v>0</v>
      </c>
      <c r="J46" s="646">
        <v>0</v>
      </c>
      <c r="K46" s="21">
        <f t="shared" si="3"/>
        <v>2.5</v>
      </c>
    </row>
    <row r="47" spans="1:11" x14ac:dyDescent="0.25">
      <c r="A47" s="1933"/>
      <c r="B47" s="19" t="s">
        <v>34</v>
      </c>
      <c r="C47" s="198"/>
      <c r="D47" s="640">
        <v>2.5</v>
      </c>
      <c r="E47" s="616">
        <v>0</v>
      </c>
      <c r="F47" s="646">
        <v>0</v>
      </c>
      <c r="G47" s="21">
        <f t="shared" si="1"/>
        <v>2.5</v>
      </c>
      <c r="H47" s="640">
        <v>2.5</v>
      </c>
      <c r="I47" s="616">
        <v>0</v>
      </c>
      <c r="J47" s="646">
        <v>0</v>
      </c>
      <c r="K47" s="21">
        <f t="shared" si="3"/>
        <v>2.5</v>
      </c>
    </row>
    <row r="48" spans="1:11" x14ac:dyDescent="0.25">
      <c r="A48" s="1933" t="s">
        <v>16</v>
      </c>
      <c r="B48" s="19" t="s">
        <v>32</v>
      </c>
      <c r="C48" s="198"/>
      <c r="D48" s="656">
        <f>IF(D$3=0,0,0.8)</f>
        <v>0</v>
      </c>
      <c r="E48" s="616">
        <v>0</v>
      </c>
      <c r="F48" s="646">
        <v>0</v>
      </c>
      <c r="G48" s="21">
        <f t="shared" si="1"/>
        <v>0</v>
      </c>
      <c r="H48" s="656">
        <f>IF(H$3=0,0,0.8)</f>
        <v>0</v>
      </c>
      <c r="I48" s="616">
        <v>0</v>
      </c>
      <c r="J48" s="646">
        <v>0</v>
      </c>
      <c r="K48" s="21">
        <f t="shared" si="3"/>
        <v>0</v>
      </c>
    </row>
    <row r="49" spans="1:13" x14ac:dyDescent="0.25">
      <c r="A49" s="1933"/>
      <c r="B49" s="19" t="s">
        <v>33</v>
      </c>
      <c r="C49" s="198"/>
      <c r="D49" s="656">
        <f>IF(D$3=0,0,1)</f>
        <v>0</v>
      </c>
      <c r="E49" s="616">
        <v>0</v>
      </c>
      <c r="F49" s="646">
        <v>0</v>
      </c>
      <c r="G49" s="21">
        <f t="shared" si="1"/>
        <v>0</v>
      </c>
      <c r="H49" s="656">
        <f>IF(H$3=0,0,1)</f>
        <v>0</v>
      </c>
      <c r="I49" s="616">
        <v>0</v>
      </c>
      <c r="J49" s="646">
        <v>0</v>
      </c>
      <c r="K49" s="21">
        <f t="shared" si="3"/>
        <v>0</v>
      </c>
    </row>
    <row r="50" spans="1:13" x14ac:dyDescent="0.25">
      <c r="A50" s="1933"/>
      <c r="B50" s="19" t="s">
        <v>34</v>
      </c>
      <c r="C50" s="198"/>
      <c r="D50" s="656">
        <f>IF(D$3=0,0,1)</f>
        <v>0</v>
      </c>
      <c r="E50" s="616">
        <v>0</v>
      </c>
      <c r="F50" s="646">
        <v>0</v>
      </c>
      <c r="G50" s="21">
        <f t="shared" si="1"/>
        <v>0</v>
      </c>
      <c r="H50" s="656">
        <f>IF(H$3=0,0,1)</f>
        <v>0</v>
      </c>
      <c r="I50" s="616">
        <v>0</v>
      </c>
      <c r="J50" s="646">
        <v>0</v>
      </c>
      <c r="K50" s="21">
        <f t="shared" si="3"/>
        <v>0</v>
      </c>
    </row>
    <row r="51" spans="1:13" x14ac:dyDescent="0.25">
      <c r="A51" s="1933" t="s">
        <v>17</v>
      </c>
      <c r="B51" s="19" t="s">
        <v>32</v>
      </c>
      <c r="C51" s="198"/>
      <c r="D51" s="640">
        <v>0.8</v>
      </c>
      <c r="E51" s="616">
        <v>0</v>
      </c>
      <c r="F51" s="646">
        <v>0</v>
      </c>
      <c r="G51" s="21">
        <f t="shared" si="1"/>
        <v>0.8</v>
      </c>
      <c r="H51" s="640">
        <v>0.8</v>
      </c>
      <c r="I51" s="616">
        <v>0</v>
      </c>
      <c r="J51" s="646">
        <v>0</v>
      </c>
      <c r="K51" s="21">
        <f t="shared" si="3"/>
        <v>0.8</v>
      </c>
    </row>
    <row r="52" spans="1:13" x14ac:dyDescent="0.25">
      <c r="A52" s="1933"/>
      <c r="B52" s="19" t="s">
        <v>33</v>
      </c>
      <c r="C52" s="198"/>
      <c r="D52" s="640">
        <v>1</v>
      </c>
      <c r="E52" s="616">
        <v>0</v>
      </c>
      <c r="F52" s="646">
        <v>0</v>
      </c>
      <c r="G52" s="21">
        <f t="shared" si="1"/>
        <v>1</v>
      </c>
      <c r="H52" s="640">
        <v>1</v>
      </c>
      <c r="I52" s="616">
        <v>0</v>
      </c>
      <c r="J52" s="646">
        <v>0</v>
      </c>
      <c r="K52" s="21">
        <f t="shared" si="3"/>
        <v>1</v>
      </c>
    </row>
    <row r="53" spans="1:13" x14ac:dyDescent="0.25">
      <c r="A53" s="1933"/>
      <c r="B53" s="19" t="s">
        <v>34</v>
      </c>
      <c r="C53" s="198"/>
      <c r="D53" s="640">
        <v>1</v>
      </c>
      <c r="E53" s="616">
        <v>0</v>
      </c>
      <c r="F53" s="646">
        <v>0</v>
      </c>
      <c r="G53" s="21">
        <f t="shared" si="1"/>
        <v>1</v>
      </c>
      <c r="H53" s="640">
        <v>1</v>
      </c>
      <c r="I53" s="616">
        <v>0</v>
      </c>
      <c r="J53" s="646">
        <v>0</v>
      </c>
      <c r="K53" s="21">
        <f t="shared" si="3"/>
        <v>1</v>
      </c>
    </row>
    <row r="54" spans="1:13" x14ac:dyDescent="0.25">
      <c r="A54" s="1933" t="s">
        <v>18</v>
      </c>
      <c r="B54" s="19" t="s">
        <v>32</v>
      </c>
      <c r="C54" s="198"/>
      <c r="D54" s="648">
        <f>0.6*D$3</f>
        <v>0</v>
      </c>
      <c r="E54" s="616">
        <v>0</v>
      </c>
      <c r="F54" s="646">
        <v>0</v>
      </c>
      <c r="G54" s="21">
        <f t="shared" si="1"/>
        <v>0</v>
      </c>
      <c r="H54" s="648">
        <f>0.6*H$3</f>
        <v>0</v>
      </c>
      <c r="I54" s="616">
        <v>0</v>
      </c>
      <c r="J54" s="646">
        <v>0</v>
      </c>
      <c r="K54" s="21">
        <f t="shared" si="3"/>
        <v>0</v>
      </c>
    </row>
    <row r="55" spans="1:13" x14ac:dyDescent="0.25">
      <c r="A55" s="1933"/>
      <c r="B55" s="19" t="s">
        <v>33</v>
      </c>
      <c r="C55" s="198"/>
      <c r="D55" s="648">
        <f>0.8*D$3</f>
        <v>0</v>
      </c>
      <c r="E55" s="616">
        <v>0</v>
      </c>
      <c r="F55" s="646">
        <v>0</v>
      </c>
      <c r="G55" s="21">
        <f t="shared" si="1"/>
        <v>0</v>
      </c>
      <c r="H55" s="648">
        <f>0.8*H$3</f>
        <v>0</v>
      </c>
      <c r="I55" s="616">
        <v>0</v>
      </c>
      <c r="J55" s="646">
        <v>0</v>
      </c>
      <c r="K55" s="21">
        <f t="shared" si="3"/>
        <v>0</v>
      </c>
    </row>
    <row r="56" spans="1:13" x14ac:dyDescent="0.25">
      <c r="A56" s="1933"/>
      <c r="B56" s="19" t="s">
        <v>34</v>
      </c>
      <c r="C56" s="198"/>
      <c r="D56" s="648">
        <f>0.8*D$3</f>
        <v>0</v>
      </c>
      <c r="E56" s="616">
        <v>0</v>
      </c>
      <c r="F56" s="646">
        <v>0</v>
      </c>
      <c r="G56" s="21">
        <f t="shared" si="1"/>
        <v>0</v>
      </c>
      <c r="H56" s="648">
        <f>0.8*H$3</f>
        <v>0</v>
      </c>
      <c r="I56" s="616">
        <v>0</v>
      </c>
      <c r="J56" s="646">
        <v>0</v>
      </c>
      <c r="K56" s="21">
        <f t="shared" si="3"/>
        <v>0</v>
      </c>
    </row>
    <row r="57" spans="1:13" x14ac:dyDescent="0.25">
      <c r="A57" s="1933" t="s">
        <v>19</v>
      </c>
      <c r="B57" s="19" t="s">
        <v>32</v>
      </c>
      <c r="C57" s="198"/>
      <c r="D57" s="640">
        <v>1</v>
      </c>
      <c r="E57" s="616">
        <v>0</v>
      </c>
      <c r="F57" s="646">
        <v>0</v>
      </c>
      <c r="G57" s="21">
        <f t="shared" si="1"/>
        <v>1</v>
      </c>
      <c r="H57" s="640">
        <v>1</v>
      </c>
      <c r="I57" s="616">
        <v>0</v>
      </c>
      <c r="J57" s="646">
        <v>0</v>
      </c>
      <c r="K57" s="21">
        <f t="shared" si="3"/>
        <v>1</v>
      </c>
    </row>
    <row r="58" spans="1:13" x14ac:dyDescent="0.25">
      <c r="A58" s="1933"/>
      <c r="B58" s="19" t="s">
        <v>33</v>
      </c>
      <c r="C58" s="198"/>
      <c r="D58" s="640">
        <v>2</v>
      </c>
      <c r="E58" s="616">
        <v>0</v>
      </c>
      <c r="F58" s="646">
        <v>0</v>
      </c>
      <c r="G58" s="21">
        <f t="shared" si="1"/>
        <v>2</v>
      </c>
      <c r="H58" s="640">
        <v>2</v>
      </c>
      <c r="I58" s="616">
        <v>0</v>
      </c>
      <c r="J58" s="646">
        <v>0</v>
      </c>
      <c r="K58" s="21">
        <f t="shared" si="3"/>
        <v>2</v>
      </c>
    </row>
    <row r="59" spans="1:13" x14ac:dyDescent="0.25">
      <c r="A59" s="1933"/>
      <c r="B59" s="19" t="s">
        <v>34</v>
      </c>
      <c r="C59" s="198"/>
      <c r="D59" s="640">
        <v>4</v>
      </c>
      <c r="E59" s="616">
        <v>0</v>
      </c>
      <c r="F59" s="646">
        <v>0</v>
      </c>
      <c r="G59" s="21">
        <f t="shared" si="1"/>
        <v>4</v>
      </c>
      <c r="H59" s="640">
        <v>4</v>
      </c>
      <c r="I59" s="616">
        <v>0</v>
      </c>
      <c r="J59" s="646">
        <v>0</v>
      </c>
      <c r="K59" s="21">
        <f t="shared" si="3"/>
        <v>4</v>
      </c>
    </row>
    <row r="60" spans="1:13" x14ac:dyDescent="0.25">
      <c r="A60" s="1933" t="s">
        <v>20</v>
      </c>
      <c r="B60" s="19" t="s">
        <v>32</v>
      </c>
      <c r="C60" s="198"/>
      <c r="D60" s="640">
        <v>3</v>
      </c>
      <c r="E60" s="630">
        <f>0.4*E$3</f>
        <v>0</v>
      </c>
      <c r="F60" s="646">
        <v>0</v>
      </c>
      <c r="G60" s="21">
        <f t="shared" si="1"/>
        <v>3</v>
      </c>
      <c r="H60" s="640">
        <v>3</v>
      </c>
      <c r="I60" s="630">
        <f>0.4*I$3</f>
        <v>0</v>
      </c>
      <c r="J60" s="646">
        <v>0</v>
      </c>
      <c r="K60" s="21">
        <f t="shared" si="3"/>
        <v>3</v>
      </c>
      <c r="M60" s="108"/>
    </row>
    <row r="61" spans="1:13" x14ac:dyDescent="0.25">
      <c r="A61" s="1933"/>
      <c r="B61" s="19" t="s">
        <v>33</v>
      </c>
      <c r="C61" s="198"/>
      <c r="D61" s="640">
        <v>4</v>
      </c>
      <c r="E61" s="630">
        <f>0.5*E$3</f>
        <v>0</v>
      </c>
      <c r="F61" s="646">
        <v>0</v>
      </c>
      <c r="G61" s="21">
        <f t="shared" si="1"/>
        <v>4</v>
      </c>
      <c r="H61" s="640">
        <v>4</v>
      </c>
      <c r="I61" s="630">
        <f>0.5*I$3</f>
        <v>0</v>
      </c>
      <c r="J61" s="646">
        <v>0</v>
      </c>
      <c r="K61" s="21">
        <f t="shared" si="3"/>
        <v>4</v>
      </c>
    </row>
    <row r="62" spans="1:13" x14ac:dyDescent="0.25">
      <c r="A62" s="1933"/>
      <c r="B62" s="19" t="s">
        <v>34</v>
      </c>
      <c r="C62" s="198"/>
      <c r="D62" s="640">
        <v>5</v>
      </c>
      <c r="E62" s="630">
        <f>0.5*E$3</f>
        <v>0</v>
      </c>
      <c r="F62" s="646">
        <v>0</v>
      </c>
      <c r="G62" s="21">
        <f t="shared" si="1"/>
        <v>5</v>
      </c>
      <c r="H62" s="640">
        <v>5</v>
      </c>
      <c r="I62" s="630">
        <f>0.5*I$3</f>
        <v>0</v>
      </c>
      <c r="J62" s="646">
        <v>0</v>
      </c>
      <c r="K62" s="21">
        <f t="shared" si="3"/>
        <v>5</v>
      </c>
    </row>
    <row r="63" spans="1:13" x14ac:dyDescent="0.25">
      <c r="A63" s="1933" t="s">
        <v>451</v>
      </c>
      <c r="B63" s="19" t="s">
        <v>32</v>
      </c>
      <c r="C63" s="198"/>
      <c r="D63" s="640">
        <v>2</v>
      </c>
      <c r="E63" s="616">
        <v>0</v>
      </c>
      <c r="F63" s="617">
        <v>0</v>
      </c>
      <c r="G63" s="21">
        <f t="shared" si="1"/>
        <v>2</v>
      </c>
      <c r="H63" s="640">
        <v>2</v>
      </c>
      <c r="I63" s="616">
        <v>0</v>
      </c>
      <c r="J63" s="617">
        <v>0</v>
      </c>
      <c r="K63" s="21">
        <f t="shared" si="3"/>
        <v>2</v>
      </c>
    </row>
    <row r="64" spans="1:13" x14ac:dyDescent="0.25">
      <c r="A64" s="1933"/>
      <c r="B64" s="19" t="s">
        <v>33</v>
      </c>
      <c r="C64" s="198"/>
      <c r="D64" s="640">
        <v>2</v>
      </c>
      <c r="E64" s="616">
        <v>0</v>
      </c>
      <c r="F64" s="617">
        <v>0</v>
      </c>
      <c r="G64" s="21">
        <f t="shared" si="1"/>
        <v>2</v>
      </c>
      <c r="H64" s="640">
        <v>2</v>
      </c>
      <c r="I64" s="616">
        <v>0</v>
      </c>
      <c r="J64" s="617">
        <v>0</v>
      </c>
      <c r="K64" s="21">
        <f t="shared" si="3"/>
        <v>2</v>
      </c>
    </row>
    <row r="65" spans="1:11" x14ac:dyDescent="0.25">
      <c r="A65" s="1933"/>
      <c r="B65" s="19" t="s">
        <v>34</v>
      </c>
      <c r="C65" s="198"/>
      <c r="D65" s="640">
        <v>2</v>
      </c>
      <c r="E65" s="616">
        <v>0</v>
      </c>
      <c r="F65" s="617">
        <v>0</v>
      </c>
      <c r="G65" s="21">
        <f t="shared" si="1"/>
        <v>2</v>
      </c>
      <c r="H65" s="640">
        <v>2</v>
      </c>
      <c r="I65" s="616">
        <v>0</v>
      </c>
      <c r="J65" s="617">
        <v>0</v>
      </c>
      <c r="K65" s="21">
        <f t="shared" si="3"/>
        <v>2</v>
      </c>
    </row>
    <row r="66" spans="1:11" x14ac:dyDescent="0.25">
      <c r="A66" s="1933" t="s">
        <v>452</v>
      </c>
      <c r="B66" s="19" t="s">
        <v>32</v>
      </c>
      <c r="C66" s="198"/>
      <c r="D66" s="640">
        <v>1</v>
      </c>
      <c r="E66" s="616">
        <v>0</v>
      </c>
      <c r="F66" s="617">
        <v>0.5</v>
      </c>
      <c r="G66" s="21">
        <f t="shared" si="1"/>
        <v>1.5</v>
      </c>
      <c r="H66" s="640">
        <v>1</v>
      </c>
      <c r="I66" s="616">
        <v>0</v>
      </c>
      <c r="J66" s="617">
        <v>0.5</v>
      </c>
      <c r="K66" s="21">
        <f t="shared" si="3"/>
        <v>1.5</v>
      </c>
    </row>
    <row r="67" spans="1:11" x14ac:dyDescent="0.25">
      <c r="A67" s="1933"/>
      <c r="B67" s="19" t="s">
        <v>33</v>
      </c>
      <c r="C67" s="198"/>
      <c r="D67" s="640">
        <v>1</v>
      </c>
      <c r="E67" s="616">
        <v>0</v>
      </c>
      <c r="F67" s="617">
        <v>0.5</v>
      </c>
      <c r="G67" s="21">
        <f t="shared" si="1"/>
        <v>1.5</v>
      </c>
      <c r="H67" s="640">
        <v>1</v>
      </c>
      <c r="I67" s="616">
        <v>0</v>
      </c>
      <c r="J67" s="617">
        <v>0.5</v>
      </c>
      <c r="K67" s="21">
        <f t="shared" si="3"/>
        <v>1.5</v>
      </c>
    </row>
    <row r="68" spans="1:11" x14ac:dyDescent="0.25">
      <c r="A68" s="1933"/>
      <c r="B68" s="19" t="s">
        <v>34</v>
      </c>
      <c r="C68" s="198"/>
      <c r="D68" s="640">
        <v>1</v>
      </c>
      <c r="E68" s="616">
        <v>0</v>
      </c>
      <c r="F68" s="617">
        <v>0.5</v>
      </c>
      <c r="G68" s="21">
        <f t="shared" si="1"/>
        <v>1.5</v>
      </c>
      <c r="H68" s="640">
        <v>1</v>
      </c>
      <c r="I68" s="616">
        <v>0</v>
      </c>
      <c r="J68" s="617">
        <v>0.5</v>
      </c>
      <c r="K68" s="21">
        <f t="shared" si="3"/>
        <v>1.5</v>
      </c>
    </row>
    <row r="69" spans="1:11" x14ac:dyDescent="0.25">
      <c r="A69" s="1936" t="s">
        <v>533</v>
      </c>
      <c r="B69" s="19" t="s">
        <v>32</v>
      </c>
      <c r="C69" s="198"/>
      <c r="D69" s="640">
        <v>2</v>
      </c>
      <c r="E69" s="616">
        <v>0</v>
      </c>
      <c r="F69" s="617">
        <v>1</v>
      </c>
      <c r="G69" s="21">
        <f t="shared" si="1"/>
        <v>3</v>
      </c>
      <c r="H69" s="640">
        <v>2</v>
      </c>
      <c r="I69" s="616">
        <v>0</v>
      </c>
      <c r="J69" s="617">
        <v>1</v>
      </c>
      <c r="K69" s="21">
        <f t="shared" si="3"/>
        <v>3</v>
      </c>
    </row>
    <row r="70" spans="1:11" x14ac:dyDescent="0.25">
      <c r="A70" s="1936"/>
      <c r="B70" s="19" t="s">
        <v>33</v>
      </c>
      <c r="C70" s="198"/>
      <c r="D70" s="640">
        <v>3</v>
      </c>
      <c r="E70" s="616">
        <v>0</v>
      </c>
      <c r="F70" s="617">
        <v>1</v>
      </c>
      <c r="G70" s="21">
        <f t="shared" si="1"/>
        <v>4</v>
      </c>
      <c r="H70" s="640">
        <v>3</v>
      </c>
      <c r="I70" s="616">
        <v>0</v>
      </c>
      <c r="J70" s="617">
        <v>1</v>
      </c>
      <c r="K70" s="21">
        <f t="shared" si="3"/>
        <v>4</v>
      </c>
    </row>
    <row r="71" spans="1:11" x14ac:dyDescent="0.25">
      <c r="A71" s="1936"/>
      <c r="B71" s="19" t="s">
        <v>34</v>
      </c>
      <c r="C71" s="198"/>
      <c r="D71" s="640">
        <v>4</v>
      </c>
      <c r="E71" s="616">
        <v>0</v>
      </c>
      <c r="F71" s="617">
        <v>2</v>
      </c>
      <c r="G71" s="21">
        <f t="shared" si="1"/>
        <v>6</v>
      </c>
      <c r="H71" s="640">
        <v>4</v>
      </c>
      <c r="I71" s="616">
        <v>0</v>
      </c>
      <c r="J71" s="617">
        <v>2</v>
      </c>
      <c r="K71" s="21">
        <f t="shared" si="3"/>
        <v>6</v>
      </c>
    </row>
    <row r="72" spans="1:11" x14ac:dyDescent="0.25">
      <c r="A72" s="1933" t="s">
        <v>534</v>
      </c>
      <c r="B72" s="19" t="s">
        <v>32</v>
      </c>
      <c r="C72" s="198"/>
      <c r="D72" s="640">
        <v>2</v>
      </c>
      <c r="E72" s="616">
        <v>0</v>
      </c>
      <c r="F72" s="617">
        <v>1</v>
      </c>
      <c r="G72" s="21">
        <f t="shared" si="1"/>
        <v>3</v>
      </c>
      <c r="H72" s="640">
        <v>2</v>
      </c>
      <c r="I72" s="616">
        <v>0</v>
      </c>
      <c r="J72" s="617">
        <v>1</v>
      </c>
      <c r="K72" s="21">
        <f t="shared" si="3"/>
        <v>3</v>
      </c>
    </row>
    <row r="73" spans="1:11" x14ac:dyDescent="0.25">
      <c r="A73" s="1933"/>
      <c r="B73" s="19" t="s">
        <v>33</v>
      </c>
      <c r="C73" s="198"/>
      <c r="D73" s="640">
        <v>3</v>
      </c>
      <c r="E73" s="616">
        <v>0</v>
      </c>
      <c r="F73" s="617">
        <v>1</v>
      </c>
      <c r="G73" s="21">
        <f t="shared" si="1"/>
        <v>4</v>
      </c>
      <c r="H73" s="640">
        <v>3</v>
      </c>
      <c r="I73" s="616">
        <v>0</v>
      </c>
      <c r="J73" s="617">
        <v>1</v>
      </c>
      <c r="K73" s="21">
        <f t="shared" si="3"/>
        <v>4</v>
      </c>
    </row>
    <row r="74" spans="1:11" x14ac:dyDescent="0.25">
      <c r="A74" s="1933"/>
      <c r="B74" s="19" t="s">
        <v>34</v>
      </c>
      <c r="C74" s="198"/>
      <c r="D74" s="640">
        <v>4</v>
      </c>
      <c r="E74" s="616">
        <v>0</v>
      </c>
      <c r="F74" s="617">
        <v>2</v>
      </c>
      <c r="G74" s="21">
        <f t="shared" si="1"/>
        <v>6</v>
      </c>
      <c r="H74" s="640">
        <v>4</v>
      </c>
      <c r="I74" s="616">
        <v>0</v>
      </c>
      <c r="J74" s="617">
        <v>2</v>
      </c>
      <c r="K74" s="21">
        <f t="shared" si="3"/>
        <v>6</v>
      </c>
    </row>
    <row r="75" spans="1:11" x14ac:dyDescent="0.25">
      <c r="A75" s="1933" t="s">
        <v>21</v>
      </c>
      <c r="B75" s="19" t="s">
        <v>32</v>
      </c>
      <c r="C75" s="198"/>
      <c r="D75" s="190" t="s">
        <v>90</v>
      </c>
      <c r="E75" s="38" t="s">
        <v>90</v>
      </c>
      <c r="F75" s="16" t="s">
        <v>90</v>
      </c>
      <c r="G75" s="21">
        <f t="shared" si="1"/>
        <v>0</v>
      </c>
      <c r="H75" s="190" t="s">
        <v>90</v>
      </c>
      <c r="I75" s="38" t="s">
        <v>90</v>
      </c>
      <c r="J75" s="16" t="s">
        <v>90</v>
      </c>
      <c r="K75" s="21">
        <f t="shared" si="3"/>
        <v>0</v>
      </c>
    </row>
    <row r="76" spans="1:11" x14ac:dyDescent="0.25">
      <c r="A76" s="1933"/>
      <c r="B76" s="19" t="s">
        <v>33</v>
      </c>
      <c r="C76" s="198"/>
      <c r="D76" s="190" t="s">
        <v>90</v>
      </c>
      <c r="E76" s="38" t="s">
        <v>90</v>
      </c>
      <c r="F76" s="16" t="s">
        <v>90</v>
      </c>
      <c r="G76" s="21">
        <f t="shared" si="1"/>
        <v>0</v>
      </c>
      <c r="H76" s="190" t="s">
        <v>90</v>
      </c>
      <c r="I76" s="38" t="s">
        <v>90</v>
      </c>
      <c r="J76" s="16" t="s">
        <v>90</v>
      </c>
      <c r="K76" s="21">
        <f t="shared" si="3"/>
        <v>0</v>
      </c>
    </row>
    <row r="77" spans="1:11" x14ac:dyDescent="0.25">
      <c r="A77" s="1933"/>
      <c r="B77" s="13" t="s">
        <v>34</v>
      </c>
      <c r="C77" s="220"/>
      <c r="D77" s="190" t="s">
        <v>90</v>
      </c>
      <c r="E77" s="38" t="s">
        <v>90</v>
      </c>
      <c r="F77" s="16" t="s">
        <v>90</v>
      </c>
      <c r="G77" s="21">
        <f t="shared" si="1"/>
        <v>0</v>
      </c>
      <c r="H77" s="190" t="s">
        <v>90</v>
      </c>
      <c r="I77" s="38" t="s">
        <v>90</v>
      </c>
      <c r="J77" s="16" t="s">
        <v>90</v>
      </c>
      <c r="K77" s="21">
        <f t="shared" si="3"/>
        <v>0</v>
      </c>
    </row>
    <row r="78" spans="1:11" x14ac:dyDescent="0.25">
      <c r="A78" s="1933" t="s">
        <v>181</v>
      </c>
      <c r="B78" s="19" t="s">
        <v>32</v>
      </c>
      <c r="C78" s="198"/>
      <c r="D78" s="656">
        <f>IF(D$3=0,0,2.2)</f>
        <v>0</v>
      </c>
      <c r="E78" s="616">
        <v>0</v>
      </c>
      <c r="F78" s="646">
        <v>0.5</v>
      </c>
      <c r="G78" s="21">
        <f t="shared" si="1"/>
        <v>0.5</v>
      </c>
      <c r="H78" s="656">
        <f>IF(H$3=0,0,2.2)</f>
        <v>0</v>
      </c>
      <c r="I78" s="616">
        <v>0</v>
      </c>
      <c r="J78" s="646">
        <v>0.5</v>
      </c>
      <c r="K78" s="21">
        <f t="shared" si="3"/>
        <v>0.5</v>
      </c>
    </row>
    <row r="79" spans="1:11" x14ac:dyDescent="0.25">
      <c r="A79" s="1933"/>
      <c r="B79" s="19" t="s">
        <v>33</v>
      </c>
      <c r="C79" s="198"/>
      <c r="D79" s="656">
        <f>IF(D$3=0,0,2.6)</f>
        <v>0</v>
      </c>
      <c r="E79" s="616">
        <v>0</v>
      </c>
      <c r="F79" s="646">
        <v>0.7</v>
      </c>
      <c r="G79" s="21">
        <f t="shared" si="1"/>
        <v>0.7</v>
      </c>
      <c r="H79" s="656">
        <f>IF(H$3=0,0,2.6)</f>
        <v>0</v>
      </c>
      <c r="I79" s="616">
        <v>0</v>
      </c>
      <c r="J79" s="646">
        <v>0.7</v>
      </c>
      <c r="K79" s="21">
        <f t="shared" si="3"/>
        <v>0.7</v>
      </c>
    </row>
    <row r="80" spans="1:11" x14ac:dyDescent="0.25">
      <c r="A80" s="1933"/>
      <c r="B80" s="19" t="s">
        <v>34</v>
      </c>
      <c r="C80" s="198"/>
      <c r="D80" s="656">
        <f>IF(D$3=0,0,2.6)</f>
        <v>0</v>
      </c>
      <c r="E80" s="616">
        <v>0</v>
      </c>
      <c r="F80" s="646">
        <v>1</v>
      </c>
      <c r="G80" s="21">
        <f t="shared" si="1"/>
        <v>1</v>
      </c>
      <c r="H80" s="656">
        <f>IF(H$3=0,0,2.6)</f>
        <v>0</v>
      </c>
      <c r="I80" s="616">
        <v>0</v>
      </c>
      <c r="J80" s="646">
        <v>1</v>
      </c>
      <c r="K80" s="21">
        <f t="shared" si="3"/>
        <v>1</v>
      </c>
    </row>
    <row r="81" spans="1:11" x14ac:dyDescent="0.25">
      <c r="A81" s="1933" t="s">
        <v>182</v>
      </c>
      <c r="B81" s="19" t="s">
        <v>32</v>
      </c>
      <c r="C81" s="198"/>
      <c r="D81" s="656">
        <f>IF(D$3=0,0,2)</f>
        <v>0</v>
      </c>
      <c r="E81" s="616">
        <v>0</v>
      </c>
      <c r="F81" s="646">
        <v>0.5</v>
      </c>
      <c r="G81" s="21">
        <f xml:space="preserve"> SUM(D81:F81) + $C81</f>
        <v>0.5</v>
      </c>
      <c r="H81" s="656">
        <f>IF(H$3=0,0,2)</f>
        <v>0</v>
      </c>
      <c r="I81" s="616">
        <v>0</v>
      </c>
      <c r="J81" s="646">
        <v>0.5</v>
      </c>
      <c r="K81" s="21">
        <f t="shared" ref="K81:K86" si="4" xml:space="preserve"> SUM(H81:J81) + $C81</f>
        <v>0.5</v>
      </c>
    </row>
    <row r="82" spans="1:11" x14ac:dyDescent="0.25">
      <c r="A82" s="1933"/>
      <c r="B82" s="19" t="s">
        <v>33</v>
      </c>
      <c r="C82" s="198"/>
      <c r="D82" s="656">
        <f>IF(D$3=0,0,2.4)</f>
        <v>0</v>
      </c>
      <c r="E82" s="616">
        <v>0</v>
      </c>
      <c r="F82" s="646">
        <v>0.7</v>
      </c>
      <c r="G82" s="21">
        <f t="shared" si="1"/>
        <v>0.7</v>
      </c>
      <c r="H82" s="656">
        <f>IF(H$3=0,0,2.4)</f>
        <v>0</v>
      </c>
      <c r="I82" s="616">
        <v>0</v>
      </c>
      <c r="J82" s="646">
        <v>0.7</v>
      </c>
      <c r="K82" s="21">
        <f t="shared" si="4"/>
        <v>0.7</v>
      </c>
    </row>
    <row r="83" spans="1:11" x14ac:dyDescent="0.25">
      <c r="A83" s="1933"/>
      <c r="B83" s="19" t="s">
        <v>34</v>
      </c>
      <c r="C83" s="198"/>
      <c r="D83" s="656">
        <f>IF(D$3=0,0,2.4)</f>
        <v>0</v>
      </c>
      <c r="E83" s="616">
        <v>0</v>
      </c>
      <c r="F83" s="646">
        <v>1</v>
      </c>
      <c r="G83" s="21">
        <f t="shared" si="1"/>
        <v>1</v>
      </c>
      <c r="H83" s="656">
        <f>IF(H$3=0,0,2.4)</f>
        <v>0</v>
      </c>
      <c r="I83" s="616">
        <v>0</v>
      </c>
      <c r="J83" s="646">
        <v>1</v>
      </c>
      <c r="K83" s="21">
        <f t="shared" si="4"/>
        <v>1</v>
      </c>
    </row>
    <row r="84" spans="1:11" x14ac:dyDescent="0.25">
      <c r="A84" s="1935" t="s">
        <v>183</v>
      </c>
      <c r="B84" s="19" t="s">
        <v>32</v>
      </c>
      <c r="C84" s="198"/>
      <c r="D84" s="648">
        <f>0.2+0.1*(D$3-1)</f>
        <v>0.1</v>
      </c>
      <c r="E84" s="616">
        <v>0</v>
      </c>
      <c r="F84" s="646">
        <v>0.5</v>
      </c>
      <c r="G84" s="21">
        <f t="shared" si="1"/>
        <v>0.6</v>
      </c>
      <c r="H84" s="648">
        <f>0.2+0.1*(H$3-1)</f>
        <v>0.1</v>
      </c>
      <c r="I84" s="616">
        <v>0</v>
      </c>
      <c r="J84" s="646">
        <v>0.5</v>
      </c>
      <c r="K84" s="21">
        <f t="shared" si="4"/>
        <v>0.6</v>
      </c>
    </row>
    <row r="85" spans="1:11" x14ac:dyDescent="0.25">
      <c r="A85" s="1935"/>
      <c r="B85" s="19" t="s">
        <v>33</v>
      </c>
      <c r="C85" s="198"/>
      <c r="D85" s="648">
        <f>0.3+0.1*(D$3-1)</f>
        <v>0.19999999999999998</v>
      </c>
      <c r="E85" s="616">
        <v>0</v>
      </c>
      <c r="F85" s="646">
        <v>0.7</v>
      </c>
      <c r="G85" s="21">
        <f t="shared" si="1"/>
        <v>0.89999999999999991</v>
      </c>
      <c r="H85" s="648">
        <f>0.3+0.1*(H$3-1)</f>
        <v>0.19999999999999998</v>
      </c>
      <c r="I85" s="616">
        <v>0</v>
      </c>
      <c r="J85" s="646">
        <v>0.7</v>
      </c>
      <c r="K85" s="21">
        <f t="shared" si="4"/>
        <v>0.89999999999999991</v>
      </c>
    </row>
    <row r="86" spans="1:11" ht="15.75" thickBot="1" x14ac:dyDescent="0.3">
      <c r="A86" s="1935"/>
      <c r="B86" s="13" t="s">
        <v>34</v>
      </c>
      <c r="C86" s="220"/>
      <c r="D86" s="685">
        <f>0.3+0.1*(D$3-1)</f>
        <v>0.19999999999999998</v>
      </c>
      <c r="E86" s="659">
        <v>0</v>
      </c>
      <c r="F86" s="663">
        <v>1</v>
      </c>
      <c r="G86" s="77">
        <f t="shared" si="1"/>
        <v>1.2</v>
      </c>
      <c r="H86" s="685">
        <f>0.3+0.1*(H$3-1)</f>
        <v>0.19999999999999998</v>
      </c>
      <c r="I86" s="659">
        <v>0</v>
      </c>
      <c r="J86" s="663">
        <v>1</v>
      </c>
      <c r="K86" s="77">
        <f t="shared" si="4"/>
        <v>1.2</v>
      </c>
    </row>
    <row r="87" spans="1:11" ht="16.5" thickBot="1" x14ac:dyDescent="0.3">
      <c r="A87" s="330" t="s">
        <v>22</v>
      </c>
      <c r="B87" s="329"/>
      <c r="C87" s="329"/>
      <c r="D87" s="329"/>
      <c r="E87" s="329"/>
      <c r="F87" s="329"/>
      <c r="G87" s="329"/>
      <c r="H87" s="329"/>
      <c r="I87" s="329"/>
      <c r="J87" s="329"/>
      <c r="K87" s="328"/>
    </row>
    <row r="88" spans="1:11" x14ac:dyDescent="0.25">
      <c r="A88" s="1907" t="s">
        <v>23</v>
      </c>
      <c r="B88" s="404" t="s">
        <v>32</v>
      </c>
      <c r="C88" s="420"/>
      <c r="D88" s="664">
        <v>1</v>
      </c>
      <c r="E88" s="660">
        <v>0</v>
      </c>
      <c r="F88" s="665">
        <v>0</v>
      </c>
      <c r="G88" s="230">
        <f t="shared" si="1"/>
        <v>1</v>
      </c>
      <c r="H88" s="664">
        <v>1</v>
      </c>
      <c r="I88" s="660">
        <v>0</v>
      </c>
      <c r="J88" s="665">
        <v>0</v>
      </c>
      <c r="K88" s="230">
        <f t="shared" ref="K88:K93" si="5" xml:space="preserve"> SUM(H88:J88) + $C88</f>
        <v>1</v>
      </c>
    </row>
    <row r="89" spans="1:11" x14ac:dyDescent="0.25">
      <c r="A89" s="1907"/>
      <c r="B89" s="19" t="s">
        <v>33</v>
      </c>
      <c r="C89" s="198"/>
      <c r="D89" s="640">
        <v>1</v>
      </c>
      <c r="E89" s="616">
        <v>0</v>
      </c>
      <c r="F89" s="646">
        <v>0</v>
      </c>
      <c r="G89" s="21">
        <f t="shared" si="1"/>
        <v>1</v>
      </c>
      <c r="H89" s="640">
        <v>1</v>
      </c>
      <c r="I89" s="616">
        <v>0</v>
      </c>
      <c r="J89" s="646">
        <v>0</v>
      </c>
      <c r="K89" s="21">
        <f t="shared" si="5"/>
        <v>1</v>
      </c>
    </row>
    <row r="90" spans="1:11" x14ac:dyDescent="0.25">
      <c r="A90" s="1907"/>
      <c r="B90" s="19" t="s">
        <v>34</v>
      </c>
      <c r="C90" s="198"/>
      <c r="D90" s="640">
        <v>1</v>
      </c>
      <c r="E90" s="616">
        <v>0</v>
      </c>
      <c r="F90" s="646">
        <v>0</v>
      </c>
      <c r="G90" s="21">
        <f t="shared" si="1"/>
        <v>1</v>
      </c>
      <c r="H90" s="640">
        <v>1</v>
      </c>
      <c r="I90" s="616">
        <v>0</v>
      </c>
      <c r="J90" s="646">
        <v>0</v>
      </c>
      <c r="K90" s="21">
        <f t="shared" si="5"/>
        <v>1</v>
      </c>
    </row>
    <row r="91" spans="1:11" x14ac:dyDescent="0.25">
      <c r="A91" s="1974" t="s">
        <v>24</v>
      </c>
      <c r="B91" s="19" t="s">
        <v>32</v>
      </c>
      <c r="C91" s="198"/>
      <c r="D91" s="640">
        <v>4</v>
      </c>
      <c r="E91" s="616">
        <v>0</v>
      </c>
      <c r="F91" s="646">
        <v>0.5</v>
      </c>
      <c r="G91" s="21">
        <f t="shared" si="1"/>
        <v>4.5</v>
      </c>
      <c r="H91" s="640">
        <v>4</v>
      </c>
      <c r="I91" s="616">
        <v>0</v>
      </c>
      <c r="J91" s="646">
        <v>0.5</v>
      </c>
      <c r="K91" s="21">
        <f t="shared" si="5"/>
        <v>4.5</v>
      </c>
    </row>
    <row r="92" spans="1:11" x14ac:dyDescent="0.25">
      <c r="A92" s="1974"/>
      <c r="B92" s="19" t="s">
        <v>33</v>
      </c>
      <c r="C92" s="198"/>
      <c r="D92" s="640">
        <v>5</v>
      </c>
      <c r="E92" s="616">
        <v>0</v>
      </c>
      <c r="F92" s="646">
        <v>1</v>
      </c>
      <c r="G92" s="21">
        <f t="shared" si="1"/>
        <v>6</v>
      </c>
      <c r="H92" s="640">
        <v>5</v>
      </c>
      <c r="I92" s="616">
        <v>0</v>
      </c>
      <c r="J92" s="646">
        <v>1</v>
      </c>
      <c r="K92" s="21">
        <f t="shared" si="5"/>
        <v>6</v>
      </c>
    </row>
    <row r="93" spans="1:11" x14ac:dyDescent="0.25">
      <c r="A93" s="1974"/>
      <c r="B93" s="19" t="s">
        <v>34</v>
      </c>
      <c r="C93" s="198"/>
      <c r="D93" s="640">
        <v>5</v>
      </c>
      <c r="E93" s="616">
        <v>0</v>
      </c>
      <c r="F93" s="646">
        <v>1.5</v>
      </c>
      <c r="G93" s="21">
        <f t="shared" si="1"/>
        <v>6.5</v>
      </c>
      <c r="H93" s="640">
        <v>5</v>
      </c>
      <c r="I93" s="616">
        <v>0</v>
      </c>
      <c r="J93" s="646">
        <v>1.5</v>
      </c>
      <c r="K93" s="21">
        <f t="shared" si="5"/>
        <v>6.5</v>
      </c>
    </row>
    <row r="94" spans="1:11" x14ac:dyDescent="0.25">
      <c r="A94" s="1974" t="s">
        <v>25</v>
      </c>
      <c r="B94" s="19" t="s">
        <v>32</v>
      </c>
      <c r="C94" s="198"/>
      <c r="D94" s="640">
        <v>2</v>
      </c>
      <c r="E94" s="616">
        <v>0</v>
      </c>
      <c r="F94" s="646">
        <v>0.5</v>
      </c>
      <c r="G94" s="21">
        <f t="shared" ref="G94:G105" si="6" xml:space="preserve"> SUM(D94:F94) + $C94</f>
        <v>2.5</v>
      </c>
      <c r="H94" s="640">
        <v>2</v>
      </c>
      <c r="I94" s="616">
        <v>0</v>
      </c>
      <c r="J94" s="646">
        <v>0.5</v>
      </c>
      <c r="K94" s="21">
        <f t="shared" ref="K94:K105" si="7" xml:space="preserve"> SUM(H94:J94) + $C94</f>
        <v>2.5</v>
      </c>
    </row>
    <row r="95" spans="1:11" x14ac:dyDescent="0.25">
      <c r="A95" s="1974"/>
      <c r="B95" s="19" t="s">
        <v>33</v>
      </c>
      <c r="C95" s="198"/>
      <c r="D95" s="640">
        <v>2.5</v>
      </c>
      <c r="E95" s="616">
        <v>0</v>
      </c>
      <c r="F95" s="646">
        <v>1</v>
      </c>
      <c r="G95" s="21">
        <f t="shared" si="6"/>
        <v>3.5</v>
      </c>
      <c r="H95" s="640">
        <v>2.5</v>
      </c>
      <c r="I95" s="616">
        <v>0</v>
      </c>
      <c r="J95" s="646">
        <v>1</v>
      </c>
      <c r="K95" s="21">
        <f t="shared" si="7"/>
        <v>3.5</v>
      </c>
    </row>
    <row r="96" spans="1:11" x14ac:dyDescent="0.25">
      <c r="A96" s="1974"/>
      <c r="B96" s="19" t="s">
        <v>34</v>
      </c>
      <c r="C96" s="198"/>
      <c r="D96" s="640">
        <v>2.5</v>
      </c>
      <c r="E96" s="616">
        <v>0</v>
      </c>
      <c r="F96" s="646">
        <v>1.5</v>
      </c>
      <c r="G96" s="21">
        <f t="shared" si="6"/>
        <v>4</v>
      </c>
      <c r="H96" s="640">
        <v>2.5</v>
      </c>
      <c r="I96" s="616">
        <v>0</v>
      </c>
      <c r="J96" s="646">
        <v>1.5</v>
      </c>
      <c r="K96" s="21">
        <f t="shared" si="7"/>
        <v>4</v>
      </c>
    </row>
    <row r="97" spans="1:11" x14ac:dyDescent="0.25">
      <c r="A97" s="1974" t="s">
        <v>26</v>
      </c>
      <c r="B97" s="19" t="s">
        <v>32</v>
      </c>
      <c r="C97" s="198"/>
      <c r="D97" s="640">
        <v>1</v>
      </c>
      <c r="E97" s="616">
        <v>0</v>
      </c>
      <c r="F97" s="646">
        <v>0.5</v>
      </c>
      <c r="G97" s="21">
        <f t="shared" si="6"/>
        <v>1.5</v>
      </c>
      <c r="H97" s="640">
        <v>1</v>
      </c>
      <c r="I97" s="616">
        <v>0</v>
      </c>
      <c r="J97" s="646">
        <v>0.5</v>
      </c>
      <c r="K97" s="21">
        <f t="shared" si="7"/>
        <v>1.5</v>
      </c>
    </row>
    <row r="98" spans="1:11" x14ac:dyDescent="0.25">
      <c r="A98" s="1974"/>
      <c r="B98" s="19" t="s">
        <v>33</v>
      </c>
      <c r="C98" s="198"/>
      <c r="D98" s="640">
        <v>1.5</v>
      </c>
      <c r="E98" s="616">
        <v>0</v>
      </c>
      <c r="F98" s="646">
        <v>0.5</v>
      </c>
      <c r="G98" s="21">
        <f t="shared" si="6"/>
        <v>2</v>
      </c>
      <c r="H98" s="640">
        <v>1.5</v>
      </c>
      <c r="I98" s="616">
        <v>0</v>
      </c>
      <c r="J98" s="646">
        <v>0.5</v>
      </c>
      <c r="K98" s="21">
        <f t="shared" si="7"/>
        <v>2</v>
      </c>
    </row>
    <row r="99" spans="1:11" x14ac:dyDescent="0.25">
      <c r="A99" s="1974"/>
      <c r="B99" s="19" t="s">
        <v>34</v>
      </c>
      <c r="C99" s="198"/>
      <c r="D99" s="640">
        <v>1.5</v>
      </c>
      <c r="E99" s="616">
        <v>0</v>
      </c>
      <c r="F99" s="646">
        <v>0.5</v>
      </c>
      <c r="G99" s="21">
        <f t="shared" si="6"/>
        <v>2</v>
      </c>
      <c r="H99" s="640">
        <v>1.5</v>
      </c>
      <c r="I99" s="616">
        <v>0</v>
      </c>
      <c r="J99" s="646">
        <v>0.5</v>
      </c>
      <c r="K99" s="21">
        <f t="shared" si="7"/>
        <v>2</v>
      </c>
    </row>
    <row r="100" spans="1:11" x14ac:dyDescent="0.25">
      <c r="A100" s="1974" t="s">
        <v>27</v>
      </c>
      <c r="B100" s="19" t="s">
        <v>32</v>
      </c>
      <c r="C100" s="198"/>
      <c r="D100" s="648">
        <f>0.4*D$3</f>
        <v>0</v>
      </c>
      <c r="E100" s="625">
        <v>0</v>
      </c>
      <c r="F100" s="646">
        <v>0</v>
      </c>
      <c r="G100" s="21">
        <f t="shared" si="6"/>
        <v>0</v>
      </c>
      <c r="H100" s="648">
        <f>0.4*H$3</f>
        <v>0</v>
      </c>
      <c r="I100" s="625">
        <v>0</v>
      </c>
      <c r="J100" s="646">
        <v>0</v>
      </c>
      <c r="K100" s="21">
        <f t="shared" si="7"/>
        <v>0</v>
      </c>
    </row>
    <row r="101" spans="1:11" x14ac:dyDescent="0.25">
      <c r="A101" s="1974"/>
      <c r="B101" s="19" t="s">
        <v>33</v>
      </c>
      <c r="C101" s="198"/>
      <c r="D101" s="648">
        <f>0.5*D$3</f>
        <v>0</v>
      </c>
      <c r="E101" s="625">
        <v>0</v>
      </c>
      <c r="F101" s="617">
        <v>0</v>
      </c>
      <c r="G101" s="21">
        <f t="shared" si="6"/>
        <v>0</v>
      </c>
      <c r="H101" s="648">
        <f>0.5*H$3</f>
        <v>0</v>
      </c>
      <c r="I101" s="625">
        <v>0</v>
      </c>
      <c r="J101" s="617">
        <v>0</v>
      </c>
      <c r="K101" s="21">
        <f t="shared" si="7"/>
        <v>0</v>
      </c>
    </row>
    <row r="102" spans="1:11" x14ac:dyDescent="0.25">
      <c r="A102" s="1974"/>
      <c r="B102" s="19" t="s">
        <v>34</v>
      </c>
      <c r="C102" s="198"/>
      <c r="D102" s="648">
        <f>0.6*D$3</f>
        <v>0</v>
      </c>
      <c r="E102" s="625">
        <v>0</v>
      </c>
      <c r="F102" s="617">
        <v>0</v>
      </c>
      <c r="G102" s="21">
        <f t="shared" si="6"/>
        <v>0</v>
      </c>
      <c r="H102" s="648">
        <f>0.6*H$3</f>
        <v>0</v>
      </c>
      <c r="I102" s="625">
        <v>0</v>
      </c>
      <c r="J102" s="617">
        <v>0</v>
      </c>
      <c r="K102" s="21">
        <f t="shared" si="7"/>
        <v>0</v>
      </c>
    </row>
    <row r="103" spans="1:11" x14ac:dyDescent="0.25">
      <c r="A103" s="1907" t="s">
        <v>28</v>
      </c>
      <c r="B103" s="19" t="s">
        <v>32</v>
      </c>
      <c r="C103" s="198"/>
      <c r="D103" s="640">
        <v>0.5</v>
      </c>
      <c r="E103" s="628">
        <f>0.2*E$3</f>
        <v>0</v>
      </c>
      <c r="F103" s="617">
        <v>0</v>
      </c>
      <c r="G103" s="21">
        <f t="shared" si="6"/>
        <v>0.5</v>
      </c>
      <c r="H103" s="640">
        <v>0.5</v>
      </c>
      <c r="I103" s="628">
        <f>0.2*I$3</f>
        <v>0</v>
      </c>
      <c r="J103" s="617">
        <v>0</v>
      </c>
      <c r="K103" s="21">
        <f t="shared" si="7"/>
        <v>0.5</v>
      </c>
    </row>
    <row r="104" spans="1:11" x14ac:dyDescent="0.25">
      <c r="A104" s="1907"/>
      <c r="B104" s="19" t="s">
        <v>33</v>
      </c>
      <c r="C104" s="198"/>
      <c r="D104" s="640">
        <v>1</v>
      </c>
      <c r="E104" s="628">
        <f>0.25*E$3</f>
        <v>0</v>
      </c>
      <c r="F104" s="617">
        <v>0</v>
      </c>
      <c r="G104" s="21">
        <f t="shared" si="6"/>
        <v>1</v>
      </c>
      <c r="H104" s="640">
        <v>1</v>
      </c>
      <c r="I104" s="628">
        <f>0.25*I$3</f>
        <v>0</v>
      </c>
      <c r="J104" s="617">
        <v>0</v>
      </c>
      <c r="K104" s="21">
        <f t="shared" si="7"/>
        <v>1</v>
      </c>
    </row>
    <row r="105" spans="1:11" ht="15.75" thickBot="1" x14ac:dyDescent="0.3">
      <c r="A105" s="1975"/>
      <c r="B105" s="20" t="s">
        <v>34</v>
      </c>
      <c r="C105" s="199"/>
      <c r="D105" s="649">
        <v>2</v>
      </c>
      <c r="E105" s="657">
        <f>0.25*E$3</f>
        <v>0</v>
      </c>
      <c r="F105" s="618">
        <v>0</v>
      </c>
      <c r="G105" s="24">
        <f t="shared" si="6"/>
        <v>2</v>
      </c>
      <c r="H105" s="649">
        <v>2</v>
      </c>
      <c r="I105" s="657">
        <f>0.25*I$3</f>
        <v>0</v>
      </c>
      <c r="J105" s="618">
        <v>0</v>
      </c>
      <c r="K105" s="24">
        <f t="shared" si="7"/>
        <v>2</v>
      </c>
    </row>
    <row r="107" spans="1:11" x14ac:dyDescent="0.25">
      <c r="A107" s="125" t="s">
        <v>89</v>
      </c>
    </row>
  </sheetData>
  <customSheetViews>
    <customSheetView guid="{B91A3F61-3B23-46E3-9B55-19B17EB6638A}" state="hidden" topLeftCell="B1">
      <pageMargins left="0.7" right="0.7" top="0.75" bottom="0.75" header="0.3" footer="0.3"/>
    </customSheetView>
    <customSheetView guid="{F5CB9414-DBF4-48FF-9213-FFE745451535}" state="hidden" topLeftCell="B1">
      <pageMargins left="0.7" right="0.7" top="0.75" bottom="0.75" header="0.3" footer="0.3"/>
    </customSheetView>
    <customSheetView guid="{A1A876F1-3EAA-4E5F-BD51-8B131AB8854B}" state="hidden" topLeftCell="B1">
      <pageMargins left="0.7" right="0.7" top="0.75" bottom="0.75" header="0.3" footer="0.3"/>
    </customSheetView>
    <customSheetView guid="{18A094BB-EA3E-4938-9069-21F549B37E23}" state="hidden" topLeftCell="B1">
      <pageMargins left="0.7" right="0.7" top="0.75" bottom="0.75" header="0.3" footer="0.3"/>
    </customSheetView>
  </customSheetViews>
  <mergeCells count="37">
    <mergeCell ref="K2:K3"/>
    <mergeCell ref="H1:K1"/>
    <mergeCell ref="G2:G3"/>
    <mergeCell ref="D1:G1"/>
    <mergeCell ref="A97:A99"/>
    <mergeCell ref="A54:A56"/>
    <mergeCell ref="A19:A21"/>
    <mergeCell ref="A22:A24"/>
    <mergeCell ref="A25:A27"/>
    <mergeCell ref="A28:A30"/>
    <mergeCell ref="A31:A33"/>
    <mergeCell ref="A34:A36"/>
    <mergeCell ref="A38:A40"/>
    <mergeCell ref="A42:A44"/>
    <mergeCell ref="A45:A47"/>
    <mergeCell ref="A48:A50"/>
    <mergeCell ref="A100:A102"/>
    <mergeCell ref="A103:A105"/>
    <mergeCell ref="A57:A59"/>
    <mergeCell ref="A60:A62"/>
    <mergeCell ref="A75:A77"/>
    <mergeCell ref="A88:A90"/>
    <mergeCell ref="A91:A93"/>
    <mergeCell ref="A94:A96"/>
    <mergeCell ref="A78:A80"/>
    <mergeCell ref="A81:A83"/>
    <mergeCell ref="A84:A86"/>
    <mergeCell ref="A63:A65"/>
    <mergeCell ref="A66:A68"/>
    <mergeCell ref="A69:A71"/>
    <mergeCell ref="A72:A74"/>
    <mergeCell ref="A51:A53"/>
    <mergeCell ref="A16:A18"/>
    <mergeCell ref="C2:C3"/>
    <mergeCell ref="A8:A10"/>
    <mergeCell ref="A12:A14"/>
    <mergeCell ref="A5:A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3"/>
  <dimension ref="A1:O107"/>
  <sheetViews>
    <sheetView topLeftCell="A55" zoomScale="55" zoomScaleNormal="55" workbookViewId="0">
      <selection activeCell="D78" sqref="D78:F86"/>
    </sheetView>
  </sheetViews>
  <sheetFormatPr defaultRowHeight="15" x14ac:dyDescent="0.25"/>
  <cols>
    <col min="1" max="1" width="60.85546875" bestFit="1" customWidth="1"/>
    <col min="2" max="2" width="23.5703125" bestFit="1" customWidth="1"/>
    <col min="4" max="4" width="32.42578125" bestFit="1" customWidth="1"/>
    <col min="5" max="5" width="31" customWidth="1"/>
    <col min="6" max="6" width="31.28515625" customWidth="1"/>
    <col min="7" max="7" width="7.5703125" bestFit="1" customWidth="1"/>
    <col min="8" max="8" width="32.42578125" bestFit="1" customWidth="1"/>
    <col min="9" max="9" width="31" customWidth="1"/>
    <col min="10" max="10" width="31.28515625" customWidth="1"/>
    <col min="11" max="11" width="7.5703125" bestFit="1" customWidth="1"/>
    <col min="12" max="12" width="32.42578125" bestFit="1" customWidth="1"/>
    <col min="13" max="13" width="31" customWidth="1"/>
    <col min="14" max="14" width="31.28515625" customWidth="1"/>
  </cols>
  <sheetData>
    <row r="1" spans="1:15" ht="15.75" x14ac:dyDescent="0.25">
      <c r="A1" s="465" t="s">
        <v>91</v>
      </c>
      <c r="B1" s="35"/>
      <c r="C1" s="43"/>
      <c r="D1" s="1982" t="s">
        <v>372</v>
      </c>
      <c r="E1" s="1983"/>
      <c r="F1" s="1983"/>
      <c r="G1" s="1984"/>
      <c r="H1" s="1982" t="s">
        <v>373</v>
      </c>
      <c r="I1" s="1983"/>
      <c r="J1" s="1983"/>
      <c r="K1" s="1984"/>
      <c r="L1" s="1982" t="s">
        <v>374</v>
      </c>
      <c r="M1" s="1983"/>
      <c r="N1" s="1983"/>
      <c r="O1" s="1984"/>
    </row>
    <row r="2" spans="1:15" ht="15.75" x14ac:dyDescent="0.25">
      <c r="B2" s="41" t="s">
        <v>37</v>
      </c>
      <c r="C2" s="1945" t="s">
        <v>35</v>
      </c>
      <c r="D2" s="684" t="s">
        <v>582</v>
      </c>
      <c r="E2" s="645" t="s">
        <v>581</v>
      </c>
      <c r="F2" s="645" t="s">
        <v>206</v>
      </c>
      <c r="G2" s="1985" t="s">
        <v>38</v>
      </c>
      <c r="H2" s="684" t="s">
        <v>582</v>
      </c>
      <c r="I2" s="645" t="s">
        <v>581</v>
      </c>
      <c r="J2" s="645" t="s">
        <v>206</v>
      </c>
      <c r="K2" s="1985" t="s">
        <v>38</v>
      </c>
      <c r="L2" s="684" t="s">
        <v>582</v>
      </c>
      <c r="M2" s="645" t="s">
        <v>581</v>
      </c>
      <c r="N2" s="645" t="s">
        <v>206</v>
      </c>
      <c r="O2" s="1985" t="s">
        <v>38</v>
      </c>
    </row>
    <row r="3" spans="1:15" ht="16.5" thickBot="1" x14ac:dyDescent="0.3">
      <c r="A3" s="12" t="s">
        <v>36</v>
      </c>
      <c r="B3" s="42">
        <f>ТрЗ_ОП!F5</f>
        <v>1</v>
      </c>
      <c r="C3" s="1946"/>
      <c r="D3" s="40">
        <f>INDEX(ТрЗ_ОП!$P$11:$P$102,MATCH(D2,ТрЗ_ОП!$O$11:$O$102,0))</f>
        <v>0</v>
      </c>
      <c r="E3" s="40">
        <f>INDEX(ТрЗ_ОП!$P$11:$P$102,MATCH(E2,ТрЗ_ОП!$O$11:$O$102,0))</f>
        <v>0</v>
      </c>
      <c r="F3" s="40">
        <f>INDEX(ТрЗ_ОП!$P$11:$P$102,MATCH(F2,ТрЗ_ОП!$O$11:$O$102,0))</f>
        <v>0</v>
      </c>
      <c r="G3" s="1985"/>
      <c r="H3" s="40">
        <f>INDEX(ТрЗ_ОП!$P$11:$P$102,MATCH(H2,ТрЗ_ОП!$O$11:$O$102,0))</f>
        <v>0</v>
      </c>
      <c r="I3" s="40">
        <f>INDEX(ТрЗ_ОП!$P$11:$P$102,MATCH(I2,ТрЗ_ОП!$O$11:$O$102,0))</f>
        <v>0</v>
      </c>
      <c r="J3" s="40">
        <f>INDEX(ТрЗ_ОП!$P$11:$P$102,MATCH(J2,ТрЗ_ОП!$O$11:$O$102,0))</f>
        <v>0</v>
      </c>
      <c r="K3" s="1985"/>
      <c r="L3" s="40">
        <f>INDEX(ТрЗ_ОП!$P$11:$P$102,MATCH(L2,ТрЗ_ОП!$O$11:$O$102,0))</f>
        <v>0</v>
      </c>
      <c r="M3" s="40">
        <f>INDEX(ТрЗ_ОП!$P$11:$P$102,MATCH(M2,ТрЗ_ОП!$O$11:$O$102,0))</f>
        <v>0</v>
      </c>
      <c r="N3" s="40">
        <f>INDEX(ТрЗ_ОП!$P$11:$P$102,MATCH(N2,ТрЗ_ОП!$O$11:$O$102,0))</f>
        <v>0</v>
      </c>
      <c r="O3" s="1985"/>
    </row>
    <row r="4" spans="1:15" ht="16.5" thickBot="1" x14ac:dyDescent="0.3">
      <c r="A4" s="326" t="s">
        <v>448</v>
      </c>
      <c r="B4" s="327"/>
      <c r="C4" s="327"/>
      <c r="D4" s="327"/>
      <c r="E4" s="327"/>
      <c r="F4" s="327"/>
      <c r="G4" s="327"/>
      <c r="H4" s="327"/>
      <c r="I4" s="327"/>
      <c r="J4" s="327"/>
      <c r="K4" s="327"/>
      <c r="L4" s="327"/>
      <c r="M4" s="327"/>
      <c r="N4" s="327"/>
      <c r="O4" s="396"/>
    </row>
    <row r="5" spans="1:15" x14ac:dyDescent="0.25">
      <c r="A5" s="1977" t="s">
        <v>0</v>
      </c>
      <c r="B5" s="440" t="s">
        <v>32</v>
      </c>
      <c r="C5" s="106"/>
      <c r="D5" s="690">
        <v>1</v>
      </c>
      <c r="E5" s="690">
        <v>0</v>
      </c>
      <c r="F5" s="690">
        <v>0</v>
      </c>
      <c r="G5" s="230">
        <f xml:space="preserve"> SUM(D5:F5) + $C5</f>
        <v>1</v>
      </c>
      <c r="H5" s="690">
        <v>1</v>
      </c>
      <c r="I5" s="690">
        <v>0</v>
      </c>
      <c r="J5" s="690">
        <v>0</v>
      </c>
      <c r="K5" s="230">
        <f>SUM(H5:J5) + $C5</f>
        <v>1</v>
      </c>
      <c r="L5" s="690">
        <v>1</v>
      </c>
      <c r="M5" s="690">
        <v>0</v>
      </c>
      <c r="N5" s="690">
        <v>0</v>
      </c>
      <c r="O5" s="230">
        <f t="shared" ref="O5:O10" si="0">SUM(L5:N5) + $C5</f>
        <v>1</v>
      </c>
    </row>
    <row r="6" spans="1:15" x14ac:dyDescent="0.25">
      <c r="A6" s="1932"/>
      <c r="B6" s="19" t="s">
        <v>33</v>
      </c>
      <c r="C6" s="22"/>
      <c r="D6" s="691">
        <v>1.5</v>
      </c>
      <c r="E6" s="691">
        <v>0</v>
      </c>
      <c r="F6" s="691">
        <v>0</v>
      </c>
      <c r="G6" s="21">
        <f xml:space="preserve"> SUM(D6:F6) + $C6</f>
        <v>1.5</v>
      </c>
      <c r="H6" s="691">
        <v>1.5</v>
      </c>
      <c r="I6" s="691">
        <v>0</v>
      </c>
      <c r="J6" s="691">
        <v>0</v>
      </c>
      <c r="K6" s="21">
        <f>SUM(H6:J6) + $C6</f>
        <v>1.5</v>
      </c>
      <c r="L6" s="691">
        <v>1.5</v>
      </c>
      <c r="M6" s="691">
        <v>0</v>
      </c>
      <c r="N6" s="691">
        <v>0</v>
      </c>
      <c r="O6" s="21">
        <f t="shared" si="0"/>
        <v>1.5</v>
      </c>
    </row>
    <row r="7" spans="1:15" x14ac:dyDescent="0.25">
      <c r="A7" s="1973"/>
      <c r="B7" s="19" t="s">
        <v>34</v>
      </c>
      <c r="C7" s="22"/>
      <c r="D7" s="691">
        <v>2</v>
      </c>
      <c r="E7" s="691">
        <v>0</v>
      </c>
      <c r="F7" s="691">
        <v>0</v>
      </c>
      <c r="G7" s="21">
        <f xml:space="preserve"> SUM(D7:F7) + $C7</f>
        <v>2</v>
      </c>
      <c r="H7" s="691">
        <v>2</v>
      </c>
      <c r="I7" s="691">
        <v>0</v>
      </c>
      <c r="J7" s="691">
        <v>0</v>
      </c>
      <c r="K7" s="21">
        <f>SUM(H7:J7) + $C7</f>
        <v>2</v>
      </c>
      <c r="L7" s="691">
        <v>2</v>
      </c>
      <c r="M7" s="691">
        <v>0</v>
      </c>
      <c r="N7" s="691">
        <v>0</v>
      </c>
      <c r="O7" s="21">
        <f t="shared" si="0"/>
        <v>2</v>
      </c>
    </row>
    <row r="8" spans="1:15" x14ac:dyDescent="0.25">
      <c r="A8" s="1932" t="s">
        <v>449</v>
      </c>
      <c r="B8" s="404" t="s">
        <v>32</v>
      </c>
      <c r="C8" s="324"/>
      <c r="D8" s="691">
        <v>1</v>
      </c>
      <c r="E8" s="691">
        <v>0</v>
      </c>
      <c r="F8" s="691">
        <v>0</v>
      </c>
      <c r="G8" s="21">
        <f xml:space="preserve"> SUM(D8:F8) + $C8</f>
        <v>1</v>
      </c>
      <c r="H8" s="691">
        <v>1</v>
      </c>
      <c r="I8" s="691">
        <v>0</v>
      </c>
      <c r="J8" s="691">
        <v>0</v>
      </c>
      <c r="K8" s="21">
        <f>SUM(H8:J8) + $C8</f>
        <v>1</v>
      </c>
      <c r="L8" s="691">
        <v>1</v>
      </c>
      <c r="M8" s="691">
        <v>0</v>
      </c>
      <c r="N8" s="691">
        <v>0</v>
      </c>
      <c r="O8" s="21">
        <f t="shared" si="0"/>
        <v>1</v>
      </c>
    </row>
    <row r="9" spans="1:15" x14ac:dyDescent="0.25">
      <c r="A9" s="1932"/>
      <c r="B9" s="19" t="s">
        <v>33</v>
      </c>
      <c r="C9" s="22"/>
      <c r="D9" s="691">
        <v>1.5</v>
      </c>
      <c r="E9" s="691">
        <v>0</v>
      </c>
      <c r="F9" s="691">
        <v>0</v>
      </c>
      <c r="G9" s="21">
        <f t="shared" ref="G9:G93" si="1" xml:space="preserve"> SUM(D9:F9) + $C9</f>
        <v>1.5</v>
      </c>
      <c r="H9" s="691">
        <v>1.5</v>
      </c>
      <c r="I9" s="691">
        <v>0</v>
      </c>
      <c r="J9" s="691">
        <v>0</v>
      </c>
      <c r="K9" s="21">
        <f t="shared" ref="K9:K93" si="2">SUM(H9:J9) + $C9</f>
        <v>1.5</v>
      </c>
      <c r="L9" s="691">
        <v>1.5</v>
      </c>
      <c r="M9" s="691">
        <v>0</v>
      </c>
      <c r="N9" s="691">
        <v>0</v>
      </c>
      <c r="O9" s="21">
        <f t="shared" si="0"/>
        <v>1.5</v>
      </c>
    </row>
    <row r="10" spans="1:15" ht="15.75" thickBot="1" x14ac:dyDescent="0.3">
      <c r="A10" s="1932"/>
      <c r="B10" s="13" t="s">
        <v>34</v>
      </c>
      <c r="C10" s="34"/>
      <c r="D10" s="693">
        <v>2</v>
      </c>
      <c r="E10" s="693">
        <v>0</v>
      </c>
      <c r="F10" s="693">
        <v>0</v>
      </c>
      <c r="G10" s="77">
        <f t="shared" si="1"/>
        <v>2</v>
      </c>
      <c r="H10" s="693">
        <v>2</v>
      </c>
      <c r="I10" s="693">
        <v>0</v>
      </c>
      <c r="J10" s="693">
        <v>0</v>
      </c>
      <c r="K10" s="77">
        <f t="shared" si="2"/>
        <v>2</v>
      </c>
      <c r="L10" s="693">
        <v>2</v>
      </c>
      <c r="M10" s="693">
        <v>0</v>
      </c>
      <c r="N10" s="693">
        <v>0</v>
      </c>
      <c r="O10" s="77">
        <f t="shared" si="0"/>
        <v>2</v>
      </c>
    </row>
    <row r="11" spans="1:15" ht="16.5" thickBot="1" x14ac:dyDescent="0.3">
      <c r="A11" s="326" t="s">
        <v>1</v>
      </c>
      <c r="B11" s="327"/>
      <c r="C11" s="327"/>
      <c r="D11" s="327"/>
      <c r="E11" s="327"/>
      <c r="F11" s="327"/>
      <c r="G11" s="329"/>
      <c r="H11" s="327"/>
      <c r="I11" s="327"/>
      <c r="J11" s="327"/>
      <c r="K11" s="327"/>
      <c r="L11" s="327"/>
      <c r="M11" s="327"/>
      <c r="N11" s="327"/>
      <c r="O11" s="396"/>
    </row>
    <row r="12" spans="1:15" x14ac:dyDescent="0.25">
      <c r="A12" s="1932" t="s">
        <v>2</v>
      </c>
      <c r="B12" s="404" t="s">
        <v>32</v>
      </c>
      <c r="C12" s="324"/>
      <c r="D12" s="661">
        <v>8</v>
      </c>
      <c r="E12" s="628">
        <f>E$3*0.2</f>
        <v>0</v>
      </c>
      <c r="F12" s="661">
        <v>0</v>
      </c>
      <c r="G12" s="230">
        <f t="shared" si="1"/>
        <v>8</v>
      </c>
      <c r="H12" s="661">
        <v>8</v>
      </c>
      <c r="I12" s="628">
        <f>I$3*0.2</f>
        <v>0</v>
      </c>
      <c r="J12" s="661">
        <v>0</v>
      </c>
      <c r="K12" s="230">
        <f t="shared" si="2"/>
        <v>8</v>
      </c>
      <c r="L12" s="661">
        <v>8</v>
      </c>
      <c r="M12" s="628">
        <f>M$3*0.2</f>
        <v>0</v>
      </c>
      <c r="N12" s="661">
        <v>0</v>
      </c>
      <c r="O12" s="230">
        <f>SUM(L12:N12) + $C12</f>
        <v>8</v>
      </c>
    </row>
    <row r="13" spans="1:15" x14ac:dyDescent="0.25">
      <c r="A13" s="1932"/>
      <c r="B13" s="19" t="s">
        <v>33</v>
      </c>
      <c r="C13" s="22"/>
      <c r="D13" s="615">
        <v>8</v>
      </c>
      <c r="E13" s="628">
        <f>E$3*0.2</f>
        <v>0</v>
      </c>
      <c r="F13" s="615">
        <v>0</v>
      </c>
      <c r="G13" s="21">
        <f t="shared" si="1"/>
        <v>8</v>
      </c>
      <c r="H13" s="615">
        <v>8</v>
      </c>
      <c r="I13" s="628">
        <f>I$3*0.2</f>
        <v>0</v>
      </c>
      <c r="J13" s="615">
        <v>0</v>
      </c>
      <c r="K13" s="21">
        <f t="shared" si="2"/>
        <v>8</v>
      </c>
      <c r="L13" s="615">
        <v>8</v>
      </c>
      <c r="M13" s="628">
        <f>M$3*0.2</f>
        <v>0</v>
      </c>
      <c r="N13" s="615">
        <v>0</v>
      </c>
      <c r="O13" s="21">
        <f>SUM(L13:N13) + $C13</f>
        <v>8</v>
      </c>
    </row>
    <row r="14" spans="1:15" ht="15.75" thickBot="1" x14ac:dyDescent="0.3">
      <c r="A14" s="1932"/>
      <c r="B14" s="13" t="s">
        <v>34</v>
      </c>
      <c r="C14" s="34"/>
      <c r="D14" s="673">
        <v>8</v>
      </c>
      <c r="E14" s="628">
        <f>E$3*0.2</f>
        <v>0</v>
      </c>
      <c r="F14" s="673">
        <v>0</v>
      </c>
      <c r="G14" s="77">
        <f t="shared" si="1"/>
        <v>8</v>
      </c>
      <c r="H14" s="673">
        <v>8</v>
      </c>
      <c r="I14" s="628">
        <f>I$3*0.2</f>
        <v>0</v>
      </c>
      <c r="J14" s="673">
        <v>0</v>
      </c>
      <c r="K14" s="77">
        <f t="shared" si="2"/>
        <v>8</v>
      </c>
      <c r="L14" s="673">
        <v>8</v>
      </c>
      <c r="M14" s="628">
        <f>M$3*0.2</f>
        <v>0</v>
      </c>
      <c r="N14" s="673">
        <v>0</v>
      </c>
      <c r="O14" s="77">
        <f>SUM(L14:N14) + $C14</f>
        <v>8</v>
      </c>
    </row>
    <row r="15" spans="1:15" ht="16.5" thickBot="1" x14ac:dyDescent="0.3">
      <c r="A15" s="330" t="s">
        <v>3</v>
      </c>
      <c r="B15" s="329"/>
      <c r="C15" s="329"/>
      <c r="D15" s="329"/>
      <c r="E15" s="329"/>
      <c r="F15" s="329"/>
      <c r="G15" s="329"/>
      <c r="H15" s="329"/>
      <c r="I15" s="329"/>
      <c r="J15" s="329"/>
      <c r="K15" s="327"/>
      <c r="L15" s="329"/>
      <c r="M15" s="329"/>
      <c r="N15" s="329"/>
      <c r="O15" s="396"/>
    </row>
    <row r="16" spans="1:15" x14ac:dyDescent="0.25">
      <c r="A16" s="1944" t="s">
        <v>4</v>
      </c>
      <c r="B16" s="325" t="s">
        <v>32</v>
      </c>
      <c r="C16" s="324"/>
      <c r="D16" s="678">
        <v>0.25</v>
      </c>
      <c r="E16" s="699">
        <v>0</v>
      </c>
      <c r="F16" s="679">
        <v>0</v>
      </c>
      <c r="G16" s="230">
        <f t="shared" si="1"/>
        <v>0.25</v>
      </c>
      <c r="H16" s="678">
        <v>0.25</v>
      </c>
      <c r="I16" s="699">
        <v>0</v>
      </c>
      <c r="J16" s="679">
        <v>0</v>
      </c>
      <c r="K16" s="230">
        <f t="shared" si="2"/>
        <v>0.25</v>
      </c>
      <c r="L16" s="678">
        <v>0.25</v>
      </c>
      <c r="M16" s="699">
        <v>0</v>
      </c>
      <c r="N16" s="679">
        <v>0</v>
      </c>
      <c r="O16" s="230">
        <f t="shared" ref="O16:O36" si="3">SUM(L16:N16) + $C16</f>
        <v>0.25</v>
      </c>
    </row>
    <row r="17" spans="1:15" x14ac:dyDescent="0.25">
      <c r="A17" s="1937"/>
      <c r="B17" s="18" t="s">
        <v>33</v>
      </c>
      <c r="C17" s="22"/>
      <c r="D17" s="625">
        <v>0.25</v>
      </c>
      <c r="E17" s="616">
        <v>0</v>
      </c>
      <c r="F17" s="623">
        <v>0</v>
      </c>
      <c r="G17" s="21">
        <f t="shared" si="1"/>
        <v>0.25</v>
      </c>
      <c r="H17" s="625">
        <v>0.25</v>
      </c>
      <c r="I17" s="616">
        <v>0</v>
      </c>
      <c r="J17" s="623">
        <v>0</v>
      </c>
      <c r="K17" s="21">
        <f t="shared" si="2"/>
        <v>0.25</v>
      </c>
      <c r="L17" s="625">
        <v>0.25</v>
      </c>
      <c r="M17" s="616">
        <v>0</v>
      </c>
      <c r="N17" s="623">
        <v>0</v>
      </c>
      <c r="O17" s="21">
        <f t="shared" si="3"/>
        <v>0.25</v>
      </c>
    </row>
    <row r="18" spans="1:15" x14ac:dyDescent="0.25">
      <c r="A18" s="1937"/>
      <c r="B18" s="18" t="s">
        <v>34</v>
      </c>
      <c r="C18" s="22"/>
      <c r="D18" s="678">
        <v>0.25</v>
      </c>
      <c r="E18" s="616">
        <v>0</v>
      </c>
      <c r="F18" s="623">
        <v>0</v>
      </c>
      <c r="G18" s="21">
        <f t="shared" si="1"/>
        <v>0.25</v>
      </c>
      <c r="H18" s="678">
        <v>0.25</v>
      </c>
      <c r="I18" s="616">
        <v>0</v>
      </c>
      <c r="J18" s="623">
        <v>0</v>
      </c>
      <c r="K18" s="21">
        <f t="shared" si="2"/>
        <v>0.25</v>
      </c>
      <c r="L18" s="678">
        <v>0.25</v>
      </c>
      <c r="M18" s="616">
        <v>0</v>
      </c>
      <c r="N18" s="623">
        <v>0</v>
      </c>
      <c r="O18" s="21">
        <f t="shared" si="3"/>
        <v>0.25</v>
      </c>
    </row>
    <row r="19" spans="1:15" x14ac:dyDescent="0.25">
      <c r="A19" s="1937" t="s">
        <v>5</v>
      </c>
      <c r="B19" s="19" t="s">
        <v>32</v>
      </c>
      <c r="C19" s="22"/>
      <c r="D19" s="625">
        <v>1</v>
      </c>
      <c r="E19" s="616">
        <v>0</v>
      </c>
      <c r="F19" s="623">
        <v>0</v>
      </c>
      <c r="G19" s="21">
        <f t="shared" si="1"/>
        <v>1</v>
      </c>
      <c r="H19" s="625">
        <v>1</v>
      </c>
      <c r="I19" s="616">
        <v>0</v>
      </c>
      <c r="J19" s="623">
        <v>0</v>
      </c>
      <c r="K19" s="21">
        <f t="shared" si="2"/>
        <v>1</v>
      </c>
      <c r="L19" s="625">
        <v>1</v>
      </c>
      <c r="M19" s="616">
        <v>0</v>
      </c>
      <c r="N19" s="623">
        <v>0</v>
      </c>
      <c r="O19" s="21">
        <f t="shared" si="3"/>
        <v>1</v>
      </c>
    </row>
    <row r="20" spans="1:15" x14ac:dyDescent="0.25">
      <c r="A20" s="1937"/>
      <c r="B20" s="19" t="s">
        <v>33</v>
      </c>
      <c r="C20" s="22"/>
      <c r="D20" s="625">
        <v>2</v>
      </c>
      <c r="E20" s="616">
        <v>0</v>
      </c>
      <c r="F20" s="623">
        <v>0</v>
      </c>
      <c r="G20" s="21">
        <f t="shared" si="1"/>
        <v>2</v>
      </c>
      <c r="H20" s="625">
        <v>2</v>
      </c>
      <c r="I20" s="616">
        <v>0</v>
      </c>
      <c r="J20" s="623">
        <v>0</v>
      </c>
      <c r="K20" s="21">
        <f t="shared" si="2"/>
        <v>2</v>
      </c>
      <c r="L20" s="625">
        <v>2</v>
      </c>
      <c r="M20" s="616">
        <v>0</v>
      </c>
      <c r="N20" s="623">
        <v>0</v>
      </c>
      <c r="O20" s="21">
        <f t="shared" si="3"/>
        <v>2</v>
      </c>
    </row>
    <row r="21" spans="1:15" x14ac:dyDescent="0.25">
      <c r="A21" s="1937"/>
      <c r="B21" s="19" t="s">
        <v>34</v>
      </c>
      <c r="C21" s="22"/>
      <c r="D21" s="625">
        <v>4</v>
      </c>
      <c r="E21" s="616">
        <v>0</v>
      </c>
      <c r="F21" s="623">
        <v>0</v>
      </c>
      <c r="G21" s="21">
        <f t="shared" si="1"/>
        <v>4</v>
      </c>
      <c r="H21" s="625">
        <v>4</v>
      </c>
      <c r="I21" s="616">
        <v>0</v>
      </c>
      <c r="J21" s="623">
        <v>0</v>
      </c>
      <c r="K21" s="21">
        <f t="shared" si="2"/>
        <v>4</v>
      </c>
      <c r="L21" s="625">
        <v>4</v>
      </c>
      <c r="M21" s="616">
        <v>0</v>
      </c>
      <c r="N21" s="623">
        <v>0</v>
      </c>
      <c r="O21" s="21">
        <f t="shared" si="3"/>
        <v>4</v>
      </c>
    </row>
    <row r="22" spans="1:15" x14ac:dyDescent="0.25">
      <c r="A22" s="1937" t="s">
        <v>6</v>
      </c>
      <c r="B22" s="19" t="s">
        <v>32</v>
      </c>
      <c r="C22" s="22"/>
      <c r="D22" s="628">
        <f>IF(D$3=1,8,8+D$3*1)</f>
        <v>8</v>
      </c>
      <c r="E22" s="628">
        <f>E$3*0.5</f>
        <v>0</v>
      </c>
      <c r="F22" s="623">
        <v>0</v>
      </c>
      <c r="G22" s="21">
        <f t="shared" si="1"/>
        <v>8</v>
      </c>
      <c r="H22" s="628">
        <f>IF(H$3=1,8,8+H$3*1)</f>
        <v>8</v>
      </c>
      <c r="I22" s="628">
        <f>I$3*0.5</f>
        <v>0</v>
      </c>
      <c r="J22" s="623">
        <v>0</v>
      </c>
      <c r="K22" s="21">
        <f t="shared" si="2"/>
        <v>8</v>
      </c>
      <c r="L22" s="628">
        <f>IF(L$3=1,8,8+L$3*1)</f>
        <v>8</v>
      </c>
      <c r="M22" s="628">
        <f>M$3*0.5</f>
        <v>0</v>
      </c>
      <c r="N22" s="623">
        <v>0</v>
      </c>
      <c r="O22" s="21">
        <f t="shared" si="3"/>
        <v>8</v>
      </c>
    </row>
    <row r="23" spans="1:15" x14ac:dyDescent="0.25">
      <c r="A23" s="1937"/>
      <c r="B23" s="19" t="s">
        <v>33</v>
      </c>
      <c r="C23" s="22"/>
      <c r="D23" s="628">
        <f>IF(D$3=1,16,16+D$3*1.5)</f>
        <v>16</v>
      </c>
      <c r="E23" s="628">
        <f>E$3*0.5</f>
        <v>0</v>
      </c>
      <c r="F23" s="623">
        <v>0</v>
      </c>
      <c r="G23" s="21">
        <f t="shared" si="1"/>
        <v>16</v>
      </c>
      <c r="H23" s="628">
        <f>IF(H$3=1,16,16+H$3*1.5)</f>
        <v>16</v>
      </c>
      <c r="I23" s="628">
        <f>I$3*0.5</f>
        <v>0</v>
      </c>
      <c r="J23" s="623">
        <v>0</v>
      </c>
      <c r="K23" s="21">
        <f t="shared" si="2"/>
        <v>16</v>
      </c>
      <c r="L23" s="628">
        <f>IF(L$3=1,16,16+L$3*1.5)</f>
        <v>16</v>
      </c>
      <c r="M23" s="628">
        <f>M$3*0.5</f>
        <v>0</v>
      </c>
      <c r="N23" s="623">
        <v>0</v>
      </c>
      <c r="O23" s="21">
        <f t="shared" si="3"/>
        <v>16</v>
      </c>
    </row>
    <row r="24" spans="1:15" x14ac:dyDescent="0.25">
      <c r="A24" s="1937"/>
      <c r="B24" s="19" t="s">
        <v>34</v>
      </c>
      <c r="C24" s="22"/>
      <c r="D24" s="628">
        <f>IF(D$3=1,24,24+D$3*2)</f>
        <v>24</v>
      </c>
      <c r="E24" s="628">
        <f>E$3*0.5</f>
        <v>0</v>
      </c>
      <c r="F24" s="623">
        <v>0</v>
      </c>
      <c r="G24" s="21">
        <f t="shared" si="1"/>
        <v>24</v>
      </c>
      <c r="H24" s="628">
        <f>IF(H$3=1,24,24+H$3*2)</f>
        <v>24</v>
      </c>
      <c r="I24" s="628">
        <f>I$3*0.5</f>
        <v>0</v>
      </c>
      <c r="J24" s="623">
        <v>0</v>
      </c>
      <c r="K24" s="21">
        <f t="shared" si="2"/>
        <v>24</v>
      </c>
      <c r="L24" s="628">
        <f>IF(L$3=1,24,24+L$3*2)</f>
        <v>24</v>
      </c>
      <c r="M24" s="628">
        <f>M$3*0.5</f>
        <v>0</v>
      </c>
      <c r="N24" s="623">
        <v>0</v>
      </c>
      <c r="O24" s="21">
        <f t="shared" si="3"/>
        <v>24</v>
      </c>
    </row>
    <row r="25" spans="1:15" x14ac:dyDescent="0.25">
      <c r="A25" s="1937" t="s">
        <v>7</v>
      </c>
      <c r="B25" s="19" t="s">
        <v>32</v>
      </c>
      <c r="C25" s="22"/>
      <c r="D25" s="623">
        <v>4</v>
      </c>
      <c r="E25" s="623">
        <v>0</v>
      </c>
      <c r="F25" s="623">
        <v>0</v>
      </c>
      <c r="G25" s="21">
        <f t="shared" si="1"/>
        <v>4</v>
      </c>
      <c r="H25" s="623">
        <v>4</v>
      </c>
      <c r="I25" s="623">
        <v>0</v>
      </c>
      <c r="J25" s="623">
        <v>0</v>
      </c>
      <c r="K25" s="21">
        <f t="shared" si="2"/>
        <v>4</v>
      </c>
      <c r="L25" s="623">
        <v>4</v>
      </c>
      <c r="M25" s="623">
        <v>0</v>
      </c>
      <c r="N25" s="623">
        <v>0</v>
      </c>
      <c r="O25" s="21">
        <f t="shared" si="3"/>
        <v>4</v>
      </c>
    </row>
    <row r="26" spans="1:15" x14ac:dyDescent="0.25">
      <c r="A26" s="1937"/>
      <c r="B26" s="19" t="s">
        <v>33</v>
      </c>
      <c r="C26" s="22"/>
      <c r="D26" s="623">
        <v>4</v>
      </c>
      <c r="E26" s="623">
        <v>0</v>
      </c>
      <c r="F26" s="623">
        <v>0</v>
      </c>
      <c r="G26" s="21">
        <f t="shared" si="1"/>
        <v>4</v>
      </c>
      <c r="H26" s="623">
        <v>4</v>
      </c>
      <c r="I26" s="623">
        <v>0</v>
      </c>
      <c r="J26" s="623">
        <v>0</v>
      </c>
      <c r="K26" s="21">
        <f t="shared" si="2"/>
        <v>4</v>
      </c>
      <c r="L26" s="623">
        <v>4</v>
      </c>
      <c r="M26" s="623">
        <v>0</v>
      </c>
      <c r="N26" s="623">
        <v>0</v>
      </c>
      <c r="O26" s="21">
        <f t="shared" si="3"/>
        <v>4</v>
      </c>
    </row>
    <row r="27" spans="1:15" x14ac:dyDescent="0.25">
      <c r="A27" s="1937"/>
      <c r="B27" s="19" t="s">
        <v>34</v>
      </c>
      <c r="C27" s="22"/>
      <c r="D27" s="623">
        <v>4</v>
      </c>
      <c r="E27" s="623">
        <v>0</v>
      </c>
      <c r="F27" s="623">
        <v>0</v>
      </c>
      <c r="G27" s="21">
        <f t="shared" si="1"/>
        <v>4</v>
      </c>
      <c r="H27" s="623">
        <v>4</v>
      </c>
      <c r="I27" s="623">
        <v>0</v>
      </c>
      <c r="J27" s="623">
        <v>0</v>
      </c>
      <c r="K27" s="21">
        <f t="shared" si="2"/>
        <v>4</v>
      </c>
      <c r="L27" s="623">
        <v>4</v>
      </c>
      <c r="M27" s="623">
        <v>0</v>
      </c>
      <c r="N27" s="623">
        <v>0</v>
      </c>
      <c r="O27" s="21">
        <f t="shared" si="3"/>
        <v>4</v>
      </c>
    </row>
    <row r="28" spans="1:15" x14ac:dyDescent="0.25">
      <c r="A28" s="1937" t="s">
        <v>8</v>
      </c>
      <c r="B28" s="19" t="s">
        <v>32</v>
      </c>
      <c r="C28" s="22"/>
      <c r="D28" s="625">
        <v>2</v>
      </c>
      <c r="E28" s="616">
        <v>0</v>
      </c>
      <c r="F28" s="623">
        <v>0</v>
      </c>
      <c r="G28" s="21">
        <f t="shared" si="1"/>
        <v>2</v>
      </c>
      <c r="H28" s="625">
        <v>2</v>
      </c>
      <c r="I28" s="616">
        <v>0</v>
      </c>
      <c r="J28" s="623">
        <v>0</v>
      </c>
      <c r="K28" s="21">
        <f t="shared" si="2"/>
        <v>2</v>
      </c>
      <c r="L28" s="625">
        <v>2</v>
      </c>
      <c r="M28" s="616">
        <v>0</v>
      </c>
      <c r="N28" s="623">
        <v>0</v>
      </c>
      <c r="O28" s="21">
        <f t="shared" si="3"/>
        <v>2</v>
      </c>
    </row>
    <row r="29" spans="1:15" x14ac:dyDescent="0.25">
      <c r="A29" s="1937"/>
      <c r="B29" s="19" t="s">
        <v>33</v>
      </c>
      <c r="C29" s="22"/>
      <c r="D29" s="625">
        <v>2</v>
      </c>
      <c r="E29" s="616">
        <v>0</v>
      </c>
      <c r="F29" s="623">
        <v>0</v>
      </c>
      <c r="G29" s="21">
        <f t="shared" si="1"/>
        <v>2</v>
      </c>
      <c r="H29" s="625">
        <v>2</v>
      </c>
      <c r="I29" s="616">
        <v>0</v>
      </c>
      <c r="J29" s="623">
        <v>0</v>
      </c>
      <c r="K29" s="21">
        <f t="shared" si="2"/>
        <v>2</v>
      </c>
      <c r="L29" s="625">
        <v>2</v>
      </c>
      <c r="M29" s="616">
        <v>0</v>
      </c>
      <c r="N29" s="623">
        <v>0</v>
      </c>
      <c r="O29" s="21">
        <f t="shared" si="3"/>
        <v>2</v>
      </c>
    </row>
    <row r="30" spans="1:15" x14ac:dyDescent="0.25">
      <c r="A30" s="1937"/>
      <c r="B30" s="19" t="s">
        <v>34</v>
      </c>
      <c r="C30" s="22"/>
      <c r="D30" s="625">
        <v>2</v>
      </c>
      <c r="E30" s="616">
        <v>0</v>
      </c>
      <c r="F30" s="623">
        <v>0</v>
      </c>
      <c r="G30" s="21">
        <f t="shared" si="1"/>
        <v>2</v>
      </c>
      <c r="H30" s="625">
        <v>2</v>
      </c>
      <c r="I30" s="616">
        <v>0</v>
      </c>
      <c r="J30" s="623">
        <v>0</v>
      </c>
      <c r="K30" s="21">
        <f t="shared" si="2"/>
        <v>2</v>
      </c>
      <c r="L30" s="625">
        <v>2</v>
      </c>
      <c r="M30" s="616">
        <v>0</v>
      </c>
      <c r="N30" s="623">
        <v>0</v>
      </c>
      <c r="O30" s="21">
        <f t="shared" si="3"/>
        <v>2</v>
      </c>
    </row>
    <row r="31" spans="1:15" x14ac:dyDescent="0.25">
      <c r="A31" s="1937" t="s">
        <v>9</v>
      </c>
      <c r="B31" s="19" t="s">
        <v>32</v>
      </c>
      <c r="C31" s="22"/>
      <c r="D31" s="692">
        <v>2</v>
      </c>
      <c r="E31" s="628">
        <f>E$3*0.5</f>
        <v>0</v>
      </c>
      <c r="F31" s="623">
        <v>0</v>
      </c>
      <c r="G31" s="21">
        <f t="shared" si="1"/>
        <v>2</v>
      </c>
      <c r="H31" s="692">
        <v>2</v>
      </c>
      <c r="I31" s="628">
        <f>I$3*0.5</f>
        <v>0</v>
      </c>
      <c r="J31" s="623">
        <v>0</v>
      </c>
      <c r="K31" s="21">
        <f t="shared" si="2"/>
        <v>2</v>
      </c>
      <c r="L31" s="692">
        <v>2</v>
      </c>
      <c r="M31" s="628">
        <f>M$3*0.5</f>
        <v>0</v>
      </c>
      <c r="N31" s="623">
        <v>0</v>
      </c>
      <c r="O31" s="21">
        <f t="shared" si="3"/>
        <v>2</v>
      </c>
    </row>
    <row r="32" spans="1:15" x14ac:dyDescent="0.25">
      <c r="A32" s="1937"/>
      <c r="B32" s="19" t="s">
        <v>33</v>
      </c>
      <c r="C32" s="22"/>
      <c r="D32" s="692">
        <v>4</v>
      </c>
      <c r="E32" s="628">
        <f>E$3*0.5</f>
        <v>0</v>
      </c>
      <c r="F32" s="623">
        <v>0</v>
      </c>
      <c r="G32" s="21">
        <f t="shared" si="1"/>
        <v>4</v>
      </c>
      <c r="H32" s="692">
        <v>4</v>
      </c>
      <c r="I32" s="628">
        <f>I$3*0.5</f>
        <v>0</v>
      </c>
      <c r="J32" s="623">
        <v>0</v>
      </c>
      <c r="K32" s="21">
        <f t="shared" si="2"/>
        <v>4</v>
      </c>
      <c r="L32" s="692">
        <v>4</v>
      </c>
      <c r="M32" s="628">
        <f>M$3*0.5</f>
        <v>0</v>
      </c>
      <c r="N32" s="623">
        <v>0</v>
      </c>
      <c r="O32" s="21">
        <f t="shared" si="3"/>
        <v>4</v>
      </c>
    </row>
    <row r="33" spans="1:15" x14ac:dyDescent="0.25">
      <c r="A33" s="1937"/>
      <c r="B33" s="19" t="s">
        <v>34</v>
      </c>
      <c r="C33" s="22"/>
      <c r="D33" s="692">
        <v>6</v>
      </c>
      <c r="E33" s="628">
        <f>E$3*0.5</f>
        <v>0</v>
      </c>
      <c r="F33" s="623">
        <v>0</v>
      </c>
      <c r="G33" s="21">
        <f t="shared" si="1"/>
        <v>6</v>
      </c>
      <c r="H33" s="692">
        <v>6</v>
      </c>
      <c r="I33" s="628">
        <f>I$3*0.5</f>
        <v>0</v>
      </c>
      <c r="J33" s="623">
        <v>0</v>
      </c>
      <c r="K33" s="21">
        <f t="shared" si="2"/>
        <v>6</v>
      </c>
      <c r="L33" s="692">
        <v>6</v>
      </c>
      <c r="M33" s="628">
        <f>M$3*0.5</f>
        <v>0</v>
      </c>
      <c r="N33" s="623">
        <v>0</v>
      </c>
      <c r="O33" s="21">
        <f t="shared" si="3"/>
        <v>6</v>
      </c>
    </row>
    <row r="34" spans="1:15" x14ac:dyDescent="0.25">
      <c r="A34" s="1937" t="s">
        <v>10</v>
      </c>
      <c r="B34" s="19" t="s">
        <v>32</v>
      </c>
      <c r="C34" s="22"/>
      <c r="D34" s="625">
        <v>2</v>
      </c>
      <c r="E34" s="616">
        <v>0</v>
      </c>
      <c r="F34" s="616">
        <v>0</v>
      </c>
      <c r="G34" s="21">
        <f t="shared" si="1"/>
        <v>2</v>
      </c>
      <c r="H34" s="625">
        <v>2</v>
      </c>
      <c r="I34" s="616">
        <v>0</v>
      </c>
      <c r="J34" s="616">
        <v>0</v>
      </c>
      <c r="K34" s="21">
        <f t="shared" si="2"/>
        <v>2</v>
      </c>
      <c r="L34" s="625">
        <v>2</v>
      </c>
      <c r="M34" s="616">
        <v>0</v>
      </c>
      <c r="N34" s="616">
        <v>0</v>
      </c>
      <c r="O34" s="21">
        <f t="shared" si="3"/>
        <v>2</v>
      </c>
    </row>
    <row r="35" spans="1:15" x14ac:dyDescent="0.25">
      <c r="A35" s="1937"/>
      <c r="B35" s="19" t="s">
        <v>33</v>
      </c>
      <c r="C35" s="22"/>
      <c r="D35" s="625">
        <v>2</v>
      </c>
      <c r="E35" s="616">
        <v>0</v>
      </c>
      <c r="F35" s="616">
        <v>0</v>
      </c>
      <c r="G35" s="21">
        <f t="shared" si="1"/>
        <v>2</v>
      </c>
      <c r="H35" s="625">
        <v>2</v>
      </c>
      <c r="I35" s="616">
        <v>0</v>
      </c>
      <c r="J35" s="616">
        <v>0</v>
      </c>
      <c r="K35" s="21">
        <f t="shared" si="2"/>
        <v>2</v>
      </c>
      <c r="L35" s="625">
        <v>2</v>
      </c>
      <c r="M35" s="616">
        <v>0</v>
      </c>
      <c r="N35" s="616">
        <v>0</v>
      </c>
      <c r="O35" s="21">
        <f t="shared" si="3"/>
        <v>2</v>
      </c>
    </row>
    <row r="36" spans="1:15" ht="15.75" thickBot="1" x14ac:dyDescent="0.3">
      <c r="A36" s="1938"/>
      <c r="B36" s="13" t="s">
        <v>34</v>
      </c>
      <c r="C36" s="34"/>
      <c r="D36" s="626">
        <v>2</v>
      </c>
      <c r="E36" s="698">
        <v>0</v>
      </c>
      <c r="F36" s="698">
        <v>0</v>
      </c>
      <c r="G36" s="77">
        <f t="shared" si="1"/>
        <v>2</v>
      </c>
      <c r="H36" s="626">
        <v>2</v>
      </c>
      <c r="I36" s="698">
        <v>0</v>
      </c>
      <c r="J36" s="698">
        <v>0</v>
      </c>
      <c r="K36" s="77">
        <f t="shared" si="2"/>
        <v>2</v>
      </c>
      <c r="L36" s="626">
        <v>2</v>
      </c>
      <c r="M36" s="698">
        <v>0</v>
      </c>
      <c r="N36" s="698">
        <v>0</v>
      </c>
      <c r="O36" s="77">
        <f t="shared" si="3"/>
        <v>2</v>
      </c>
    </row>
    <row r="37" spans="1:15" ht="16.5" thickBot="1" x14ac:dyDescent="0.3">
      <c r="A37" s="330" t="s">
        <v>11</v>
      </c>
      <c r="B37" s="329"/>
      <c r="C37" s="329"/>
      <c r="D37" s="329"/>
      <c r="E37" s="329"/>
      <c r="F37" s="329"/>
      <c r="G37" s="329"/>
      <c r="H37" s="329"/>
      <c r="I37" s="329"/>
      <c r="J37" s="329"/>
      <c r="K37" s="327"/>
      <c r="L37" s="329"/>
      <c r="M37" s="329"/>
      <c r="N37" s="329"/>
      <c r="O37" s="396"/>
    </row>
    <row r="38" spans="1:15" x14ac:dyDescent="0.25">
      <c r="A38" s="1932" t="s">
        <v>12</v>
      </c>
      <c r="B38" s="404" t="s">
        <v>32</v>
      </c>
      <c r="C38" s="324"/>
      <c r="D38" s="628">
        <f>IF(D$3=1,8,8+D$3*1)</f>
        <v>8</v>
      </c>
      <c r="E38" s="628">
        <f>E$3*0.5</f>
        <v>0</v>
      </c>
      <c r="F38" s="699">
        <v>0</v>
      </c>
      <c r="G38" s="230">
        <f t="shared" si="1"/>
        <v>8</v>
      </c>
      <c r="H38" s="628">
        <f>IF(H$3=1,8,8+H$3*1)</f>
        <v>8</v>
      </c>
      <c r="I38" s="628">
        <f>I$3*0.5</f>
        <v>0</v>
      </c>
      <c r="J38" s="699">
        <v>0</v>
      </c>
      <c r="K38" s="230">
        <f t="shared" si="2"/>
        <v>8</v>
      </c>
      <c r="L38" s="628">
        <f>IF(L$3=1,8,8+L$3*1)</f>
        <v>8</v>
      </c>
      <c r="M38" s="628">
        <f>M$3*0.5</f>
        <v>0</v>
      </c>
      <c r="N38" s="699">
        <v>0</v>
      </c>
      <c r="O38" s="230">
        <f>SUM(L38:N38) + $C38</f>
        <v>8</v>
      </c>
    </row>
    <row r="39" spans="1:15" x14ac:dyDescent="0.25">
      <c r="A39" s="1932"/>
      <c r="B39" s="19" t="s">
        <v>33</v>
      </c>
      <c r="C39" s="22"/>
      <c r="D39" s="628">
        <f>IF(D$3=1,16,16+D$3*1.5)</f>
        <v>16</v>
      </c>
      <c r="E39" s="628">
        <f>E$3*0.5</f>
        <v>0</v>
      </c>
      <c r="F39" s="616">
        <v>0</v>
      </c>
      <c r="G39" s="21">
        <f t="shared" si="1"/>
        <v>16</v>
      </c>
      <c r="H39" s="628">
        <f>IF(H$3=1,16,16+H$3*1.5)</f>
        <v>16</v>
      </c>
      <c r="I39" s="628">
        <f>I$3*0.5</f>
        <v>0</v>
      </c>
      <c r="J39" s="616">
        <v>0</v>
      </c>
      <c r="K39" s="21">
        <f t="shared" si="2"/>
        <v>16</v>
      </c>
      <c r="L39" s="628">
        <f>IF(L$3=1,16,16+L$3*1.5)</f>
        <v>16</v>
      </c>
      <c r="M39" s="628">
        <f>M$3*0.5</f>
        <v>0</v>
      </c>
      <c r="N39" s="616">
        <v>0</v>
      </c>
      <c r="O39" s="21">
        <f>SUM(L39:N39) + $C39</f>
        <v>16</v>
      </c>
    </row>
    <row r="40" spans="1:15" ht="15.75" thickBot="1" x14ac:dyDescent="0.3">
      <c r="A40" s="1932"/>
      <c r="B40" s="13" t="s">
        <v>34</v>
      </c>
      <c r="C40" s="34"/>
      <c r="D40" s="628">
        <f>IF(D$3=1,24,24+D$3*2)</f>
        <v>24</v>
      </c>
      <c r="E40" s="628">
        <f>E$3*0.5</f>
        <v>0</v>
      </c>
      <c r="F40" s="698">
        <v>0</v>
      </c>
      <c r="G40" s="77">
        <f t="shared" si="1"/>
        <v>24</v>
      </c>
      <c r="H40" s="628">
        <f>IF(H$3=1,24,24+H$3*2)</f>
        <v>24</v>
      </c>
      <c r="I40" s="628">
        <f>I$3*0.5</f>
        <v>0</v>
      </c>
      <c r="J40" s="698">
        <v>0</v>
      </c>
      <c r="K40" s="77">
        <f t="shared" si="2"/>
        <v>24</v>
      </c>
      <c r="L40" s="628">
        <f>IF(L$3=1,24,24+L$3*2)</f>
        <v>24</v>
      </c>
      <c r="M40" s="628">
        <f>M$3*0.5</f>
        <v>0</v>
      </c>
      <c r="N40" s="698">
        <v>0</v>
      </c>
      <c r="O40" s="77">
        <f>SUM(L40:N40) + $C40</f>
        <v>24</v>
      </c>
    </row>
    <row r="41" spans="1:15" ht="16.5" thickBot="1" x14ac:dyDescent="0.3">
      <c r="A41" s="330" t="s">
        <v>13</v>
      </c>
      <c r="B41" s="329"/>
      <c r="C41" s="329"/>
      <c r="D41" s="329"/>
      <c r="E41" s="329"/>
      <c r="F41" s="329"/>
      <c r="G41" s="329"/>
      <c r="H41" s="329"/>
      <c r="I41" s="329"/>
      <c r="J41" s="329"/>
      <c r="K41" s="327"/>
      <c r="L41" s="329"/>
      <c r="M41" s="329"/>
      <c r="N41" s="329"/>
      <c r="O41" s="396"/>
    </row>
    <row r="42" spans="1:15" x14ac:dyDescent="0.25">
      <c r="A42" s="1986" t="s">
        <v>14</v>
      </c>
      <c r="B42" s="404" t="s">
        <v>32</v>
      </c>
      <c r="C42" s="627"/>
      <c r="D42" s="625">
        <v>1</v>
      </c>
      <c r="E42" s="661">
        <v>0</v>
      </c>
      <c r="F42" s="699">
        <v>0</v>
      </c>
      <c r="G42" s="230">
        <f t="shared" si="1"/>
        <v>1</v>
      </c>
      <c r="H42" s="625">
        <v>1</v>
      </c>
      <c r="I42" s="616">
        <v>0</v>
      </c>
      <c r="J42" s="623">
        <v>0</v>
      </c>
      <c r="K42" s="230">
        <f t="shared" si="2"/>
        <v>1</v>
      </c>
      <c r="L42" s="625">
        <v>1</v>
      </c>
      <c r="M42" s="616">
        <v>0</v>
      </c>
      <c r="N42" s="623">
        <v>0</v>
      </c>
      <c r="O42" s="230">
        <f t="shared" ref="O42:O86" si="4">SUM(L42:N42) + $C42</f>
        <v>1</v>
      </c>
    </row>
    <row r="43" spans="1:15" x14ac:dyDescent="0.25">
      <c r="A43" s="1933"/>
      <c r="B43" s="19" t="s">
        <v>33</v>
      </c>
      <c r="C43" s="620"/>
      <c r="D43" s="625">
        <v>2</v>
      </c>
      <c r="E43" s="615">
        <v>0</v>
      </c>
      <c r="F43" s="616">
        <v>0</v>
      </c>
      <c r="G43" s="21">
        <f t="shared" si="1"/>
        <v>2</v>
      </c>
      <c r="H43" s="625">
        <v>2</v>
      </c>
      <c r="I43" s="616">
        <v>0</v>
      </c>
      <c r="J43" s="623">
        <v>0</v>
      </c>
      <c r="K43" s="21">
        <f t="shared" si="2"/>
        <v>2</v>
      </c>
      <c r="L43" s="625">
        <v>2</v>
      </c>
      <c r="M43" s="616">
        <v>0</v>
      </c>
      <c r="N43" s="623">
        <v>0</v>
      </c>
      <c r="O43" s="21">
        <f t="shared" si="4"/>
        <v>2</v>
      </c>
    </row>
    <row r="44" spans="1:15" x14ac:dyDescent="0.25">
      <c r="A44" s="1933"/>
      <c r="B44" s="19" t="s">
        <v>34</v>
      </c>
      <c r="C44" s="620"/>
      <c r="D44" s="625">
        <v>4</v>
      </c>
      <c r="E44" s="615">
        <v>0</v>
      </c>
      <c r="F44" s="616">
        <v>0</v>
      </c>
      <c r="G44" s="21">
        <f t="shared" si="1"/>
        <v>4</v>
      </c>
      <c r="H44" s="625">
        <v>4</v>
      </c>
      <c r="I44" s="616">
        <v>0</v>
      </c>
      <c r="J44" s="623">
        <v>0</v>
      </c>
      <c r="K44" s="21">
        <f t="shared" si="2"/>
        <v>4</v>
      </c>
      <c r="L44" s="625">
        <v>4</v>
      </c>
      <c r="M44" s="616">
        <v>0</v>
      </c>
      <c r="N44" s="623">
        <v>0</v>
      </c>
      <c r="O44" s="21">
        <f t="shared" si="4"/>
        <v>4</v>
      </c>
    </row>
    <row r="45" spans="1:15" x14ac:dyDescent="0.25">
      <c r="A45" s="1933" t="s">
        <v>15</v>
      </c>
      <c r="B45" s="19" t="s">
        <v>32</v>
      </c>
      <c r="C45" s="620"/>
      <c r="D45" s="628">
        <f>IF(D$3=1,8,7+D$3*1)</f>
        <v>7</v>
      </c>
      <c r="E45" s="628">
        <f t="shared" ref="E45:E50" si="5">E$3*0.5</f>
        <v>0</v>
      </c>
      <c r="F45" s="616">
        <v>0</v>
      </c>
      <c r="G45" s="21">
        <f t="shared" si="1"/>
        <v>7</v>
      </c>
      <c r="H45" s="628">
        <f>IF(H$3=1,8,7+H$3*1)</f>
        <v>7</v>
      </c>
      <c r="I45" s="628">
        <f t="shared" ref="I45:I50" si="6">I$3*0.5</f>
        <v>0</v>
      </c>
      <c r="J45" s="616">
        <v>0</v>
      </c>
      <c r="K45" s="21">
        <f t="shared" si="2"/>
        <v>7</v>
      </c>
      <c r="L45" s="628">
        <f>IF(L$3=1,8,7+L$3*1)</f>
        <v>7</v>
      </c>
      <c r="M45" s="628">
        <f t="shared" ref="M45:M50" si="7">M$3*0.5</f>
        <v>0</v>
      </c>
      <c r="N45" s="616">
        <v>0</v>
      </c>
      <c r="O45" s="21">
        <f t="shared" si="4"/>
        <v>7</v>
      </c>
    </row>
    <row r="46" spans="1:15" x14ac:dyDescent="0.25">
      <c r="A46" s="1933"/>
      <c r="B46" s="19" t="s">
        <v>33</v>
      </c>
      <c r="C46" s="620"/>
      <c r="D46" s="628">
        <f>IF(D$3=1,16,14.5+D$3*1.5)</f>
        <v>14.5</v>
      </c>
      <c r="E46" s="628">
        <f t="shared" si="5"/>
        <v>0</v>
      </c>
      <c r="F46" s="616">
        <v>0</v>
      </c>
      <c r="G46" s="21">
        <f t="shared" si="1"/>
        <v>14.5</v>
      </c>
      <c r="H46" s="628">
        <f>IF(H$3=1,16,14.5+H$3*1.5)</f>
        <v>14.5</v>
      </c>
      <c r="I46" s="628">
        <f t="shared" si="6"/>
        <v>0</v>
      </c>
      <c r="J46" s="616">
        <v>0</v>
      </c>
      <c r="K46" s="21">
        <f t="shared" si="2"/>
        <v>14.5</v>
      </c>
      <c r="L46" s="628">
        <f>IF(L$3=1,16,14.5+L$3*1.5)</f>
        <v>14.5</v>
      </c>
      <c r="M46" s="628">
        <f t="shared" si="7"/>
        <v>0</v>
      </c>
      <c r="N46" s="616">
        <v>0</v>
      </c>
      <c r="O46" s="21">
        <f t="shared" si="4"/>
        <v>14.5</v>
      </c>
    </row>
    <row r="47" spans="1:15" x14ac:dyDescent="0.25">
      <c r="A47" s="1933"/>
      <c r="B47" s="19" t="s">
        <v>34</v>
      </c>
      <c r="C47" s="620"/>
      <c r="D47" s="628">
        <f>IF(D$3=1,24,22+D$3*2)</f>
        <v>22</v>
      </c>
      <c r="E47" s="628">
        <f t="shared" si="5"/>
        <v>0</v>
      </c>
      <c r="F47" s="616">
        <v>0</v>
      </c>
      <c r="G47" s="21">
        <f t="shared" si="1"/>
        <v>22</v>
      </c>
      <c r="H47" s="628">
        <f>IF(H$3=1,24,22+H$3*2)</f>
        <v>22</v>
      </c>
      <c r="I47" s="628">
        <f t="shared" si="6"/>
        <v>0</v>
      </c>
      <c r="J47" s="616">
        <v>0</v>
      </c>
      <c r="K47" s="21">
        <f t="shared" si="2"/>
        <v>22</v>
      </c>
      <c r="L47" s="628">
        <f>IF(L$3=1,24,22+L$3*2)</f>
        <v>22</v>
      </c>
      <c r="M47" s="628">
        <f t="shared" si="7"/>
        <v>0</v>
      </c>
      <c r="N47" s="616">
        <v>0</v>
      </c>
      <c r="O47" s="21">
        <f t="shared" si="4"/>
        <v>22</v>
      </c>
    </row>
    <row r="48" spans="1:15" x14ac:dyDescent="0.25">
      <c r="A48" s="1933" t="s">
        <v>16</v>
      </c>
      <c r="B48" s="19" t="s">
        <v>32</v>
      </c>
      <c r="C48" s="620"/>
      <c r="D48" s="628">
        <f>IF(D$3=1,4,3+D$3*1)</f>
        <v>3</v>
      </c>
      <c r="E48" s="628">
        <f t="shared" si="5"/>
        <v>0</v>
      </c>
      <c r="F48" s="628">
        <f>F$3*0.3</f>
        <v>0</v>
      </c>
      <c r="G48" s="21">
        <f t="shared" si="1"/>
        <v>3</v>
      </c>
      <c r="H48" s="628">
        <f>IF(H$3=1,4,3+H$3*1)</f>
        <v>3</v>
      </c>
      <c r="I48" s="628">
        <f t="shared" si="6"/>
        <v>0</v>
      </c>
      <c r="J48" s="628">
        <f>J$3*0.3</f>
        <v>0</v>
      </c>
      <c r="K48" s="21">
        <f t="shared" si="2"/>
        <v>3</v>
      </c>
      <c r="L48" s="628">
        <f>IF(L$3=1,4,3+L$3*1)</f>
        <v>3</v>
      </c>
      <c r="M48" s="628">
        <f t="shared" si="7"/>
        <v>0</v>
      </c>
      <c r="N48" s="628">
        <f>N$3*0.3</f>
        <v>0</v>
      </c>
      <c r="O48" s="21">
        <f t="shared" si="4"/>
        <v>3</v>
      </c>
    </row>
    <row r="49" spans="1:15" x14ac:dyDescent="0.25">
      <c r="A49" s="1933"/>
      <c r="B49" s="19" t="s">
        <v>33</v>
      </c>
      <c r="C49" s="620"/>
      <c r="D49" s="628">
        <f>IF(D$3=1,6,4.5+D$3*1.5)</f>
        <v>4.5</v>
      </c>
      <c r="E49" s="628">
        <f t="shared" si="5"/>
        <v>0</v>
      </c>
      <c r="F49" s="628">
        <f>F$3*0.5</f>
        <v>0</v>
      </c>
      <c r="G49" s="21">
        <f t="shared" si="1"/>
        <v>4.5</v>
      </c>
      <c r="H49" s="628">
        <f>IF(H$3=1,6,4.5+H$3*1.5)</f>
        <v>4.5</v>
      </c>
      <c r="I49" s="628">
        <f t="shared" si="6"/>
        <v>0</v>
      </c>
      <c r="J49" s="628">
        <f>J$3*0.5</f>
        <v>0</v>
      </c>
      <c r="K49" s="21">
        <f t="shared" si="2"/>
        <v>4.5</v>
      </c>
      <c r="L49" s="628">
        <f>IF(L$3=1,6,4.5+L$3*1.5)</f>
        <v>4.5</v>
      </c>
      <c r="M49" s="628">
        <f t="shared" si="7"/>
        <v>0</v>
      </c>
      <c r="N49" s="628">
        <f>N$3*0.5</f>
        <v>0</v>
      </c>
      <c r="O49" s="21">
        <f t="shared" si="4"/>
        <v>4.5</v>
      </c>
    </row>
    <row r="50" spans="1:15" x14ac:dyDescent="0.25">
      <c r="A50" s="1933"/>
      <c r="B50" s="19" t="s">
        <v>34</v>
      </c>
      <c r="C50" s="620"/>
      <c r="D50" s="628">
        <f>IF(D$3=1,8,6+D$3*2)</f>
        <v>6</v>
      </c>
      <c r="E50" s="628">
        <f t="shared" si="5"/>
        <v>0</v>
      </c>
      <c r="F50" s="628">
        <f>F$3*0.8</f>
        <v>0</v>
      </c>
      <c r="G50" s="21">
        <f t="shared" si="1"/>
        <v>6</v>
      </c>
      <c r="H50" s="628">
        <f>IF(H$3=1,8,6+H$3*2)</f>
        <v>6</v>
      </c>
      <c r="I50" s="628">
        <f t="shared" si="6"/>
        <v>0</v>
      </c>
      <c r="J50" s="628">
        <f>J$3*0.8</f>
        <v>0</v>
      </c>
      <c r="K50" s="21">
        <f t="shared" si="2"/>
        <v>6</v>
      </c>
      <c r="L50" s="628">
        <f>IF(L$3=1,8,6+L$3*2)</f>
        <v>6</v>
      </c>
      <c r="M50" s="628">
        <f t="shared" si="7"/>
        <v>0</v>
      </c>
      <c r="N50" s="628">
        <f>N$3*0.8</f>
        <v>0</v>
      </c>
      <c r="O50" s="21">
        <f t="shared" si="4"/>
        <v>6</v>
      </c>
    </row>
    <row r="51" spans="1:15" x14ac:dyDescent="0.25">
      <c r="A51" s="1933" t="s">
        <v>17</v>
      </c>
      <c r="B51" s="19" t="s">
        <v>32</v>
      </c>
      <c r="C51" s="620"/>
      <c r="D51" s="628">
        <f>D$3*0.3</f>
        <v>0</v>
      </c>
      <c r="E51" s="628">
        <f>E$3*0.3</f>
        <v>0</v>
      </c>
      <c r="F51" s="628">
        <f>F$3*0.3</f>
        <v>0</v>
      </c>
      <c r="G51" s="21">
        <f t="shared" si="1"/>
        <v>0</v>
      </c>
      <c r="H51" s="628">
        <f>H$3*0.3</f>
        <v>0</v>
      </c>
      <c r="I51" s="628">
        <f>I$3*0.3</f>
        <v>0</v>
      </c>
      <c r="J51" s="628">
        <f>J$3*0.3</f>
        <v>0</v>
      </c>
      <c r="K51" s="21">
        <f t="shared" si="2"/>
        <v>0</v>
      </c>
      <c r="L51" s="628">
        <f>L$3*0.3</f>
        <v>0</v>
      </c>
      <c r="M51" s="628">
        <f>M$3*0.3</f>
        <v>0</v>
      </c>
      <c r="N51" s="628">
        <f>N$3*0.3</f>
        <v>0</v>
      </c>
      <c r="O51" s="21">
        <f t="shared" si="4"/>
        <v>0</v>
      </c>
    </row>
    <row r="52" spans="1:15" x14ac:dyDescent="0.25">
      <c r="A52" s="1933"/>
      <c r="B52" s="19" t="s">
        <v>33</v>
      </c>
      <c r="C52" s="620"/>
      <c r="D52" s="628">
        <f>D$3*0.5</f>
        <v>0</v>
      </c>
      <c r="E52" s="628">
        <f>E$3*0.5</f>
        <v>0</v>
      </c>
      <c r="F52" s="628">
        <f>F$3*0.5</f>
        <v>0</v>
      </c>
      <c r="G52" s="21">
        <f t="shared" si="1"/>
        <v>0</v>
      </c>
      <c r="H52" s="628">
        <f>H$3*0.5</f>
        <v>0</v>
      </c>
      <c r="I52" s="628">
        <f>I$3*0.5</f>
        <v>0</v>
      </c>
      <c r="J52" s="628">
        <f>J$3*0.5</f>
        <v>0</v>
      </c>
      <c r="K52" s="21">
        <f t="shared" si="2"/>
        <v>0</v>
      </c>
      <c r="L52" s="628">
        <f>L$3*0.5</f>
        <v>0</v>
      </c>
      <c r="M52" s="628">
        <f>M$3*0.5</f>
        <v>0</v>
      </c>
      <c r="N52" s="628">
        <f>N$3*0.5</f>
        <v>0</v>
      </c>
      <c r="O52" s="21">
        <f t="shared" si="4"/>
        <v>0</v>
      </c>
    </row>
    <row r="53" spans="1:15" x14ac:dyDescent="0.25">
      <c r="A53" s="1933"/>
      <c r="B53" s="19" t="s">
        <v>34</v>
      </c>
      <c r="C53" s="620"/>
      <c r="D53" s="628">
        <f>D$3*0.8</f>
        <v>0</v>
      </c>
      <c r="E53" s="628">
        <f>E$3*0.8</f>
        <v>0</v>
      </c>
      <c r="F53" s="628">
        <f>F$3*0.8</f>
        <v>0</v>
      </c>
      <c r="G53" s="21">
        <f t="shared" si="1"/>
        <v>0</v>
      </c>
      <c r="H53" s="628">
        <f>H$3*0.8</f>
        <v>0</v>
      </c>
      <c r="I53" s="628">
        <f>I$3*0.8</f>
        <v>0</v>
      </c>
      <c r="J53" s="628">
        <f>J$3*0.8</f>
        <v>0</v>
      </c>
      <c r="K53" s="21">
        <f t="shared" si="2"/>
        <v>0</v>
      </c>
      <c r="L53" s="628">
        <f>L$3*0.8</f>
        <v>0</v>
      </c>
      <c r="M53" s="628">
        <f>M$3*0.8</f>
        <v>0</v>
      </c>
      <c r="N53" s="628">
        <f>N$3*0.8</f>
        <v>0</v>
      </c>
      <c r="O53" s="21">
        <f t="shared" si="4"/>
        <v>0</v>
      </c>
    </row>
    <row r="54" spans="1:15" x14ac:dyDescent="0.25">
      <c r="A54" s="1933" t="s">
        <v>18</v>
      </c>
      <c r="B54" s="19" t="s">
        <v>32</v>
      </c>
      <c r="C54" s="620"/>
      <c r="D54" s="692">
        <v>1</v>
      </c>
      <c r="E54" s="628">
        <f>E$3*0.5</f>
        <v>0</v>
      </c>
      <c r="F54" s="628">
        <f>F$3*0.1</f>
        <v>0</v>
      </c>
      <c r="G54" s="21">
        <f t="shared" si="1"/>
        <v>1</v>
      </c>
      <c r="H54" s="692">
        <v>1</v>
      </c>
      <c r="I54" s="628">
        <f>I$3*0.5</f>
        <v>0</v>
      </c>
      <c r="J54" s="628">
        <f>J$3*0.1</f>
        <v>0</v>
      </c>
      <c r="K54" s="21">
        <f t="shared" si="2"/>
        <v>1</v>
      </c>
      <c r="L54" s="692">
        <v>1</v>
      </c>
      <c r="M54" s="628">
        <f>M$3*0.5</f>
        <v>0</v>
      </c>
      <c r="N54" s="628">
        <f>N$3*0.1</f>
        <v>0</v>
      </c>
      <c r="O54" s="21">
        <f t="shared" si="4"/>
        <v>1</v>
      </c>
    </row>
    <row r="55" spans="1:15" x14ac:dyDescent="0.25">
      <c r="A55" s="1933"/>
      <c r="B55" s="19" t="s">
        <v>33</v>
      </c>
      <c r="C55" s="620"/>
      <c r="D55" s="692">
        <v>1</v>
      </c>
      <c r="E55" s="628">
        <f>E$3*0.5</f>
        <v>0</v>
      </c>
      <c r="F55" s="628">
        <f>F$3*0.2</f>
        <v>0</v>
      </c>
      <c r="G55" s="21">
        <f t="shared" si="1"/>
        <v>1</v>
      </c>
      <c r="H55" s="692">
        <v>1</v>
      </c>
      <c r="I55" s="628">
        <f>I$3*0.5</f>
        <v>0</v>
      </c>
      <c r="J55" s="628">
        <f>J$3*0.2</f>
        <v>0</v>
      </c>
      <c r="K55" s="21">
        <f t="shared" si="2"/>
        <v>1</v>
      </c>
      <c r="L55" s="692">
        <v>1</v>
      </c>
      <c r="M55" s="628">
        <f>M$3*0.5</f>
        <v>0</v>
      </c>
      <c r="N55" s="628">
        <f>N$3*0.2</f>
        <v>0</v>
      </c>
      <c r="O55" s="21">
        <f t="shared" si="4"/>
        <v>1</v>
      </c>
    </row>
    <row r="56" spans="1:15" x14ac:dyDescent="0.25">
      <c r="A56" s="1933"/>
      <c r="B56" s="19" t="s">
        <v>34</v>
      </c>
      <c r="C56" s="620"/>
      <c r="D56" s="692">
        <v>1</v>
      </c>
      <c r="E56" s="628">
        <f>E$3*0.5</f>
        <v>0</v>
      </c>
      <c r="F56" s="628">
        <f>F$3*0.4</f>
        <v>0</v>
      </c>
      <c r="G56" s="21">
        <f t="shared" si="1"/>
        <v>1</v>
      </c>
      <c r="H56" s="692">
        <v>1</v>
      </c>
      <c r="I56" s="628">
        <f>I$3*0.5</f>
        <v>0</v>
      </c>
      <c r="J56" s="628">
        <f>J$3*0.4</f>
        <v>0</v>
      </c>
      <c r="K56" s="21">
        <f t="shared" si="2"/>
        <v>1</v>
      </c>
      <c r="L56" s="692">
        <v>1</v>
      </c>
      <c r="M56" s="628">
        <f>M$3*0.5</f>
        <v>0</v>
      </c>
      <c r="N56" s="628">
        <f>N$3*0.4</f>
        <v>0</v>
      </c>
      <c r="O56" s="21">
        <f t="shared" si="4"/>
        <v>1</v>
      </c>
    </row>
    <row r="57" spans="1:15" x14ac:dyDescent="0.25">
      <c r="A57" s="1933" t="s">
        <v>19</v>
      </c>
      <c r="B57" s="19" t="s">
        <v>32</v>
      </c>
      <c r="C57" s="620"/>
      <c r="D57" s="625">
        <v>2</v>
      </c>
      <c r="E57" s="616">
        <v>0</v>
      </c>
      <c r="F57" s="616">
        <v>0</v>
      </c>
      <c r="G57" s="21">
        <f t="shared" si="1"/>
        <v>2</v>
      </c>
      <c r="H57" s="625">
        <v>2</v>
      </c>
      <c r="I57" s="616">
        <v>0</v>
      </c>
      <c r="J57" s="616">
        <v>0</v>
      </c>
      <c r="K57" s="21">
        <f t="shared" si="2"/>
        <v>2</v>
      </c>
      <c r="L57" s="625">
        <v>2</v>
      </c>
      <c r="M57" s="616">
        <v>0</v>
      </c>
      <c r="N57" s="616">
        <v>0</v>
      </c>
      <c r="O57" s="21">
        <f t="shared" si="4"/>
        <v>2</v>
      </c>
    </row>
    <row r="58" spans="1:15" x14ac:dyDescent="0.25">
      <c r="A58" s="1933"/>
      <c r="B58" s="19" t="s">
        <v>33</v>
      </c>
      <c r="C58" s="620"/>
      <c r="D58" s="625">
        <v>4</v>
      </c>
      <c r="E58" s="616">
        <v>0</v>
      </c>
      <c r="F58" s="616">
        <v>0</v>
      </c>
      <c r="G58" s="21">
        <f t="shared" si="1"/>
        <v>4</v>
      </c>
      <c r="H58" s="625">
        <v>4</v>
      </c>
      <c r="I58" s="616">
        <v>0</v>
      </c>
      <c r="J58" s="616">
        <v>0</v>
      </c>
      <c r="K58" s="21">
        <f t="shared" si="2"/>
        <v>4</v>
      </c>
      <c r="L58" s="625">
        <v>4</v>
      </c>
      <c r="M58" s="616">
        <v>0</v>
      </c>
      <c r="N58" s="616">
        <v>0</v>
      </c>
      <c r="O58" s="21">
        <f t="shared" si="4"/>
        <v>4</v>
      </c>
    </row>
    <row r="59" spans="1:15" x14ac:dyDescent="0.25">
      <c r="A59" s="1933"/>
      <c r="B59" s="19" t="s">
        <v>34</v>
      </c>
      <c r="C59" s="620"/>
      <c r="D59" s="625">
        <v>6</v>
      </c>
      <c r="E59" s="616">
        <v>0</v>
      </c>
      <c r="F59" s="616">
        <v>0</v>
      </c>
      <c r="G59" s="21">
        <f t="shared" si="1"/>
        <v>6</v>
      </c>
      <c r="H59" s="625">
        <v>6</v>
      </c>
      <c r="I59" s="616">
        <v>0</v>
      </c>
      <c r="J59" s="616">
        <v>0</v>
      </c>
      <c r="K59" s="21">
        <f t="shared" si="2"/>
        <v>6</v>
      </c>
      <c r="L59" s="625">
        <v>6</v>
      </c>
      <c r="M59" s="616">
        <v>0</v>
      </c>
      <c r="N59" s="616">
        <v>0</v>
      </c>
      <c r="O59" s="21">
        <f t="shared" si="4"/>
        <v>6</v>
      </c>
    </row>
    <row r="60" spans="1:15" x14ac:dyDescent="0.25">
      <c r="A60" s="1933" t="s">
        <v>20</v>
      </c>
      <c r="B60" s="19" t="s">
        <v>32</v>
      </c>
      <c r="C60" s="620"/>
      <c r="D60" s="446">
        <v>8</v>
      </c>
      <c r="E60" s="616">
        <v>0</v>
      </c>
      <c r="F60" s="616">
        <v>0</v>
      </c>
      <c r="G60" s="21">
        <f t="shared" si="1"/>
        <v>8</v>
      </c>
      <c r="H60" s="615">
        <v>8</v>
      </c>
      <c r="I60" s="616">
        <v>0</v>
      </c>
      <c r="J60" s="616">
        <v>0</v>
      </c>
      <c r="K60" s="21">
        <f t="shared" si="2"/>
        <v>8</v>
      </c>
      <c r="L60" s="615">
        <v>8</v>
      </c>
      <c r="M60" s="616">
        <v>0</v>
      </c>
      <c r="N60" s="616">
        <v>0</v>
      </c>
      <c r="O60" s="21">
        <f t="shared" si="4"/>
        <v>8</v>
      </c>
    </row>
    <row r="61" spans="1:15" x14ac:dyDescent="0.25">
      <c r="A61" s="1933"/>
      <c r="B61" s="19" t="s">
        <v>33</v>
      </c>
      <c r="C61" s="620"/>
      <c r="D61" s="446">
        <v>16</v>
      </c>
      <c r="E61" s="616">
        <v>0</v>
      </c>
      <c r="F61" s="616">
        <v>0</v>
      </c>
      <c r="G61" s="21">
        <f t="shared" si="1"/>
        <v>16</v>
      </c>
      <c r="H61" s="615">
        <v>16</v>
      </c>
      <c r="I61" s="616">
        <v>0</v>
      </c>
      <c r="J61" s="616">
        <v>0</v>
      </c>
      <c r="K61" s="21">
        <f t="shared" si="2"/>
        <v>16</v>
      </c>
      <c r="L61" s="615">
        <v>16</v>
      </c>
      <c r="M61" s="616">
        <v>0</v>
      </c>
      <c r="N61" s="616">
        <v>0</v>
      </c>
      <c r="O61" s="21">
        <f t="shared" si="4"/>
        <v>16</v>
      </c>
    </row>
    <row r="62" spans="1:15" x14ac:dyDescent="0.25">
      <c r="A62" s="1933"/>
      <c r="B62" s="19" t="s">
        <v>34</v>
      </c>
      <c r="C62" s="620"/>
      <c r="D62" s="446">
        <v>24</v>
      </c>
      <c r="E62" s="616">
        <v>0</v>
      </c>
      <c r="F62" s="616">
        <v>0</v>
      </c>
      <c r="G62" s="21">
        <f t="shared" si="1"/>
        <v>24</v>
      </c>
      <c r="H62" s="615">
        <v>24</v>
      </c>
      <c r="I62" s="616">
        <v>0</v>
      </c>
      <c r="J62" s="616">
        <v>0</v>
      </c>
      <c r="K62" s="21">
        <f t="shared" si="2"/>
        <v>24</v>
      </c>
      <c r="L62" s="615">
        <v>24</v>
      </c>
      <c r="M62" s="616">
        <v>0</v>
      </c>
      <c r="N62" s="616">
        <v>0</v>
      </c>
      <c r="O62" s="21">
        <f t="shared" si="4"/>
        <v>24</v>
      </c>
    </row>
    <row r="63" spans="1:15" x14ac:dyDescent="0.25">
      <c r="A63" s="1933" t="s">
        <v>451</v>
      </c>
      <c r="B63" s="19" t="s">
        <v>32</v>
      </c>
      <c r="C63" s="620"/>
      <c r="D63" s="446">
        <v>1</v>
      </c>
      <c r="E63" s="625">
        <v>0</v>
      </c>
      <c r="F63" s="625">
        <v>0</v>
      </c>
      <c r="G63" s="21">
        <f t="shared" si="1"/>
        <v>1</v>
      </c>
      <c r="H63" s="446">
        <v>1</v>
      </c>
      <c r="I63" s="625">
        <v>0</v>
      </c>
      <c r="J63" s="625">
        <v>0</v>
      </c>
      <c r="K63" s="21">
        <f t="shared" si="2"/>
        <v>1</v>
      </c>
      <c r="L63" s="446">
        <v>1</v>
      </c>
      <c r="M63" s="625">
        <v>0</v>
      </c>
      <c r="N63" s="625">
        <v>0</v>
      </c>
      <c r="O63" s="21">
        <f t="shared" si="4"/>
        <v>1</v>
      </c>
    </row>
    <row r="64" spans="1:15" x14ac:dyDescent="0.25">
      <c r="A64" s="1933"/>
      <c r="B64" s="19" t="s">
        <v>33</v>
      </c>
      <c r="C64" s="620"/>
      <c r="D64" s="446">
        <v>1</v>
      </c>
      <c r="E64" s="625">
        <v>0</v>
      </c>
      <c r="F64" s="625">
        <v>0</v>
      </c>
      <c r="G64" s="21">
        <f t="shared" si="1"/>
        <v>1</v>
      </c>
      <c r="H64" s="446">
        <v>1</v>
      </c>
      <c r="I64" s="625">
        <v>0</v>
      </c>
      <c r="J64" s="625">
        <v>0</v>
      </c>
      <c r="K64" s="21">
        <f t="shared" si="2"/>
        <v>1</v>
      </c>
      <c r="L64" s="446">
        <v>1</v>
      </c>
      <c r="M64" s="625">
        <v>0</v>
      </c>
      <c r="N64" s="625">
        <v>0</v>
      </c>
      <c r="O64" s="21">
        <f t="shared" si="4"/>
        <v>1</v>
      </c>
    </row>
    <row r="65" spans="1:15" x14ac:dyDescent="0.25">
      <c r="A65" s="1933"/>
      <c r="B65" s="19" t="s">
        <v>34</v>
      </c>
      <c r="C65" s="620"/>
      <c r="D65" s="446">
        <v>1</v>
      </c>
      <c r="E65" s="625">
        <v>0</v>
      </c>
      <c r="F65" s="625">
        <v>0</v>
      </c>
      <c r="G65" s="21">
        <f t="shared" si="1"/>
        <v>1</v>
      </c>
      <c r="H65" s="446">
        <v>1</v>
      </c>
      <c r="I65" s="625">
        <v>0</v>
      </c>
      <c r="J65" s="625">
        <v>0</v>
      </c>
      <c r="K65" s="21">
        <f t="shared" si="2"/>
        <v>1</v>
      </c>
      <c r="L65" s="446">
        <v>1</v>
      </c>
      <c r="M65" s="625">
        <v>0</v>
      </c>
      <c r="N65" s="625">
        <v>0</v>
      </c>
      <c r="O65" s="21">
        <f t="shared" si="4"/>
        <v>1</v>
      </c>
    </row>
    <row r="66" spans="1:15" x14ac:dyDescent="0.25">
      <c r="A66" s="1933" t="s">
        <v>452</v>
      </c>
      <c r="B66" s="19" t="s">
        <v>32</v>
      </c>
      <c r="C66" s="620"/>
      <c r="D66" s="628">
        <f t="shared" ref="D66:E68" si="8">ROUNDUP(D$3*10/60,2)</f>
        <v>0</v>
      </c>
      <c r="E66" s="628">
        <f t="shared" si="8"/>
        <v>0</v>
      </c>
      <c r="F66" s="625">
        <v>0</v>
      </c>
      <c r="G66" s="21">
        <f t="shared" si="1"/>
        <v>0</v>
      </c>
      <c r="H66" s="628">
        <f t="shared" ref="H66:I68" si="9">ROUNDUP(H$3*10/60,2)</f>
        <v>0</v>
      </c>
      <c r="I66" s="628">
        <f t="shared" si="9"/>
        <v>0</v>
      </c>
      <c r="J66" s="625">
        <v>0</v>
      </c>
      <c r="K66" s="21">
        <f t="shared" si="2"/>
        <v>0</v>
      </c>
      <c r="L66" s="628">
        <f t="shared" ref="L66:M68" si="10">ROUNDUP(L$3*10/60,2)</f>
        <v>0</v>
      </c>
      <c r="M66" s="628">
        <f t="shared" si="10"/>
        <v>0</v>
      </c>
      <c r="N66" s="625">
        <v>0</v>
      </c>
      <c r="O66" s="21">
        <f t="shared" si="4"/>
        <v>0</v>
      </c>
    </row>
    <row r="67" spans="1:15" x14ac:dyDescent="0.25">
      <c r="A67" s="1933"/>
      <c r="B67" s="19" t="s">
        <v>33</v>
      </c>
      <c r="C67" s="620"/>
      <c r="D67" s="628">
        <f t="shared" si="8"/>
        <v>0</v>
      </c>
      <c r="E67" s="628">
        <f t="shared" si="8"/>
        <v>0</v>
      </c>
      <c r="F67" s="625">
        <v>0</v>
      </c>
      <c r="G67" s="21">
        <f t="shared" si="1"/>
        <v>0</v>
      </c>
      <c r="H67" s="628">
        <f t="shared" si="9"/>
        <v>0</v>
      </c>
      <c r="I67" s="628">
        <f t="shared" si="9"/>
        <v>0</v>
      </c>
      <c r="J67" s="625">
        <v>0</v>
      </c>
      <c r="K67" s="21">
        <f t="shared" si="2"/>
        <v>0</v>
      </c>
      <c r="L67" s="628">
        <f t="shared" si="10"/>
        <v>0</v>
      </c>
      <c r="M67" s="628">
        <f t="shared" si="10"/>
        <v>0</v>
      </c>
      <c r="N67" s="625">
        <v>0</v>
      </c>
      <c r="O67" s="21">
        <f t="shared" si="4"/>
        <v>0</v>
      </c>
    </row>
    <row r="68" spans="1:15" x14ac:dyDescent="0.25">
      <c r="A68" s="1933"/>
      <c r="B68" s="19" t="s">
        <v>34</v>
      </c>
      <c r="C68" s="620"/>
      <c r="D68" s="628">
        <f t="shared" si="8"/>
        <v>0</v>
      </c>
      <c r="E68" s="628">
        <f t="shared" si="8"/>
        <v>0</v>
      </c>
      <c r="F68" s="625">
        <v>0</v>
      </c>
      <c r="G68" s="21">
        <f t="shared" si="1"/>
        <v>0</v>
      </c>
      <c r="H68" s="628">
        <f t="shared" si="9"/>
        <v>0</v>
      </c>
      <c r="I68" s="628">
        <f t="shared" si="9"/>
        <v>0</v>
      </c>
      <c r="J68" s="625">
        <v>0</v>
      </c>
      <c r="K68" s="21">
        <f t="shared" si="2"/>
        <v>0</v>
      </c>
      <c r="L68" s="628">
        <f t="shared" si="10"/>
        <v>0</v>
      </c>
      <c r="M68" s="628">
        <f t="shared" si="10"/>
        <v>0</v>
      </c>
      <c r="N68" s="625">
        <v>0</v>
      </c>
      <c r="O68" s="21">
        <f t="shared" si="4"/>
        <v>0</v>
      </c>
    </row>
    <row r="69" spans="1:15" x14ac:dyDescent="0.25">
      <c r="A69" s="1936" t="s">
        <v>533</v>
      </c>
      <c r="B69" s="19" t="s">
        <v>32</v>
      </c>
      <c r="C69" s="620"/>
      <c r="D69" s="628">
        <f>D$3*0.9</f>
        <v>0</v>
      </c>
      <c r="E69" s="628">
        <f>E$3*0.9</f>
        <v>0</v>
      </c>
      <c r="F69" s="628">
        <f>F$3*0.9</f>
        <v>0</v>
      </c>
      <c r="G69" s="21">
        <f t="shared" si="1"/>
        <v>0</v>
      </c>
      <c r="H69" s="628">
        <f>H$3*0.9</f>
        <v>0</v>
      </c>
      <c r="I69" s="628">
        <f>I$3*0.9</f>
        <v>0</v>
      </c>
      <c r="J69" s="628">
        <f>J$3*0.9</f>
        <v>0</v>
      </c>
      <c r="K69" s="21">
        <f t="shared" si="2"/>
        <v>0</v>
      </c>
      <c r="L69" s="628">
        <f>L$3*0.9</f>
        <v>0</v>
      </c>
      <c r="M69" s="628">
        <f>M$3*0.9</f>
        <v>0</v>
      </c>
      <c r="N69" s="628">
        <f>N$3*0.9</f>
        <v>0</v>
      </c>
      <c r="O69" s="21">
        <f t="shared" si="4"/>
        <v>0</v>
      </c>
    </row>
    <row r="70" spans="1:15" x14ac:dyDescent="0.25">
      <c r="A70" s="1936"/>
      <c r="B70" s="19" t="s">
        <v>33</v>
      </c>
      <c r="C70" s="620"/>
      <c r="D70" s="628">
        <f>D$3*1</f>
        <v>0</v>
      </c>
      <c r="E70" s="628">
        <f>E$3*1</f>
        <v>0</v>
      </c>
      <c r="F70" s="628">
        <f>F$3*1</f>
        <v>0</v>
      </c>
      <c r="G70" s="21">
        <f t="shared" si="1"/>
        <v>0</v>
      </c>
      <c r="H70" s="628">
        <f>H$3*1</f>
        <v>0</v>
      </c>
      <c r="I70" s="628">
        <f>I$3*1</f>
        <v>0</v>
      </c>
      <c r="J70" s="628">
        <f>J$3*1</f>
        <v>0</v>
      </c>
      <c r="K70" s="21">
        <f t="shared" si="2"/>
        <v>0</v>
      </c>
      <c r="L70" s="628">
        <f>L$3*1</f>
        <v>0</v>
      </c>
      <c r="M70" s="628">
        <f>M$3*1</f>
        <v>0</v>
      </c>
      <c r="N70" s="628">
        <f>N$3*1</f>
        <v>0</v>
      </c>
      <c r="O70" s="21">
        <f t="shared" si="4"/>
        <v>0</v>
      </c>
    </row>
    <row r="71" spans="1:15" x14ac:dyDescent="0.25">
      <c r="A71" s="1936"/>
      <c r="B71" s="19" t="s">
        <v>34</v>
      </c>
      <c r="C71" s="620"/>
      <c r="D71" s="628">
        <f>D$3*1.1</f>
        <v>0</v>
      </c>
      <c r="E71" s="628">
        <f>E$3*1.1</f>
        <v>0</v>
      </c>
      <c r="F71" s="628">
        <f>F$3*1.1</f>
        <v>0</v>
      </c>
      <c r="G71" s="21">
        <f t="shared" si="1"/>
        <v>0</v>
      </c>
      <c r="H71" s="628">
        <f>H$3*1.1</f>
        <v>0</v>
      </c>
      <c r="I71" s="628">
        <f>I$3*1.1</f>
        <v>0</v>
      </c>
      <c r="J71" s="628">
        <f>J$3*1.1</f>
        <v>0</v>
      </c>
      <c r="K71" s="21">
        <f t="shared" si="2"/>
        <v>0</v>
      </c>
      <c r="L71" s="628">
        <f>L$3*1.1</f>
        <v>0</v>
      </c>
      <c r="M71" s="628">
        <f>M$3*1.1</f>
        <v>0</v>
      </c>
      <c r="N71" s="628">
        <f>N$3*1.1</f>
        <v>0</v>
      </c>
      <c r="O71" s="21">
        <f t="shared" si="4"/>
        <v>0</v>
      </c>
    </row>
    <row r="72" spans="1:15" x14ac:dyDescent="0.25">
      <c r="A72" s="1933" t="s">
        <v>534</v>
      </c>
      <c r="B72" s="19" t="s">
        <v>32</v>
      </c>
      <c r="C72" s="620"/>
      <c r="D72" s="628">
        <f>D$3*0.9</f>
        <v>0</v>
      </c>
      <c r="E72" s="628">
        <f>E$3*0.9</f>
        <v>0</v>
      </c>
      <c r="F72" s="625">
        <v>0</v>
      </c>
      <c r="G72" s="21">
        <f t="shared" si="1"/>
        <v>0</v>
      </c>
      <c r="H72" s="628">
        <f>H$3*0.9</f>
        <v>0</v>
      </c>
      <c r="I72" s="628">
        <f>I$3*0.9</f>
        <v>0</v>
      </c>
      <c r="J72" s="625">
        <v>0</v>
      </c>
      <c r="K72" s="21">
        <f t="shared" si="2"/>
        <v>0</v>
      </c>
      <c r="L72" s="628">
        <f>L$3*0.9</f>
        <v>0</v>
      </c>
      <c r="M72" s="628">
        <f>M$3*0.9</f>
        <v>0</v>
      </c>
      <c r="N72" s="625">
        <v>0</v>
      </c>
      <c r="O72" s="21">
        <f t="shared" si="4"/>
        <v>0</v>
      </c>
    </row>
    <row r="73" spans="1:15" x14ac:dyDescent="0.25">
      <c r="A73" s="1933"/>
      <c r="B73" s="19" t="s">
        <v>33</v>
      </c>
      <c r="C73" s="620"/>
      <c r="D73" s="628">
        <f>D$3*1</f>
        <v>0</v>
      </c>
      <c r="E73" s="628">
        <f>E$3*1</f>
        <v>0</v>
      </c>
      <c r="F73" s="625">
        <v>0</v>
      </c>
      <c r="G73" s="21">
        <f t="shared" si="1"/>
        <v>0</v>
      </c>
      <c r="H73" s="628">
        <f>H$3*1</f>
        <v>0</v>
      </c>
      <c r="I73" s="628">
        <f>I$3*1</f>
        <v>0</v>
      </c>
      <c r="J73" s="625">
        <v>0</v>
      </c>
      <c r="K73" s="21">
        <f t="shared" si="2"/>
        <v>0</v>
      </c>
      <c r="L73" s="628">
        <f>L$3*1</f>
        <v>0</v>
      </c>
      <c r="M73" s="628">
        <f>M$3*1</f>
        <v>0</v>
      </c>
      <c r="N73" s="625">
        <v>0</v>
      </c>
      <c r="O73" s="21">
        <f t="shared" si="4"/>
        <v>0</v>
      </c>
    </row>
    <row r="74" spans="1:15" x14ac:dyDescent="0.25">
      <c r="A74" s="1933"/>
      <c r="B74" s="19" t="s">
        <v>34</v>
      </c>
      <c r="C74" s="620"/>
      <c r="D74" s="628">
        <f>D$3*1.1</f>
        <v>0</v>
      </c>
      <c r="E74" s="628">
        <f>E$3*1.1</f>
        <v>0</v>
      </c>
      <c r="F74" s="625">
        <v>0</v>
      </c>
      <c r="G74" s="21">
        <f t="shared" si="1"/>
        <v>0</v>
      </c>
      <c r="H74" s="628">
        <f>H$3*1.1</f>
        <v>0</v>
      </c>
      <c r="I74" s="628">
        <f>I$3*1.1</f>
        <v>0</v>
      </c>
      <c r="J74" s="625">
        <v>0</v>
      </c>
      <c r="K74" s="21">
        <f t="shared" si="2"/>
        <v>0</v>
      </c>
      <c r="L74" s="628">
        <f>L$3*1.1</f>
        <v>0</v>
      </c>
      <c r="M74" s="628">
        <f>M$3*1.1</f>
        <v>0</v>
      </c>
      <c r="N74" s="625">
        <v>0</v>
      </c>
      <c r="O74" s="21">
        <f t="shared" si="4"/>
        <v>0</v>
      </c>
    </row>
    <row r="75" spans="1:15" x14ac:dyDescent="0.25">
      <c r="A75" s="1974" t="s">
        <v>21</v>
      </c>
      <c r="B75" s="19" t="s">
        <v>32</v>
      </c>
      <c r="C75" s="620"/>
      <c r="D75" s="38" t="s">
        <v>90</v>
      </c>
      <c r="E75" s="38" t="s">
        <v>90</v>
      </c>
      <c r="F75" s="38" t="s">
        <v>90</v>
      </c>
      <c r="G75" s="21">
        <f t="shared" si="1"/>
        <v>0</v>
      </c>
      <c r="H75" s="38" t="s">
        <v>90</v>
      </c>
      <c r="I75" s="38" t="s">
        <v>90</v>
      </c>
      <c r="J75" s="38" t="s">
        <v>90</v>
      </c>
      <c r="K75" s="21">
        <f t="shared" si="2"/>
        <v>0</v>
      </c>
      <c r="L75" s="38" t="s">
        <v>90</v>
      </c>
      <c r="M75" s="38" t="s">
        <v>90</v>
      </c>
      <c r="N75" s="38" t="s">
        <v>90</v>
      </c>
      <c r="O75" s="21">
        <f t="shared" si="4"/>
        <v>0</v>
      </c>
    </row>
    <row r="76" spans="1:15" x14ac:dyDescent="0.25">
      <c r="A76" s="1974"/>
      <c r="B76" s="19" t="s">
        <v>33</v>
      </c>
      <c r="C76" s="620"/>
      <c r="D76" s="38" t="s">
        <v>90</v>
      </c>
      <c r="E76" s="38" t="s">
        <v>90</v>
      </c>
      <c r="F76" s="38" t="s">
        <v>90</v>
      </c>
      <c r="G76" s="21">
        <f t="shared" si="1"/>
        <v>0</v>
      </c>
      <c r="H76" s="38" t="s">
        <v>90</v>
      </c>
      <c r="I76" s="38" t="s">
        <v>90</v>
      </c>
      <c r="J76" s="38" t="s">
        <v>90</v>
      </c>
      <c r="K76" s="21">
        <f t="shared" si="2"/>
        <v>0</v>
      </c>
      <c r="L76" s="38" t="s">
        <v>90</v>
      </c>
      <c r="M76" s="38" t="s">
        <v>90</v>
      </c>
      <c r="N76" s="38" t="s">
        <v>90</v>
      </c>
      <c r="O76" s="21">
        <f t="shared" si="4"/>
        <v>0</v>
      </c>
    </row>
    <row r="77" spans="1:15" x14ac:dyDescent="0.25">
      <c r="A77" s="1974"/>
      <c r="B77" s="13" t="s">
        <v>34</v>
      </c>
      <c r="C77" s="624"/>
      <c r="D77" s="38" t="s">
        <v>90</v>
      </c>
      <c r="E77" s="38" t="s">
        <v>90</v>
      </c>
      <c r="F77" s="38" t="s">
        <v>90</v>
      </c>
      <c r="G77" s="21">
        <f t="shared" si="1"/>
        <v>0</v>
      </c>
      <c r="H77" s="38" t="s">
        <v>90</v>
      </c>
      <c r="I77" s="38" t="s">
        <v>90</v>
      </c>
      <c r="J77" s="38" t="s">
        <v>90</v>
      </c>
      <c r="K77" s="21">
        <f t="shared" si="2"/>
        <v>0</v>
      </c>
      <c r="L77" s="38" t="s">
        <v>90</v>
      </c>
      <c r="M77" s="38" t="s">
        <v>90</v>
      </c>
      <c r="N77" s="38" t="s">
        <v>90</v>
      </c>
      <c r="O77" s="21">
        <f t="shared" si="4"/>
        <v>0</v>
      </c>
    </row>
    <row r="78" spans="1:15" x14ac:dyDescent="0.25">
      <c r="A78" s="1933" t="s">
        <v>181</v>
      </c>
      <c r="B78" s="19" t="s">
        <v>32</v>
      </c>
      <c r="C78" s="620"/>
      <c r="D78" s="493">
        <f t="shared" ref="D78:D85" si="11">D$3*0.25</f>
        <v>0</v>
      </c>
      <c r="E78" s="616">
        <v>0</v>
      </c>
      <c r="F78" s="484">
        <v>0</v>
      </c>
      <c r="G78" s="21">
        <f t="shared" si="1"/>
        <v>0</v>
      </c>
      <c r="H78" s="493">
        <f t="shared" ref="H78:H85" si="12">H$3*0.25</f>
        <v>0</v>
      </c>
      <c r="I78" s="616">
        <v>0</v>
      </c>
      <c r="J78" s="484">
        <v>0</v>
      </c>
      <c r="K78" s="21">
        <f t="shared" si="2"/>
        <v>0</v>
      </c>
      <c r="L78" s="493">
        <f t="shared" ref="L78:L85" si="13">L$3*0.25</f>
        <v>0</v>
      </c>
      <c r="M78" s="616">
        <v>0</v>
      </c>
      <c r="N78" s="484">
        <v>0</v>
      </c>
      <c r="O78" s="21">
        <f t="shared" si="4"/>
        <v>0</v>
      </c>
    </row>
    <row r="79" spans="1:15" x14ac:dyDescent="0.25">
      <c r="A79" s="1933"/>
      <c r="B79" s="19" t="s">
        <v>33</v>
      </c>
      <c r="C79" s="620"/>
      <c r="D79" s="493">
        <f t="shared" si="11"/>
        <v>0</v>
      </c>
      <c r="E79" s="616">
        <v>0</v>
      </c>
      <c r="F79" s="484">
        <v>0</v>
      </c>
      <c r="G79" s="21">
        <f t="shared" si="1"/>
        <v>0</v>
      </c>
      <c r="H79" s="493">
        <f t="shared" si="12"/>
        <v>0</v>
      </c>
      <c r="I79" s="616">
        <v>0</v>
      </c>
      <c r="J79" s="484">
        <v>0</v>
      </c>
      <c r="K79" s="21">
        <f t="shared" si="2"/>
        <v>0</v>
      </c>
      <c r="L79" s="493">
        <f t="shared" si="13"/>
        <v>0</v>
      </c>
      <c r="M79" s="616">
        <v>0</v>
      </c>
      <c r="N79" s="484">
        <v>0</v>
      </c>
      <c r="O79" s="21">
        <f t="shared" si="4"/>
        <v>0</v>
      </c>
    </row>
    <row r="80" spans="1:15" x14ac:dyDescent="0.25">
      <c r="A80" s="1933"/>
      <c r="B80" s="19" t="s">
        <v>34</v>
      </c>
      <c r="C80" s="620"/>
      <c r="D80" s="493">
        <f t="shared" si="11"/>
        <v>0</v>
      </c>
      <c r="E80" s="616">
        <v>0</v>
      </c>
      <c r="F80" s="484">
        <v>0</v>
      </c>
      <c r="G80" s="21">
        <f t="shared" si="1"/>
        <v>0</v>
      </c>
      <c r="H80" s="493">
        <f t="shared" si="12"/>
        <v>0</v>
      </c>
      <c r="I80" s="616">
        <v>0</v>
      </c>
      <c r="J80" s="484">
        <v>0</v>
      </c>
      <c r="K80" s="21">
        <f t="shared" si="2"/>
        <v>0</v>
      </c>
      <c r="L80" s="493">
        <f t="shared" si="13"/>
        <v>0</v>
      </c>
      <c r="M80" s="616">
        <v>0</v>
      </c>
      <c r="N80" s="484">
        <v>0</v>
      </c>
      <c r="O80" s="21">
        <f t="shared" si="4"/>
        <v>0</v>
      </c>
    </row>
    <row r="81" spans="1:15" x14ac:dyDescent="0.25">
      <c r="A81" s="1933" t="s">
        <v>182</v>
      </c>
      <c r="B81" s="19" t="s">
        <v>32</v>
      </c>
      <c r="C81" s="620"/>
      <c r="D81" s="493">
        <f t="shared" si="11"/>
        <v>0</v>
      </c>
      <c r="E81" s="616">
        <v>0</v>
      </c>
      <c r="F81" s="484">
        <v>0</v>
      </c>
      <c r="G81" s="21">
        <f t="shared" si="1"/>
        <v>0</v>
      </c>
      <c r="H81" s="493">
        <f t="shared" si="12"/>
        <v>0</v>
      </c>
      <c r="I81" s="616">
        <v>0</v>
      </c>
      <c r="J81" s="484">
        <v>0</v>
      </c>
      <c r="K81" s="21">
        <f t="shared" si="2"/>
        <v>0</v>
      </c>
      <c r="L81" s="493">
        <f t="shared" si="13"/>
        <v>0</v>
      </c>
      <c r="M81" s="616">
        <v>0</v>
      </c>
      <c r="N81" s="484">
        <v>0</v>
      </c>
      <c r="O81" s="21">
        <f t="shared" si="4"/>
        <v>0</v>
      </c>
    </row>
    <row r="82" spans="1:15" x14ac:dyDescent="0.25">
      <c r="A82" s="1933"/>
      <c r="B82" s="19" t="s">
        <v>33</v>
      </c>
      <c r="C82" s="620"/>
      <c r="D82" s="493">
        <f t="shared" si="11"/>
        <v>0</v>
      </c>
      <c r="E82" s="616">
        <v>0</v>
      </c>
      <c r="F82" s="484">
        <v>0</v>
      </c>
      <c r="G82" s="21">
        <f t="shared" si="1"/>
        <v>0</v>
      </c>
      <c r="H82" s="493">
        <f t="shared" si="12"/>
        <v>0</v>
      </c>
      <c r="I82" s="616">
        <v>0</v>
      </c>
      <c r="J82" s="484">
        <v>0</v>
      </c>
      <c r="K82" s="21">
        <f t="shared" si="2"/>
        <v>0</v>
      </c>
      <c r="L82" s="493">
        <f t="shared" si="13"/>
        <v>0</v>
      </c>
      <c r="M82" s="616">
        <v>0</v>
      </c>
      <c r="N82" s="484">
        <v>0</v>
      </c>
      <c r="O82" s="21">
        <f t="shared" si="4"/>
        <v>0</v>
      </c>
    </row>
    <row r="83" spans="1:15" x14ac:dyDescent="0.25">
      <c r="A83" s="1933"/>
      <c r="B83" s="19" t="s">
        <v>34</v>
      </c>
      <c r="C83" s="620"/>
      <c r="D83" s="493">
        <f t="shared" si="11"/>
        <v>0</v>
      </c>
      <c r="E83" s="616">
        <v>0</v>
      </c>
      <c r="F83" s="484">
        <v>0</v>
      </c>
      <c r="G83" s="21">
        <f t="shared" si="1"/>
        <v>0</v>
      </c>
      <c r="H83" s="493">
        <f t="shared" si="12"/>
        <v>0</v>
      </c>
      <c r="I83" s="616">
        <v>0</v>
      </c>
      <c r="J83" s="484">
        <v>0</v>
      </c>
      <c r="K83" s="21">
        <f t="shared" si="2"/>
        <v>0</v>
      </c>
      <c r="L83" s="493">
        <f t="shared" si="13"/>
        <v>0</v>
      </c>
      <c r="M83" s="616">
        <v>0</v>
      </c>
      <c r="N83" s="484">
        <v>0</v>
      </c>
      <c r="O83" s="21">
        <f t="shared" si="4"/>
        <v>0</v>
      </c>
    </row>
    <row r="84" spans="1:15" x14ac:dyDescent="0.25">
      <c r="A84" s="1935" t="s">
        <v>183</v>
      </c>
      <c r="B84" s="19" t="s">
        <v>32</v>
      </c>
      <c r="C84" s="620"/>
      <c r="D84" s="493">
        <f t="shared" si="11"/>
        <v>0</v>
      </c>
      <c r="E84" s="616">
        <v>0</v>
      </c>
      <c r="F84" s="495">
        <v>0</v>
      </c>
      <c r="G84" s="21">
        <f t="shared" si="1"/>
        <v>0</v>
      </c>
      <c r="H84" s="493">
        <f t="shared" si="12"/>
        <v>0</v>
      </c>
      <c r="I84" s="616">
        <v>0</v>
      </c>
      <c r="J84" s="495">
        <v>0</v>
      </c>
      <c r="K84" s="21">
        <f t="shared" si="2"/>
        <v>0</v>
      </c>
      <c r="L84" s="493">
        <f t="shared" si="13"/>
        <v>0</v>
      </c>
      <c r="M84" s="616">
        <v>0</v>
      </c>
      <c r="N84" s="495">
        <v>0</v>
      </c>
      <c r="O84" s="21">
        <f t="shared" si="4"/>
        <v>0</v>
      </c>
    </row>
    <row r="85" spans="1:15" x14ac:dyDescent="0.25">
      <c r="A85" s="1935"/>
      <c r="B85" s="19" t="s">
        <v>33</v>
      </c>
      <c r="C85" s="620"/>
      <c r="D85" s="493">
        <f t="shared" si="11"/>
        <v>0</v>
      </c>
      <c r="E85" s="616">
        <v>0</v>
      </c>
      <c r="F85" s="623">
        <v>0</v>
      </c>
      <c r="G85" s="21">
        <f t="shared" si="1"/>
        <v>0</v>
      </c>
      <c r="H85" s="493">
        <f t="shared" si="12"/>
        <v>0</v>
      </c>
      <c r="I85" s="616">
        <v>0</v>
      </c>
      <c r="J85" s="623">
        <v>0</v>
      </c>
      <c r="K85" s="21">
        <f t="shared" si="2"/>
        <v>0</v>
      </c>
      <c r="L85" s="493">
        <f t="shared" si="13"/>
        <v>0</v>
      </c>
      <c r="M85" s="616">
        <v>0</v>
      </c>
      <c r="N85" s="623">
        <v>0</v>
      </c>
      <c r="O85" s="21">
        <f t="shared" si="4"/>
        <v>0</v>
      </c>
    </row>
    <row r="86" spans="1:15" ht="15.75" thickBot="1" x14ac:dyDescent="0.3">
      <c r="A86" s="1935"/>
      <c r="B86" s="13" t="s">
        <v>34</v>
      </c>
      <c r="C86" s="621"/>
      <c r="D86" s="504">
        <f>$D$3*0.25</f>
        <v>0</v>
      </c>
      <c r="E86" s="698">
        <v>0</v>
      </c>
      <c r="F86" s="432">
        <v>0</v>
      </c>
      <c r="G86" s="77">
        <f t="shared" si="1"/>
        <v>0</v>
      </c>
      <c r="H86" s="504">
        <f>$D$3*0.25</f>
        <v>0</v>
      </c>
      <c r="I86" s="698">
        <v>0</v>
      </c>
      <c r="J86" s="432">
        <v>0</v>
      </c>
      <c r="K86" s="77">
        <f t="shared" si="2"/>
        <v>0</v>
      </c>
      <c r="L86" s="504">
        <f>$D$3*0.25</f>
        <v>0</v>
      </c>
      <c r="M86" s="698">
        <v>0</v>
      </c>
      <c r="N86" s="432">
        <v>0</v>
      </c>
      <c r="O86" s="77">
        <f t="shared" si="4"/>
        <v>0</v>
      </c>
    </row>
    <row r="87" spans="1:15" ht="16.5" thickBot="1" x14ac:dyDescent="0.3">
      <c r="A87" s="330" t="s">
        <v>22</v>
      </c>
      <c r="B87" s="329"/>
      <c r="C87" s="329"/>
      <c r="D87" s="329"/>
      <c r="E87" s="329"/>
      <c r="F87" s="329"/>
      <c r="G87" s="329"/>
      <c r="H87" s="329"/>
      <c r="I87" s="329"/>
      <c r="J87" s="329"/>
      <c r="K87" s="327"/>
      <c r="L87" s="329"/>
      <c r="M87" s="329"/>
      <c r="N87" s="329"/>
      <c r="O87" s="396"/>
    </row>
    <row r="88" spans="1:15" x14ac:dyDescent="0.25">
      <c r="A88" s="1944" t="s">
        <v>23</v>
      </c>
      <c r="B88" s="404" t="s">
        <v>32</v>
      </c>
      <c r="C88" s="324"/>
      <c r="D88" s="678">
        <v>0.25</v>
      </c>
      <c r="E88" s="699">
        <v>0</v>
      </c>
      <c r="F88" s="679">
        <v>0</v>
      </c>
      <c r="G88" s="230">
        <f t="shared" si="1"/>
        <v>0.25</v>
      </c>
      <c r="H88" s="678">
        <v>0.25</v>
      </c>
      <c r="I88" s="699">
        <v>0</v>
      </c>
      <c r="J88" s="679">
        <v>0</v>
      </c>
      <c r="K88" s="230">
        <f t="shared" si="2"/>
        <v>0.25</v>
      </c>
      <c r="L88" s="678">
        <v>0.25</v>
      </c>
      <c r="M88" s="699">
        <v>0</v>
      </c>
      <c r="N88" s="679">
        <v>0</v>
      </c>
      <c r="O88" s="230">
        <f t="shared" ref="O88:O105" si="14">SUM(L88:N88) + $C88</f>
        <v>0.25</v>
      </c>
    </row>
    <row r="89" spans="1:15" x14ac:dyDescent="0.25">
      <c r="A89" s="1937"/>
      <c r="B89" s="19" t="s">
        <v>33</v>
      </c>
      <c r="C89" s="22"/>
      <c r="D89" s="625">
        <v>0.25</v>
      </c>
      <c r="E89" s="616">
        <v>0</v>
      </c>
      <c r="F89" s="623">
        <v>0</v>
      </c>
      <c r="G89" s="21">
        <f t="shared" si="1"/>
        <v>0.25</v>
      </c>
      <c r="H89" s="625">
        <v>0.25</v>
      </c>
      <c r="I89" s="616">
        <v>0</v>
      </c>
      <c r="J89" s="623">
        <v>0</v>
      </c>
      <c r="K89" s="21">
        <f t="shared" si="2"/>
        <v>0.25</v>
      </c>
      <c r="L89" s="625">
        <v>0.25</v>
      </c>
      <c r="M89" s="616">
        <v>0</v>
      </c>
      <c r="N89" s="623">
        <v>0</v>
      </c>
      <c r="O89" s="21">
        <f t="shared" si="14"/>
        <v>0.25</v>
      </c>
    </row>
    <row r="90" spans="1:15" x14ac:dyDescent="0.25">
      <c r="A90" s="1937"/>
      <c r="B90" s="19" t="s">
        <v>34</v>
      </c>
      <c r="C90" s="22"/>
      <c r="D90" s="678">
        <v>0.25</v>
      </c>
      <c r="E90" s="616">
        <v>0</v>
      </c>
      <c r="F90" s="623">
        <v>0</v>
      </c>
      <c r="G90" s="21">
        <f t="shared" si="1"/>
        <v>0.25</v>
      </c>
      <c r="H90" s="678">
        <v>0.25</v>
      </c>
      <c r="I90" s="616">
        <v>0</v>
      </c>
      <c r="J90" s="623">
        <v>0</v>
      </c>
      <c r="K90" s="21">
        <f t="shared" si="2"/>
        <v>0.25</v>
      </c>
      <c r="L90" s="678">
        <v>0.25</v>
      </c>
      <c r="M90" s="616">
        <v>0</v>
      </c>
      <c r="N90" s="623">
        <v>0</v>
      </c>
      <c r="O90" s="21">
        <f t="shared" si="14"/>
        <v>0.25</v>
      </c>
    </row>
    <row r="91" spans="1:15" x14ac:dyDescent="0.25">
      <c r="A91" s="1937" t="s">
        <v>24</v>
      </c>
      <c r="B91" s="19" t="s">
        <v>32</v>
      </c>
      <c r="C91" s="22"/>
      <c r="D91" s="625">
        <v>16</v>
      </c>
      <c r="E91" s="623">
        <v>0</v>
      </c>
      <c r="F91" s="623">
        <v>0</v>
      </c>
      <c r="G91" s="21">
        <f t="shared" si="1"/>
        <v>16</v>
      </c>
      <c r="H91" s="625">
        <v>16</v>
      </c>
      <c r="I91" s="623">
        <v>0</v>
      </c>
      <c r="J91" s="623">
        <v>0</v>
      </c>
      <c r="K91" s="21">
        <f t="shared" si="2"/>
        <v>16</v>
      </c>
      <c r="L91" s="625">
        <v>16</v>
      </c>
      <c r="M91" s="623">
        <v>0</v>
      </c>
      <c r="N91" s="623">
        <v>0</v>
      </c>
      <c r="O91" s="21">
        <f t="shared" si="14"/>
        <v>16</v>
      </c>
    </row>
    <row r="92" spans="1:15" x14ac:dyDescent="0.25">
      <c r="A92" s="1937"/>
      <c r="B92" s="19" t="s">
        <v>33</v>
      </c>
      <c r="C92" s="22"/>
      <c r="D92" s="625">
        <v>16</v>
      </c>
      <c r="E92" s="623">
        <v>0</v>
      </c>
      <c r="F92" s="623">
        <v>0</v>
      </c>
      <c r="G92" s="21">
        <f t="shared" si="1"/>
        <v>16</v>
      </c>
      <c r="H92" s="625">
        <v>16</v>
      </c>
      <c r="I92" s="623">
        <v>0</v>
      </c>
      <c r="J92" s="623">
        <v>0</v>
      </c>
      <c r="K92" s="21">
        <f t="shared" si="2"/>
        <v>16</v>
      </c>
      <c r="L92" s="625">
        <v>16</v>
      </c>
      <c r="M92" s="623">
        <v>0</v>
      </c>
      <c r="N92" s="623">
        <v>0</v>
      </c>
      <c r="O92" s="21">
        <f t="shared" si="14"/>
        <v>16</v>
      </c>
    </row>
    <row r="93" spans="1:15" x14ac:dyDescent="0.25">
      <c r="A93" s="1937"/>
      <c r="B93" s="19" t="s">
        <v>34</v>
      </c>
      <c r="C93" s="22"/>
      <c r="D93" s="625">
        <v>16</v>
      </c>
      <c r="E93" s="623">
        <v>0</v>
      </c>
      <c r="F93" s="623">
        <v>0</v>
      </c>
      <c r="G93" s="21">
        <f t="shared" si="1"/>
        <v>16</v>
      </c>
      <c r="H93" s="625">
        <v>16</v>
      </c>
      <c r="I93" s="623">
        <v>0</v>
      </c>
      <c r="J93" s="623">
        <v>0</v>
      </c>
      <c r="K93" s="21">
        <f t="shared" si="2"/>
        <v>16</v>
      </c>
      <c r="L93" s="625">
        <v>16</v>
      </c>
      <c r="M93" s="623">
        <v>0</v>
      </c>
      <c r="N93" s="623">
        <v>0</v>
      </c>
      <c r="O93" s="21">
        <f t="shared" si="14"/>
        <v>16</v>
      </c>
    </row>
    <row r="94" spans="1:15" x14ac:dyDescent="0.25">
      <c r="A94" s="1937" t="s">
        <v>25</v>
      </c>
      <c r="B94" s="19" t="s">
        <v>32</v>
      </c>
      <c r="C94" s="22"/>
      <c r="D94" s="625">
        <v>8</v>
      </c>
      <c r="E94" s="623">
        <v>0</v>
      </c>
      <c r="F94" s="623">
        <v>0</v>
      </c>
      <c r="G94" s="21">
        <f t="shared" ref="G94:G105" si="15" xml:space="preserve"> SUM(D94:F94) + $C94</f>
        <v>8</v>
      </c>
      <c r="H94" s="625">
        <v>8</v>
      </c>
      <c r="I94" s="623">
        <v>0</v>
      </c>
      <c r="J94" s="623">
        <v>0</v>
      </c>
      <c r="K94" s="21">
        <f t="shared" ref="K94:K105" si="16">SUM(H94:J94) + $C94</f>
        <v>8</v>
      </c>
      <c r="L94" s="625">
        <v>8</v>
      </c>
      <c r="M94" s="623">
        <v>0</v>
      </c>
      <c r="N94" s="623">
        <v>0</v>
      </c>
      <c r="O94" s="21">
        <f t="shared" si="14"/>
        <v>8</v>
      </c>
    </row>
    <row r="95" spans="1:15" x14ac:dyDescent="0.25">
      <c r="A95" s="1937"/>
      <c r="B95" s="19" t="s">
        <v>33</v>
      </c>
      <c r="C95" s="22"/>
      <c r="D95" s="625">
        <v>8</v>
      </c>
      <c r="E95" s="623">
        <v>0</v>
      </c>
      <c r="F95" s="623">
        <v>0</v>
      </c>
      <c r="G95" s="21">
        <f t="shared" si="15"/>
        <v>8</v>
      </c>
      <c r="H95" s="625">
        <v>8</v>
      </c>
      <c r="I95" s="623">
        <v>0</v>
      </c>
      <c r="J95" s="623">
        <v>0</v>
      </c>
      <c r="K95" s="21">
        <f t="shared" si="16"/>
        <v>8</v>
      </c>
      <c r="L95" s="625">
        <v>8</v>
      </c>
      <c r="M95" s="623">
        <v>0</v>
      </c>
      <c r="N95" s="623">
        <v>0</v>
      </c>
      <c r="O95" s="21">
        <f t="shared" si="14"/>
        <v>8</v>
      </c>
    </row>
    <row r="96" spans="1:15" x14ac:dyDescent="0.25">
      <c r="A96" s="1937"/>
      <c r="B96" s="19" t="s">
        <v>34</v>
      </c>
      <c r="C96" s="22"/>
      <c r="D96" s="625">
        <v>8</v>
      </c>
      <c r="E96" s="623">
        <v>0</v>
      </c>
      <c r="F96" s="623">
        <v>0</v>
      </c>
      <c r="G96" s="21">
        <f t="shared" si="15"/>
        <v>8</v>
      </c>
      <c r="H96" s="625">
        <v>8</v>
      </c>
      <c r="I96" s="623">
        <v>0</v>
      </c>
      <c r="J96" s="623">
        <v>0</v>
      </c>
      <c r="K96" s="21">
        <f t="shared" si="16"/>
        <v>8</v>
      </c>
      <c r="L96" s="625">
        <v>8</v>
      </c>
      <c r="M96" s="623">
        <v>0</v>
      </c>
      <c r="N96" s="623">
        <v>0</v>
      </c>
      <c r="O96" s="21">
        <f t="shared" si="14"/>
        <v>8</v>
      </c>
    </row>
    <row r="97" spans="1:15" x14ac:dyDescent="0.25">
      <c r="A97" s="1937" t="s">
        <v>26</v>
      </c>
      <c r="B97" s="19" t="s">
        <v>32</v>
      </c>
      <c r="C97" s="22"/>
      <c r="D97" s="625">
        <v>8</v>
      </c>
      <c r="E97" s="623">
        <v>0</v>
      </c>
      <c r="F97" s="623">
        <v>0</v>
      </c>
      <c r="G97" s="21">
        <f t="shared" si="15"/>
        <v>8</v>
      </c>
      <c r="H97" s="625">
        <v>8</v>
      </c>
      <c r="I97" s="623">
        <v>0</v>
      </c>
      <c r="J97" s="623">
        <v>0</v>
      </c>
      <c r="K97" s="21">
        <f t="shared" si="16"/>
        <v>8</v>
      </c>
      <c r="L97" s="625">
        <v>8</v>
      </c>
      <c r="M97" s="623">
        <v>0</v>
      </c>
      <c r="N97" s="623">
        <v>0</v>
      </c>
      <c r="O97" s="21">
        <f t="shared" si="14"/>
        <v>8</v>
      </c>
    </row>
    <row r="98" spans="1:15" x14ac:dyDescent="0.25">
      <c r="A98" s="1937"/>
      <c r="B98" s="19" t="s">
        <v>33</v>
      </c>
      <c r="C98" s="22"/>
      <c r="D98" s="625">
        <v>8</v>
      </c>
      <c r="E98" s="623">
        <v>0</v>
      </c>
      <c r="F98" s="623">
        <v>0</v>
      </c>
      <c r="G98" s="21">
        <f t="shared" si="15"/>
        <v>8</v>
      </c>
      <c r="H98" s="625">
        <v>8</v>
      </c>
      <c r="I98" s="623">
        <v>0</v>
      </c>
      <c r="J98" s="623">
        <v>0</v>
      </c>
      <c r="K98" s="21">
        <f t="shared" si="16"/>
        <v>8</v>
      </c>
      <c r="L98" s="625">
        <v>8</v>
      </c>
      <c r="M98" s="623">
        <v>0</v>
      </c>
      <c r="N98" s="623">
        <v>0</v>
      </c>
      <c r="O98" s="21">
        <f t="shared" si="14"/>
        <v>8</v>
      </c>
    </row>
    <row r="99" spans="1:15" x14ac:dyDescent="0.25">
      <c r="A99" s="1937"/>
      <c r="B99" s="19" t="s">
        <v>34</v>
      </c>
      <c r="C99" s="22"/>
      <c r="D99" s="625">
        <v>8</v>
      </c>
      <c r="E99" s="623">
        <v>0</v>
      </c>
      <c r="F99" s="623">
        <v>0</v>
      </c>
      <c r="G99" s="21">
        <f t="shared" si="15"/>
        <v>8</v>
      </c>
      <c r="H99" s="625">
        <v>8</v>
      </c>
      <c r="I99" s="623">
        <v>0</v>
      </c>
      <c r="J99" s="623">
        <v>0</v>
      </c>
      <c r="K99" s="21">
        <f t="shared" si="16"/>
        <v>8</v>
      </c>
      <c r="L99" s="625">
        <v>8</v>
      </c>
      <c r="M99" s="623">
        <v>0</v>
      </c>
      <c r="N99" s="623">
        <v>0</v>
      </c>
      <c r="O99" s="21">
        <f t="shared" si="14"/>
        <v>8</v>
      </c>
    </row>
    <row r="100" spans="1:15" x14ac:dyDescent="0.25">
      <c r="A100" s="1937" t="s">
        <v>27</v>
      </c>
      <c r="B100" s="19" t="s">
        <v>32</v>
      </c>
      <c r="C100" s="22"/>
      <c r="D100" s="625">
        <v>4</v>
      </c>
      <c r="E100" s="625">
        <v>0</v>
      </c>
      <c r="F100" s="623">
        <v>0</v>
      </c>
      <c r="G100" s="21">
        <f t="shared" si="15"/>
        <v>4</v>
      </c>
      <c r="H100" s="625">
        <v>4</v>
      </c>
      <c r="I100" s="625">
        <v>0</v>
      </c>
      <c r="J100" s="623">
        <v>0</v>
      </c>
      <c r="K100" s="21">
        <f t="shared" si="16"/>
        <v>4</v>
      </c>
      <c r="L100" s="625">
        <v>4</v>
      </c>
      <c r="M100" s="625">
        <v>0</v>
      </c>
      <c r="N100" s="623">
        <v>0</v>
      </c>
      <c r="O100" s="21">
        <f t="shared" si="14"/>
        <v>4</v>
      </c>
    </row>
    <row r="101" spans="1:15" x14ac:dyDescent="0.25">
      <c r="A101" s="1937"/>
      <c r="B101" s="19" t="s">
        <v>33</v>
      </c>
      <c r="C101" s="22"/>
      <c r="D101" s="625">
        <v>4</v>
      </c>
      <c r="E101" s="625">
        <v>0</v>
      </c>
      <c r="F101" s="625">
        <v>0</v>
      </c>
      <c r="G101" s="21">
        <f t="shared" si="15"/>
        <v>4</v>
      </c>
      <c r="H101" s="625">
        <v>4</v>
      </c>
      <c r="I101" s="625">
        <v>0</v>
      </c>
      <c r="J101" s="625">
        <v>0</v>
      </c>
      <c r="K101" s="21">
        <f t="shared" si="16"/>
        <v>4</v>
      </c>
      <c r="L101" s="625">
        <v>4</v>
      </c>
      <c r="M101" s="625">
        <v>0</v>
      </c>
      <c r="N101" s="625">
        <v>0</v>
      </c>
      <c r="O101" s="21">
        <f t="shared" si="14"/>
        <v>4</v>
      </c>
    </row>
    <row r="102" spans="1:15" x14ac:dyDescent="0.25">
      <c r="A102" s="1937"/>
      <c r="B102" s="19" t="s">
        <v>34</v>
      </c>
      <c r="C102" s="22"/>
      <c r="D102" s="625">
        <v>4</v>
      </c>
      <c r="E102" s="625">
        <v>0</v>
      </c>
      <c r="F102" s="625">
        <v>0</v>
      </c>
      <c r="G102" s="21">
        <f t="shared" si="15"/>
        <v>4</v>
      </c>
      <c r="H102" s="625">
        <v>4</v>
      </c>
      <c r="I102" s="625">
        <v>0</v>
      </c>
      <c r="J102" s="625">
        <v>0</v>
      </c>
      <c r="K102" s="21">
        <f t="shared" si="16"/>
        <v>4</v>
      </c>
      <c r="L102" s="625">
        <v>4</v>
      </c>
      <c r="M102" s="625">
        <v>0</v>
      </c>
      <c r="N102" s="625">
        <v>0</v>
      </c>
      <c r="O102" s="21">
        <f t="shared" si="14"/>
        <v>4</v>
      </c>
    </row>
    <row r="103" spans="1:15" x14ac:dyDescent="0.25">
      <c r="A103" s="1937" t="s">
        <v>28</v>
      </c>
      <c r="B103" s="19" t="s">
        <v>32</v>
      </c>
      <c r="C103" s="22"/>
      <c r="D103" s="625">
        <v>4</v>
      </c>
      <c r="E103" s="623">
        <v>0</v>
      </c>
      <c r="F103" s="623">
        <v>0</v>
      </c>
      <c r="G103" s="21">
        <f t="shared" si="15"/>
        <v>4</v>
      </c>
      <c r="H103" s="625">
        <v>4</v>
      </c>
      <c r="I103" s="623">
        <v>0</v>
      </c>
      <c r="J103" s="623">
        <v>0</v>
      </c>
      <c r="K103" s="21">
        <f t="shared" si="16"/>
        <v>4</v>
      </c>
      <c r="L103" s="625">
        <v>4</v>
      </c>
      <c r="M103" s="623">
        <v>0</v>
      </c>
      <c r="N103" s="623">
        <v>0</v>
      </c>
      <c r="O103" s="21">
        <f t="shared" si="14"/>
        <v>4</v>
      </c>
    </row>
    <row r="104" spans="1:15" x14ac:dyDescent="0.25">
      <c r="A104" s="1937"/>
      <c r="B104" s="19" t="s">
        <v>33</v>
      </c>
      <c r="C104" s="22"/>
      <c r="D104" s="625">
        <v>5</v>
      </c>
      <c r="E104" s="623">
        <v>0</v>
      </c>
      <c r="F104" s="623">
        <v>0</v>
      </c>
      <c r="G104" s="21">
        <f t="shared" si="15"/>
        <v>5</v>
      </c>
      <c r="H104" s="625">
        <v>5</v>
      </c>
      <c r="I104" s="623">
        <v>0</v>
      </c>
      <c r="J104" s="623">
        <v>0</v>
      </c>
      <c r="K104" s="21">
        <f t="shared" si="16"/>
        <v>5</v>
      </c>
      <c r="L104" s="625">
        <v>5</v>
      </c>
      <c r="M104" s="623">
        <v>0</v>
      </c>
      <c r="N104" s="623">
        <v>0</v>
      </c>
      <c r="O104" s="21">
        <f t="shared" si="14"/>
        <v>5</v>
      </c>
    </row>
    <row r="105" spans="1:15" ht="15.75" thickBot="1" x14ac:dyDescent="0.3">
      <c r="A105" s="1987"/>
      <c r="B105" s="20" t="s">
        <v>34</v>
      </c>
      <c r="C105" s="23"/>
      <c r="D105" s="649">
        <v>6</v>
      </c>
      <c r="E105" s="266">
        <v>0</v>
      </c>
      <c r="F105" s="266">
        <v>0</v>
      </c>
      <c r="G105" s="24">
        <f t="shared" si="15"/>
        <v>6</v>
      </c>
      <c r="H105" s="649">
        <v>6</v>
      </c>
      <c r="I105" s="266">
        <v>0</v>
      </c>
      <c r="J105" s="266">
        <v>0</v>
      </c>
      <c r="K105" s="24">
        <f t="shared" si="16"/>
        <v>6</v>
      </c>
      <c r="L105" s="649">
        <v>6</v>
      </c>
      <c r="M105" s="266">
        <v>0</v>
      </c>
      <c r="N105" s="266">
        <v>0</v>
      </c>
      <c r="O105" s="24">
        <f t="shared" si="14"/>
        <v>6</v>
      </c>
    </row>
    <row r="107" spans="1:15" x14ac:dyDescent="0.25">
      <c r="A107" s="125" t="s">
        <v>89</v>
      </c>
    </row>
  </sheetData>
  <customSheetViews>
    <customSheetView guid="{B91A3F61-3B23-46E3-9B55-19B17EB6638A}" state="hidden" topLeftCell="H1">
      <pageMargins left="0.7" right="0.7" top="0.75" bottom="0.75" header="0.3" footer="0.3"/>
    </customSheetView>
    <customSheetView guid="{F5CB9414-DBF4-48FF-9213-FFE745451535}" state="hidden" topLeftCell="H1">
      <pageMargins left="0.7" right="0.7" top="0.75" bottom="0.75" header="0.3" footer="0.3"/>
    </customSheetView>
    <customSheetView guid="{A1A876F1-3EAA-4E5F-BD51-8B131AB8854B}" state="hidden" topLeftCell="H1">
      <pageMargins left="0.7" right="0.7" top="0.75" bottom="0.75" header="0.3" footer="0.3"/>
    </customSheetView>
    <customSheetView guid="{18A094BB-EA3E-4938-9069-21F549B37E23}" state="hidden" topLeftCell="H1">
      <pageMargins left="0.7" right="0.7" top="0.75" bottom="0.75" header="0.3" footer="0.3"/>
    </customSheetView>
  </customSheetViews>
  <mergeCells count="39">
    <mergeCell ref="G2:G3"/>
    <mergeCell ref="A8:A10"/>
    <mergeCell ref="A12:A14"/>
    <mergeCell ref="A16:A18"/>
    <mergeCell ref="A78:A80"/>
    <mergeCell ref="A22:A24"/>
    <mergeCell ref="A25:A27"/>
    <mergeCell ref="A5:A7"/>
    <mergeCell ref="A97:A99"/>
    <mergeCell ref="A100:A102"/>
    <mergeCell ref="A103:A105"/>
    <mergeCell ref="A28:A30"/>
    <mergeCell ref="A31:A33"/>
    <mergeCell ref="A81:A83"/>
    <mergeCell ref="A84:A86"/>
    <mergeCell ref="A88:A90"/>
    <mergeCell ref="A91:A93"/>
    <mergeCell ref="A94:A96"/>
    <mergeCell ref="A34:A36"/>
    <mergeCell ref="A63:A65"/>
    <mergeCell ref="A66:A68"/>
    <mergeCell ref="A69:A71"/>
    <mergeCell ref="A72:A74"/>
    <mergeCell ref="L1:O1"/>
    <mergeCell ref="O2:O3"/>
    <mergeCell ref="A57:A59"/>
    <mergeCell ref="A60:A62"/>
    <mergeCell ref="A75:A77"/>
    <mergeCell ref="A38:A40"/>
    <mergeCell ref="A42:A44"/>
    <mergeCell ref="A45:A47"/>
    <mergeCell ref="A48:A50"/>
    <mergeCell ref="A51:A53"/>
    <mergeCell ref="A54:A56"/>
    <mergeCell ref="A19:A21"/>
    <mergeCell ref="H1:K1"/>
    <mergeCell ref="K2:K3"/>
    <mergeCell ref="D1:G1"/>
    <mergeCell ref="C2:C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46"/>
  <dimension ref="A1:T110"/>
  <sheetViews>
    <sheetView zoomScale="70" zoomScaleNormal="70" workbookViewId="0">
      <pane ySplit="1" topLeftCell="A2" activePane="bottomLeft" state="frozen"/>
      <selection pane="bottomLeft" activeCell="H1" sqref="H1:K1"/>
    </sheetView>
  </sheetViews>
  <sheetFormatPr defaultRowHeight="15" x14ac:dyDescent="0.25"/>
  <cols>
    <col min="1" max="1" width="53.42578125" bestFit="1" customWidth="1"/>
    <col min="2" max="2" width="23.5703125" bestFit="1" customWidth="1"/>
    <col min="4" max="4" width="35.5703125" customWidth="1"/>
    <col min="5" max="5" width="26.42578125" customWidth="1"/>
    <col min="6" max="6" width="41.42578125" bestFit="1" customWidth="1"/>
    <col min="7" max="7" width="7.5703125" bestFit="1" customWidth="1"/>
    <col min="8" max="8" width="28.42578125" customWidth="1"/>
    <col min="9" max="9" width="32.28515625" bestFit="1" customWidth="1"/>
    <col min="10" max="10" width="41.42578125" bestFit="1" customWidth="1"/>
    <col min="11" max="11" width="11" customWidth="1"/>
    <col min="12" max="14" width="28.42578125" customWidth="1"/>
    <col min="15" max="15" width="11" customWidth="1"/>
    <col min="16" max="18" width="28.42578125" customWidth="1"/>
    <col min="19" max="19" width="10.42578125" customWidth="1"/>
    <col min="21" max="21" width="53.7109375" customWidth="1"/>
  </cols>
  <sheetData>
    <row r="1" spans="1:18" ht="15" customHeight="1" thickBot="1" x14ac:dyDescent="0.3">
      <c r="A1" s="465" t="s">
        <v>91</v>
      </c>
      <c r="B1" s="35"/>
      <c r="C1" s="43"/>
      <c r="D1" s="1939" t="s">
        <v>377</v>
      </c>
      <c r="E1" s="1940"/>
      <c r="F1" s="1940"/>
      <c r="G1" s="1941"/>
      <c r="H1" s="1939" t="s">
        <v>378</v>
      </c>
      <c r="I1" s="1940"/>
      <c r="J1" s="1940"/>
      <c r="K1" s="1941"/>
      <c r="N1" s="208">
        <v>3</v>
      </c>
    </row>
    <row r="2" spans="1:18" ht="15.75" x14ac:dyDescent="0.25">
      <c r="B2" s="41" t="s">
        <v>37</v>
      </c>
      <c r="C2" s="1945" t="s">
        <v>35</v>
      </c>
      <c r="D2" s="36" t="s">
        <v>698</v>
      </c>
      <c r="E2" s="10" t="s">
        <v>699</v>
      </c>
      <c r="F2" s="10" t="s">
        <v>700</v>
      </c>
      <c r="G2" s="1942" t="s">
        <v>38</v>
      </c>
      <c r="H2" s="36" t="s">
        <v>698</v>
      </c>
      <c r="I2" s="10" t="s">
        <v>699</v>
      </c>
      <c r="J2" s="10" t="s">
        <v>700</v>
      </c>
      <c r="K2" s="1942" t="s">
        <v>38</v>
      </c>
      <c r="L2" s="207">
        <v>1</v>
      </c>
      <c r="M2" t="s">
        <v>201</v>
      </c>
      <c r="N2" s="54">
        <v>0.2</v>
      </c>
    </row>
    <row r="3" spans="1:18" ht="16.5" thickBot="1" x14ac:dyDescent="0.3">
      <c r="A3" s="12" t="s">
        <v>36</v>
      </c>
      <c r="B3" s="922">
        <v>2</v>
      </c>
      <c r="C3" s="1946"/>
      <c r="D3" s="40">
        <f>INDEX(ТрЗ_ОП!$P$11:$P$102,MATCH(D2,ТрЗ_ОП!$O$11:$O$102,0))</f>
        <v>0</v>
      </c>
      <c r="E3" s="40">
        <f>INDEX(ТрЗ_ОП!$P$11:$P$102,MATCH(E2,ТрЗ_ОП!$O$11:$O$102,0))</f>
        <v>0</v>
      </c>
      <c r="F3" s="40">
        <f>INDEX(ТрЗ_ОП!$P$11:$P$102,MATCH(F2,ТрЗ_ОП!$O$11:$O$102,0))</f>
        <v>0</v>
      </c>
      <c r="G3" s="1942"/>
      <c r="H3" s="40">
        <f>INDEX(ТрЗ_ОП!$P$11:$P$102,MATCH(H2,ТрЗ_ОП!$O$11:$O$102,0))</f>
        <v>0</v>
      </c>
      <c r="I3" s="40">
        <f>INDEX(ТрЗ_ОП!$P$11:$P$102,MATCH(I2,ТрЗ_ОП!$O$11:$O$102,0))</f>
        <v>0</v>
      </c>
      <c r="J3" s="40">
        <f>INDEX(ТрЗ_ОП!$P$11:$P$102,MATCH(J2,ТрЗ_ОП!$O$11:$O$102,0))</f>
        <v>0</v>
      </c>
      <c r="K3" s="1942"/>
      <c r="L3" s="207">
        <v>2</v>
      </c>
      <c r="M3" t="s">
        <v>200</v>
      </c>
      <c r="N3" s="54">
        <v>0.5</v>
      </c>
    </row>
    <row r="4" spans="1:18" ht="16.5" thickBot="1" x14ac:dyDescent="0.3">
      <c r="A4" s="326" t="s">
        <v>448</v>
      </c>
      <c r="B4" s="327"/>
      <c r="C4" s="327"/>
      <c r="D4" s="327"/>
      <c r="E4" s="327"/>
      <c r="F4" s="327"/>
      <c r="G4" s="327"/>
      <c r="H4" s="327"/>
      <c r="I4" s="327"/>
      <c r="J4" s="327"/>
      <c r="K4" s="327"/>
      <c r="L4" s="207">
        <v>3</v>
      </c>
      <c r="M4" t="s">
        <v>199</v>
      </c>
      <c r="N4" s="54">
        <f>IF(E3&gt;1,1,0.2)</f>
        <v>0.2</v>
      </c>
      <c r="O4" t="s">
        <v>198</v>
      </c>
    </row>
    <row r="5" spans="1:18" x14ac:dyDescent="0.25">
      <c r="A5" s="1907" t="s">
        <v>0</v>
      </c>
      <c r="B5" s="404" t="s">
        <v>32</v>
      </c>
      <c r="C5" s="324"/>
      <c r="D5" s="455">
        <f>6*(IF($N$1=1,$N$2,IF($N$1=2,$N$3,IF($N$1=3,$N$4,0))))*$B$108</f>
        <v>0.96000000000000019</v>
      </c>
      <c r="E5" s="455">
        <f>(IF($N$1=1,$N$2,IF($N$1=2,$N$3,IF($N$1=3,$N$4,0))))*$E$3*$B$108</f>
        <v>0</v>
      </c>
      <c r="F5" s="828">
        <v>0</v>
      </c>
      <c r="G5" s="230">
        <f t="shared" ref="G5:G10" si="0" xml:space="preserve"> SUM(D5:F5) + $C5</f>
        <v>0.96000000000000019</v>
      </c>
      <c r="H5" s="455">
        <f>6*(IF($N$1=1,$N$2,IF($N$1=2,$N$3,IF($N$1=3,$N$4,0))))*$B$108</f>
        <v>0.96000000000000019</v>
      </c>
      <c r="I5" s="455">
        <f>(IF($N$1=1,$N$2,IF($N$1=2,$N$3,IF($N$1=3,$N$4,0))))*$E$3*$B$108</f>
        <v>0</v>
      </c>
      <c r="J5" s="828">
        <v>0</v>
      </c>
      <c r="K5" s="230">
        <f t="shared" ref="K5:K10" si="1" xml:space="preserve"> SUM(H5:J5) + $C5</f>
        <v>0.96000000000000019</v>
      </c>
      <c r="L5" s="207"/>
      <c r="N5" s="54"/>
    </row>
    <row r="6" spans="1:18" x14ac:dyDescent="0.25">
      <c r="A6" s="1907"/>
      <c r="B6" s="19" t="s">
        <v>33</v>
      </c>
      <c r="C6" s="817"/>
      <c r="D6" s="205">
        <f>6*(IF($N$1=1,$N$2,IF($N$1=2,$N$3,IF($N$1=3,$N$4,0))))*$B$109</f>
        <v>1.2000000000000002</v>
      </c>
      <c r="E6" s="205">
        <f>(IF($N$1=1,$N$2,IF($N$1=2,$N$3,IF($N$1=3,$N$4,0))))*$E$3*$B$109</f>
        <v>0</v>
      </c>
      <c r="F6" s="813">
        <v>0</v>
      </c>
      <c r="G6" s="619">
        <f t="shared" si="0"/>
        <v>1.2000000000000002</v>
      </c>
      <c r="H6" s="205">
        <f>6*(IF($N$1=1,$N$2,IF($N$1=2,$N$3,IF($N$1=3,$N$4,0))))*$B$109</f>
        <v>1.2000000000000002</v>
      </c>
      <c r="I6" s="205">
        <f>(IF($N$1=1,$N$2,IF($N$1=2,$N$3,IF($N$1=3,$N$4,0))))*$E$3*$B$109</f>
        <v>0</v>
      </c>
      <c r="J6" s="813">
        <v>0</v>
      </c>
      <c r="K6" s="619">
        <f t="shared" si="1"/>
        <v>1.2000000000000002</v>
      </c>
      <c r="L6" s="207"/>
      <c r="N6" s="54"/>
    </row>
    <row r="7" spans="1:18" x14ac:dyDescent="0.25">
      <c r="A7" s="1914"/>
      <c r="B7" s="19" t="s">
        <v>34</v>
      </c>
      <c r="C7" s="817"/>
      <c r="D7" s="205">
        <f>6*(IF($N$1=1,$N$2,IF($N$1=2,$N$3,IF($N$1=3,$N$4,0))))*$B$110</f>
        <v>1.8000000000000003</v>
      </c>
      <c r="E7" s="205">
        <f>(IF($N$1=1,$N$2,IF($N$1=2,$N$3,IF($N$1=3,$N$4,0))))*$E$3*$B$110</f>
        <v>0</v>
      </c>
      <c r="F7" s="813">
        <v>0</v>
      </c>
      <c r="G7" s="619">
        <f t="shared" si="0"/>
        <v>1.8000000000000003</v>
      </c>
      <c r="H7" s="205">
        <f>6*(IF($N$1=1,$N$2,IF($N$1=2,$N$3,IF($N$1=3,$N$4,0))))*$B$110</f>
        <v>1.8000000000000003</v>
      </c>
      <c r="I7" s="205">
        <f>(IF($N$1=1,$N$2,IF($N$1=2,$N$3,IF($N$1=3,$N$4,0))))*$E$3*$B$110</f>
        <v>0</v>
      </c>
      <c r="J7" s="813">
        <v>0</v>
      </c>
      <c r="K7" s="619">
        <f t="shared" si="1"/>
        <v>1.8000000000000003</v>
      </c>
      <c r="L7" s="207"/>
      <c r="N7" s="54"/>
    </row>
    <row r="8" spans="1:18" x14ac:dyDescent="0.25">
      <c r="A8" s="1907" t="s">
        <v>449</v>
      </c>
      <c r="B8" s="404" t="s">
        <v>32</v>
      </c>
      <c r="C8" s="324"/>
      <c r="D8" s="205">
        <f>6*(IF($N$1=1,$N$2,IF($N$1=2,$N$3,IF($N$1=3,$N$4,0))))*$B$108</f>
        <v>0.96000000000000019</v>
      </c>
      <c r="E8" s="205">
        <f>(IF($N$1=1,$N$2,IF($N$1=2,$N$3,IF($N$1=3,$N$4,0))))*$E$3*$B$108</f>
        <v>0</v>
      </c>
      <c r="F8" s="813">
        <v>0</v>
      </c>
      <c r="G8" s="619">
        <f t="shared" si="0"/>
        <v>0.96000000000000019</v>
      </c>
      <c r="H8" s="205">
        <f>6*(IF($N$1=1,$N$2,IF($N$1=2,$N$3,IF($N$1=3,$N$4,0))))*$B$108</f>
        <v>0.96000000000000019</v>
      </c>
      <c r="I8" s="205">
        <f>(IF($N$1=1,$N$2,IF($N$1=2,$N$3,IF($N$1=3,$N$4,0))))*$E$3*$B$108</f>
        <v>0</v>
      </c>
      <c r="J8" s="813">
        <v>0</v>
      </c>
      <c r="K8" s="619">
        <f t="shared" si="1"/>
        <v>0.96000000000000019</v>
      </c>
    </row>
    <row r="9" spans="1:18" x14ac:dyDescent="0.25">
      <c r="A9" s="1907"/>
      <c r="B9" s="19" t="s">
        <v>33</v>
      </c>
      <c r="C9" s="817"/>
      <c r="D9" s="205">
        <f>6*(IF($N$1=1,$N$2,IF($N$1=2,$N$3,IF($N$1=3,$N$4,0))))*$B$109</f>
        <v>1.2000000000000002</v>
      </c>
      <c r="E9" s="205">
        <f>(IF($N$1=1,$N$2,IF($N$1=2,$N$3,IF($N$1=3,$N$4,0))))*$E$3*$B$109</f>
        <v>0</v>
      </c>
      <c r="F9" s="813">
        <v>0</v>
      </c>
      <c r="G9" s="619">
        <f t="shared" si="0"/>
        <v>1.2000000000000002</v>
      </c>
      <c r="H9" s="205">
        <f>6*(IF($N$1=1,$N$2,IF($N$1=2,$N$3,IF($N$1=3,$N$4,0))))*$B$109</f>
        <v>1.2000000000000002</v>
      </c>
      <c r="I9" s="205">
        <f>(IF($N$1=1,$N$2,IF($N$1=2,$N$3,IF($N$1=3,$N$4,0))))*$E$3*$B$109</f>
        <v>0</v>
      </c>
      <c r="J9" s="813">
        <v>0</v>
      </c>
      <c r="K9" s="619">
        <f t="shared" si="1"/>
        <v>1.2000000000000002</v>
      </c>
    </row>
    <row r="10" spans="1:18" ht="15.75" thickBot="1" x14ac:dyDescent="0.3">
      <c r="A10" s="1907"/>
      <c r="B10" s="13" t="s">
        <v>34</v>
      </c>
      <c r="C10" s="820"/>
      <c r="D10" s="456">
        <f>6*(IF($N$1=1,$N$2,IF($N$1=2,$N$3,IF($N$1=3,$N$4,0))))*$B$110</f>
        <v>1.8000000000000003</v>
      </c>
      <c r="E10" s="456">
        <f>(IF($N$1=1,$N$2,IF($N$1=2,$N$3,IF($N$1=3,$N$4,0))))*$E$3*$B$110</f>
        <v>0</v>
      </c>
      <c r="F10" s="832">
        <v>0</v>
      </c>
      <c r="G10" s="77">
        <f t="shared" si="0"/>
        <v>1.8000000000000003</v>
      </c>
      <c r="H10" s="456">
        <f>6*(IF($N$1=1,$N$2,IF($N$1=2,$N$3,IF($N$1=3,$N$4,0))))*$B$110</f>
        <v>1.8000000000000003</v>
      </c>
      <c r="I10" s="456">
        <f>(IF($N$1=1,$N$2,IF($N$1=2,$N$3,IF($N$1=3,$N$4,0))))*$E$3*$B$110</f>
        <v>0</v>
      </c>
      <c r="J10" s="832">
        <v>0</v>
      </c>
      <c r="K10" s="77">
        <f t="shared" si="1"/>
        <v>1.8000000000000003</v>
      </c>
    </row>
    <row r="11" spans="1:18" ht="16.5" thickBot="1" x14ac:dyDescent="0.3">
      <c r="A11" s="326" t="s">
        <v>1</v>
      </c>
      <c r="B11" s="327"/>
      <c r="C11" s="327"/>
      <c r="D11" s="327"/>
      <c r="E11" s="327"/>
      <c r="F11" s="327"/>
      <c r="G11" s="327"/>
      <c r="H11" s="327"/>
      <c r="I11" s="327"/>
      <c r="J11" s="327"/>
      <c r="K11" s="327"/>
    </row>
    <row r="12" spans="1:18" x14ac:dyDescent="0.25">
      <c r="A12" s="1907" t="s">
        <v>2</v>
      </c>
      <c r="B12" s="404" t="s">
        <v>32</v>
      </c>
      <c r="C12" s="324"/>
      <c r="D12" s="455">
        <f>8*(IF($N$1=1,$N$2,IF($N$1=2,$N$3,IF($N$1=3,$N$4,0))))*$B$108</f>
        <v>1.2800000000000002</v>
      </c>
      <c r="E12" s="674">
        <f>(IF($N$1=1,$N$2,IF($N$1=2,$N$3,IF($N$1=3,$N$4,0))))*$E$3*2*$B$108</f>
        <v>0</v>
      </c>
      <c r="F12" s="413">
        <f>IF($F$3&gt;0,1,0)*$B$108</f>
        <v>0</v>
      </c>
      <c r="G12" s="230">
        <f xml:space="preserve"> SUM(D12:F12) + $C12</f>
        <v>1.2800000000000002</v>
      </c>
      <c r="H12" s="455">
        <f>8*(IF($N$1=1,$N$2,IF($N$1=2,$N$3,IF($N$1=3,$N$4,0))))*$B$108</f>
        <v>1.2800000000000002</v>
      </c>
      <c r="I12" s="674">
        <f>(IF($N$1=1,$N$2,IF($N$1=2,$N$3,IF($N$1=3,$N$4,0))))*$E$3*2*$B$108</f>
        <v>0</v>
      </c>
      <c r="J12" s="413">
        <f>IF($F$3&gt;0,1,0)*$B$108</f>
        <v>0</v>
      </c>
      <c r="K12" s="230">
        <f xml:space="preserve"> SUM(H12:J12) + $C12</f>
        <v>1.2800000000000002</v>
      </c>
      <c r="L12" t="s">
        <v>191</v>
      </c>
      <c r="M12" s="1988" t="s">
        <v>197</v>
      </c>
      <c r="N12" s="1988"/>
      <c r="O12" s="1988"/>
      <c r="P12" s="1988"/>
      <c r="Q12" s="1988"/>
      <c r="R12" t="s">
        <v>192</v>
      </c>
    </row>
    <row r="13" spans="1:18" x14ac:dyDescent="0.25">
      <c r="A13" s="1907"/>
      <c r="B13" s="19" t="s">
        <v>33</v>
      </c>
      <c r="C13" s="817"/>
      <c r="D13" s="205">
        <f>8*(IF($N$1=1,$N$2,IF($N$1=2,$N$3,IF($N$1=3,$N$4,0))))*$B$109</f>
        <v>1.6</v>
      </c>
      <c r="E13" s="630">
        <f>(IF($N$1=1,$N$2,IF($N$1=2,$N$3,IF($N$1=3,$N$4,0))))*$E$3*2*$B$109</f>
        <v>0</v>
      </c>
      <c r="F13" s="184">
        <f>IF($F$3&gt;0,1,0)*$B$109</f>
        <v>0</v>
      </c>
      <c r="G13" s="619">
        <f xml:space="preserve"> SUM(D13:F13) + $C13</f>
        <v>1.6</v>
      </c>
      <c r="H13" s="205">
        <f>8*(IF($N$1=1,$N$2,IF($N$1=2,$N$3,IF($N$1=3,$N$4,0))))*$B$109</f>
        <v>1.6</v>
      </c>
      <c r="I13" s="630">
        <f>(IF($N$1=1,$N$2,IF($N$1=2,$N$3,IF($N$1=3,$N$4,0))))*$E$3*2*$B$109</f>
        <v>0</v>
      </c>
      <c r="J13" s="184">
        <f>IF($F$3&gt;0,1,0)*$B$109</f>
        <v>0</v>
      </c>
      <c r="K13" s="619">
        <f xml:space="preserve"> SUM(H13:J13) + $C13</f>
        <v>1.6</v>
      </c>
      <c r="L13" t="s">
        <v>191</v>
      </c>
      <c r="M13" s="1988"/>
      <c r="N13" s="1988"/>
      <c r="O13" s="1988"/>
      <c r="P13" s="1988"/>
      <c r="Q13" s="1988"/>
    </row>
    <row r="14" spans="1:18" ht="15.75" thickBot="1" x14ac:dyDescent="0.3">
      <c r="A14" s="1907"/>
      <c r="B14" s="13" t="s">
        <v>34</v>
      </c>
      <c r="C14" s="820"/>
      <c r="D14" s="456">
        <f>8*(IF($N$1=1,$N$2,IF($N$1=2,$N$3,IF($N$1=3,$N$4,0))))*$B$110</f>
        <v>2.4000000000000004</v>
      </c>
      <c r="E14" s="675">
        <f>(IF($N$1=1,$N$2,IF($N$1=2,$N$3,IF($N$1=3,$N$4,0))))*$E$3*2*$B$110</f>
        <v>0</v>
      </c>
      <c r="F14" s="415">
        <f>IF($F$3&gt;0,1,0)*$B$110</f>
        <v>0</v>
      </c>
      <c r="G14" s="77">
        <f xml:space="preserve"> SUM(D14:F14) + $C14</f>
        <v>2.4000000000000004</v>
      </c>
      <c r="H14" s="456">
        <f>8*(IF($N$1=1,$N$2,IF($N$1=2,$N$3,IF($N$1=3,$N$4,0))))*$B$110</f>
        <v>2.4000000000000004</v>
      </c>
      <c r="I14" s="675">
        <f>(IF($N$1=1,$N$2,IF($N$1=2,$N$3,IF($N$1=3,$N$4,0))))*$E$3*2*$B$110</f>
        <v>0</v>
      </c>
      <c r="J14" s="415">
        <f>IF($F$3&gt;0,1,0)*$B$110</f>
        <v>0</v>
      </c>
      <c r="K14" s="77">
        <f xml:space="preserve"> SUM(H14:J14) + $C14</f>
        <v>2.4000000000000004</v>
      </c>
      <c r="L14" t="s">
        <v>191</v>
      </c>
      <c r="M14" s="1988"/>
      <c r="N14" s="1988"/>
      <c r="O14" s="1988"/>
      <c r="P14" s="1988"/>
      <c r="Q14" s="1988"/>
    </row>
    <row r="15" spans="1:18" ht="16.5" thickBot="1" x14ac:dyDescent="0.3">
      <c r="A15" s="330" t="s">
        <v>3</v>
      </c>
      <c r="B15" s="329"/>
      <c r="C15" s="329"/>
      <c r="D15" s="329"/>
      <c r="E15" s="329"/>
      <c r="F15" s="327"/>
      <c r="G15" s="327"/>
      <c r="H15" s="329"/>
      <c r="I15" s="329"/>
      <c r="J15" s="327"/>
      <c r="K15" s="327"/>
    </row>
    <row r="16" spans="1:18" x14ac:dyDescent="0.25">
      <c r="A16" s="1989" t="s">
        <v>4</v>
      </c>
      <c r="B16" s="325" t="s">
        <v>32</v>
      </c>
      <c r="C16" s="324"/>
      <c r="D16" s="760">
        <v>0.25</v>
      </c>
      <c r="E16" s="918">
        <v>0</v>
      </c>
      <c r="F16" s="833">
        <v>0</v>
      </c>
      <c r="G16" s="230">
        <f t="shared" ref="G16:G36" si="2" xml:space="preserve"> SUM(D16:F16) + $C16</f>
        <v>0.25</v>
      </c>
      <c r="H16" s="760">
        <v>0.25</v>
      </c>
      <c r="I16" s="918">
        <v>0</v>
      </c>
      <c r="J16" s="833">
        <v>0</v>
      </c>
      <c r="K16" s="230">
        <f t="shared" ref="K16:K36" si="3" xml:space="preserve"> SUM(H16:J16) + $C16</f>
        <v>0.25</v>
      </c>
    </row>
    <row r="17" spans="1:17" x14ac:dyDescent="0.25">
      <c r="A17" s="1990"/>
      <c r="B17" s="18" t="s">
        <v>33</v>
      </c>
      <c r="C17" s="817"/>
      <c r="D17" s="760">
        <v>0.25</v>
      </c>
      <c r="E17" s="814">
        <v>0</v>
      </c>
      <c r="F17" s="819">
        <v>0</v>
      </c>
      <c r="G17" s="619">
        <f t="shared" si="2"/>
        <v>0.25</v>
      </c>
      <c r="H17" s="760">
        <v>0.25</v>
      </c>
      <c r="I17" s="814">
        <v>0</v>
      </c>
      <c r="J17" s="819">
        <v>0</v>
      </c>
      <c r="K17" s="619">
        <f t="shared" si="3"/>
        <v>0.25</v>
      </c>
    </row>
    <row r="18" spans="1:17" x14ac:dyDescent="0.25">
      <c r="A18" s="1990"/>
      <c r="B18" s="18" t="s">
        <v>34</v>
      </c>
      <c r="C18" s="817"/>
      <c r="D18" s="760">
        <v>0.25</v>
      </c>
      <c r="E18" s="814">
        <v>0</v>
      </c>
      <c r="F18" s="819">
        <v>0</v>
      </c>
      <c r="G18" s="619">
        <f t="shared" si="2"/>
        <v>0.25</v>
      </c>
      <c r="H18" s="760">
        <v>0.25</v>
      </c>
      <c r="I18" s="814">
        <v>0</v>
      </c>
      <c r="J18" s="819">
        <v>0</v>
      </c>
      <c r="K18" s="619">
        <f t="shared" si="3"/>
        <v>0.25</v>
      </c>
    </row>
    <row r="19" spans="1:17" x14ac:dyDescent="0.25">
      <c r="A19" s="1990" t="s">
        <v>5</v>
      </c>
      <c r="B19" s="19" t="s">
        <v>32</v>
      </c>
      <c r="C19" s="817"/>
      <c r="D19" s="204">
        <f>(IF($N$1=1,$N$2,IF($N$1=2,$N$3,IF($N$1=3,$N$4,0))))</f>
        <v>0.2</v>
      </c>
      <c r="E19" s="814">
        <v>0</v>
      </c>
      <c r="F19" s="630">
        <f>0.3*$F$3</f>
        <v>0</v>
      </c>
      <c r="G19" s="619">
        <f t="shared" si="2"/>
        <v>0.2</v>
      </c>
      <c r="H19" s="204">
        <f>(IF($N$1=1,$N$2,IF($N$1=2,$N$3,IF($N$1=3,$N$4,0))))</f>
        <v>0.2</v>
      </c>
      <c r="I19" s="814">
        <v>0</v>
      </c>
      <c r="J19" s="630">
        <f>0.3*$F$3</f>
        <v>0</v>
      </c>
      <c r="K19" s="619">
        <f t="shared" si="3"/>
        <v>0.2</v>
      </c>
    </row>
    <row r="20" spans="1:17" x14ac:dyDescent="0.25">
      <c r="A20" s="1990"/>
      <c r="B20" s="19" t="s">
        <v>33</v>
      </c>
      <c r="C20" s="817"/>
      <c r="D20" s="204">
        <f>(IF($N$1=1,$N$2,IF($N$1=2,$N$3,IF($N$1=3,$N$4,0))))</f>
        <v>0.2</v>
      </c>
      <c r="E20" s="814">
        <v>0</v>
      </c>
      <c r="F20" s="630">
        <f>0.3*$F$3</f>
        <v>0</v>
      </c>
      <c r="G20" s="619">
        <f t="shared" si="2"/>
        <v>0.2</v>
      </c>
      <c r="H20" s="204">
        <f>(IF($N$1=1,$N$2,IF($N$1=2,$N$3,IF($N$1=3,$N$4,0))))</f>
        <v>0.2</v>
      </c>
      <c r="I20" s="814">
        <v>0</v>
      </c>
      <c r="J20" s="630">
        <f>0.3*$F$3</f>
        <v>0</v>
      </c>
      <c r="K20" s="619">
        <f t="shared" si="3"/>
        <v>0.2</v>
      </c>
    </row>
    <row r="21" spans="1:17" x14ac:dyDescent="0.25">
      <c r="A21" s="1990"/>
      <c r="B21" s="19" t="s">
        <v>34</v>
      </c>
      <c r="C21" s="817"/>
      <c r="D21" s="204">
        <f>(IF($N$1=1,$N$2,IF($N$1=2,$N$3,IF($N$1=3,$N$4,0))))</f>
        <v>0.2</v>
      </c>
      <c r="E21" s="814">
        <v>0</v>
      </c>
      <c r="F21" s="630">
        <f>0.3*$F$3</f>
        <v>0</v>
      </c>
      <c r="G21" s="619">
        <f t="shared" si="2"/>
        <v>0.2</v>
      </c>
      <c r="H21" s="204">
        <f>(IF($N$1=1,$N$2,IF($N$1=2,$N$3,IF($N$1=3,$N$4,0))))</f>
        <v>0.2</v>
      </c>
      <c r="I21" s="814">
        <v>0</v>
      </c>
      <c r="J21" s="630">
        <f>0.3*$F$3</f>
        <v>0</v>
      </c>
      <c r="K21" s="619">
        <f t="shared" si="3"/>
        <v>0.2</v>
      </c>
    </row>
    <row r="22" spans="1:17" x14ac:dyDescent="0.25">
      <c r="A22" s="1990" t="s">
        <v>6</v>
      </c>
      <c r="B22" s="19" t="s">
        <v>32</v>
      </c>
      <c r="C22" s="817"/>
      <c r="D22" s="205">
        <f>8*(IF($N$1=1,$N$2,IF($N$1=2,$N$3,IF($N$1=3,$N$4,0))))*$B$108</f>
        <v>1.2800000000000002</v>
      </c>
      <c r="E22" s="205">
        <f>(IF($N$1=1,$N$2,IF($N$1=2,$N$3,IF($N$1=3,$N$4,0))))*$E$3*2*$B$108</f>
        <v>0</v>
      </c>
      <c r="F22" s="184">
        <f>IF($F$3&gt;0,1,0)*$B$108</f>
        <v>0</v>
      </c>
      <c r="G22" s="619">
        <f t="shared" si="2"/>
        <v>1.2800000000000002</v>
      </c>
      <c r="H22" s="205">
        <f>8*(IF($N$1=1,$N$2,IF($N$1=2,$N$3,IF($N$1=3,$N$4,0))))*$B$108</f>
        <v>1.2800000000000002</v>
      </c>
      <c r="I22" s="205">
        <f>(IF($N$1=1,$N$2,IF($N$1=2,$N$3,IF($N$1=3,$N$4,0))))*$E$3*2*$B$108</f>
        <v>0</v>
      </c>
      <c r="J22" s="184">
        <f>IF($F$3&gt;0,1,0)*$B$108</f>
        <v>0</v>
      </c>
      <c r="K22" s="619">
        <f t="shared" si="3"/>
        <v>1.2800000000000002</v>
      </c>
      <c r="L22" t="s">
        <v>191</v>
      </c>
      <c r="M22" t="s">
        <v>192</v>
      </c>
    </row>
    <row r="23" spans="1:17" x14ac:dyDescent="0.25">
      <c r="A23" s="1990"/>
      <c r="B23" s="19" t="s">
        <v>33</v>
      </c>
      <c r="C23" s="817"/>
      <c r="D23" s="205">
        <f>8*(IF($N$1=1,$N$2,IF($N$1=2,$N$3,IF($N$1=3,$N$4,0))))*$B$109</f>
        <v>1.6</v>
      </c>
      <c r="E23" s="205">
        <f>(IF($N$1=1,$N$2,IF($N$1=2,$N$3,IF($N$1=3,$N$4,0))))*$E$3*2*$B$109</f>
        <v>0</v>
      </c>
      <c r="F23" s="184">
        <f>IF($F$3&gt;0,1,0)*$B$109</f>
        <v>0</v>
      </c>
      <c r="G23" s="619">
        <f t="shared" si="2"/>
        <v>1.6</v>
      </c>
      <c r="H23" s="205">
        <f>8*(IF($N$1=1,$N$2,IF($N$1=2,$N$3,IF($N$1=3,$N$4,0))))*$B$109</f>
        <v>1.6</v>
      </c>
      <c r="I23" s="205">
        <f>(IF($N$1=1,$N$2,IF($N$1=2,$N$3,IF($N$1=3,$N$4,0))))*$E$3*2*$B$109</f>
        <v>0</v>
      </c>
      <c r="J23" s="184">
        <f>IF($F$3&gt;0,1,0)*$B$109</f>
        <v>0</v>
      </c>
      <c r="K23" s="619">
        <f t="shared" si="3"/>
        <v>1.6</v>
      </c>
      <c r="L23" t="s">
        <v>191</v>
      </c>
    </row>
    <row r="24" spans="1:17" x14ac:dyDescent="0.25">
      <c r="A24" s="1990"/>
      <c r="B24" s="19" t="s">
        <v>34</v>
      </c>
      <c r="C24" s="817"/>
      <c r="D24" s="205">
        <f>8*(IF($N$1=1,$N$2,IF($N$1=2,$N$3,IF($N$1=3,$N$4,0))))*$B$110</f>
        <v>2.4000000000000004</v>
      </c>
      <c r="E24" s="205">
        <f>(IF($N$1=1,$N$2,IF($N$1=2,$N$3,IF($N$1=3,$N$4,0))))*$E$3*2*$B$110</f>
        <v>0</v>
      </c>
      <c r="F24" s="184">
        <f>IF($F$3&gt;0,1,0)*$B$110</f>
        <v>0</v>
      </c>
      <c r="G24" s="619">
        <f t="shared" si="2"/>
        <v>2.4000000000000004</v>
      </c>
      <c r="H24" s="205">
        <f>8*(IF($N$1=1,$N$2,IF($N$1=2,$N$3,IF($N$1=3,$N$4,0))))*$B$110</f>
        <v>2.4000000000000004</v>
      </c>
      <c r="I24" s="205">
        <f>(IF($N$1=1,$N$2,IF($N$1=2,$N$3,IF($N$1=3,$N$4,0))))*$E$3*2*$B$110</f>
        <v>0</v>
      </c>
      <c r="J24" s="184">
        <f>IF($F$3&gt;0,1,0)*$B$110</f>
        <v>0</v>
      </c>
      <c r="K24" s="619">
        <f t="shared" si="3"/>
        <v>2.4000000000000004</v>
      </c>
      <c r="L24" t="s">
        <v>191</v>
      </c>
    </row>
    <row r="25" spans="1:17" x14ac:dyDescent="0.25">
      <c r="A25" s="1990" t="s">
        <v>7</v>
      </c>
      <c r="B25" s="19" t="s">
        <v>32</v>
      </c>
      <c r="C25" s="817"/>
      <c r="D25" s="204">
        <f>4*(IF($N$1=1,$N$2,IF($N$1=2,$N$3,IF($N$1=3,$N$4,0))))*$B$108</f>
        <v>0.64000000000000012</v>
      </c>
      <c r="E25" s="814">
        <v>0</v>
      </c>
      <c r="F25" s="630">
        <f>0.5*$F$3*$B$108</f>
        <v>0</v>
      </c>
      <c r="G25" s="619">
        <f t="shared" si="2"/>
        <v>0.64000000000000012</v>
      </c>
      <c r="H25" s="204">
        <f>4*(IF($N$1=1,$N$2,IF($N$1=2,$N$3,IF($N$1=3,$N$4,0))))*$B$108</f>
        <v>0.64000000000000012</v>
      </c>
      <c r="I25" s="814">
        <v>0</v>
      </c>
      <c r="J25" s="630">
        <f>0.5*$F$3*$B$108</f>
        <v>0</v>
      </c>
      <c r="K25" s="619">
        <f t="shared" si="3"/>
        <v>0.64000000000000012</v>
      </c>
    </row>
    <row r="26" spans="1:17" x14ac:dyDescent="0.25">
      <c r="A26" s="1990"/>
      <c r="B26" s="19" t="s">
        <v>33</v>
      </c>
      <c r="C26" s="817"/>
      <c r="D26" s="204">
        <f>4*(IF($N$1=1,$N$2,IF($N$1=2,$N$3,IF($N$1=3,$N$4,0))))*$B$109</f>
        <v>0.8</v>
      </c>
      <c r="E26" s="814">
        <v>0</v>
      </c>
      <c r="F26" s="630">
        <f>0.5*$F$3*$B$109</f>
        <v>0</v>
      </c>
      <c r="G26" s="619">
        <f t="shared" si="2"/>
        <v>0.8</v>
      </c>
      <c r="H26" s="204">
        <f>4*(IF($N$1=1,$N$2,IF($N$1=2,$N$3,IF($N$1=3,$N$4,0))))*$B$109</f>
        <v>0.8</v>
      </c>
      <c r="I26" s="814">
        <v>0</v>
      </c>
      <c r="J26" s="630">
        <f>0.5*$F$3*$B$109</f>
        <v>0</v>
      </c>
      <c r="K26" s="619">
        <f t="shared" si="3"/>
        <v>0.8</v>
      </c>
    </row>
    <row r="27" spans="1:17" x14ac:dyDescent="0.25">
      <c r="A27" s="1990"/>
      <c r="B27" s="19" t="s">
        <v>34</v>
      </c>
      <c r="C27" s="817"/>
      <c r="D27" s="204">
        <f>4*(IF($N$1=1,$N$2,IF($N$1=2,$N$3,IF($N$1=3,$N$4,0))))*$B$110</f>
        <v>1.2000000000000002</v>
      </c>
      <c r="E27" s="814">
        <v>0</v>
      </c>
      <c r="F27" s="630">
        <f>0.5*$F$3*$B$110</f>
        <v>0</v>
      </c>
      <c r="G27" s="619">
        <f t="shared" si="2"/>
        <v>1.2000000000000002</v>
      </c>
      <c r="H27" s="204">
        <f>4*(IF($N$1=1,$N$2,IF($N$1=2,$N$3,IF($N$1=3,$N$4,0))))*$B$110</f>
        <v>1.2000000000000002</v>
      </c>
      <c r="I27" s="814">
        <v>0</v>
      </c>
      <c r="J27" s="630">
        <f>0.5*$F$3*$B$110</f>
        <v>0</v>
      </c>
      <c r="K27" s="619">
        <f t="shared" si="3"/>
        <v>1.2000000000000002</v>
      </c>
    </row>
    <row r="28" spans="1:17" ht="14.65" customHeight="1" x14ac:dyDescent="0.25">
      <c r="A28" s="1990" t="s">
        <v>8</v>
      </c>
      <c r="B28" s="19" t="s">
        <v>32</v>
      </c>
      <c r="C28" s="817"/>
      <c r="D28" s="821">
        <f>1*$B$108</f>
        <v>0.8</v>
      </c>
      <c r="E28" s="205">
        <f>(IF($N$1=1,$N$2,IF($N$1=2,$N$3,IF($N$1=3,$N$4,0))))*$E$3*$B$108</f>
        <v>0</v>
      </c>
      <c r="F28" s="819">
        <v>0</v>
      </c>
      <c r="G28" s="619">
        <f t="shared" si="2"/>
        <v>0.8</v>
      </c>
      <c r="H28" s="821">
        <f>1*$B$108</f>
        <v>0.8</v>
      </c>
      <c r="I28" s="205">
        <f>(IF($N$1=1,$N$2,IF($N$1=2,$N$3,IF($N$1=3,$N$4,0))))*$E$3*$B$108</f>
        <v>0</v>
      </c>
      <c r="J28" s="819">
        <v>0</v>
      </c>
      <c r="K28" s="619">
        <f t="shared" si="3"/>
        <v>0.8</v>
      </c>
      <c r="M28" s="1991" t="s">
        <v>196</v>
      </c>
      <c r="N28" s="1991"/>
      <c r="O28" s="1991"/>
      <c r="P28" s="1991"/>
      <c r="Q28" s="1991"/>
    </row>
    <row r="29" spans="1:17" x14ac:dyDescent="0.25">
      <c r="A29" s="1990"/>
      <c r="B29" s="19" t="s">
        <v>33</v>
      </c>
      <c r="C29" s="817"/>
      <c r="D29" s="821">
        <f>1*$B$109</f>
        <v>1</v>
      </c>
      <c r="E29" s="205">
        <f>(IF($N$1=1,$N$2,IF($N$1=2,$N$3,IF($N$1=3,$N$4,0))))*$E$3*$B$109</f>
        <v>0</v>
      </c>
      <c r="F29" s="819">
        <v>0</v>
      </c>
      <c r="G29" s="619">
        <f t="shared" si="2"/>
        <v>1</v>
      </c>
      <c r="H29" s="821">
        <f>1*$B$109</f>
        <v>1</v>
      </c>
      <c r="I29" s="205">
        <f>(IF($N$1=1,$N$2,IF($N$1=2,$N$3,IF($N$1=3,$N$4,0))))*$E$3*$B$109</f>
        <v>0</v>
      </c>
      <c r="J29" s="819">
        <v>0</v>
      </c>
      <c r="K29" s="619">
        <f t="shared" si="3"/>
        <v>1</v>
      </c>
      <c r="M29" s="1991"/>
      <c r="N29" s="1991"/>
      <c r="O29" s="1991"/>
      <c r="P29" s="1991"/>
      <c r="Q29" s="1991"/>
    </row>
    <row r="30" spans="1:17" x14ac:dyDescent="0.25">
      <c r="A30" s="1990"/>
      <c r="B30" s="19" t="s">
        <v>34</v>
      </c>
      <c r="C30" s="817"/>
      <c r="D30" s="821">
        <f>1*$B$110</f>
        <v>1.5</v>
      </c>
      <c r="E30" s="205">
        <f>(IF($N$1=1,$N$2,IF($N$1=2,$N$3,IF($N$1=3,$N$4,0))))*$E$3*$B$110</f>
        <v>0</v>
      </c>
      <c r="F30" s="819">
        <v>0</v>
      </c>
      <c r="G30" s="619">
        <f t="shared" si="2"/>
        <v>1.5</v>
      </c>
      <c r="H30" s="821">
        <f>1*$B$110</f>
        <v>1.5</v>
      </c>
      <c r="I30" s="205">
        <f>(IF($N$1=1,$N$2,IF($N$1=2,$N$3,IF($N$1=3,$N$4,0))))*$E$3*$B$110</f>
        <v>0</v>
      </c>
      <c r="J30" s="819">
        <v>0</v>
      </c>
      <c r="K30" s="619">
        <f t="shared" si="3"/>
        <v>1.5</v>
      </c>
      <c r="M30" s="1991"/>
      <c r="N30" s="1991"/>
      <c r="O30" s="1991"/>
      <c r="P30" s="1991"/>
      <c r="Q30" s="1991"/>
    </row>
    <row r="31" spans="1:17" x14ac:dyDescent="0.25">
      <c r="A31" s="1990" t="s">
        <v>9</v>
      </c>
      <c r="B31" s="19" t="s">
        <v>32</v>
      </c>
      <c r="C31" s="817"/>
      <c r="D31" s="747">
        <f>3+(0.5*$D$3)*(IF($N$1=1,$N$2,IF($N$1=2,$N$3,IF($N$1=3,$N$4,0))))*$B$108</f>
        <v>3</v>
      </c>
      <c r="E31" s="814">
        <v>0</v>
      </c>
      <c r="F31" s="630">
        <f>0.5*$F$3*$B$108</f>
        <v>0</v>
      </c>
      <c r="G31" s="619">
        <f t="shared" si="2"/>
        <v>3</v>
      </c>
      <c r="H31" s="747">
        <f>3+(0.5*$D$3)*(IF($N$1=1,$N$2,IF($N$1=2,$N$3,IF($N$1=3,$N$4,0))))*$B$108</f>
        <v>3</v>
      </c>
      <c r="I31" s="814">
        <v>0</v>
      </c>
      <c r="J31" s="630">
        <f>0.5*$F$3*$B$108</f>
        <v>0</v>
      </c>
      <c r="K31" s="619">
        <f t="shared" si="3"/>
        <v>3</v>
      </c>
    </row>
    <row r="32" spans="1:17" x14ac:dyDescent="0.25">
      <c r="A32" s="1990"/>
      <c r="B32" s="19" t="s">
        <v>33</v>
      </c>
      <c r="C32" s="817"/>
      <c r="D32" s="747">
        <f>3+(0.5*$D$3)*(IF($N$1=1,$N$2,IF($N$1=2,$N$3,IF($N$1=3,$N$4,0))))*$B$109</f>
        <v>3</v>
      </c>
      <c r="E32" s="814">
        <v>0</v>
      </c>
      <c r="F32" s="630">
        <f>0.5*$F$3*$B$109</f>
        <v>0</v>
      </c>
      <c r="G32" s="619">
        <f t="shared" si="2"/>
        <v>3</v>
      </c>
      <c r="H32" s="747">
        <f>3+(0.5*$D$3)*(IF($N$1=1,$N$2,IF($N$1=2,$N$3,IF($N$1=3,$N$4,0))))*$B$109</f>
        <v>3</v>
      </c>
      <c r="I32" s="814">
        <v>0</v>
      </c>
      <c r="J32" s="630">
        <f>0.5*$F$3*$B$109</f>
        <v>0</v>
      </c>
      <c r="K32" s="619">
        <f t="shared" si="3"/>
        <v>3</v>
      </c>
    </row>
    <row r="33" spans="1:17" x14ac:dyDescent="0.25">
      <c r="A33" s="1990"/>
      <c r="B33" s="19" t="s">
        <v>34</v>
      </c>
      <c r="C33" s="817"/>
      <c r="D33" s="747">
        <f>3+(0.5*$D$3)*(IF($N$1=1,$N$2,IF($N$1=2,$N$3,IF($N$1=3,$N$4,0))))*$B$110</f>
        <v>3</v>
      </c>
      <c r="E33" s="814">
        <v>0</v>
      </c>
      <c r="F33" s="630">
        <f>0.5*$F$3*$B$110</f>
        <v>0</v>
      </c>
      <c r="G33" s="619">
        <f t="shared" si="2"/>
        <v>3</v>
      </c>
      <c r="H33" s="747">
        <f>3+(0.5*$D$3)*(IF($N$1=1,$N$2,IF($N$1=2,$N$3,IF($N$1=3,$N$4,0))))*$B$110</f>
        <v>3</v>
      </c>
      <c r="I33" s="814">
        <v>0</v>
      </c>
      <c r="J33" s="630">
        <f>0.5*$F$3*$B$110</f>
        <v>0</v>
      </c>
      <c r="K33" s="619">
        <f t="shared" si="3"/>
        <v>3</v>
      </c>
    </row>
    <row r="34" spans="1:17" x14ac:dyDescent="0.25">
      <c r="A34" s="1990" t="s">
        <v>10</v>
      </c>
      <c r="B34" s="19" t="s">
        <v>32</v>
      </c>
      <c r="C34" s="817"/>
      <c r="D34" s="204">
        <f>2*(IF($N$1=1,$N$2,IF($N$1=2,$N$3,IF($N$1=3,$N$4,0))))*$B$108</f>
        <v>0.32000000000000006</v>
      </c>
      <c r="E34" s="814">
        <v>0</v>
      </c>
      <c r="F34" s="814">
        <v>0</v>
      </c>
      <c r="G34" s="619">
        <f t="shared" si="2"/>
        <v>0.32000000000000006</v>
      </c>
      <c r="H34" s="204">
        <f>2*(IF($N$1=1,$N$2,IF($N$1=2,$N$3,IF($N$1=3,$N$4,0))))*$B$108</f>
        <v>0.32000000000000006</v>
      </c>
      <c r="I34" s="814">
        <v>0</v>
      </c>
      <c r="J34" s="814">
        <v>0</v>
      </c>
      <c r="K34" s="619">
        <f t="shared" si="3"/>
        <v>0.32000000000000006</v>
      </c>
    </row>
    <row r="35" spans="1:17" x14ac:dyDescent="0.25">
      <c r="A35" s="1990"/>
      <c r="B35" s="19" t="s">
        <v>33</v>
      </c>
      <c r="C35" s="817"/>
      <c r="D35" s="204">
        <f>2*(IF($N$1=1,$N$2,IF($N$1=2,$N$3,IF($N$1=3,$N$4,0))))*$B$109</f>
        <v>0.4</v>
      </c>
      <c r="E35" s="814">
        <v>0</v>
      </c>
      <c r="F35" s="814">
        <v>0</v>
      </c>
      <c r="G35" s="619">
        <f t="shared" si="2"/>
        <v>0.4</v>
      </c>
      <c r="H35" s="204">
        <f>2*(IF($N$1=1,$N$2,IF($N$1=2,$N$3,IF($N$1=3,$N$4,0))))*$B$109</f>
        <v>0.4</v>
      </c>
      <c r="I35" s="814">
        <v>0</v>
      </c>
      <c r="J35" s="814">
        <v>0</v>
      </c>
      <c r="K35" s="619">
        <f t="shared" si="3"/>
        <v>0.4</v>
      </c>
    </row>
    <row r="36" spans="1:17" ht="15.75" thickBot="1" x14ac:dyDescent="0.3">
      <c r="A36" s="1992"/>
      <c r="B36" s="13" t="s">
        <v>34</v>
      </c>
      <c r="C36" s="820"/>
      <c r="D36" s="457">
        <f>2*(IF($N$1=1,$N$2,IF($N$1=2,$N$3,IF($N$1=3,$N$4,0))))*$B$110</f>
        <v>0.60000000000000009</v>
      </c>
      <c r="E36" s="917">
        <v>0</v>
      </c>
      <c r="F36" s="917">
        <v>0</v>
      </c>
      <c r="G36" s="77">
        <f t="shared" si="2"/>
        <v>0.60000000000000009</v>
      </c>
      <c r="H36" s="457">
        <f>2*(IF($N$1=1,$N$2,IF($N$1=2,$N$3,IF($N$1=3,$N$4,0))))*$B$110</f>
        <v>0.60000000000000009</v>
      </c>
      <c r="I36" s="917">
        <v>0</v>
      </c>
      <c r="J36" s="917">
        <v>0</v>
      </c>
      <c r="K36" s="77">
        <f t="shared" si="3"/>
        <v>0.60000000000000009</v>
      </c>
    </row>
    <row r="37" spans="1:17" ht="16.5" thickBot="1" x14ac:dyDescent="0.3">
      <c r="A37" s="330" t="s">
        <v>11</v>
      </c>
      <c r="B37" s="329"/>
      <c r="C37" s="329"/>
      <c r="D37" s="329"/>
      <c r="E37" s="329"/>
      <c r="F37" s="327"/>
      <c r="G37" s="327"/>
      <c r="H37" s="329"/>
      <c r="I37" s="329"/>
      <c r="J37" s="327"/>
      <c r="K37" s="327"/>
    </row>
    <row r="38" spans="1:17" x14ac:dyDescent="0.25">
      <c r="A38" s="1907" t="s">
        <v>12</v>
      </c>
      <c r="B38" s="404" t="s">
        <v>32</v>
      </c>
      <c r="C38" s="324"/>
      <c r="D38" s="458">
        <f>8*(IF($N$1=1,$N$2,IF($N$1=2,$N$3,IF($N$1=3,$N$4,0))))*$B$108</f>
        <v>1.2800000000000002</v>
      </c>
      <c r="E38" s="455">
        <f>(IF($N$1=1,$N$2,IF($N$1=2,$N$3,IF($N$1=3,$N$4,0))))*$E$3*2*$B$108</f>
        <v>0</v>
      </c>
      <c r="F38" s="414">
        <f>IF($F$3&gt;0,1,0)*$B$108</f>
        <v>0</v>
      </c>
      <c r="G38" s="230">
        <f xml:space="preserve"> SUM(D38:F38) + $C38</f>
        <v>1.2800000000000002</v>
      </c>
      <c r="H38" s="458">
        <f>8*(IF($N$1=1,$N$2,IF($N$1=2,$N$3,IF($N$1=3,$N$4,0))))*$B$108</f>
        <v>1.2800000000000002</v>
      </c>
      <c r="I38" s="455">
        <f>(IF($N$1=1,$N$2,IF($N$1=2,$N$3,IF($N$1=3,$N$4,0))))*$E$3*2*$B$108</f>
        <v>0</v>
      </c>
      <c r="J38" s="414">
        <f>IF($F$3&gt;0,1,0)*$B$108</f>
        <v>0</v>
      </c>
      <c r="K38" s="230">
        <f xml:space="preserve"> SUM(H38:J38) + $C38</f>
        <v>1.2800000000000002</v>
      </c>
      <c r="L38" t="s">
        <v>191</v>
      </c>
      <c r="M38" t="s">
        <v>192</v>
      </c>
    </row>
    <row r="39" spans="1:17" x14ac:dyDescent="0.25">
      <c r="A39" s="1907"/>
      <c r="B39" s="19" t="s">
        <v>33</v>
      </c>
      <c r="C39" s="817"/>
      <c r="D39" s="225">
        <f>8*(IF($N$1=1,$N$2,IF($N$1=2,$N$3,IF($N$1=3,$N$4,0))))*$B$109</f>
        <v>1.6</v>
      </c>
      <c r="E39" s="205">
        <f>(IF($N$1=1,$N$2,IF($N$1=2,$N$3,IF($N$1=3,$N$4,0))))*$E$3*2*$B$109</f>
        <v>0</v>
      </c>
      <c r="F39" s="188">
        <f>IF($F$3&gt;0,1,0)*$B$109</f>
        <v>0</v>
      </c>
      <c r="G39" s="619">
        <f xml:space="preserve"> SUM(D39:F39) + $C39</f>
        <v>1.6</v>
      </c>
      <c r="H39" s="225">
        <f>8*(IF($N$1=1,$N$2,IF($N$1=2,$N$3,IF($N$1=3,$N$4,0))))*$B$109</f>
        <v>1.6</v>
      </c>
      <c r="I39" s="205">
        <f>(IF($N$1=1,$N$2,IF($N$1=2,$N$3,IF($N$1=3,$N$4,0))))*$E$3*2*$B$109</f>
        <v>0</v>
      </c>
      <c r="J39" s="188">
        <f>IF($F$3&gt;0,1,0)*$B$109</f>
        <v>0</v>
      </c>
      <c r="K39" s="619">
        <f xml:space="preserve"> SUM(H39:J39) + $C39</f>
        <v>1.6</v>
      </c>
      <c r="L39" t="s">
        <v>191</v>
      </c>
    </row>
    <row r="40" spans="1:17" ht="15.75" thickBot="1" x14ac:dyDescent="0.3">
      <c r="A40" s="1907"/>
      <c r="B40" s="13" t="s">
        <v>34</v>
      </c>
      <c r="C40" s="820"/>
      <c r="D40" s="459">
        <f>8*(IF($N$1=1,$N$2,IF($N$1=2,$N$3,IF($N$1=3,$N$4,0))))*$B$110</f>
        <v>2.4000000000000004</v>
      </c>
      <c r="E40" s="456">
        <f>(IF($N$1=1,$N$2,IF($N$1=2,$N$3,IF($N$1=3,$N$4,0))))*$E$3*2*$B$110</f>
        <v>0</v>
      </c>
      <c r="F40" s="416">
        <f>IF($F$3&gt;0,1,0)*$B$110</f>
        <v>0</v>
      </c>
      <c r="G40" s="77">
        <f xml:space="preserve"> SUM(D40:F40) + $C40</f>
        <v>2.4000000000000004</v>
      </c>
      <c r="H40" s="459">
        <f>8*(IF($N$1=1,$N$2,IF($N$1=2,$N$3,IF($N$1=3,$N$4,0))))*$B$110</f>
        <v>2.4000000000000004</v>
      </c>
      <c r="I40" s="456">
        <f>(IF($N$1=1,$N$2,IF($N$1=2,$N$3,IF($N$1=3,$N$4,0))))*$E$3*2*$B$110</f>
        <v>0</v>
      </c>
      <c r="J40" s="416">
        <f>IF($F$3&gt;0,1,0)*$B$110</f>
        <v>0</v>
      </c>
      <c r="K40" s="77">
        <f xml:space="preserve"> SUM(H40:J40) + $C40</f>
        <v>2.4000000000000004</v>
      </c>
      <c r="L40" t="s">
        <v>191</v>
      </c>
    </row>
    <row r="41" spans="1:17" ht="16.5" thickBot="1" x14ac:dyDescent="0.3">
      <c r="A41" s="330" t="s">
        <v>13</v>
      </c>
      <c r="B41" s="329"/>
      <c r="C41" s="329"/>
      <c r="D41" s="329"/>
      <c r="E41" s="329"/>
      <c r="F41" s="327"/>
      <c r="G41" s="327"/>
      <c r="H41" s="329"/>
      <c r="I41" s="329"/>
      <c r="J41" s="327"/>
      <c r="K41" s="327"/>
    </row>
    <row r="42" spans="1:17" x14ac:dyDescent="0.25">
      <c r="A42" s="1907" t="s">
        <v>14</v>
      </c>
      <c r="B42" s="404" t="s">
        <v>32</v>
      </c>
      <c r="C42" s="324"/>
      <c r="D42" s="460">
        <f>2*(IF($N$1=1,$N$2,IF($N$1=2,$N$3,IF($N$1=3,$N$4,0))))*$B$108</f>
        <v>0.32000000000000006</v>
      </c>
      <c r="E42" s="918">
        <v>0</v>
      </c>
      <c r="F42" s="831">
        <v>0</v>
      </c>
      <c r="G42" s="230">
        <f t="shared" ref="G42:G86" si="4" xml:space="preserve"> SUM(D42:F42) + $C42</f>
        <v>0.32000000000000006</v>
      </c>
      <c r="H42" s="460">
        <f>2*(IF($N$1=1,$N$2,IF($N$1=2,$N$3,IF($N$1=3,$N$4,0))))*$B$108</f>
        <v>0.32000000000000006</v>
      </c>
      <c r="I42" s="918">
        <v>0</v>
      </c>
      <c r="J42" s="831">
        <v>0</v>
      </c>
      <c r="K42" s="230">
        <f t="shared" ref="K42:K86" si="5" xml:space="preserve"> SUM(H42:J42) + $C42</f>
        <v>0.32000000000000006</v>
      </c>
    </row>
    <row r="43" spans="1:17" x14ac:dyDescent="0.25">
      <c r="A43" s="1907"/>
      <c r="B43" s="19" t="s">
        <v>33</v>
      </c>
      <c r="C43" s="817"/>
      <c r="D43" s="226">
        <f>2*(IF($N$1=1,$N$2,IF($N$1=2,$N$3,IF($N$1=3,$N$4,0))))*$B$109</f>
        <v>0.4</v>
      </c>
      <c r="E43" s="814">
        <v>0</v>
      </c>
      <c r="F43" s="824">
        <v>0</v>
      </c>
      <c r="G43" s="619">
        <f t="shared" si="4"/>
        <v>0.4</v>
      </c>
      <c r="H43" s="226">
        <f>2*(IF($N$1=1,$N$2,IF($N$1=2,$N$3,IF($N$1=3,$N$4,0))))*$B$109</f>
        <v>0.4</v>
      </c>
      <c r="I43" s="814">
        <v>0</v>
      </c>
      <c r="J43" s="824">
        <v>0</v>
      </c>
      <c r="K43" s="619">
        <f t="shared" si="5"/>
        <v>0.4</v>
      </c>
    </row>
    <row r="44" spans="1:17" x14ac:dyDescent="0.25">
      <c r="A44" s="1907"/>
      <c r="B44" s="19" t="s">
        <v>34</v>
      </c>
      <c r="C44" s="817"/>
      <c r="D44" s="226">
        <f>2*(IF($N$1=1,$N$2,IF($N$1=2,$N$3,IF($N$1=3,$N$4,0))))*$B$110</f>
        <v>0.60000000000000009</v>
      </c>
      <c r="E44" s="814">
        <v>0</v>
      </c>
      <c r="F44" s="824">
        <v>0</v>
      </c>
      <c r="G44" s="619">
        <f t="shared" si="4"/>
        <v>0.60000000000000009</v>
      </c>
      <c r="H44" s="226">
        <f>2*(IF($N$1=1,$N$2,IF($N$1=2,$N$3,IF($N$1=3,$N$4,0))))*$B$110</f>
        <v>0.60000000000000009</v>
      </c>
      <c r="I44" s="814">
        <v>0</v>
      </c>
      <c r="J44" s="824">
        <v>0</v>
      </c>
      <c r="K44" s="619">
        <f t="shared" si="5"/>
        <v>0.60000000000000009</v>
      </c>
    </row>
    <row r="45" spans="1:17" x14ac:dyDescent="0.25">
      <c r="A45" s="1974" t="s">
        <v>15</v>
      </c>
      <c r="B45" s="19" t="s">
        <v>32</v>
      </c>
      <c r="C45" s="817"/>
      <c r="D45" s="823">
        <v>0</v>
      </c>
      <c r="E45" s="205">
        <f>(IF($N$1=1,$N$2,IF($N$1=2,$N$3,IF($N$1=3,$N$4,0))))*$E$3*2*$B$108</f>
        <v>0</v>
      </c>
      <c r="F45" s="189">
        <f>IF($F$3&gt;0,1,0)*$B$108</f>
        <v>0</v>
      </c>
      <c r="G45" s="619">
        <f t="shared" si="4"/>
        <v>0</v>
      </c>
      <c r="H45" s="823">
        <v>0</v>
      </c>
      <c r="I45" s="205">
        <f>(IF($N$1=1,$N$2,IF($N$1=2,$N$3,IF($N$1=3,$N$4,0))))*$E$3*2*$B$108</f>
        <v>0</v>
      </c>
      <c r="J45" s="189">
        <f>IF($F$3&gt;0,1,0)*$B$108</f>
        <v>0</v>
      </c>
      <c r="K45" s="619">
        <f t="shared" si="5"/>
        <v>0</v>
      </c>
      <c r="L45" t="s">
        <v>191</v>
      </c>
      <c r="M45" s="1991" t="s">
        <v>195</v>
      </c>
      <c r="N45" s="1991"/>
      <c r="O45" s="1991"/>
      <c r="P45" s="1991"/>
      <c r="Q45" s="1991"/>
    </row>
    <row r="46" spans="1:17" x14ac:dyDescent="0.25">
      <c r="A46" s="1974"/>
      <c r="B46" s="19" t="s">
        <v>33</v>
      </c>
      <c r="C46" s="817"/>
      <c r="D46" s="823">
        <v>0</v>
      </c>
      <c r="E46" s="205">
        <f>(IF($N$1=1,$N$2,IF($N$1=2,$N$3,IF($N$1=3,$N$4,0))))*$E$3*2*$B$109</f>
        <v>0</v>
      </c>
      <c r="F46" s="189">
        <f>IF($F$3&gt;0,1,0)*$B$109</f>
        <v>0</v>
      </c>
      <c r="G46" s="619">
        <f t="shared" si="4"/>
        <v>0</v>
      </c>
      <c r="H46" s="823">
        <v>0</v>
      </c>
      <c r="I46" s="205">
        <f>(IF($N$1=1,$N$2,IF($N$1=2,$N$3,IF($N$1=3,$N$4,0))))*$E$3*2*$B$109</f>
        <v>0</v>
      </c>
      <c r="J46" s="189">
        <f>IF($F$3&gt;0,1,0)*$B$109</f>
        <v>0</v>
      </c>
      <c r="K46" s="619">
        <f t="shared" si="5"/>
        <v>0</v>
      </c>
      <c r="L46" t="s">
        <v>191</v>
      </c>
      <c r="M46" s="1991"/>
      <c r="N46" s="1991"/>
      <c r="O46" s="1991"/>
      <c r="P46" s="1991"/>
      <c r="Q46" s="1991"/>
    </row>
    <row r="47" spans="1:17" x14ac:dyDescent="0.25">
      <c r="A47" s="1974"/>
      <c r="B47" s="19" t="s">
        <v>34</v>
      </c>
      <c r="C47" s="817"/>
      <c r="D47" s="823">
        <v>0</v>
      </c>
      <c r="E47" s="205">
        <f>(IF($N$1=1,$N$2,IF($N$1=2,$N$3,IF($N$1=3,$N$4,0))))*$E$3*2*$B$110</f>
        <v>0</v>
      </c>
      <c r="F47" s="189">
        <f>IF($F$3&gt;0,1,0)*$B$110</f>
        <v>0</v>
      </c>
      <c r="G47" s="619">
        <f t="shared" si="4"/>
        <v>0</v>
      </c>
      <c r="H47" s="823">
        <v>0</v>
      </c>
      <c r="I47" s="205">
        <f>(IF($N$1=1,$N$2,IF($N$1=2,$N$3,IF($N$1=3,$N$4,0))))*$E$3*2*$B$110</f>
        <v>0</v>
      </c>
      <c r="J47" s="189">
        <f>IF($F$3&gt;0,1,0)*$B$110</f>
        <v>0</v>
      </c>
      <c r="K47" s="619">
        <f t="shared" si="5"/>
        <v>0</v>
      </c>
      <c r="L47" t="s">
        <v>191</v>
      </c>
      <c r="M47" s="1991"/>
      <c r="N47" s="1991"/>
      <c r="O47" s="1991"/>
      <c r="P47" s="1991"/>
      <c r="Q47" s="1991"/>
    </row>
    <row r="48" spans="1:17" x14ac:dyDescent="0.25">
      <c r="A48" s="1974" t="s">
        <v>16</v>
      </c>
      <c r="B48" s="19" t="s">
        <v>32</v>
      </c>
      <c r="C48" s="817"/>
      <c r="D48" s="227">
        <f>1*$D$3+(0.5*$E$3)*(IF($N$1=1,$N$2,IF($N$1=2,$N$3,IF($N$1=3,$N$4,0))))*$B$108*(1/3)</f>
        <v>0</v>
      </c>
      <c r="E48" s="814">
        <v>0</v>
      </c>
      <c r="F48" s="228">
        <f>0.5*$F$3*$B$108*(1/3)</f>
        <v>0</v>
      </c>
      <c r="G48" s="619">
        <f t="shared" si="4"/>
        <v>0</v>
      </c>
      <c r="H48" s="227">
        <f>1*$D$3+(0.5*$E$3)*(IF($N$1=1,$N$2,IF($N$1=2,$N$3,IF($N$1=3,$N$4,0))))*$B$108*(1/3)</f>
        <v>0</v>
      </c>
      <c r="I48" s="814">
        <v>0</v>
      </c>
      <c r="J48" s="228">
        <f>0.5*$F$3*$B$108*(1/3)</f>
        <v>0</v>
      </c>
      <c r="K48" s="619">
        <f t="shared" si="5"/>
        <v>0</v>
      </c>
    </row>
    <row r="49" spans="1:13" x14ac:dyDescent="0.25">
      <c r="A49" s="1974"/>
      <c r="B49" s="19" t="s">
        <v>33</v>
      </c>
      <c r="C49" s="817"/>
      <c r="D49" s="227">
        <f>1*$D$3+(0.5*$E$3)*(IF($N$1=1,$N$2,IF($N$1=2,$N$3,IF($N$1=3,$N$4,0))))*$B$109*(1/3)</f>
        <v>0</v>
      </c>
      <c r="E49" s="814">
        <v>0</v>
      </c>
      <c r="F49" s="228">
        <f>0.5*$F$3*$B$109*(1/3)</f>
        <v>0</v>
      </c>
      <c r="G49" s="619">
        <f t="shared" si="4"/>
        <v>0</v>
      </c>
      <c r="H49" s="227">
        <f>1*$D$3+(0.5*$E$3)*(IF($N$1=1,$N$2,IF($N$1=2,$N$3,IF($N$1=3,$N$4,0))))*$B$109*(1/3)</f>
        <v>0</v>
      </c>
      <c r="I49" s="814">
        <v>0</v>
      </c>
      <c r="J49" s="228">
        <f>0.5*$F$3*$B$109*(1/3)</f>
        <v>0</v>
      </c>
      <c r="K49" s="619">
        <f t="shared" si="5"/>
        <v>0</v>
      </c>
    </row>
    <row r="50" spans="1:13" x14ac:dyDescent="0.25">
      <c r="A50" s="1974"/>
      <c r="B50" s="19" t="s">
        <v>34</v>
      </c>
      <c r="C50" s="817"/>
      <c r="D50" s="227">
        <f>1*$D$3+(0.5*$E$3)*(IF($N$1=1,$N$2,IF($N$1=2,$N$3,IF($N$1=3,$N$4,0))))*$B$110*(1/3)</f>
        <v>0</v>
      </c>
      <c r="E50" s="814">
        <v>0</v>
      </c>
      <c r="F50" s="228">
        <f>0.5*$F$3*$B$110*(1/3)</f>
        <v>0</v>
      </c>
      <c r="G50" s="619">
        <f t="shared" si="4"/>
        <v>0</v>
      </c>
      <c r="H50" s="227">
        <f>1*$D$3+(0.5*$E$3)*(IF($N$1=1,$N$2,IF($N$1=2,$N$3,IF($N$1=3,$N$4,0))))*$B$110*(1/3)</f>
        <v>0</v>
      </c>
      <c r="I50" s="814">
        <v>0</v>
      </c>
      <c r="J50" s="228">
        <f>0.5*$F$3*$B$110*(1/3)</f>
        <v>0</v>
      </c>
      <c r="K50" s="619">
        <f t="shared" si="5"/>
        <v>0</v>
      </c>
    </row>
    <row r="51" spans="1:13" x14ac:dyDescent="0.25">
      <c r="A51" s="1974" t="s">
        <v>17</v>
      </c>
      <c r="B51" s="19" t="s">
        <v>32</v>
      </c>
      <c r="C51" s="817"/>
      <c r="D51" s="227">
        <f>1*$D$3+(0.5*$E$3)*(IF($N$1=1,$N$2,IF($N$1=2,$N$3,IF($N$1=3,$N$4,0))))*$B$108</f>
        <v>0</v>
      </c>
      <c r="E51" s="814">
        <v>0</v>
      </c>
      <c r="F51" s="229">
        <f>0.5*$F$3*$B$108</f>
        <v>0</v>
      </c>
      <c r="G51" s="619">
        <f t="shared" si="4"/>
        <v>0</v>
      </c>
      <c r="H51" s="227">
        <f>1*$D$3+(0.5*$E$3)*(IF($N$1=1,$N$2,IF($N$1=2,$N$3,IF($N$1=3,$N$4,0))))*$B$108</f>
        <v>0</v>
      </c>
      <c r="I51" s="814">
        <v>0</v>
      </c>
      <c r="J51" s="229">
        <f>0.5*$F$3*$B$108</f>
        <v>0</v>
      </c>
      <c r="K51" s="619">
        <f t="shared" si="5"/>
        <v>0</v>
      </c>
    </row>
    <row r="52" spans="1:13" x14ac:dyDescent="0.25">
      <c r="A52" s="1974"/>
      <c r="B52" s="19" t="s">
        <v>33</v>
      </c>
      <c r="C52" s="817"/>
      <c r="D52" s="227">
        <f>1*$D$3+(0.5*$E$3)*(IF($N$1=1,$N$2,IF($N$1=2,$N$3,IF($N$1=3,$N$4,0))))*$B$109</f>
        <v>0</v>
      </c>
      <c r="E52" s="814">
        <v>0</v>
      </c>
      <c r="F52" s="229">
        <f>0.5*$F$3*$B$109</f>
        <v>0</v>
      </c>
      <c r="G52" s="619">
        <f t="shared" si="4"/>
        <v>0</v>
      </c>
      <c r="H52" s="227">
        <f>1*$D$3+(0.5*$E$3)*(IF($N$1=1,$N$2,IF($N$1=2,$N$3,IF($N$1=3,$N$4,0))))*$B$109</f>
        <v>0</v>
      </c>
      <c r="I52" s="814">
        <v>0</v>
      </c>
      <c r="J52" s="229">
        <f>0.5*$F$3*$B$109</f>
        <v>0</v>
      </c>
      <c r="K52" s="619">
        <f t="shared" si="5"/>
        <v>0</v>
      </c>
    </row>
    <row r="53" spans="1:13" x14ac:dyDescent="0.25">
      <c r="A53" s="1974"/>
      <c r="B53" s="19" t="s">
        <v>34</v>
      </c>
      <c r="C53" s="817"/>
      <c r="D53" s="227">
        <f>1*$D$3+(0.5*$E$3)*$B$110</f>
        <v>0</v>
      </c>
      <c r="E53" s="814">
        <v>0</v>
      </c>
      <c r="F53" s="229">
        <f>0.5*$F$3*$B$110</f>
        <v>0</v>
      </c>
      <c r="G53" s="619">
        <f t="shared" si="4"/>
        <v>0</v>
      </c>
      <c r="H53" s="227">
        <f>1*$D$3+(0.5*$E$3)*$B$110</f>
        <v>0</v>
      </c>
      <c r="I53" s="814">
        <v>0</v>
      </c>
      <c r="J53" s="229">
        <f>0.5*$F$3*$B$110</f>
        <v>0</v>
      </c>
      <c r="K53" s="619">
        <f t="shared" si="5"/>
        <v>0</v>
      </c>
    </row>
    <row r="54" spans="1:13" x14ac:dyDescent="0.25">
      <c r="A54" s="1974" t="s">
        <v>194</v>
      </c>
      <c r="B54" s="19" t="s">
        <v>32</v>
      </c>
      <c r="C54" s="817"/>
      <c r="D54" s="227">
        <f>1*$D$3*(IF($N$1=1,$N$2,IF($N$1=2,$N$3,IF($N$1=3,$N$4,0))))*$B$108*(1/2)</f>
        <v>0</v>
      </c>
      <c r="E54" s="814">
        <v>0</v>
      </c>
      <c r="F54" s="824">
        <v>0</v>
      </c>
      <c r="G54" s="619">
        <f t="shared" si="4"/>
        <v>0</v>
      </c>
      <c r="H54" s="227">
        <f>1*$D$3*(IF($N$1=1,$N$2,IF($N$1=2,$N$3,IF($N$1=3,$N$4,0))))*$B$108*(1/2)</f>
        <v>0</v>
      </c>
      <c r="I54" s="814">
        <v>0</v>
      </c>
      <c r="J54" s="824">
        <v>0</v>
      </c>
      <c r="K54" s="619">
        <f t="shared" si="5"/>
        <v>0</v>
      </c>
    </row>
    <row r="55" spans="1:13" x14ac:dyDescent="0.25">
      <c r="A55" s="1974"/>
      <c r="B55" s="19" t="s">
        <v>33</v>
      </c>
      <c r="C55" s="817"/>
      <c r="D55" s="227">
        <f>1*$D$3*(IF($N$1=1,$N$2,IF($N$1=2,$N$3,IF($N$1=3,$N$4,0))))*$B$109*(1/2)</f>
        <v>0</v>
      </c>
      <c r="E55" s="814">
        <v>0</v>
      </c>
      <c r="F55" s="824">
        <v>0</v>
      </c>
      <c r="G55" s="619">
        <f t="shared" si="4"/>
        <v>0</v>
      </c>
      <c r="H55" s="227">
        <f>1*$D$3*(IF($N$1=1,$N$2,IF($N$1=2,$N$3,IF($N$1=3,$N$4,0))))*$B$109*(1/2)</f>
        <v>0</v>
      </c>
      <c r="I55" s="814">
        <v>0</v>
      </c>
      <c r="J55" s="824">
        <v>0</v>
      </c>
      <c r="K55" s="619">
        <f t="shared" si="5"/>
        <v>0</v>
      </c>
    </row>
    <row r="56" spans="1:13" x14ac:dyDescent="0.25">
      <c r="A56" s="1974"/>
      <c r="B56" s="19" t="s">
        <v>34</v>
      </c>
      <c r="C56" s="817"/>
      <c r="D56" s="227">
        <f>1*$D$3*(IF($N$1=1,$N$2,IF($N$1=2,$N$3,IF($N$1=3,$N$4,0))))*$B$110*(1/2)</f>
        <v>0</v>
      </c>
      <c r="E56" s="814">
        <v>0</v>
      </c>
      <c r="F56" s="824">
        <v>0</v>
      </c>
      <c r="G56" s="619">
        <f t="shared" si="4"/>
        <v>0</v>
      </c>
      <c r="H56" s="227">
        <f>1*$D$3*(IF($N$1=1,$N$2,IF($N$1=2,$N$3,IF($N$1=3,$N$4,0))))*$B$110*(1/2)</f>
        <v>0</v>
      </c>
      <c r="I56" s="814">
        <v>0</v>
      </c>
      <c r="J56" s="824">
        <v>0</v>
      </c>
      <c r="K56" s="619">
        <f t="shared" si="5"/>
        <v>0</v>
      </c>
    </row>
    <row r="57" spans="1:13" x14ac:dyDescent="0.25">
      <c r="A57" s="1974" t="s">
        <v>19</v>
      </c>
      <c r="B57" s="19" t="s">
        <v>32</v>
      </c>
      <c r="C57" s="817"/>
      <c r="D57" s="226">
        <f>2*(IF($N$1=1,$N$2,IF($N$1=2,$N$3,IF($N$1=3,$N$4,0))))*$B$108</f>
        <v>0.32000000000000006</v>
      </c>
      <c r="E57" s="814">
        <v>0</v>
      </c>
      <c r="F57" s="824">
        <v>0</v>
      </c>
      <c r="G57" s="619">
        <f t="shared" si="4"/>
        <v>0.32000000000000006</v>
      </c>
      <c r="H57" s="226">
        <f>2*(IF($N$1=1,$N$2,IF($N$1=2,$N$3,IF($N$1=3,$N$4,0))))*$B$108</f>
        <v>0.32000000000000006</v>
      </c>
      <c r="I57" s="814">
        <v>0</v>
      </c>
      <c r="J57" s="824">
        <v>0</v>
      </c>
      <c r="K57" s="619">
        <f t="shared" si="5"/>
        <v>0.32000000000000006</v>
      </c>
    </row>
    <row r="58" spans="1:13" x14ac:dyDescent="0.25">
      <c r="A58" s="1974"/>
      <c r="B58" s="19" t="s">
        <v>33</v>
      </c>
      <c r="C58" s="817"/>
      <c r="D58" s="226">
        <f>2*(IF($N$1=1,$N$2,IF($N$1=2,$N$3,IF($N$1=3,$N$4,0))))*$B$109</f>
        <v>0.4</v>
      </c>
      <c r="E58" s="814">
        <v>0</v>
      </c>
      <c r="F58" s="824">
        <v>0</v>
      </c>
      <c r="G58" s="619">
        <f t="shared" si="4"/>
        <v>0.4</v>
      </c>
      <c r="H58" s="226">
        <f>2*(IF($N$1=1,$N$2,IF($N$1=2,$N$3,IF($N$1=3,$N$4,0))))*$B$109</f>
        <v>0.4</v>
      </c>
      <c r="I58" s="814">
        <v>0</v>
      </c>
      <c r="J58" s="824">
        <v>0</v>
      </c>
      <c r="K58" s="619">
        <f t="shared" si="5"/>
        <v>0.4</v>
      </c>
    </row>
    <row r="59" spans="1:13" x14ac:dyDescent="0.25">
      <c r="A59" s="1974"/>
      <c r="B59" s="19" t="s">
        <v>34</v>
      </c>
      <c r="C59" s="817"/>
      <c r="D59" s="226">
        <f>2*(IF($N$1=1,$N$2,IF($N$1=2,$N$3,IF($N$1=3,$N$4,0))))*$B$110</f>
        <v>0.60000000000000009</v>
      </c>
      <c r="E59" s="814">
        <v>0</v>
      </c>
      <c r="F59" s="824">
        <v>0</v>
      </c>
      <c r="G59" s="619">
        <f t="shared" si="4"/>
        <v>0.60000000000000009</v>
      </c>
      <c r="H59" s="226">
        <f>2*(IF($N$1=1,$N$2,IF($N$1=2,$N$3,IF($N$1=3,$N$4,0))))*$B$110</f>
        <v>0.60000000000000009</v>
      </c>
      <c r="I59" s="814">
        <v>0</v>
      </c>
      <c r="J59" s="824">
        <v>0</v>
      </c>
      <c r="K59" s="619">
        <f t="shared" si="5"/>
        <v>0.60000000000000009</v>
      </c>
    </row>
    <row r="60" spans="1:13" x14ac:dyDescent="0.25">
      <c r="A60" s="1974" t="s">
        <v>20</v>
      </c>
      <c r="B60" s="19" t="s">
        <v>32</v>
      </c>
      <c r="C60" s="817"/>
      <c r="D60" s="226">
        <f>8*(IF($N$1=1,$N$2,IF($N$1=2,$N$3,IF($N$1=3,$N$4,0))))*$B$108</f>
        <v>1.2800000000000002</v>
      </c>
      <c r="E60" s="205">
        <f>(IF($N$1=1,$N$2,IF($N$1=2,$N$3,IF($N$1=3,$N$4,0))))*$E$3*3*$B$108</f>
        <v>0</v>
      </c>
      <c r="F60" s="188">
        <f>IF($F$3&gt;0,0.4,0)*$B$108</f>
        <v>0</v>
      </c>
      <c r="G60" s="619">
        <f t="shared" si="4"/>
        <v>1.2800000000000002</v>
      </c>
      <c r="H60" s="226">
        <f>8*(IF($N$1=1,$N$2,IF($N$1=2,$N$3,IF($N$1=3,$N$4,0))))*$B$108</f>
        <v>1.2800000000000002</v>
      </c>
      <c r="I60" s="205">
        <f>(IF($N$1=1,$N$2,IF($N$1=2,$N$3,IF($N$1=3,$N$4,0))))*$E$3*3*$B$108</f>
        <v>0</v>
      </c>
      <c r="J60" s="188">
        <f>IF($F$3&gt;0,0.4,0)*$B$108</f>
        <v>0</v>
      </c>
      <c r="K60" s="619">
        <f t="shared" si="5"/>
        <v>1.2800000000000002</v>
      </c>
      <c r="L60" t="s">
        <v>191</v>
      </c>
      <c r="M60" t="s">
        <v>193</v>
      </c>
    </row>
    <row r="61" spans="1:13" ht="15.75" customHeight="1" x14ac:dyDescent="0.25">
      <c r="A61" s="1974"/>
      <c r="B61" s="19" t="s">
        <v>33</v>
      </c>
      <c r="C61" s="817"/>
      <c r="D61" s="226">
        <f>8*(IF($N$1=1,$N$2,IF($N$1=2,$N$3,IF($N$1=3,$N$4,0))))*$B$109</f>
        <v>1.6</v>
      </c>
      <c r="E61" s="205">
        <f>(IF($N$1=1,$N$2,IF($N$1=2,$N$3,IF($N$1=3,$N$4,0))))*$E$3*3*$B$109</f>
        <v>0</v>
      </c>
      <c r="F61" s="188">
        <f>IF($F$3&gt;0,0.4,0)*$B$109</f>
        <v>0</v>
      </c>
      <c r="G61" s="619">
        <f t="shared" si="4"/>
        <v>1.6</v>
      </c>
      <c r="H61" s="226">
        <f>8*(IF($N$1=1,$N$2,IF($N$1=2,$N$3,IF($N$1=3,$N$4,0))))*$B$109</f>
        <v>1.6</v>
      </c>
      <c r="I61" s="205">
        <f>(IF($N$1=1,$N$2,IF($N$1=2,$N$3,IF($N$1=3,$N$4,0))))*$E$3*3*$B$109</f>
        <v>0</v>
      </c>
      <c r="J61" s="188">
        <f>IF($F$3&gt;0,0.4,0)*$B$109</f>
        <v>0</v>
      </c>
      <c r="K61" s="619">
        <f t="shared" si="5"/>
        <v>1.6</v>
      </c>
      <c r="L61" t="s">
        <v>191</v>
      </c>
    </row>
    <row r="62" spans="1:13" x14ac:dyDescent="0.25">
      <c r="A62" s="1974"/>
      <c r="B62" s="19" t="s">
        <v>34</v>
      </c>
      <c r="C62" s="817"/>
      <c r="D62" s="226">
        <f>8*(IF($N$1=1,$N$2,IF($N$1=2,$N$3,IF($N$1=3,$N$4,0))))*$B$110</f>
        <v>2.4000000000000004</v>
      </c>
      <c r="E62" s="205">
        <f>(IF($N$1=1,$N$2,IF($N$1=2,$N$3,IF($N$1=3,$N$4,0))))*$E$3*3*$B$110</f>
        <v>0</v>
      </c>
      <c r="F62" s="188">
        <f>IF($F$3&gt;0,0.4,0)*$B$110</f>
        <v>0</v>
      </c>
      <c r="G62" s="619">
        <f t="shared" si="4"/>
        <v>2.4000000000000004</v>
      </c>
      <c r="H62" s="226">
        <f>8*(IF($N$1=1,$N$2,IF($N$1=2,$N$3,IF($N$1=3,$N$4,0))))*$B$110</f>
        <v>2.4000000000000004</v>
      </c>
      <c r="I62" s="205">
        <f>(IF($N$1=1,$N$2,IF($N$1=2,$N$3,IF($N$1=3,$N$4,0))))*$E$3*3*$B$110</f>
        <v>0</v>
      </c>
      <c r="J62" s="188">
        <f>IF($F$3&gt;0,0.4,0)*$B$110</f>
        <v>0</v>
      </c>
      <c r="K62" s="619">
        <f t="shared" si="5"/>
        <v>2.4000000000000004</v>
      </c>
      <c r="L62" t="s">
        <v>191</v>
      </c>
    </row>
    <row r="63" spans="1:13" x14ac:dyDescent="0.25">
      <c r="A63" s="1974" t="s">
        <v>451</v>
      </c>
      <c r="B63" s="19" t="s">
        <v>32</v>
      </c>
      <c r="C63" s="817"/>
      <c r="D63" s="638">
        <v>0.5</v>
      </c>
      <c r="E63" s="637">
        <v>0</v>
      </c>
      <c r="F63" s="714">
        <v>0</v>
      </c>
      <c r="G63" s="619">
        <f t="shared" si="4"/>
        <v>0.5</v>
      </c>
      <c r="H63" s="638">
        <v>0.5</v>
      </c>
      <c r="I63" s="637">
        <v>0</v>
      </c>
      <c r="J63" s="714">
        <v>0</v>
      </c>
      <c r="K63" s="619">
        <f t="shared" si="5"/>
        <v>0.5</v>
      </c>
    </row>
    <row r="64" spans="1:13" x14ac:dyDescent="0.25">
      <c r="A64" s="1974"/>
      <c r="B64" s="19" t="s">
        <v>33</v>
      </c>
      <c r="C64" s="817"/>
      <c r="D64" s="638">
        <v>1</v>
      </c>
      <c r="E64" s="637">
        <v>0</v>
      </c>
      <c r="F64" s="714">
        <v>0</v>
      </c>
      <c r="G64" s="619">
        <f t="shared" si="4"/>
        <v>1</v>
      </c>
      <c r="H64" s="638">
        <v>1</v>
      </c>
      <c r="I64" s="637">
        <v>0</v>
      </c>
      <c r="J64" s="714">
        <v>0</v>
      </c>
      <c r="K64" s="619">
        <f t="shared" si="5"/>
        <v>1</v>
      </c>
    </row>
    <row r="65" spans="1:11" x14ac:dyDescent="0.25">
      <c r="A65" s="1974"/>
      <c r="B65" s="19" t="s">
        <v>34</v>
      </c>
      <c r="C65" s="817"/>
      <c r="D65" s="638">
        <v>1.5</v>
      </c>
      <c r="E65" s="637">
        <v>0</v>
      </c>
      <c r="F65" s="714">
        <v>0</v>
      </c>
      <c r="G65" s="619">
        <f t="shared" si="4"/>
        <v>1.5</v>
      </c>
      <c r="H65" s="638">
        <v>1.5</v>
      </c>
      <c r="I65" s="637">
        <v>0</v>
      </c>
      <c r="J65" s="714">
        <v>0</v>
      </c>
      <c r="K65" s="619">
        <f t="shared" si="5"/>
        <v>1.5</v>
      </c>
    </row>
    <row r="66" spans="1:11" x14ac:dyDescent="0.25">
      <c r="A66" s="1974" t="s">
        <v>452</v>
      </c>
      <c r="B66" s="19" t="s">
        <v>32</v>
      </c>
      <c r="C66" s="817"/>
      <c r="D66" s="638">
        <v>0.5</v>
      </c>
      <c r="E66" s="637">
        <v>0</v>
      </c>
      <c r="F66" s="714">
        <v>0</v>
      </c>
      <c r="G66" s="619">
        <f t="shared" si="4"/>
        <v>0.5</v>
      </c>
      <c r="H66" s="638">
        <v>0.5</v>
      </c>
      <c r="I66" s="637">
        <v>0</v>
      </c>
      <c r="J66" s="714">
        <v>0</v>
      </c>
      <c r="K66" s="619">
        <f t="shared" si="5"/>
        <v>0.5</v>
      </c>
    </row>
    <row r="67" spans="1:11" x14ac:dyDescent="0.25">
      <c r="A67" s="1974"/>
      <c r="B67" s="19" t="s">
        <v>33</v>
      </c>
      <c r="C67" s="817"/>
      <c r="D67" s="638">
        <v>1</v>
      </c>
      <c r="E67" s="637">
        <v>0</v>
      </c>
      <c r="F67" s="714">
        <v>0</v>
      </c>
      <c r="G67" s="619">
        <f t="shared" si="4"/>
        <v>1</v>
      </c>
      <c r="H67" s="638">
        <v>1</v>
      </c>
      <c r="I67" s="637">
        <v>0</v>
      </c>
      <c r="J67" s="714">
        <v>0</v>
      </c>
      <c r="K67" s="619">
        <f t="shared" si="5"/>
        <v>1</v>
      </c>
    </row>
    <row r="68" spans="1:11" x14ac:dyDescent="0.25">
      <c r="A68" s="1974"/>
      <c r="B68" s="19" t="s">
        <v>34</v>
      </c>
      <c r="C68" s="817"/>
      <c r="D68" s="638">
        <v>1.5</v>
      </c>
      <c r="E68" s="637">
        <v>0</v>
      </c>
      <c r="F68" s="714">
        <v>0</v>
      </c>
      <c r="G68" s="619">
        <f t="shared" si="4"/>
        <v>1.5</v>
      </c>
      <c r="H68" s="638">
        <v>1.5</v>
      </c>
      <c r="I68" s="637">
        <v>0</v>
      </c>
      <c r="J68" s="714">
        <v>0</v>
      </c>
      <c r="K68" s="619">
        <f t="shared" si="5"/>
        <v>1.5</v>
      </c>
    </row>
    <row r="69" spans="1:11" x14ac:dyDescent="0.25">
      <c r="A69" s="1993" t="s">
        <v>533</v>
      </c>
      <c r="B69" s="19" t="s">
        <v>32</v>
      </c>
      <c r="C69" s="817"/>
      <c r="D69" s="638">
        <v>0</v>
      </c>
      <c r="E69" s="636">
        <v>0</v>
      </c>
      <c r="F69" s="635">
        <v>0</v>
      </c>
      <c r="G69" s="619">
        <f t="shared" si="4"/>
        <v>0</v>
      </c>
      <c r="H69" s="638">
        <v>0</v>
      </c>
      <c r="I69" s="636">
        <v>0</v>
      </c>
      <c r="J69" s="635">
        <v>0</v>
      </c>
      <c r="K69" s="619">
        <f t="shared" si="5"/>
        <v>0</v>
      </c>
    </row>
    <row r="70" spans="1:11" x14ac:dyDescent="0.25">
      <c r="A70" s="1993"/>
      <c r="B70" s="19" t="s">
        <v>33</v>
      </c>
      <c r="C70" s="817"/>
      <c r="D70" s="638">
        <v>0</v>
      </c>
      <c r="E70" s="636">
        <v>0</v>
      </c>
      <c r="F70" s="635">
        <v>0</v>
      </c>
      <c r="G70" s="619">
        <f t="shared" si="4"/>
        <v>0</v>
      </c>
      <c r="H70" s="638">
        <v>0</v>
      </c>
      <c r="I70" s="636">
        <v>0</v>
      </c>
      <c r="J70" s="635">
        <v>0</v>
      </c>
      <c r="K70" s="619">
        <f t="shared" si="5"/>
        <v>0</v>
      </c>
    </row>
    <row r="71" spans="1:11" x14ac:dyDescent="0.25">
      <c r="A71" s="1993"/>
      <c r="B71" s="19" t="s">
        <v>34</v>
      </c>
      <c r="C71" s="817"/>
      <c r="D71" s="638">
        <v>0</v>
      </c>
      <c r="E71" s="636">
        <v>0</v>
      </c>
      <c r="F71" s="635">
        <v>0</v>
      </c>
      <c r="G71" s="619">
        <f t="shared" si="4"/>
        <v>0</v>
      </c>
      <c r="H71" s="638">
        <v>0</v>
      </c>
      <c r="I71" s="636">
        <v>0</v>
      </c>
      <c r="J71" s="635">
        <v>0</v>
      </c>
      <c r="K71" s="619">
        <f t="shared" si="5"/>
        <v>0</v>
      </c>
    </row>
    <row r="72" spans="1:11" x14ac:dyDescent="0.25">
      <c r="A72" s="1974" t="s">
        <v>534</v>
      </c>
      <c r="B72" s="19" t="s">
        <v>32</v>
      </c>
      <c r="C72" s="817"/>
      <c r="D72" s="638">
        <v>0</v>
      </c>
      <c r="E72" s="636">
        <v>0</v>
      </c>
      <c r="F72" s="635">
        <v>0</v>
      </c>
      <c r="G72" s="619">
        <f t="shared" si="4"/>
        <v>0</v>
      </c>
      <c r="H72" s="638">
        <v>0</v>
      </c>
      <c r="I72" s="636">
        <v>0</v>
      </c>
      <c r="J72" s="635">
        <v>0</v>
      </c>
      <c r="K72" s="619">
        <f t="shared" si="5"/>
        <v>0</v>
      </c>
    </row>
    <row r="73" spans="1:11" x14ac:dyDescent="0.25">
      <c r="A73" s="1974"/>
      <c r="B73" s="19" t="s">
        <v>33</v>
      </c>
      <c r="C73" s="817"/>
      <c r="D73" s="638">
        <v>0</v>
      </c>
      <c r="E73" s="636">
        <v>0</v>
      </c>
      <c r="F73" s="635">
        <v>0</v>
      </c>
      <c r="G73" s="619">
        <f t="shared" si="4"/>
        <v>0</v>
      </c>
      <c r="H73" s="638">
        <v>0</v>
      </c>
      <c r="I73" s="636">
        <v>0</v>
      </c>
      <c r="J73" s="635">
        <v>0</v>
      </c>
      <c r="K73" s="619">
        <f t="shared" si="5"/>
        <v>0</v>
      </c>
    </row>
    <row r="74" spans="1:11" x14ac:dyDescent="0.25">
      <c r="A74" s="1974"/>
      <c r="B74" s="19" t="s">
        <v>34</v>
      </c>
      <c r="C74" s="817"/>
      <c r="D74" s="638">
        <v>0</v>
      </c>
      <c r="E74" s="636">
        <v>0</v>
      </c>
      <c r="F74" s="635">
        <v>0</v>
      </c>
      <c r="G74" s="619">
        <f t="shared" si="4"/>
        <v>0</v>
      </c>
      <c r="H74" s="638">
        <v>0</v>
      </c>
      <c r="I74" s="636">
        <v>0</v>
      </c>
      <c r="J74" s="635">
        <v>0</v>
      </c>
      <c r="K74" s="619">
        <f t="shared" si="5"/>
        <v>0</v>
      </c>
    </row>
    <row r="75" spans="1:11" x14ac:dyDescent="0.25">
      <c r="A75" s="1974" t="s">
        <v>21</v>
      </c>
      <c r="B75" s="19" t="s">
        <v>32</v>
      </c>
      <c r="C75" s="817"/>
      <c r="D75" s="823" t="s">
        <v>90</v>
      </c>
      <c r="E75" s="821" t="s">
        <v>90</v>
      </c>
      <c r="F75" s="815" t="s">
        <v>90</v>
      </c>
      <c r="G75" s="619">
        <f t="shared" si="4"/>
        <v>0</v>
      </c>
      <c r="H75" s="823" t="s">
        <v>90</v>
      </c>
      <c r="I75" s="821" t="s">
        <v>90</v>
      </c>
      <c r="J75" s="815" t="s">
        <v>90</v>
      </c>
      <c r="K75" s="619">
        <f t="shared" si="5"/>
        <v>0</v>
      </c>
    </row>
    <row r="76" spans="1:11" x14ac:dyDescent="0.25">
      <c r="A76" s="1974"/>
      <c r="B76" s="19" t="s">
        <v>33</v>
      </c>
      <c r="C76" s="817"/>
      <c r="D76" s="823" t="s">
        <v>90</v>
      </c>
      <c r="E76" s="821" t="s">
        <v>90</v>
      </c>
      <c r="F76" s="815" t="s">
        <v>90</v>
      </c>
      <c r="G76" s="619">
        <f t="shared" si="4"/>
        <v>0</v>
      </c>
      <c r="H76" s="823" t="s">
        <v>90</v>
      </c>
      <c r="I76" s="821" t="s">
        <v>90</v>
      </c>
      <c r="J76" s="815" t="s">
        <v>90</v>
      </c>
      <c r="K76" s="619">
        <f t="shared" si="5"/>
        <v>0</v>
      </c>
    </row>
    <row r="77" spans="1:11" x14ac:dyDescent="0.25">
      <c r="A77" s="1974"/>
      <c r="B77" s="13" t="s">
        <v>34</v>
      </c>
      <c r="C77" s="820"/>
      <c r="D77" s="823" t="s">
        <v>90</v>
      </c>
      <c r="E77" s="821" t="s">
        <v>90</v>
      </c>
      <c r="F77" s="815" t="s">
        <v>90</v>
      </c>
      <c r="G77" s="619">
        <f t="shared" si="4"/>
        <v>0</v>
      </c>
      <c r="H77" s="823" t="s">
        <v>90</v>
      </c>
      <c r="I77" s="821" t="s">
        <v>90</v>
      </c>
      <c r="J77" s="815" t="s">
        <v>90</v>
      </c>
      <c r="K77" s="619">
        <f t="shared" si="5"/>
        <v>0</v>
      </c>
    </row>
    <row r="78" spans="1:11" x14ac:dyDescent="0.25">
      <c r="A78" s="1974" t="s">
        <v>181</v>
      </c>
      <c r="B78" s="19" t="s">
        <v>32</v>
      </c>
      <c r="C78" s="198"/>
      <c r="D78" s="227">
        <f>1*$D$3+(0.5*$E$3)*(IF($N$1=1,$N$2,IF($N$1=2,$N$3,IF($N$1=3,$N$4,0))))*$B$108*(1/3)</f>
        <v>0</v>
      </c>
      <c r="E78" s="814">
        <v>0</v>
      </c>
      <c r="F78" s="228">
        <f>0.5*$F$3*$B$108*(1/3)</f>
        <v>0</v>
      </c>
      <c r="G78" s="619">
        <f t="shared" si="4"/>
        <v>0</v>
      </c>
      <c r="H78" s="227">
        <f>1*$D$3+(0.5*$E$3)*(IF($N$1=1,$N$2,IF($N$1=2,$N$3,IF($N$1=3,$N$4,0))))*$B$108*(1/3)</f>
        <v>0</v>
      </c>
      <c r="I78" s="814">
        <v>0</v>
      </c>
      <c r="J78" s="228">
        <f>0.5*$F$3*$B$108*(1/3)</f>
        <v>0</v>
      </c>
      <c r="K78" s="619">
        <f t="shared" si="5"/>
        <v>0</v>
      </c>
    </row>
    <row r="79" spans="1:11" x14ac:dyDescent="0.25">
      <c r="A79" s="1974"/>
      <c r="B79" s="19" t="s">
        <v>33</v>
      </c>
      <c r="C79" s="198"/>
      <c r="D79" s="227">
        <f>1*$D$3+(0.5*$E$3)*(IF($N$1=1,$N$2,IF($N$1=2,$N$3,IF($N$1=3,$N$4,0))))*$B$109*(1/3)</f>
        <v>0</v>
      </c>
      <c r="E79" s="814">
        <v>0</v>
      </c>
      <c r="F79" s="228">
        <f>0.5*$F$3*$B$109*(1/3)</f>
        <v>0</v>
      </c>
      <c r="G79" s="619">
        <f t="shared" si="4"/>
        <v>0</v>
      </c>
      <c r="H79" s="227">
        <f>1*$D$3+(0.5*$E$3)*(IF($N$1=1,$N$2,IF($N$1=2,$N$3,IF($N$1=3,$N$4,0))))*$B$109*(1/3)</f>
        <v>0</v>
      </c>
      <c r="I79" s="814">
        <v>0</v>
      </c>
      <c r="J79" s="228">
        <f>0.5*$F$3*$B$109*(1/3)</f>
        <v>0</v>
      </c>
      <c r="K79" s="619">
        <f t="shared" si="5"/>
        <v>0</v>
      </c>
    </row>
    <row r="80" spans="1:11" x14ac:dyDescent="0.25">
      <c r="A80" s="1974"/>
      <c r="B80" s="19" t="s">
        <v>34</v>
      </c>
      <c r="C80" s="198"/>
      <c r="D80" s="227">
        <f>1*$D$3+(0.5*$E$3)*(IF($N$1=1,$N$2,IF($N$1=2,$N$3,IF($N$1=3,$N$4,0))))*$B$110*(1/3)</f>
        <v>0</v>
      </c>
      <c r="E80" s="814">
        <v>0</v>
      </c>
      <c r="F80" s="228">
        <f>0.5*$F$3*$B$110*(1/3)</f>
        <v>0</v>
      </c>
      <c r="G80" s="619">
        <f t="shared" si="4"/>
        <v>0</v>
      </c>
      <c r="H80" s="227">
        <f>1*$D$3+(0.5*$E$3)*(IF($N$1=1,$N$2,IF($N$1=2,$N$3,IF($N$1=3,$N$4,0))))*$B$110*(1/3)</f>
        <v>0</v>
      </c>
      <c r="I80" s="814">
        <v>0</v>
      </c>
      <c r="J80" s="228">
        <f>0.5*$F$3*$B$110*(1/3)</f>
        <v>0</v>
      </c>
      <c r="K80" s="619">
        <f t="shared" si="5"/>
        <v>0</v>
      </c>
    </row>
    <row r="81" spans="1:13" x14ac:dyDescent="0.25">
      <c r="A81" s="1974" t="s">
        <v>182</v>
      </c>
      <c r="B81" s="19" t="s">
        <v>32</v>
      </c>
      <c r="C81" s="198"/>
      <c r="D81" s="227">
        <f>1*$D$3+(0.5*$E$3)*(IF($N$1=1,$N$2,IF($N$1=2,$N$3,IF($N$1=3,$N$4,0))))*$B$108*(1/3)</f>
        <v>0</v>
      </c>
      <c r="E81" s="814">
        <v>0</v>
      </c>
      <c r="F81" s="228">
        <f>0.5*$F$3*$B$108*(1/3)</f>
        <v>0</v>
      </c>
      <c r="G81" s="619">
        <f t="shared" si="4"/>
        <v>0</v>
      </c>
      <c r="H81" s="227">
        <f>1*$D$3+(0.5*$E$3)*(IF($N$1=1,$N$2,IF($N$1=2,$N$3,IF($N$1=3,$N$4,0))))*$B$108*(1/3)</f>
        <v>0</v>
      </c>
      <c r="I81" s="814">
        <v>0</v>
      </c>
      <c r="J81" s="228">
        <f>0.5*$F$3*$B$108*(1/3)</f>
        <v>0</v>
      </c>
      <c r="K81" s="619">
        <f t="shared" si="5"/>
        <v>0</v>
      </c>
    </row>
    <row r="82" spans="1:13" x14ac:dyDescent="0.25">
      <c r="A82" s="1974"/>
      <c r="B82" s="19" t="s">
        <v>33</v>
      </c>
      <c r="C82" s="198"/>
      <c r="D82" s="227">
        <f>1*$D$3+(0.5*$E$3)*(IF($N$1=1,$N$2,IF($N$1=2,$N$3,IF($N$1=3,$N$4,0))))*$B$109*(1/3)</f>
        <v>0</v>
      </c>
      <c r="E82" s="814">
        <v>0</v>
      </c>
      <c r="F82" s="228">
        <f>0.5*$F$3*$B$109*(1/3)</f>
        <v>0</v>
      </c>
      <c r="G82" s="619">
        <f t="shared" si="4"/>
        <v>0</v>
      </c>
      <c r="H82" s="227">
        <f>1*$D$3+(0.5*$E$3)*(IF($N$1=1,$N$2,IF($N$1=2,$N$3,IF($N$1=3,$N$4,0))))*$B$109*(1/3)</f>
        <v>0</v>
      </c>
      <c r="I82" s="814">
        <v>0</v>
      </c>
      <c r="J82" s="228">
        <f>0.5*$F$3*$B$109*(1/3)</f>
        <v>0</v>
      </c>
      <c r="K82" s="619">
        <f t="shared" si="5"/>
        <v>0</v>
      </c>
    </row>
    <row r="83" spans="1:13" x14ac:dyDescent="0.25">
      <c r="A83" s="1974"/>
      <c r="B83" s="19" t="s">
        <v>34</v>
      </c>
      <c r="C83" s="198"/>
      <c r="D83" s="227">
        <f>1*$D$3+(0.5*$E$3)*(IF($N$1=1,$N$2,IF($N$1=2,$N$3,IF($N$1=3,$N$4,0))))*$B$110*(1/3)</f>
        <v>0</v>
      </c>
      <c r="E83" s="814">
        <v>0</v>
      </c>
      <c r="F83" s="228">
        <f>0.5*$F$3*$B$110*(1/3)</f>
        <v>0</v>
      </c>
      <c r="G83" s="619">
        <f t="shared" si="4"/>
        <v>0</v>
      </c>
      <c r="H83" s="227">
        <f>1*$D$3+(0.5*$E$3)*(IF($N$1=1,$N$2,IF($N$1=2,$N$3,IF($N$1=3,$N$4,0))))*$B$110*(1/3)</f>
        <v>0</v>
      </c>
      <c r="I83" s="814">
        <v>0</v>
      </c>
      <c r="J83" s="228">
        <f>0.5*$F$3*$B$110*(1/3)</f>
        <v>0</v>
      </c>
      <c r="K83" s="619">
        <f t="shared" si="5"/>
        <v>0</v>
      </c>
    </row>
    <row r="84" spans="1:13" x14ac:dyDescent="0.25">
      <c r="A84" s="1994" t="s">
        <v>183</v>
      </c>
      <c r="B84" s="19" t="s">
        <v>32</v>
      </c>
      <c r="C84" s="198"/>
      <c r="D84" s="825">
        <f>1*$D$3*(IF($N$1=1,$N$2,IF($N$1=2,$N$3,IF($N$1=3,$N$4,0))))*$B$108*(1/2)</f>
        <v>0</v>
      </c>
      <c r="E84" s="814">
        <v>0</v>
      </c>
      <c r="F84" s="824">
        <v>0</v>
      </c>
      <c r="G84" s="619">
        <f t="shared" si="4"/>
        <v>0</v>
      </c>
      <c r="H84" s="825">
        <f>1*$D$3*(IF($N$1=1,$N$2,IF($N$1=2,$N$3,IF($N$1=3,$N$4,0))))*$B$108*(1/2)</f>
        <v>0</v>
      </c>
      <c r="I84" s="814">
        <v>0</v>
      </c>
      <c r="J84" s="824">
        <v>0</v>
      </c>
      <c r="K84" s="619">
        <f t="shared" si="5"/>
        <v>0</v>
      </c>
    </row>
    <row r="85" spans="1:13" x14ac:dyDescent="0.25">
      <c r="A85" s="1994"/>
      <c r="B85" s="19" t="s">
        <v>33</v>
      </c>
      <c r="C85" s="198"/>
      <c r="D85" s="825">
        <f>1*$D$3*(IF($N$1=1,$N$2,IF($N$1=2,$N$3,IF($N$1=3,$N$4,0))))*$B$109*(1/2)</f>
        <v>0</v>
      </c>
      <c r="E85" s="814">
        <v>0</v>
      </c>
      <c r="F85" s="824">
        <v>0</v>
      </c>
      <c r="G85" s="619">
        <f t="shared" si="4"/>
        <v>0</v>
      </c>
      <c r="H85" s="825">
        <f>1*$D$3*(IF($N$1=1,$N$2,IF($N$1=2,$N$3,IF($N$1=3,$N$4,0))))*$B$109*(1/2)</f>
        <v>0</v>
      </c>
      <c r="I85" s="814">
        <v>0</v>
      </c>
      <c r="J85" s="824">
        <v>0</v>
      </c>
      <c r="K85" s="619">
        <f t="shared" si="5"/>
        <v>0</v>
      </c>
    </row>
    <row r="86" spans="1:13" ht="15.75" thickBot="1" x14ac:dyDescent="0.3">
      <c r="A86" s="1994"/>
      <c r="B86" s="13" t="s">
        <v>34</v>
      </c>
      <c r="C86" s="220"/>
      <c r="D86" s="836">
        <f>1*$D$3*(IF($N$1=1,$N$2,IF($N$1=2,$N$3,IF($N$1=3,$N$4,0))))*$B$110*(1/2)</f>
        <v>0</v>
      </c>
      <c r="E86" s="917">
        <v>0</v>
      </c>
      <c r="F86" s="812">
        <v>0</v>
      </c>
      <c r="G86" s="77">
        <f t="shared" si="4"/>
        <v>0</v>
      </c>
      <c r="H86" s="836">
        <f>1*$D$3*(IF($N$1=1,$N$2,IF($N$1=2,$N$3,IF($N$1=3,$N$4,0))))*$B$110*(1/2)</f>
        <v>0</v>
      </c>
      <c r="I86" s="917">
        <v>0</v>
      </c>
      <c r="J86" s="812">
        <v>0</v>
      </c>
      <c r="K86" s="77">
        <f t="shared" si="5"/>
        <v>0</v>
      </c>
    </row>
    <row r="87" spans="1:13" ht="16.5" thickBot="1" x14ac:dyDescent="0.3">
      <c r="A87" s="330" t="s">
        <v>22</v>
      </c>
      <c r="B87" s="329"/>
      <c r="C87" s="329"/>
      <c r="D87" s="329"/>
      <c r="E87" s="329"/>
      <c r="F87" s="327"/>
      <c r="G87" s="327"/>
      <c r="H87" s="329"/>
      <c r="I87" s="329"/>
      <c r="J87" s="327"/>
      <c r="K87" s="327"/>
    </row>
    <row r="88" spans="1:13" x14ac:dyDescent="0.25">
      <c r="A88" s="1907" t="s">
        <v>23</v>
      </c>
      <c r="B88" s="404" t="s">
        <v>32</v>
      </c>
      <c r="C88" s="324"/>
      <c r="D88" s="760">
        <v>0.25</v>
      </c>
      <c r="E88" s="918">
        <v>0</v>
      </c>
      <c r="F88" s="833">
        <v>0</v>
      </c>
      <c r="G88" s="230">
        <f t="shared" ref="G88:G105" si="6" xml:space="preserve"> SUM(D88:F88) + $C88</f>
        <v>0.25</v>
      </c>
      <c r="H88" s="760">
        <v>0.25</v>
      </c>
      <c r="I88" s="918">
        <v>0</v>
      </c>
      <c r="J88" s="833">
        <v>0</v>
      </c>
      <c r="K88" s="230">
        <f t="shared" ref="K88:K105" si="7" xml:space="preserve"> SUM(H88:J88) + $C88</f>
        <v>0.25</v>
      </c>
    </row>
    <row r="89" spans="1:13" x14ac:dyDescent="0.25">
      <c r="A89" s="1907"/>
      <c r="B89" s="19" t="s">
        <v>33</v>
      </c>
      <c r="C89" s="817"/>
      <c r="D89" s="760">
        <v>0.25</v>
      </c>
      <c r="E89" s="814">
        <v>0</v>
      </c>
      <c r="F89" s="819">
        <v>0</v>
      </c>
      <c r="G89" s="619">
        <f t="shared" si="6"/>
        <v>0.25</v>
      </c>
      <c r="H89" s="760">
        <v>0.25</v>
      </c>
      <c r="I89" s="814">
        <v>0</v>
      </c>
      <c r="J89" s="819">
        <v>0</v>
      </c>
      <c r="K89" s="619">
        <f t="shared" si="7"/>
        <v>0.25</v>
      </c>
    </row>
    <row r="90" spans="1:13" x14ac:dyDescent="0.25">
      <c r="A90" s="1907"/>
      <c r="B90" s="19" t="s">
        <v>34</v>
      </c>
      <c r="C90" s="817"/>
      <c r="D90" s="760">
        <v>0.25</v>
      </c>
      <c r="E90" s="814">
        <v>0</v>
      </c>
      <c r="F90" s="819">
        <v>0</v>
      </c>
      <c r="G90" s="619">
        <f t="shared" si="6"/>
        <v>0.25</v>
      </c>
      <c r="H90" s="760">
        <v>0.25</v>
      </c>
      <c r="I90" s="814">
        <v>0</v>
      </c>
      <c r="J90" s="819">
        <v>0</v>
      </c>
      <c r="K90" s="619">
        <f t="shared" si="7"/>
        <v>0.25</v>
      </c>
    </row>
    <row r="91" spans="1:13" x14ac:dyDescent="0.25">
      <c r="A91" s="1974" t="s">
        <v>24</v>
      </c>
      <c r="B91" s="19" t="s">
        <v>32</v>
      </c>
      <c r="C91" s="817"/>
      <c r="D91" s="204">
        <f>4*(IF($N$1=1,$N$2,IF($N$1=2,$N$3,IF($N$1=3,$N$4,0))))*$B$108</f>
        <v>0.64000000000000012</v>
      </c>
      <c r="E91" s="205">
        <f>(IF($N$1=1,$N$2,IF($N$1=2,$N$3,IF($N$1=3,$N$4,0))))*$E$3*$B$108</f>
        <v>0</v>
      </c>
      <c r="F91" s="184">
        <f>IF($F$3&gt;0,1,0)*$B$108</f>
        <v>0</v>
      </c>
      <c r="G91" s="619">
        <f t="shared" si="6"/>
        <v>0.64000000000000012</v>
      </c>
      <c r="H91" s="204">
        <f>4*(IF($N$1=1,$N$2,IF($N$1=2,$N$3,IF($N$1=3,$N$4,0))))*$B$108</f>
        <v>0.64000000000000012</v>
      </c>
      <c r="I91" s="205">
        <f>(IF($N$1=1,$N$2,IF($N$1=2,$N$3,IF($N$1=3,$N$4,0))))*$E$3*$B$108</f>
        <v>0</v>
      </c>
      <c r="J91" s="184">
        <f>IF($F$3&gt;0,1,0)*$B$108</f>
        <v>0</v>
      </c>
      <c r="K91" s="619">
        <f t="shared" si="7"/>
        <v>0.64000000000000012</v>
      </c>
      <c r="L91" t="s">
        <v>191</v>
      </c>
      <c r="M91" t="s">
        <v>192</v>
      </c>
    </row>
    <row r="92" spans="1:13" x14ac:dyDescent="0.25">
      <c r="A92" s="1974"/>
      <c r="B92" s="19" t="s">
        <v>33</v>
      </c>
      <c r="C92" s="817"/>
      <c r="D92" s="204">
        <f>4*(IF($N$1=1,$N$2,IF($N$1=2,$N$3,IF($N$1=3,$N$4,0))))*$B$109</f>
        <v>0.8</v>
      </c>
      <c r="E92" s="205">
        <f>(IF($N$1=1,$N$2,IF($N$1=2,$N$3,IF($N$1=3,$N$4,0))))*$E$3*$B$109</f>
        <v>0</v>
      </c>
      <c r="F92" s="184">
        <f>IF($F$3&gt;0,1,0)*$B$109</f>
        <v>0</v>
      </c>
      <c r="G92" s="619">
        <f t="shared" si="6"/>
        <v>0.8</v>
      </c>
      <c r="H92" s="204">
        <f>4*(IF($N$1=1,$N$2,IF($N$1=2,$N$3,IF($N$1=3,$N$4,0))))*$B$109</f>
        <v>0.8</v>
      </c>
      <c r="I92" s="205">
        <f>(IF($N$1=1,$N$2,IF($N$1=2,$N$3,IF($N$1=3,$N$4,0))))*$E$3*$B$109</f>
        <v>0</v>
      </c>
      <c r="J92" s="184">
        <f>IF($F$3&gt;0,1,0)*$B$109</f>
        <v>0</v>
      </c>
      <c r="K92" s="619">
        <f t="shared" si="7"/>
        <v>0.8</v>
      </c>
      <c r="L92" t="s">
        <v>191</v>
      </c>
    </row>
    <row r="93" spans="1:13" x14ac:dyDescent="0.25">
      <c r="A93" s="1974"/>
      <c r="B93" s="19" t="s">
        <v>34</v>
      </c>
      <c r="C93" s="817"/>
      <c r="D93" s="204">
        <f>4*(IF($N$1=1,$N$2,IF($N$1=2,$N$3,IF($N$1=3,$N$4,0))))*$B$110</f>
        <v>1.2000000000000002</v>
      </c>
      <c r="E93" s="205">
        <f>(IF($N$1=1,$N$2,IF($N$1=2,$N$3,IF($N$1=3,$N$4,0))))*$E$3*$B$110</f>
        <v>0</v>
      </c>
      <c r="F93" s="184">
        <f>IF($F$3&gt;0,1,0)*$B$110</f>
        <v>0</v>
      </c>
      <c r="G93" s="619">
        <f t="shared" si="6"/>
        <v>1.2000000000000002</v>
      </c>
      <c r="H93" s="204">
        <f>4*(IF($N$1=1,$N$2,IF($N$1=2,$N$3,IF($N$1=3,$N$4,0))))*$B$110</f>
        <v>1.2000000000000002</v>
      </c>
      <c r="I93" s="205">
        <f>(IF($N$1=1,$N$2,IF($N$1=2,$N$3,IF($N$1=3,$N$4,0))))*$E$3*$B$110</f>
        <v>0</v>
      </c>
      <c r="J93" s="184">
        <f>IF($F$3&gt;0,1,0)*$B$110</f>
        <v>0</v>
      </c>
      <c r="K93" s="619">
        <f t="shared" si="7"/>
        <v>1.2000000000000002</v>
      </c>
      <c r="L93" t="s">
        <v>191</v>
      </c>
    </row>
    <row r="94" spans="1:13" x14ac:dyDescent="0.25">
      <c r="A94" s="1974" t="s">
        <v>25</v>
      </c>
      <c r="B94" s="19" t="s">
        <v>32</v>
      </c>
      <c r="C94" s="817"/>
      <c r="D94" s="204">
        <f>4*(IF($N$1=1,$N$2,IF($N$1=2,$N$3,IF($N$1=3,$N$4,0))))*$B$108</f>
        <v>0.64000000000000012</v>
      </c>
      <c r="E94" s="205">
        <f>(IF($N$1=1,$N$2,IF($N$1=2,$N$3,IF($N$1=3,$N$4,0))))*$E$3*$B$108</f>
        <v>0</v>
      </c>
      <c r="F94" s="184">
        <f>IF($F$3&gt;0,1,0)*$B$108</f>
        <v>0</v>
      </c>
      <c r="G94" s="619">
        <f t="shared" si="6"/>
        <v>0.64000000000000012</v>
      </c>
      <c r="H94" s="204">
        <f>4*(IF($N$1=1,$N$2,IF($N$1=2,$N$3,IF($N$1=3,$N$4,0))))*$B$108</f>
        <v>0.64000000000000012</v>
      </c>
      <c r="I94" s="205">
        <f>(IF($N$1=1,$N$2,IF($N$1=2,$N$3,IF($N$1=3,$N$4,0))))*$E$3*$B$108</f>
        <v>0</v>
      </c>
      <c r="J94" s="184">
        <f>IF($F$3&gt;0,1,0)*$B$108</f>
        <v>0</v>
      </c>
      <c r="K94" s="619">
        <f t="shared" si="7"/>
        <v>0.64000000000000012</v>
      </c>
      <c r="L94" t="s">
        <v>191</v>
      </c>
      <c r="M94" t="s">
        <v>192</v>
      </c>
    </row>
    <row r="95" spans="1:13" x14ac:dyDescent="0.25">
      <c r="A95" s="1974"/>
      <c r="B95" s="19" t="s">
        <v>33</v>
      </c>
      <c r="C95" s="817"/>
      <c r="D95" s="204">
        <f>4*(IF($N$1=1,$N$2,IF($N$1=2,$N$3,IF($N$1=3,$N$4,0))))*$B$109</f>
        <v>0.8</v>
      </c>
      <c r="E95" s="205">
        <f>(IF($N$1=1,$N$2,IF($N$1=2,$N$3,IF($N$1=3,$N$4,0))))*$E$3*$B$109</f>
        <v>0</v>
      </c>
      <c r="F95" s="184">
        <f>IF($F$3&gt;0,1,0)*$B$109</f>
        <v>0</v>
      </c>
      <c r="G95" s="619">
        <f t="shared" si="6"/>
        <v>0.8</v>
      </c>
      <c r="H95" s="204">
        <f>4*(IF($N$1=1,$N$2,IF($N$1=2,$N$3,IF($N$1=3,$N$4,0))))*$B$109</f>
        <v>0.8</v>
      </c>
      <c r="I95" s="205">
        <f>(IF($N$1=1,$N$2,IF($N$1=2,$N$3,IF($N$1=3,$N$4,0))))*$E$3*$B$109</f>
        <v>0</v>
      </c>
      <c r="J95" s="184">
        <f>IF($F$3&gt;0,1,0)*$B$109</f>
        <v>0</v>
      </c>
      <c r="K95" s="619">
        <f t="shared" si="7"/>
        <v>0.8</v>
      </c>
      <c r="L95" t="s">
        <v>191</v>
      </c>
    </row>
    <row r="96" spans="1:13" x14ac:dyDescent="0.25">
      <c r="A96" s="1974"/>
      <c r="B96" s="19" t="s">
        <v>34</v>
      </c>
      <c r="C96" s="817"/>
      <c r="D96" s="204">
        <f>4*(IF($N$1=1,$N$2,IF($N$1=2,$N$3,IF($N$1=3,$N$4,0))))*$B$110</f>
        <v>1.2000000000000002</v>
      </c>
      <c r="E96" s="205">
        <f>(IF($N$1=1,$N$2,IF($N$1=2,$N$3,IF($N$1=3,$N$4,0))))*$E$3*$B$110</f>
        <v>0</v>
      </c>
      <c r="F96" s="184">
        <f>IF($F$3&gt;0,1,0)*$B$110</f>
        <v>0</v>
      </c>
      <c r="G96" s="619">
        <f t="shared" si="6"/>
        <v>1.2000000000000002</v>
      </c>
      <c r="H96" s="204">
        <f>4*(IF($N$1=1,$N$2,IF($N$1=2,$N$3,IF($N$1=3,$N$4,0))))*$B$110</f>
        <v>1.2000000000000002</v>
      </c>
      <c r="I96" s="205">
        <f>(IF($N$1=1,$N$2,IF($N$1=2,$N$3,IF($N$1=3,$N$4,0))))*$E$3*$B$110</f>
        <v>0</v>
      </c>
      <c r="J96" s="184">
        <f>IF($F$3&gt;0,1,0)*$B$110</f>
        <v>0</v>
      </c>
      <c r="K96" s="619">
        <f t="shared" si="7"/>
        <v>1.2000000000000002</v>
      </c>
      <c r="L96" t="s">
        <v>191</v>
      </c>
    </row>
    <row r="97" spans="1:20" x14ac:dyDescent="0.25">
      <c r="A97" s="1974" t="s">
        <v>26</v>
      </c>
      <c r="B97" s="19" t="s">
        <v>32</v>
      </c>
      <c r="C97" s="817"/>
      <c r="D97" s="747">
        <f>4+(0.5*$D$3)*(IF($N$1=1,$N$2,IF($N$1=2,$N$3,IF($N$1=3,$N$4,0))))*$B$108</f>
        <v>4</v>
      </c>
      <c r="E97" s="821">
        <v>0</v>
      </c>
      <c r="F97" s="184">
        <f>IF($F$3&gt;0,1,0)*$B$108</f>
        <v>0</v>
      </c>
      <c r="G97" s="619">
        <f t="shared" si="6"/>
        <v>4</v>
      </c>
      <c r="H97" s="747">
        <f>4+(0.5*$D$3)*(IF($N$1=1,$N$2,IF($N$1=2,$N$3,IF($N$1=3,$N$4,0))))*$B$108</f>
        <v>4</v>
      </c>
      <c r="I97" s="821">
        <v>0</v>
      </c>
      <c r="J97" s="184">
        <f>IF($F$3&gt;0,1,0)*$B$108</f>
        <v>0</v>
      </c>
      <c r="K97" s="619">
        <f t="shared" si="7"/>
        <v>4</v>
      </c>
      <c r="L97" t="s">
        <v>191</v>
      </c>
      <c r="M97" t="s">
        <v>192</v>
      </c>
    </row>
    <row r="98" spans="1:20" x14ac:dyDescent="0.25">
      <c r="A98" s="1974"/>
      <c r="B98" s="19" t="s">
        <v>33</v>
      </c>
      <c r="C98" s="817"/>
      <c r="D98" s="747">
        <f>4+(0.5*$D$3)*(IF($N$1=1,$N$2,IF($N$1=2,$N$3,IF($N$1=3,$N$4,0))))*$B$109</f>
        <v>4</v>
      </c>
      <c r="E98" s="821">
        <v>0</v>
      </c>
      <c r="F98" s="184">
        <f>IF($F$3&gt;0,1,0)*$B$109</f>
        <v>0</v>
      </c>
      <c r="G98" s="619">
        <f t="shared" si="6"/>
        <v>4</v>
      </c>
      <c r="H98" s="747">
        <f>4+(0.5*$D$3)*(IF($N$1=1,$N$2,IF($N$1=2,$N$3,IF($N$1=3,$N$4,0))))*$B$109</f>
        <v>4</v>
      </c>
      <c r="I98" s="821">
        <v>0</v>
      </c>
      <c r="J98" s="184">
        <f>IF($F$3&gt;0,1,0)*$B$109</f>
        <v>0</v>
      </c>
      <c r="K98" s="619">
        <f t="shared" si="7"/>
        <v>4</v>
      </c>
      <c r="L98" t="s">
        <v>191</v>
      </c>
    </row>
    <row r="99" spans="1:20" x14ac:dyDescent="0.25">
      <c r="A99" s="1974"/>
      <c r="B99" s="19" t="s">
        <v>34</v>
      </c>
      <c r="C99" s="817"/>
      <c r="D99" s="747">
        <f>4+(0.5*$D$3)*(IF($N$1=1,$N$2,IF($N$1=2,$N$3,IF($N$1=3,$N$4,0))))*$B$110</f>
        <v>4</v>
      </c>
      <c r="E99" s="821">
        <v>0</v>
      </c>
      <c r="F99" s="184">
        <f>IF($F$3&gt;0,1,0)*$B$110</f>
        <v>0</v>
      </c>
      <c r="G99" s="619">
        <f t="shared" si="6"/>
        <v>4</v>
      </c>
      <c r="H99" s="747">
        <f>4+(0.5*$D$3)*(IF($N$1=1,$N$2,IF($N$1=2,$N$3,IF($N$1=3,$N$4,0))))*$B$110</f>
        <v>4</v>
      </c>
      <c r="I99" s="821">
        <v>0</v>
      </c>
      <c r="J99" s="184">
        <f>IF($F$3&gt;0,1,0)*$B$110</f>
        <v>0</v>
      </c>
      <c r="K99" s="619">
        <f t="shared" si="7"/>
        <v>4</v>
      </c>
      <c r="L99" t="s">
        <v>191</v>
      </c>
    </row>
    <row r="100" spans="1:20" x14ac:dyDescent="0.25">
      <c r="A100" s="1974" t="s">
        <v>27</v>
      </c>
      <c r="B100" s="19" t="s">
        <v>32</v>
      </c>
      <c r="C100" s="817"/>
      <c r="D100" s="747">
        <f>2+(0.5*$D$3)*(IF($N$1=1,$N$2,IF($N$1=2,$N$3,IF($N$1=3,$N$4,0))))*$B$108</f>
        <v>2</v>
      </c>
      <c r="E100" s="821">
        <v>0</v>
      </c>
      <c r="F100" s="821">
        <v>0</v>
      </c>
      <c r="G100" s="619">
        <f t="shared" si="6"/>
        <v>2</v>
      </c>
      <c r="H100" s="747">
        <f>2+(0.5*$D$3)*(IF($N$1=1,$N$2,IF($N$1=2,$N$3,IF($N$1=3,$N$4,0))))*$B$108</f>
        <v>2</v>
      </c>
      <c r="I100" s="821">
        <v>0</v>
      </c>
      <c r="J100" s="821">
        <v>0</v>
      </c>
      <c r="K100" s="619">
        <f t="shared" si="7"/>
        <v>2</v>
      </c>
    </row>
    <row r="101" spans="1:20" x14ac:dyDescent="0.25">
      <c r="A101" s="1974"/>
      <c r="B101" s="19" t="s">
        <v>33</v>
      </c>
      <c r="C101" s="817"/>
      <c r="D101" s="747">
        <f>2+(0.5*$D$3)*(IF($N$1=1,$N$2,IF($N$1=2,$N$3,IF($N$1=3,$N$4,0))))*$B$109</f>
        <v>2</v>
      </c>
      <c r="E101" s="821">
        <v>0</v>
      </c>
      <c r="F101" s="821">
        <v>0</v>
      </c>
      <c r="G101" s="619">
        <f t="shared" si="6"/>
        <v>2</v>
      </c>
      <c r="H101" s="747">
        <f>2+(0.5*$D$3)*(IF($N$1=1,$N$2,IF($N$1=2,$N$3,IF($N$1=3,$N$4,0))))*$B$109</f>
        <v>2</v>
      </c>
      <c r="I101" s="821">
        <v>0</v>
      </c>
      <c r="J101" s="821">
        <v>0</v>
      </c>
      <c r="K101" s="619">
        <f t="shared" si="7"/>
        <v>2</v>
      </c>
    </row>
    <row r="102" spans="1:20" x14ac:dyDescent="0.25">
      <c r="A102" s="1974"/>
      <c r="B102" s="19" t="s">
        <v>34</v>
      </c>
      <c r="C102" s="817"/>
      <c r="D102" s="747">
        <f>2+(0.5*$D$3)*(IF($N$1=1,$N$2,IF($N$1=2,$N$3,IF($N$1=3,$N$4,0))))*$B$110</f>
        <v>2</v>
      </c>
      <c r="E102" s="821">
        <v>0</v>
      </c>
      <c r="F102" s="821">
        <v>0</v>
      </c>
      <c r="G102" s="619">
        <f t="shared" si="6"/>
        <v>2</v>
      </c>
      <c r="H102" s="747">
        <f>2+(0.5*$D$3)*(IF($N$1=1,$N$2,IF($N$1=2,$N$3,IF($N$1=3,$N$4,0))))*$B$110</f>
        <v>2</v>
      </c>
      <c r="I102" s="821">
        <v>0</v>
      </c>
      <c r="J102" s="821">
        <v>0</v>
      </c>
      <c r="K102" s="619">
        <f t="shared" si="7"/>
        <v>2</v>
      </c>
    </row>
    <row r="103" spans="1:20" x14ac:dyDescent="0.25">
      <c r="A103" s="1907" t="s">
        <v>28</v>
      </c>
      <c r="B103" s="19" t="s">
        <v>32</v>
      </c>
      <c r="C103" s="817"/>
      <c r="D103" s="204">
        <f>3*(IF($N$1=1,$N$2,IF($N$1=2,$N$3,IF($N$1=3,$N$4,0))))*$B$108</f>
        <v>0.48000000000000009</v>
      </c>
      <c r="E103" s="203">
        <f>(IF($N$1=1,$N$2,IF($N$1=2,$N$3,IF($N$1=3,$N$4,0))))*$E$3*$B$108</f>
        <v>0</v>
      </c>
      <c r="F103" s="821">
        <v>0</v>
      </c>
      <c r="G103" s="619">
        <f t="shared" si="6"/>
        <v>0.48000000000000009</v>
      </c>
      <c r="H103" s="204">
        <f>3*(IF($N$1=1,$N$2,IF($N$1=2,$N$3,IF($N$1=3,$N$4,0))))*$B$108</f>
        <v>0.48000000000000009</v>
      </c>
      <c r="I103" s="203">
        <f>(IF($N$1=1,$N$2,IF($N$1=2,$N$3,IF($N$1=3,$N$4,0))))*$E$3*$B$108</f>
        <v>0</v>
      </c>
      <c r="J103" s="821">
        <v>0</v>
      </c>
      <c r="K103" s="619">
        <f t="shared" si="7"/>
        <v>0.48000000000000009</v>
      </c>
    </row>
    <row r="104" spans="1:20" x14ac:dyDescent="0.25">
      <c r="A104" s="1907"/>
      <c r="B104" s="19" t="s">
        <v>33</v>
      </c>
      <c r="C104" s="817"/>
      <c r="D104" s="204">
        <f>3*(IF($N$1=1,$N$2,IF($N$1=2,$N$3,IF($N$1=3,$N$4,0))))*$B$109</f>
        <v>0.60000000000000009</v>
      </c>
      <c r="E104" s="203">
        <f>(IF($N$1=1,$N$2,IF($N$1=2,$N$3,IF($N$1=3,$N$4,0))))*$E$3*$B$109</f>
        <v>0</v>
      </c>
      <c r="F104" s="821">
        <v>0</v>
      </c>
      <c r="G104" s="619">
        <f t="shared" si="6"/>
        <v>0.60000000000000009</v>
      </c>
      <c r="H104" s="204">
        <f>3*(IF($N$1=1,$N$2,IF($N$1=2,$N$3,IF($N$1=3,$N$4,0))))*$B$109</f>
        <v>0.60000000000000009</v>
      </c>
      <c r="I104" s="203">
        <f>(IF($N$1=1,$N$2,IF($N$1=2,$N$3,IF($N$1=3,$N$4,0))))*$E$3*$B$109</f>
        <v>0</v>
      </c>
      <c r="J104" s="821">
        <v>0</v>
      </c>
      <c r="K104" s="619">
        <f t="shared" si="7"/>
        <v>0.60000000000000009</v>
      </c>
    </row>
    <row r="105" spans="1:20" ht="15.75" thickBot="1" x14ac:dyDescent="0.3">
      <c r="A105" s="1975"/>
      <c r="B105" s="20" t="s">
        <v>34</v>
      </c>
      <c r="C105" s="818"/>
      <c r="D105" s="464">
        <f>3*(IF($N$1=1,$N$2,IF($N$1=2,$N$3,IF($N$1=3,$N$4,0))))*$B$110</f>
        <v>0.90000000000000013</v>
      </c>
      <c r="E105" s="463">
        <f>(IF($N$1=1,$N$2,IF($N$1=2,$N$3,IF($N$1=3,$N$4,0))))*$E$3*$B$110</f>
        <v>0</v>
      </c>
      <c r="F105" s="829">
        <v>0</v>
      </c>
      <c r="G105" s="622">
        <f t="shared" si="6"/>
        <v>0.90000000000000013</v>
      </c>
      <c r="H105" s="464">
        <f>3*(IF($N$1=1,$N$2,IF($N$1=2,$N$3,IF($N$1=3,$N$4,0))))*$B$110</f>
        <v>0.90000000000000013</v>
      </c>
      <c r="I105" s="463">
        <f>(IF($N$1=1,$N$2,IF($N$1=2,$N$3,IF($N$1=3,$N$4,0))))*$E$3*$B$110</f>
        <v>0</v>
      </c>
      <c r="J105" s="829">
        <v>0</v>
      </c>
      <c r="K105" s="622">
        <f t="shared" si="7"/>
        <v>0.90000000000000013</v>
      </c>
    </row>
    <row r="106" spans="1:20" x14ac:dyDescent="0.25">
      <c r="G106" s="83"/>
      <c r="H106" s="83"/>
      <c r="I106" s="83"/>
      <c r="J106" s="83"/>
      <c r="K106" s="83"/>
      <c r="L106" s="83"/>
      <c r="M106" s="83"/>
      <c r="N106" s="83"/>
      <c r="O106" s="83"/>
      <c r="P106" s="83"/>
      <c r="Q106" s="83"/>
      <c r="R106" s="83"/>
      <c r="S106" s="83"/>
    </row>
    <row r="107" spans="1:20" x14ac:dyDescent="0.25">
      <c r="A107" s="125" t="s">
        <v>89</v>
      </c>
      <c r="B107" s="7" t="s">
        <v>73</v>
      </c>
      <c r="G107" s="83"/>
      <c r="H107" s="83"/>
      <c r="I107" s="83"/>
      <c r="J107" s="83"/>
      <c r="K107" s="83"/>
      <c r="L107" s="83"/>
      <c r="M107" s="83"/>
      <c r="N107" s="83"/>
      <c r="O107" s="83"/>
      <c r="P107" s="83"/>
      <c r="Q107" s="83"/>
      <c r="R107" s="83"/>
      <c r="S107" s="83"/>
      <c r="T107" s="202" t="s">
        <v>190</v>
      </c>
    </row>
    <row r="108" spans="1:20" x14ac:dyDescent="0.25">
      <c r="B108" s="7">
        <v>0.8</v>
      </c>
      <c r="C108" t="s">
        <v>189</v>
      </c>
      <c r="D108" s="54">
        <f t="shared" ref="D108:F110" si="8">(D8+D12+D16+D19+D22+D25+D28+D31+D34+D38+D42+D45+D48+D51+D54+D57+D60+D88+D91+D94+D97+D100+D103)</f>
        <v>19.940000000000005</v>
      </c>
      <c r="E108" s="54">
        <f t="shared" si="8"/>
        <v>0</v>
      </c>
      <c r="F108" s="54">
        <f t="shared" si="8"/>
        <v>0</v>
      </c>
      <c r="T108" s="202">
        <f>(D108+E108+F108)/8</f>
        <v>2.4925000000000006</v>
      </c>
    </row>
    <row r="109" spans="1:20" x14ac:dyDescent="0.25">
      <c r="B109" s="7">
        <v>1</v>
      </c>
      <c r="C109" t="s">
        <v>188</v>
      </c>
      <c r="D109" s="54">
        <f t="shared" si="8"/>
        <v>22.500000000000004</v>
      </c>
      <c r="E109" s="54">
        <f t="shared" si="8"/>
        <v>0</v>
      </c>
      <c r="F109" s="54">
        <f t="shared" si="8"/>
        <v>0</v>
      </c>
      <c r="T109" s="202">
        <f>(D109+E109+F109)/8</f>
        <v>2.8125000000000004</v>
      </c>
    </row>
    <row r="110" spans="1:20" x14ac:dyDescent="0.25">
      <c r="B110" s="7">
        <v>1.5</v>
      </c>
      <c r="C110" t="s">
        <v>187</v>
      </c>
      <c r="D110" s="54">
        <f t="shared" si="8"/>
        <v>28.9</v>
      </c>
      <c r="E110" s="54">
        <f t="shared" si="8"/>
        <v>0</v>
      </c>
      <c r="F110" s="54">
        <f t="shared" si="8"/>
        <v>0</v>
      </c>
      <c r="T110" s="202">
        <f>(D110+E110+F110)/8</f>
        <v>3.6124999999999998</v>
      </c>
    </row>
  </sheetData>
  <mergeCells count="40">
    <mergeCell ref="A103:A105"/>
    <mergeCell ref="A69:A71"/>
    <mergeCell ref="A72:A74"/>
    <mergeCell ref="A75:A77"/>
    <mergeCell ref="A78:A80"/>
    <mergeCell ref="A81:A83"/>
    <mergeCell ref="A84:A86"/>
    <mergeCell ref="A88:A90"/>
    <mergeCell ref="A91:A93"/>
    <mergeCell ref="A94:A96"/>
    <mergeCell ref="A97:A99"/>
    <mergeCell ref="A100:A102"/>
    <mergeCell ref="A66:A68"/>
    <mergeCell ref="A34:A36"/>
    <mergeCell ref="A38:A40"/>
    <mergeCell ref="A42:A44"/>
    <mergeCell ref="A45:A47"/>
    <mergeCell ref="A51:A53"/>
    <mergeCell ref="A54:A56"/>
    <mergeCell ref="A57:A59"/>
    <mergeCell ref="A60:A62"/>
    <mergeCell ref="A63:A65"/>
    <mergeCell ref="M45:Q47"/>
    <mergeCell ref="A48:A50"/>
    <mergeCell ref="A19:A21"/>
    <mergeCell ref="A22:A24"/>
    <mergeCell ref="A25:A27"/>
    <mergeCell ref="A28:A30"/>
    <mergeCell ref="M28:Q30"/>
    <mergeCell ref="A31:A33"/>
    <mergeCell ref="A5:A7"/>
    <mergeCell ref="A8:A10"/>
    <mergeCell ref="A12:A14"/>
    <mergeCell ref="M12:Q14"/>
    <mergeCell ref="A16:A18"/>
    <mergeCell ref="D1:G1"/>
    <mergeCell ref="H1:K1"/>
    <mergeCell ref="C2:C3"/>
    <mergeCell ref="G2:G3"/>
    <mergeCell ref="K2:K3"/>
  </mergeCells>
  <dataValidations disablePrompts="1" count="1">
    <dataValidation type="list" allowBlank="1" showInputMessage="1" showErrorMessage="1" sqref="N1" xr:uid="{00000000-0002-0000-1400-000000000000}">
      <formula1>$L$2:$L$4</formula1>
    </dataValidation>
  </dataValidation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6"/>
  <dimension ref="A1:V110"/>
  <sheetViews>
    <sheetView zoomScale="55" zoomScaleNormal="55" workbookViewId="0">
      <pane ySplit="1" topLeftCell="A2" activePane="bottomLeft" state="frozen"/>
      <selection pane="bottomLeft" activeCell="N29" sqref="N29"/>
    </sheetView>
  </sheetViews>
  <sheetFormatPr defaultRowHeight="15" x14ac:dyDescent="0.25"/>
  <cols>
    <col min="1" max="1" width="53.42578125" bestFit="1" customWidth="1"/>
    <col min="2" max="2" width="23.5703125" bestFit="1" customWidth="1"/>
    <col min="4" max="4" width="35.5703125" customWidth="1"/>
    <col min="5" max="5" width="26.42578125" customWidth="1"/>
    <col min="6" max="6" width="19" bestFit="1" customWidth="1"/>
    <col min="7" max="7" width="7.5703125" bestFit="1" customWidth="1"/>
    <col min="8" max="10" width="28.42578125" customWidth="1"/>
    <col min="11" max="11" width="11" customWidth="1"/>
    <col min="12" max="14" width="28.42578125" customWidth="1"/>
    <col min="15" max="15" width="10.42578125" customWidth="1"/>
    <col min="17" max="17" width="53.7109375" customWidth="1"/>
  </cols>
  <sheetData>
    <row r="1" spans="1:22" ht="15" customHeight="1" thickBot="1" x14ac:dyDescent="0.3">
      <c r="A1" s="465" t="s">
        <v>91</v>
      </c>
      <c r="B1" s="35"/>
      <c r="C1" s="43"/>
      <c r="D1" s="1939" t="s">
        <v>376</v>
      </c>
      <c r="E1" s="1940"/>
      <c r="F1" s="1940"/>
      <c r="G1" s="1941"/>
      <c r="H1" s="1939" t="s">
        <v>379</v>
      </c>
      <c r="I1" s="1940"/>
      <c r="J1" s="1940"/>
      <c r="K1" s="1941"/>
      <c r="L1" s="1939" t="s">
        <v>284</v>
      </c>
      <c r="M1" s="1940"/>
      <c r="N1" s="1940"/>
      <c r="O1" s="1941"/>
      <c r="R1" s="208">
        <v>3</v>
      </c>
    </row>
    <row r="2" spans="1:22" ht="15.75" x14ac:dyDescent="0.25">
      <c r="B2" s="41" t="s">
        <v>37</v>
      </c>
      <c r="C2" s="1945" t="s">
        <v>35</v>
      </c>
      <c r="D2" s="36" t="s">
        <v>96</v>
      </c>
      <c r="E2" s="10" t="s">
        <v>97</v>
      </c>
      <c r="F2" s="10" t="s">
        <v>202</v>
      </c>
      <c r="G2" s="1978" t="s">
        <v>38</v>
      </c>
      <c r="H2" s="36" t="s">
        <v>96</v>
      </c>
      <c r="I2" s="10" t="s">
        <v>97</v>
      </c>
      <c r="J2" s="10" t="s">
        <v>202</v>
      </c>
      <c r="K2" s="1942" t="s">
        <v>38</v>
      </c>
      <c r="L2" s="36" t="s">
        <v>96</v>
      </c>
      <c r="M2" s="10" t="s">
        <v>97</v>
      </c>
      <c r="N2" s="10" t="s">
        <v>202</v>
      </c>
      <c r="O2" s="1942" t="s">
        <v>38</v>
      </c>
      <c r="P2" s="207">
        <v>1</v>
      </c>
      <c r="Q2" t="s">
        <v>201</v>
      </c>
      <c r="R2" s="54">
        <v>0.2</v>
      </c>
    </row>
    <row r="3" spans="1:22" ht="16.5" thickBot="1" x14ac:dyDescent="0.3">
      <c r="A3" s="12" t="s">
        <v>36</v>
      </c>
      <c r="B3" s="42">
        <v>2</v>
      </c>
      <c r="C3" s="1946"/>
      <c r="D3" s="40">
        <f>INDEX(ТрЗ_ОП!$P$11:$P$102,MATCH(D2,ТрЗ_ОП!$O$11:$O$102,0))</f>
        <v>0</v>
      </c>
      <c r="E3" s="40">
        <f>INDEX(ТрЗ_ОП!$P$11:$P$102,MATCH(E2,ТрЗ_ОП!$O$11:$O$102,0))</f>
        <v>0</v>
      </c>
      <c r="F3" s="40">
        <f>INDEX(ТрЗ_ОП!$P$11:$P$102,MATCH(F2,ТрЗ_ОП!$O$11:$O$102,0))</f>
        <v>0</v>
      </c>
      <c r="G3" s="1979"/>
      <c r="H3" s="40">
        <f>INDEX(ТрЗ_ОП!$P$11:$P$102,MATCH(H2,ТрЗ_ОП!$O$11:$O$102,0))</f>
        <v>0</v>
      </c>
      <c r="I3" s="40">
        <f>INDEX(ТрЗ_ОП!$P$11:$P$102,MATCH(I2,ТрЗ_ОП!$O$11:$O$102,0))</f>
        <v>0</v>
      </c>
      <c r="J3" s="40">
        <f>INDEX(ТрЗ_ОП!$P$11:$P$102,MATCH(J2,ТрЗ_ОП!$O$11:$O$102,0))</f>
        <v>0</v>
      </c>
      <c r="K3" s="1942"/>
      <c r="L3" s="40">
        <f>INDEX(ТрЗ_ОП!$P$11:$P$102,MATCH(L2,ТрЗ_ОП!$O$11:$O$102,0))</f>
        <v>0</v>
      </c>
      <c r="M3" s="40">
        <f>INDEX(ТрЗ_ОП!$P$11:$P$102,MATCH(M2,ТрЗ_ОП!$O$11:$O$102,0))</f>
        <v>0</v>
      </c>
      <c r="N3" s="40">
        <f>INDEX(ТрЗ_ОП!$P$11:$P$102,MATCH(N2,ТрЗ_ОП!$O$11:$O$102,0))</f>
        <v>0</v>
      </c>
      <c r="O3" s="1942"/>
      <c r="P3" s="207">
        <v>2</v>
      </c>
      <c r="Q3" t="s">
        <v>200</v>
      </c>
      <c r="R3" s="54">
        <v>0.5</v>
      </c>
    </row>
    <row r="4" spans="1:22" ht="16.5" thickBot="1" x14ac:dyDescent="0.3">
      <c r="A4" s="326" t="s">
        <v>448</v>
      </c>
      <c r="B4" s="327"/>
      <c r="C4" s="327"/>
      <c r="D4" s="327"/>
      <c r="E4" s="327"/>
      <c r="F4" s="327"/>
      <c r="G4" s="327"/>
      <c r="H4" s="327"/>
      <c r="I4" s="327"/>
      <c r="J4" s="327"/>
      <c r="K4" s="327"/>
      <c r="L4" s="327"/>
      <c r="M4" s="327"/>
      <c r="N4" s="327"/>
      <c r="O4" s="396"/>
      <c r="P4" s="207">
        <v>3</v>
      </c>
      <c r="Q4" t="s">
        <v>199</v>
      </c>
      <c r="R4" s="54">
        <f>IF(E3&gt;1,1,0.2)</f>
        <v>0.2</v>
      </c>
      <c r="S4" t="s">
        <v>198</v>
      </c>
    </row>
    <row r="5" spans="1:22" x14ac:dyDescent="0.25">
      <c r="A5" s="1907" t="s">
        <v>0</v>
      </c>
      <c r="B5" s="404" t="s">
        <v>32</v>
      </c>
      <c r="C5" s="324"/>
      <c r="D5" s="455">
        <f>6*(IF($R$1=1,$R$2,IF($R$1=2,$R$3,IF($R$1=3,$R$4,0))))*$B$108</f>
        <v>0.96000000000000019</v>
      </c>
      <c r="E5" s="455">
        <f>(IF($R$1=1,$R$2,IF($R$1=2,$R$3,IF($R$1=3,$R$4,0))))*$E$3*$B$108</f>
        <v>0</v>
      </c>
      <c r="F5" s="405">
        <v>0</v>
      </c>
      <c r="G5" s="230">
        <f t="shared" ref="G5:G10" si="0" xml:space="preserve"> SUM(D5:F5) + $C5</f>
        <v>0.96000000000000019</v>
      </c>
      <c r="H5" s="455">
        <f>6*(IF($R$1=1,$R$2,IF($R$1=2,$R$3,IF($R$1=3,$R$4,0))))*$B$108</f>
        <v>0.96000000000000019</v>
      </c>
      <c r="I5" s="455">
        <f>(IF($R$1=1,$R$2,IF($R$1=2,$R$3,IF($R$1=3,$R$4,0))))*$E$3*$B$108</f>
        <v>0</v>
      </c>
      <c r="J5" s="405">
        <v>0</v>
      </c>
      <c r="K5" s="230">
        <f t="shared" ref="K5:K10" si="1" xml:space="preserve"> SUM(H5:J5) + $C5</f>
        <v>0.96000000000000019</v>
      </c>
      <c r="L5" s="455">
        <f>6*(IF($R$1=1,$R$2,IF($R$1=2,$R$3,IF($R$1=3,$R$4,0))))*$B$108</f>
        <v>0.96000000000000019</v>
      </c>
      <c r="M5" s="455">
        <f>(IF($R$1=1,$R$2,IF($R$1=2,$R$3,IF($R$1=3,$R$4,0))))*$E$3*$B$108</f>
        <v>0</v>
      </c>
      <c r="N5" s="405">
        <v>0</v>
      </c>
      <c r="O5" s="230">
        <f t="shared" ref="O5:O10" si="2" xml:space="preserve"> SUM(L5:N5) + $C5</f>
        <v>0.96000000000000019</v>
      </c>
      <c r="P5" s="207"/>
      <c r="R5" s="54"/>
    </row>
    <row r="6" spans="1:22" x14ac:dyDescent="0.25">
      <c r="A6" s="1907"/>
      <c r="B6" s="19" t="s">
        <v>33</v>
      </c>
      <c r="C6" s="22"/>
      <c r="D6" s="205">
        <f>6*(IF($R$1=1,$R$2,IF($R$1=2,$R$3,IF($R$1=3,$R$4,0))))*$B$109</f>
        <v>1.2000000000000002</v>
      </c>
      <c r="E6" s="205">
        <f>(IF($R$1=1,$R$2,IF($R$1=2,$R$3,IF($R$1=3,$R$4,0))))*$E$3*$B$109</f>
        <v>0</v>
      </c>
      <c r="F6" s="11">
        <v>0</v>
      </c>
      <c r="G6" s="21">
        <f t="shared" si="0"/>
        <v>1.2000000000000002</v>
      </c>
      <c r="H6" s="205">
        <f>6*(IF($R$1=1,$R$2,IF($R$1=2,$R$3,IF($R$1=3,$R$4,0))))*$B$109</f>
        <v>1.2000000000000002</v>
      </c>
      <c r="I6" s="205">
        <f>(IF($R$1=1,$R$2,IF($R$1=2,$R$3,IF($R$1=3,$R$4,0))))*$E$3*$B$109</f>
        <v>0</v>
      </c>
      <c r="J6" s="11">
        <v>0</v>
      </c>
      <c r="K6" s="21">
        <f t="shared" si="1"/>
        <v>1.2000000000000002</v>
      </c>
      <c r="L6" s="205">
        <f>6*(IF($R$1=1,$R$2,IF($R$1=2,$R$3,IF($R$1=3,$R$4,0))))*$B$109</f>
        <v>1.2000000000000002</v>
      </c>
      <c r="M6" s="205">
        <f>(IF($R$1=1,$R$2,IF($R$1=2,$R$3,IF($R$1=3,$R$4,0))))*$E$3*$B$109</f>
        <v>0</v>
      </c>
      <c r="N6" s="11">
        <v>0</v>
      </c>
      <c r="O6" s="21">
        <f t="shared" si="2"/>
        <v>1.2000000000000002</v>
      </c>
      <c r="P6" s="207"/>
      <c r="R6" s="54"/>
    </row>
    <row r="7" spans="1:22" x14ac:dyDescent="0.25">
      <c r="A7" s="1914"/>
      <c r="B7" s="19" t="s">
        <v>34</v>
      </c>
      <c r="C7" s="22"/>
      <c r="D7" s="205">
        <f>6*(IF($R$1=1,$R$2,IF($R$1=2,$R$3,IF($R$1=3,$R$4,0))))*$B$110</f>
        <v>1.8000000000000003</v>
      </c>
      <c r="E7" s="205">
        <f>(IF($R$1=1,$R$2,IF($R$1=2,$R$3,IF($R$1=3,$R$4,0))))*$E$3*$B$110</f>
        <v>0</v>
      </c>
      <c r="F7" s="11">
        <v>0</v>
      </c>
      <c r="G7" s="21">
        <f t="shared" si="0"/>
        <v>1.8000000000000003</v>
      </c>
      <c r="H7" s="205">
        <f>6*(IF($R$1=1,$R$2,IF($R$1=2,$R$3,IF($R$1=3,$R$4,0))))*$B$110</f>
        <v>1.8000000000000003</v>
      </c>
      <c r="I7" s="205">
        <f>(IF($R$1=1,$R$2,IF($R$1=2,$R$3,IF($R$1=3,$R$4,0))))*$E$3*$B$110</f>
        <v>0</v>
      </c>
      <c r="J7" s="11">
        <v>0</v>
      </c>
      <c r="K7" s="21">
        <f t="shared" si="1"/>
        <v>1.8000000000000003</v>
      </c>
      <c r="L7" s="205">
        <f>6*(IF($R$1=1,$R$2,IF($R$1=2,$R$3,IF($R$1=3,$R$4,0))))*$B$110</f>
        <v>1.8000000000000003</v>
      </c>
      <c r="M7" s="205">
        <f>(IF($R$1=1,$R$2,IF($R$1=2,$R$3,IF($R$1=3,$R$4,0))))*$E$3*$B$110</f>
        <v>0</v>
      </c>
      <c r="N7" s="11">
        <v>0</v>
      </c>
      <c r="O7" s="21">
        <f t="shared" si="2"/>
        <v>1.8000000000000003</v>
      </c>
      <c r="P7" s="207"/>
      <c r="R7" s="54"/>
    </row>
    <row r="8" spans="1:22" x14ac:dyDescent="0.25">
      <c r="A8" s="1907" t="s">
        <v>449</v>
      </c>
      <c r="B8" s="404" t="s">
        <v>32</v>
      </c>
      <c r="C8" s="324"/>
      <c r="D8" s="205">
        <f>6*(IF($R$1=1,$R$2,IF($R$1=2,$R$3,IF($R$1=3,$R$4,0))))*$B$108</f>
        <v>0.96000000000000019</v>
      </c>
      <c r="E8" s="205">
        <f>(IF($R$1=1,$R$2,IF($R$1=2,$R$3,IF($R$1=3,$R$4,0))))*$E$3*$B$108</f>
        <v>0</v>
      </c>
      <c r="F8" s="11">
        <v>0</v>
      </c>
      <c r="G8" s="21">
        <f t="shared" si="0"/>
        <v>0.96000000000000019</v>
      </c>
      <c r="H8" s="205">
        <f>6*(IF($R$1=1,$R$2,IF($R$1=2,$R$3,IF($R$1=3,$R$4,0))))*$B$108</f>
        <v>0.96000000000000019</v>
      </c>
      <c r="I8" s="205">
        <f>(IF($R$1=1,$R$2,IF($R$1=2,$R$3,IF($R$1=3,$R$4,0))))*$E$3*$B$108</f>
        <v>0</v>
      </c>
      <c r="J8" s="11">
        <v>0</v>
      </c>
      <c r="K8" s="21">
        <f t="shared" si="1"/>
        <v>0.96000000000000019</v>
      </c>
      <c r="L8" s="205">
        <f>6*(IF($R$1=1,$R$2,IF($R$1=2,$R$3,IF($R$1=3,$R$4,0))))*$B$108</f>
        <v>0.96000000000000019</v>
      </c>
      <c r="M8" s="205">
        <f>(IF($R$1=1,$R$2,IF($R$1=2,$R$3,IF($R$1=3,$R$4,0))))*$E$3*$B$108</f>
        <v>0</v>
      </c>
      <c r="N8" s="11">
        <v>0</v>
      </c>
      <c r="O8" s="21">
        <f t="shared" si="2"/>
        <v>0.96000000000000019</v>
      </c>
    </row>
    <row r="9" spans="1:22" x14ac:dyDescent="0.25">
      <c r="A9" s="1907"/>
      <c r="B9" s="19" t="s">
        <v>33</v>
      </c>
      <c r="C9" s="22"/>
      <c r="D9" s="205">
        <f>6*(IF($R$1=1,$R$2,IF($R$1=2,$R$3,IF($R$1=3,$R$4,0))))*$B$109</f>
        <v>1.2000000000000002</v>
      </c>
      <c r="E9" s="205">
        <f>(IF($R$1=1,$R$2,IF($R$1=2,$R$3,IF($R$1=3,$R$4,0))))*$E$3*$B$109</f>
        <v>0</v>
      </c>
      <c r="F9" s="11">
        <v>0</v>
      </c>
      <c r="G9" s="21">
        <f t="shared" si="0"/>
        <v>1.2000000000000002</v>
      </c>
      <c r="H9" s="205">
        <f>6*(IF($R$1=1,$R$2,IF($R$1=2,$R$3,IF($R$1=3,$R$4,0))))*$B$109</f>
        <v>1.2000000000000002</v>
      </c>
      <c r="I9" s="205">
        <f>(IF($R$1=1,$R$2,IF($R$1=2,$R$3,IF($R$1=3,$R$4,0))))*$E$3*$B$109</f>
        <v>0</v>
      </c>
      <c r="J9" s="11">
        <v>0</v>
      </c>
      <c r="K9" s="21">
        <f t="shared" si="1"/>
        <v>1.2000000000000002</v>
      </c>
      <c r="L9" s="205">
        <f>6*(IF($R$1=1,$R$2,IF($R$1=2,$R$3,IF($R$1=3,$R$4,0))))*$B$109</f>
        <v>1.2000000000000002</v>
      </c>
      <c r="M9" s="205">
        <f>(IF($R$1=1,$R$2,IF($R$1=2,$R$3,IF($R$1=3,$R$4,0))))*$E$3*$B$109</f>
        <v>0</v>
      </c>
      <c r="N9" s="11">
        <v>0</v>
      </c>
      <c r="O9" s="21">
        <f t="shared" si="2"/>
        <v>1.2000000000000002</v>
      </c>
    </row>
    <row r="10" spans="1:22" ht="15.75" thickBot="1" x14ac:dyDescent="0.3">
      <c r="A10" s="1907"/>
      <c r="B10" s="13" t="s">
        <v>34</v>
      </c>
      <c r="C10" s="34"/>
      <c r="D10" s="456">
        <f>6*(IF($R$1=1,$R$2,IF($R$1=2,$R$3,IF($R$1=3,$R$4,0))))*$B$110</f>
        <v>1.8000000000000003</v>
      </c>
      <c r="E10" s="456">
        <f>(IF($R$1=1,$R$2,IF($R$1=2,$R$3,IF($R$1=3,$R$4,0))))*$E$3*$B$110</f>
        <v>0</v>
      </c>
      <c r="F10" s="422">
        <v>0</v>
      </c>
      <c r="G10" s="77">
        <f t="shared" si="0"/>
        <v>1.8000000000000003</v>
      </c>
      <c r="H10" s="456">
        <f>6*(IF($R$1=1,$R$2,IF($R$1=2,$R$3,IF($R$1=3,$R$4,0))))*$B$110</f>
        <v>1.8000000000000003</v>
      </c>
      <c r="I10" s="456">
        <f>(IF($R$1=1,$R$2,IF($R$1=2,$R$3,IF($R$1=3,$R$4,0))))*$E$3*$B$110</f>
        <v>0</v>
      </c>
      <c r="J10" s="422">
        <v>0</v>
      </c>
      <c r="K10" s="77">
        <f t="shared" si="1"/>
        <v>1.8000000000000003</v>
      </c>
      <c r="L10" s="456">
        <f>6*(IF($R$1=1,$R$2,IF($R$1=2,$R$3,IF($R$1=3,$R$4,0))))*$B$110</f>
        <v>1.8000000000000003</v>
      </c>
      <c r="M10" s="456">
        <f>(IF($R$1=1,$R$2,IF($R$1=2,$R$3,IF($R$1=3,$R$4,0))))*$E$3*$B$110</f>
        <v>0</v>
      </c>
      <c r="N10" s="422">
        <v>0</v>
      </c>
      <c r="O10" s="77">
        <f t="shared" si="2"/>
        <v>1.8000000000000003</v>
      </c>
    </row>
    <row r="11" spans="1:22" ht="16.5" thickBot="1" x14ac:dyDescent="0.3">
      <c r="A11" s="326" t="s">
        <v>1</v>
      </c>
      <c r="B11" s="327"/>
      <c r="C11" s="327"/>
      <c r="D11" s="327"/>
      <c r="E11" s="327"/>
      <c r="F11" s="327"/>
      <c r="G11" s="327"/>
      <c r="H11" s="327"/>
      <c r="I11" s="327"/>
      <c r="J11" s="327"/>
      <c r="K11" s="327"/>
      <c r="L11" s="327"/>
      <c r="M11" s="327"/>
      <c r="N11" s="327"/>
      <c r="O11" s="396"/>
    </row>
    <row r="12" spans="1:22" x14ac:dyDescent="0.25">
      <c r="A12" s="1907" t="s">
        <v>2</v>
      </c>
      <c r="B12" s="404" t="s">
        <v>32</v>
      </c>
      <c r="C12" s="324"/>
      <c r="D12" s="455">
        <f>8*(IF($R$1=1,$R$2,IF($R$1=2,$R$3,IF($R$1=3,$R$4,0))))*$B$108</f>
        <v>1.2800000000000002</v>
      </c>
      <c r="E12" s="423">
        <f>(IF($R$1=1,$R$2,IF($R$1=2,$R$3,IF($R$1=3,$R$4,0))))*$E$3*2*$B$108</f>
        <v>0</v>
      </c>
      <c r="F12" s="413">
        <f>IF($F$3&gt;0,1,0)*$B$108</f>
        <v>0</v>
      </c>
      <c r="G12" s="230">
        <f xml:space="preserve"> SUM(D12:F12) + $C12</f>
        <v>1.2800000000000002</v>
      </c>
      <c r="H12" s="455">
        <f>8*(IF($R$1=1,$R$2,IF($R$1=2,$R$3,IF($R$1=3,$R$4,0))))*$B$108</f>
        <v>1.2800000000000002</v>
      </c>
      <c r="I12" s="423">
        <f>(IF($R$1=1,$R$2,IF($R$1=2,$R$3,IF($R$1=3,$R$4,0))))*$E$3*2*$B$108</f>
        <v>0</v>
      </c>
      <c r="J12" s="413">
        <f>IF($F$3&gt;0,1,0)*$B$108</f>
        <v>0</v>
      </c>
      <c r="K12" s="230">
        <f xml:space="preserve"> SUM(H12:J12) + $C12</f>
        <v>1.2800000000000002</v>
      </c>
      <c r="L12" s="455">
        <f>8*(IF($R$1=1,$R$2,IF($R$1=2,$R$3,IF($R$1=3,$R$4,0))))*$B$108</f>
        <v>1.2800000000000002</v>
      </c>
      <c r="M12" s="423">
        <f>(IF($R$1=1,$R$2,IF($R$1=2,$R$3,IF($R$1=3,$R$4,0))))*$E$3*2*$B$108</f>
        <v>0</v>
      </c>
      <c r="N12" s="413">
        <f>IF($F$3&gt;0,1,0)*$B$108</f>
        <v>0</v>
      </c>
      <c r="O12" s="230">
        <f xml:space="preserve"> SUM(L12:N12) + $C12</f>
        <v>1.2800000000000002</v>
      </c>
      <c r="P12" t="s">
        <v>191</v>
      </c>
      <c r="Q12" s="1988" t="s">
        <v>197</v>
      </c>
      <c r="R12" s="1988"/>
      <c r="S12" s="1988"/>
      <c r="T12" s="1988"/>
      <c r="U12" s="1988"/>
      <c r="V12" t="s">
        <v>192</v>
      </c>
    </row>
    <row r="13" spans="1:22" x14ac:dyDescent="0.25">
      <c r="A13" s="1907"/>
      <c r="B13" s="19" t="s">
        <v>33</v>
      </c>
      <c r="C13" s="22"/>
      <c r="D13" s="205">
        <f>8*(IF($R$1=1,$R$2,IF($R$1=2,$R$3,IF($R$1=3,$R$4,0))))*$B$109</f>
        <v>1.6</v>
      </c>
      <c r="E13" s="123">
        <f>(IF($R$1=1,$R$2,IF($R$1=2,$R$3,IF($R$1=3,$R$4,0))))*$E$3*2*$B$109</f>
        <v>0</v>
      </c>
      <c r="F13" s="184">
        <f>IF($F$3&gt;0,1,0)*$B$109</f>
        <v>0</v>
      </c>
      <c r="G13" s="21">
        <f xml:space="preserve"> SUM(D13:F13) + $C13</f>
        <v>1.6</v>
      </c>
      <c r="H13" s="205">
        <f>8*(IF($R$1=1,$R$2,IF($R$1=2,$R$3,IF($R$1=3,$R$4,0))))*$B$109</f>
        <v>1.6</v>
      </c>
      <c r="I13" s="123">
        <f>(IF($R$1=1,$R$2,IF($R$1=2,$R$3,IF($R$1=3,$R$4,0))))*$E$3*2*$B$109</f>
        <v>0</v>
      </c>
      <c r="J13" s="184">
        <f>IF($F$3&gt;0,1,0)*$B$109</f>
        <v>0</v>
      </c>
      <c r="K13" s="21">
        <f xml:space="preserve"> SUM(H13:J13) + $C13</f>
        <v>1.6</v>
      </c>
      <c r="L13" s="205">
        <f>8*(IF($R$1=1,$R$2,IF($R$1=2,$R$3,IF($R$1=3,$R$4,0))))*$B$109</f>
        <v>1.6</v>
      </c>
      <c r="M13" s="123">
        <f>(IF($R$1=1,$R$2,IF($R$1=2,$R$3,IF($R$1=3,$R$4,0))))*$E$3*2*$B$109</f>
        <v>0</v>
      </c>
      <c r="N13" s="184">
        <f>IF($F$3&gt;0,1,0)*$B$109</f>
        <v>0</v>
      </c>
      <c r="O13" s="21">
        <f xml:space="preserve"> SUM(L13:N13) + $C13</f>
        <v>1.6</v>
      </c>
      <c r="P13" t="s">
        <v>191</v>
      </c>
      <c r="Q13" s="1988"/>
      <c r="R13" s="1988"/>
      <c r="S13" s="1988"/>
      <c r="T13" s="1988"/>
      <c r="U13" s="1988"/>
    </row>
    <row r="14" spans="1:22" ht="15.75" thickBot="1" x14ac:dyDescent="0.3">
      <c r="A14" s="1907"/>
      <c r="B14" s="13" t="s">
        <v>34</v>
      </c>
      <c r="C14" s="34"/>
      <c r="D14" s="456">
        <f>8*(IF($R$1=1,$R$2,IF($R$1=2,$R$3,IF($R$1=3,$R$4,0))))*$B$110</f>
        <v>2.4000000000000004</v>
      </c>
      <c r="E14" s="424">
        <f>(IF($R$1=1,$R$2,IF($R$1=2,$R$3,IF($R$1=3,$R$4,0))))*$E$3*2*$B$110</f>
        <v>0</v>
      </c>
      <c r="F14" s="415">
        <f>IF($F$3&gt;0,1,0)*$B$110</f>
        <v>0</v>
      </c>
      <c r="G14" s="77">
        <f xml:space="preserve"> SUM(D14:F14) + $C14</f>
        <v>2.4000000000000004</v>
      </c>
      <c r="H14" s="456">
        <f>8*(IF($R$1=1,$R$2,IF($R$1=2,$R$3,IF($R$1=3,$R$4,0))))*$B$110</f>
        <v>2.4000000000000004</v>
      </c>
      <c r="I14" s="424">
        <f>(IF($R$1=1,$R$2,IF($R$1=2,$R$3,IF($R$1=3,$R$4,0))))*$E$3*2*$B$110</f>
        <v>0</v>
      </c>
      <c r="J14" s="415">
        <f>IF($F$3&gt;0,1,0)*$B$110</f>
        <v>0</v>
      </c>
      <c r="K14" s="77">
        <f xml:space="preserve"> SUM(H14:J14) + $C14</f>
        <v>2.4000000000000004</v>
      </c>
      <c r="L14" s="456">
        <f>8*(IF($R$1=1,$R$2,IF($R$1=2,$R$3,IF($R$1=3,$R$4,0))))*$B$110</f>
        <v>2.4000000000000004</v>
      </c>
      <c r="M14" s="424">
        <f>(IF($R$1=1,$R$2,IF($R$1=2,$R$3,IF($R$1=3,$R$4,0))))*$E$3*2*$B$110</f>
        <v>0</v>
      </c>
      <c r="N14" s="415">
        <f>IF($F$3&gt;0,1,0)*$B$110</f>
        <v>0</v>
      </c>
      <c r="O14" s="77">
        <f xml:space="preserve"> SUM(L14:N14) + $C14</f>
        <v>2.4000000000000004</v>
      </c>
      <c r="P14" t="s">
        <v>191</v>
      </c>
      <c r="Q14" s="1988"/>
      <c r="R14" s="1988"/>
      <c r="S14" s="1988"/>
      <c r="T14" s="1988"/>
      <c r="U14" s="1988"/>
    </row>
    <row r="15" spans="1:22" ht="16.5" thickBot="1" x14ac:dyDescent="0.3">
      <c r="A15" s="330" t="s">
        <v>3</v>
      </c>
      <c r="B15" s="329"/>
      <c r="C15" s="329"/>
      <c r="D15" s="329"/>
      <c r="E15" s="329"/>
      <c r="F15" s="327"/>
      <c r="G15" s="327"/>
      <c r="H15" s="329"/>
      <c r="I15" s="329"/>
      <c r="J15" s="327"/>
      <c r="K15" s="327"/>
      <c r="L15" s="329"/>
      <c r="M15" s="329"/>
      <c r="N15" s="327"/>
      <c r="O15" s="396"/>
    </row>
    <row r="16" spans="1:22" x14ac:dyDescent="0.25">
      <c r="A16" s="1989" t="s">
        <v>4</v>
      </c>
      <c r="B16" s="325" t="s">
        <v>32</v>
      </c>
      <c r="C16" s="324"/>
      <c r="D16" s="427">
        <v>0.25</v>
      </c>
      <c r="E16" s="400">
        <v>0</v>
      </c>
      <c r="F16" s="428">
        <v>0</v>
      </c>
      <c r="G16" s="230">
        <f t="shared" ref="G16:G36" si="3" xml:space="preserve"> SUM(D16:F16) + $C16</f>
        <v>0.25</v>
      </c>
      <c r="H16" s="678">
        <v>0.25</v>
      </c>
      <c r="I16" s="710">
        <v>0</v>
      </c>
      <c r="J16" s="679">
        <v>0</v>
      </c>
      <c r="K16" s="230">
        <f t="shared" ref="K16:K36" si="4" xml:space="preserve"> SUM(H16:J16) + $C16</f>
        <v>0.25</v>
      </c>
      <c r="L16" s="678">
        <v>0.25</v>
      </c>
      <c r="M16" s="710">
        <v>0</v>
      </c>
      <c r="N16" s="679">
        <v>0</v>
      </c>
      <c r="O16" s="230">
        <f t="shared" ref="O16:O36" si="5" xml:space="preserve"> SUM(L16:N16) + $C16</f>
        <v>0.25</v>
      </c>
    </row>
    <row r="17" spans="1:21" x14ac:dyDescent="0.25">
      <c r="A17" s="1990"/>
      <c r="B17" s="18" t="s">
        <v>33</v>
      </c>
      <c r="C17" s="22"/>
      <c r="D17" s="678">
        <v>0.25</v>
      </c>
      <c r="E17" s="15">
        <v>0</v>
      </c>
      <c r="F17" s="33">
        <v>0</v>
      </c>
      <c r="G17" s="21">
        <f t="shared" si="3"/>
        <v>0.25</v>
      </c>
      <c r="H17" s="678">
        <v>0.25</v>
      </c>
      <c r="I17" s="616">
        <v>0</v>
      </c>
      <c r="J17" s="623">
        <v>0</v>
      </c>
      <c r="K17" s="21">
        <f t="shared" si="4"/>
        <v>0.25</v>
      </c>
      <c r="L17" s="678">
        <v>0.25</v>
      </c>
      <c r="M17" s="616">
        <v>0</v>
      </c>
      <c r="N17" s="623">
        <v>0</v>
      </c>
      <c r="O17" s="21">
        <f t="shared" si="5"/>
        <v>0.25</v>
      </c>
    </row>
    <row r="18" spans="1:21" x14ac:dyDescent="0.25">
      <c r="A18" s="1990"/>
      <c r="B18" s="18" t="s">
        <v>34</v>
      </c>
      <c r="C18" s="22"/>
      <c r="D18" s="678">
        <v>0.25</v>
      </c>
      <c r="E18" s="15">
        <v>0</v>
      </c>
      <c r="F18" s="33">
        <v>0</v>
      </c>
      <c r="G18" s="21">
        <f t="shared" si="3"/>
        <v>0.25</v>
      </c>
      <c r="H18" s="678">
        <v>0.25</v>
      </c>
      <c r="I18" s="616">
        <v>0</v>
      </c>
      <c r="J18" s="623">
        <v>0</v>
      </c>
      <c r="K18" s="21">
        <f t="shared" si="4"/>
        <v>0.25</v>
      </c>
      <c r="L18" s="678">
        <v>0.25</v>
      </c>
      <c r="M18" s="616">
        <v>0</v>
      </c>
      <c r="N18" s="623">
        <v>0</v>
      </c>
      <c r="O18" s="21">
        <f t="shared" si="5"/>
        <v>0.25</v>
      </c>
    </row>
    <row r="19" spans="1:21" x14ac:dyDescent="0.25">
      <c r="A19" s="1990" t="s">
        <v>5</v>
      </c>
      <c r="B19" s="19" t="s">
        <v>32</v>
      </c>
      <c r="C19" s="22"/>
      <c r="D19" s="204">
        <f>(IF($R$1=1,$R$2,IF($R$1=2,$R$3,IF($R$1=3,$R$4,0))))</f>
        <v>0.2</v>
      </c>
      <c r="E19" s="15">
        <v>0</v>
      </c>
      <c r="F19" s="123">
        <f>0.3*$F$3</f>
        <v>0</v>
      </c>
      <c r="G19" s="21">
        <f t="shared" si="3"/>
        <v>0.2</v>
      </c>
      <c r="H19" s="204">
        <f>(IF($R$1=1,$R$2,IF($R$1=2,$R$3,IF($R$1=3,$R$4,0))))</f>
        <v>0.2</v>
      </c>
      <c r="I19" s="15">
        <v>0</v>
      </c>
      <c r="J19" s="123">
        <f>0.3*$F$3</f>
        <v>0</v>
      </c>
      <c r="K19" s="21">
        <f t="shared" si="4"/>
        <v>0.2</v>
      </c>
      <c r="L19" s="204">
        <f>(IF($R$1=1,$R$2,IF($R$1=2,$R$3,IF($R$1=3,$R$4,0))))</f>
        <v>0.2</v>
      </c>
      <c r="M19" s="15">
        <v>0</v>
      </c>
      <c r="N19" s="123">
        <f>0.3*$F$3</f>
        <v>0</v>
      </c>
      <c r="O19" s="21">
        <f t="shared" si="5"/>
        <v>0.2</v>
      </c>
    </row>
    <row r="20" spans="1:21" x14ac:dyDescent="0.25">
      <c r="A20" s="1990"/>
      <c r="B20" s="19" t="s">
        <v>33</v>
      </c>
      <c r="C20" s="22"/>
      <c r="D20" s="204">
        <f>(IF($R$1=1,$R$2,IF($R$1=2,$R$3,IF($R$1=3,$R$4,0))))</f>
        <v>0.2</v>
      </c>
      <c r="E20" s="15">
        <v>0</v>
      </c>
      <c r="F20" s="123">
        <f>0.3*$F$3</f>
        <v>0</v>
      </c>
      <c r="G20" s="21">
        <f t="shared" si="3"/>
        <v>0.2</v>
      </c>
      <c r="H20" s="204">
        <f>(IF($R$1=1,$R$2,IF($R$1=2,$R$3,IF($R$1=3,$R$4,0))))</f>
        <v>0.2</v>
      </c>
      <c r="I20" s="15">
        <v>0</v>
      </c>
      <c r="J20" s="123">
        <f>0.3*$F$3</f>
        <v>0</v>
      </c>
      <c r="K20" s="21">
        <f t="shared" si="4"/>
        <v>0.2</v>
      </c>
      <c r="L20" s="204">
        <f>(IF($R$1=1,$R$2,IF($R$1=2,$R$3,IF($R$1=3,$R$4,0))))</f>
        <v>0.2</v>
      </c>
      <c r="M20" s="15">
        <v>0</v>
      </c>
      <c r="N20" s="123">
        <f>0.3*$F$3</f>
        <v>0</v>
      </c>
      <c r="O20" s="21">
        <f t="shared" si="5"/>
        <v>0.2</v>
      </c>
    </row>
    <row r="21" spans="1:21" x14ac:dyDescent="0.25">
      <c r="A21" s="1990"/>
      <c r="B21" s="19" t="s">
        <v>34</v>
      </c>
      <c r="C21" s="22"/>
      <c r="D21" s="204">
        <f>(IF($R$1=1,$R$2,IF($R$1=2,$R$3,IF($R$1=3,$R$4,0))))</f>
        <v>0.2</v>
      </c>
      <c r="E21" s="15">
        <v>0</v>
      </c>
      <c r="F21" s="123">
        <f>0.3*$F$3</f>
        <v>0</v>
      </c>
      <c r="G21" s="21">
        <f t="shared" si="3"/>
        <v>0.2</v>
      </c>
      <c r="H21" s="204">
        <f>(IF($R$1=1,$R$2,IF($R$1=2,$R$3,IF($R$1=3,$R$4,0))))</f>
        <v>0.2</v>
      </c>
      <c r="I21" s="15">
        <v>0</v>
      </c>
      <c r="J21" s="123">
        <f>0.3*$F$3</f>
        <v>0</v>
      </c>
      <c r="K21" s="21">
        <f t="shared" si="4"/>
        <v>0.2</v>
      </c>
      <c r="L21" s="204">
        <f>(IF($R$1=1,$R$2,IF($R$1=2,$R$3,IF($R$1=3,$R$4,0))))</f>
        <v>0.2</v>
      </c>
      <c r="M21" s="15">
        <v>0</v>
      </c>
      <c r="N21" s="123">
        <f>0.3*$F$3</f>
        <v>0</v>
      </c>
      <c r="O21" s="21">
        <f t="shared" si="5"/>
        <v>0.2</v>
      </c>
    </row>
    <row r="22" spans="1:21" x14ac:dyDescent="0.25">
      <c r="A22" s="1990" t="s">
        <v>6</v>
      </c>
      <c r="B22" s="19" t="s">
        <v>32</v>
      </c>
      <c r="C22" s="22"/>
      <c r="D22" s="205">
        <f>8*(IF($R$1=1,$R$2,IF($R$1=2,$R$3,IF($R$1=3,$R$4,0))))*$B$108</f>
        <v>1.2800000000000002</v>
      </c>
      <c r="E22" s="205">
        <f>(IF($R$1=1,$R$2,IF($R$1=2,$R$3,IF($R$1=3,$R$4,0))))*$E$3*2*$B$108</f>
        <v>0</v>
      </c>
      <c r="F22" s="184">
        <f>IF($F$3&gt;0,1,0)*$B$108</f>
        <v>0</v>
      </c>
      <c r="G22" s="21">
        <f t="shared" si="3"/>
        <v>1.2800000000000002</v>
      </c>
      <c r="H22" s="205">
        <f>8*(IF($R$1=1,$R$2,IF($R$1=2,$R$3,IF($R$1=3,$R$4,0))))*$B$108</f>
        <v>1.2800000000000002</v>
      </c>
      <c r="I22" s="205">
        <f>(IF($R$1=1,$R$2,IF($R$1=2,$R$3,IF($R$1=3,$R$4,0))))*$E$3*2*$B$108</f>
        <v>0</v>
      </c>
      <c r="J22" s="184">
        <f>IF($F$3&gt;0,1,0)*$B$108</f>
        <v>0</v>
      </c>
      <c r="K22" s="21">
        <f t="shared" si="4"/>
        <v>1.2800000000000002</v>
      </c>
      <c r="L22" s="205">
        <f>8*(IF($R$1=1,$R$2,IF($R$1=2,$R$3,IF($R$1=3,$R$4,0))))*$B$108</f>
        <v>1.2800000000000002</v>
      </c>
      <c r="M22" s="205">
        <f>(IF($R$1=1,$R$2,IF($R$1=2,$R$3,IF($R$1=3,$R$4,0))))*$E$3*2*$B$108</f>
        <v>0</v>
      </c>
      <c r="N22" s="184">
        <f>IF($F$3&gt;0,1,0)*$B$108</f>
        <v>0</v>
      </c>
      <c r="O22" s="21">
        <f t="shared" si="5"/>
        <v>1.2800000000000002</v>
      </c>
      <c r="P22" t="s">
        <v>191</v>
      </c>
      <c r="Q22" t="s">
        <v>192</v>
      </c>
    </row>
    <row r="23" spans="1:21" x14ac:dyDescent="0.25">
      <c r="A23" s="1990"/>
      <c r="B23" s="19" t="s">
        <v>33</v>
      </c>
      <c r="C23" s="22"/>
      <c r="D23" s="205">
        <f>8*(IF($R$1=1,$R$2,IF($R$1=2,$R$3,IF($R$1=3,$R$4,0))))*$B$109</f>
        <v>1.6</v>
      </c>
      <c r="E23" s="205">
        <f>(IF($R$1=1,$R$2,IF($R$1=2,$R$3,IF($R$1=3,$R$4,0))))*$E$3*2*$B$109</f>
        <v>0</v>
      </c>
      <c r="F23" s="184">
        <f>IF($F$3&gt;0,1,0)*$B$109</f>
        <v>0</v>
      </c>
      <c r="G23" s="21">
        <f t="shared" si="3"/>
        <v>1.6</v>
      </c>
      <c r="H23" s="205">
        <f>8*(IF($R$1=1,$R$2,IF($R$1=2,$R$3,IF($R$1=3,$R$4,0))))*$B$109</f>
        <v>1.6</v>
      </c>
      <c r="I23" s="205">
        <f>(IF($R$1=1,$R$2,IF($R$1=2,$R$3,IF($R$1=3,$R$4,0))))*$E$3*2*$B$109</f>
        <v>0</v>
      </c>
      <c r="J23" s="184">
        <f>IF($F$3&gt;0,1,0)*$B$109</f>
        <v>0</v>
      </c>
      <c r="K23" s="21">
        <f t="shared" si="4"/>
        <v>1.6</v>
      </c>
      <c r="L23" s="205">
        <f>8*(IF($R$1=1,$R$2,IF($R$1=2,$R$3,IF($R$1=3,$R$4,0))))*$B$109</f>
        <v>1.6</v>
      </c>
      <c r="M23" s="205">
        <f>(IF($R$1=1,$R$2,IF($R$1=2,$R$3,IF($R$1=3,$R$4,0))))*$E$3*2*$B$109</f>
        <v>0</v>
      </c>
      <c r="N23" s="184">
        <f>IF($F$3&gt;0,1,0)*$B$109</f>
        <v>0</v>
      </c>
      <c r="O23" s="21">
        <f t="shared" si="5"/>
        <v>1.6</v>
      </c>
      <c r="P23" t="s">
        <v>191</v>
      </c>
    </row>
    <row r="24" spans="1:21" x14ac:dyDescent="0.25">
      <c r="A24" s="1990"/>
      <c r="B24" s="19" t="s">
        <v>34</v>
      </c>
      <c r="C24" s="22"/>
      <c r="D24" s="205">
        <f>8*(IF($R$1=1,$R$2,IF($R$1=2,$R$3,IF($R$1=3,$R$4,0))))*$B$110</f>
        <v>2.4000000000000004</v>
      </c>
      <c r="E24" s="205">
        <f>(IF($R$1=1,$R$2,IF($R$1=2,$R$3,IF($R$1=3,$R$4,0))))*$E$3*2*$B$110</f>
        <v>0</v>
      </c>
      <c r="F24" s="184">
        <f>IF($F$3&gt;0,1,0)*$B$110</f>
        <v>0</v>
      </c>
      <c r="G24" s="21">
        <f t="shared" si="3"/>
        <v>2.4000000000000004</v>
      </c>
      <c r="H24" s="205">
        <f>8*(IF($R$1=1,$R$2,IF($R$1=2,$R$3,IF($R$1=3,$R$4,0))))*$B$110</f>
        <v>2.4000000000000004</v>
      </c>
      <c r="I24" s="205">
        <f>(IF($R$1=1,$R$2,IF($R$1=2,$R$3,IF($R$1=3,$R$4,0))))*$E$3*2*$B$110</f>
        <v>0</v>
      </c>
      <c r="J24" s="184">
        <f>IF($F$3&gt;0,1,0)*$B$110</f>
        <v>0</v>
      </c>
      <c r="K24" s="21">
        <f t="shared" si="4"/>
        <v>2.4000000000000004</v>
      </c>
      <c r="L24" s="205">
        <f>8*(IF($R$1=1,$R$2,IF($R$1=2,$R$3,IF($R$1=3,$R$4,0))))*$B$110</f>
        <v>2.4000000000000004</v>
      </c>
      <c r="M24" s="205">
        <f>(IF($R$1=1,$R$2,IF($R$1=2,$R$3,IF($R$1=3,$R$4,0))))*$E$3*2*$B$110</f>
        <v>0</v>
      </c>
      <c r="N24" s="184">
        <f>IF($F$3&gt;0,1,0)*$B$110</f>
        <v>0</v>
      </c>
      <c r="O24" s="21">
        <f t="shared" si="5"/>
        <v>2.4000000000000004</v>
      </c>
      <c r="P24" t="s">
        <v>191</v>
      </c>
    </row>
    <row r="25" spans="1:21" x14ac:dyDescent="0.25">
      <c r="A25" s="1990" t="s">
        <v>7</v>
      </c>
      <c r="B25" s="19" t="s">
        <v>32</v>
      </c>
      <c r="C25" s="22"/>
      <c r="D25" s="204">
        <f>4*(IF($R$1=1,$R$2,IF($R$1=2,$R$3,IF($R$1=3,$R$4,0))))*$B$108</f>
        <v>0.64000000000000012</v>
      </c>
      <c r="E25" s="15">
        <v>0</v>
      </c>
      <c r="F25" s="123">
        <f>0.5*$F$3*$B$108</f>
        <v>0</v>
      </c>
      <c r="G25" s="21">
        <f t="shared" si="3"/>
        <v>0.64000000000000012</v>
      </c>
      <c r="H25" s="204">
        <f>4*(IF($R$1=1,$R$2,IF($R$1=2,$R$3,IF($R$1=3,$R$4,0))))*$B$108</f>
        <v>0.64000000000000012</v>
      </c>
      <c r="I25" s="15">
        <v>0</v>
      </c>
      <c r="J25" s="123">
        <f>0.5*$F$3*$B$108</f>
        <v>0</v>
      </c>
      <c r="K25" s="21">
        <f t="shared" si="4"/>
        <v>0.64000000000000012</v>
      </c>
      <c r="L25" s="204">
        <f>4*(IF($R$1=1,$R$2,IF($R$1=2,$R$3,IF($R$1=3,$R$4,0))))*$B$108</f>
        <v>0.64000000000000012</v>
      </c>
      <c r="M25" s="15">
        <v>0</v>
      </c>
      <c r="N25" s="123">
        <f>0.5*$F$3*$B$108</f>
        <v>0</v>
      </c>
      <c r="O25" s="21">
        <f t="shared" si="5"/>
        <v>0.64000000000000012</v>
      </c>
    </row>
    <row r="26" spans="1:21" x14ac:dyDescent="0.25">
      <c r="A26" s="1990"/>
      <c r="B26" s="19" t="s">
        <v>33</v>
      </c>
      <c r="C26" s="22"/>
      <c r="D26" s="204">
        <f>4*(IF($R$1=1,$R$2,IF($R$1=2,$R$3,IF($R$1=3,$R$4,0))))*$B$109</f>
        <v>0.8</v>
      </c>
      <c r="E26" s="15">
        <v>0</v>
      </c>
      <c r="F26" s="123">
        <f>0.5*$F$3*$B$109</f>
        <v>0</v>
      </c>
      <c r="G26" s="21">
        <f t="shared" si="3"/>
        <v>0.8</v>
      </c>
      <c r="H26" s="204">
        <f>4*(IF($R$1=1,$R$2,IF($R$1=2,$R$3,IF($R$1=3,$R$4,0))))*$B$109</f>
        <v>0.8</v>
      </c>
      <c r="I26" s="15">
        <v>0</v>
      </c>
      <c r="J26" s="123">
        <f>0.5*$F$3*$B$109</f>
        <v>0</v>
      </c>
      <c r="K26" s="21">
        <f t="shared" si="4"/>
        <v>0.8</v>
      </c>
      <c r="L26" s="204">
        <f>4*(IF($R$1=1,$R$2,IF($R$1=2,$R$3,IF($R$1=3,$R$4,0))))*$B$109</f>
        <v>0.8</v>
      </c>
      <c r="M26" s="15">
        <v>0</v>
      </c>
      <c r="N26" s="123">
        <f>0.5*$F$3*$B$109</f>
        <v>0</v>
      </c>
      <c r="O26" s="21">
        <f t="shared" si="5"/>
        <v>0.8</v>
      </c>
    </row>
    <row r="27" spans="1:21" x14ac:dyDescent="0.25">
      <c r="A27" s="1990"/>
      <c r="B27" s="19" t="s">
        <v>34</v>
      </c>
      <c r="C27" s="22"/>
      <c r="D27" s="204">
        <f>4*(IF($R$1=1,$R$2,IF($R$1=2,$R$3,IF($R$1=3,$R$4,0))))*$B$110</f>
        <v>1.2000000000000002</v>
      </c>
      <c r="E27" s="15">
        <v>0</v>
      </c>
      <c r="F27" s="123">
        <f>0.5*$F$3*$B$110</f>
        <v>0</v>
      </c>
      <c r="G27" s="21">
        <f t="shared" si="3"/>
        <v>1.2000000000000002</v>
      </c>
      <c r="H27" s="204">
        <f>4*(IF($R$1=1,$R$2,IF($R$1=2,$R$3,IF($R$1=3,$R$4,0))))*$B$110</f>
        <v>1.2000000000000002</v>
      </c>
      <c r="I27" s="15">
        <v>0</v>
      </c>
      <c r="J27" s="123">
        <f>0.5*$F$3*$B$110</f>
        <v>0</v>
      </c>
      <c r="K27" s="21">
        <f t="shared" si="4"/>
        <v>1.2000000000000002</v>
      </c>
      <c r="L27" s="204">
        <f>4*(IF($R$1=1,$R$2,IF($R$1=2,$R$3,IF($R$1=3,$R$4,0))))*$B$110</f>
        <v>1.2000000000000002</v>
      </c>
      <c r="M27" s="15">
        <v>0</v>
      </c>
      <c r="N27" s="123">
        <f>0.5*$F$3*$B$110</f>
        <v>0</v>
      </c>
      <c r="O27" s="21">
        <f t="shared" si="5"/>
        <v>1.2000000000000002</v>
      </c>
    </row>
    <row r="28" spans="1:21" ht="14.65" customHeight="1" x14ac:dyDescent="0.25">
      <c r="A28" s="1990" t="s">
        <v>8</v>
      </c>
      <c r="B28" s="19" t="s">
        <v>32</v>
      </c>
      <c r="C28" s="22"/>
      <c r="D28" s="38">
        <f>1*$B$108</f>
        <v>0.8</v>
      </c>
      <c r="E28" s="205">
        <f>(IF($R$1=1,$R$2,IF($R$1=2,$R$3,IF($R$1=3,$R$4,0))))*$E$3*$B$108</f>
        <v>0</v>
      </c>
      <c r="F28" s="33">
        <v>0</v>
      </c>
      <c r="G28" s="21">
        <f t="shared" si="3"/>
        <v>0.8</v>
      </c>
      <c r="H28" s="38">
        <f>1*$B$108</f>
        <v>0.8</v>
      </c>
      <c r="I28" s="205">
        <f>(IF($R$1=1,$R$2,IF($R$1=2,$R$3,IF($R$1=3,$R$4,0))))*$E$3*$B$108</f>
        <v>0</v>
      </c>
      <c r="J28" s="33">
        <v>0</v>
      </c>
      <c r="K28" s="21">
        <f t="shared" si="4"/>
        <v>0.8</v>
      </c>
      <c r="L28" s="38">
        <f>1*$B$108</f>
        <v>0.8</v>
      </c>
      <c r="M28" s="205">
        <f>(IF($R$1=1,$R$2,IF($R$1=2,$R$3,IF($R$1=3,$R$4,0))))*$E$3*$B$108</f>
        <v>0</v>
      </c>
      <c r="N28" s="33">
        <v>0</v>
      </c>
      <c r="O28" s="21">
        <f t="shared" si="5"/>
        <v>0.8</v>
      </c>
      <c r="Q28" s="1991" t="s">
        <v>196</v>
      </c>
      <c r="R28" s="1991"/>
      <c r="S28" s="1991"/>
      <c r="T28" s="1991"/>
      <c r="U28" s="1991"/>
    </row>
    <row r="29" spans="1:21" x14ac:dyDescent="0.25">
      <c r="A29" s="1990"/>
      <c r="B29" s="19" t="s">
        <v>33</v>
      </c>
      <c r="C29" s="22"/>
      <c r="D29" s="38">
        <f>1*$B$109</f>
        <v>1</v>
      </c>
      <c r="E29" s="205">
        <f>(IF($R$1=1,$R$2,IF($R$1=2,$R$3,IF($R$1=3,$R$4,0))))*$E$3*$B$109</f>
        <v>0</v>
      </c>
      <c r="F29" s="33">
        <v>0</v>
      </c>
      <c r="G29" s="21">
        <f t="shared" si="3"/>
        <v>1</v>
      </c>
      <c r="H29" s="38">
        <f>1*$B$109</f>
        <v>1</v>
      </c>
      <c r="I29" s="205">
        <f>(IF($R$1=1,$R$2,IF($R$1=2,$R$3,IF($R$1=3,$R$4,0))))*$E$3*$B$109</f>
        <v>0</v>
      </c>
      <c r="J29" s="33">
        <v>0</v>
      </c>
      <c r="K29" s="21">
        <f t="shared" si="4"/>
        <v>1</v>
      </c>
      <c r="L29" s="38">
        <f>1*$B$109</f>
        <v>1</v>
      </c>
      <c r="M29" s="205">
        <f>(IF($R$1=1,$R$2,IF($R$1=2,$R$3,IF($R$1=3,$R$4,0))))*$E$3*$B$109</f>
        <v>0</v>
      </c>
      <c r="N29" s="33">
        <v>0</v>
      </c>
      <c r="O29" s="21">
        <f t="shared" si="5"/>
        <v>1</v>
      </c>
      <c r="Q29" s="1991"/>
      <c r="R29" s="1991"/>
      <c r="S29" s="1991"/>
      <c r="T29" s="1991"/>
      <c r="U29" s="1991"/>
    </row>
    <row r="30" spans="1:21" x14ac:dyDescent="0.25">
      <c r="A30" s="1990"/>
      <c r="B30" s="19" t="s">
        <v>34</v>
      </c>
      <c r="C30" s="22"/>
      <c r="D30" s="38">
        <f>1*$B$110</f>
        <v>1.5</v>
      </c>
      <c r="E30" s="205">
        <f>(IF($R$1=1,$R$2,IF($R$1=2,$R$3,IF($R$1=3,$R$4,0))))*$E$3*$B$110</f>
        <v>0</v>
      </c>
      <c r="F30" s="33">
        <v>0</v>
      </c>
      <c r="G30" s="21">
        <f t="shared" si="3"/>
        <v>1.5</v>
      </c>
      <c r="H30" s="38">
        <f>1*$B$110</f>
        <v>1.5</v>
      </c>
      <c r="I30" s="205">
        <f>(IF($R$1=1,$R$2,IF($R$1=2,$R$3,IF($R$1=3,$R$4,0))))*$E$3*$B$110</f>
        <v>0</v>
      </c>
      <c r="J30" s="33">
        <v>0</v>
      </c>
      <c r="K30" s="21">
        <f t="shared" si="4"/>
        <v>1.5</v>
      </c>
      <c r="L30" s="38">
        <f>1*$B$110</f>
        <v>1.5</v>
      </c>
      <c r="M30" s="205">
        <f>(IF($R$1=1,$R$2,IF($R$1=2,$R$3,IF($R$1=3,$R$4,0))))*$E$3*$B$110</f>
        <v>0</v>
      </c>
      <c r="N30" s="33">
        <v>0</v>
      </c>
      <c r="O30" s="21">
        <f t="shared" si="5"/>
        <v>1.5</v>
      </c>
      <c r="Q30" s="1991"/>
      <c r="R30" s="1991"/>
      <c r="S30" s="1991"/>
      <c r="T30" s="1991"/>
      <c r="U30" s="1991"/>
    </row>
    <row r="31" spans="1:21" x14ac:dyDescent="0.25">
      <c r="A31" s="1990" t="s">
        <v>9</v>
      </c>
      <c r="B31" s="19" t="s">
        <v>32</v>
      </c>
      <c r="C31" s="22"/>
      <c r="D31" s="124">
        <f>3+(0.5*$D$3)*(IF($R$1=1,$R$2,IF($R$1=2,$R$3,IF($R$1=3,$R$4,0))))*$B$108</f>
        <v>3</v>
      </c>
      <c r="E31" s="15">
        <v>0</v>
      </c>
      <c r="F31" s="123">
        <f>0.5*$F$3*$B$108</f>
        <v>0</v>
      </c>
      <c r="G31" s="21">
        <f t="shared" si="3"/>
        <v>3</v>
      </c>
      <c r="H31" s="124">
        <f>3+(0.5*$D$3)*(IF($R$1=1,$R$2,IF($R$1=2,$R$3,IF($R$1=3,$R$4,0))))*$B$108</f>
        <v>3</v>
      </c>
      <c r="I31" s="15">
        <v>0</v>
      </c>
      <c r="J31" s="123">
        <f>0.5*$F$3*$B$108</f>
        <v>0</v>
      </c>
      <c r="K31" s="21">
        <f t="shared" si="4"/>
        <v>3</v>
      </c>
      <c r="L31" s="124">
        <f>3+(0.5*$D$3)*(IF($R$1=1,$R$2,IF($R$1=2,$R$3,IF($R$1=3,$R$4,0))))*$B$108</f>
        <v>3</v>
      </c>
      <c r="M31" s="15">
        <v>0</v>
      </c>
      <c r="N31" s="123">
        <f>0.5*$F$3*$B$108</f>
        <v>0</v>
      </c>
      <c r="O31" s="21">
        <f t="shared" si="5"/>
        <v>3</v>
      </c>
    </row>
    <row r="32" spans="1:21" x14ac:dyDescent="0.25">
      <c r="A32" s="1990"/>
      <c r="B32" s="19" t="s">
        <v>33</v>
      </c>
      <c r="C32" s="22"/>
      <c r="D32" s="124">
        <f>3+(0.5*$D$3)*(IF($R$1=1,$R$2,IF($R$1=2,$R$3,IF($R$1=3,$R$4,0))))*$B$109</f>
        <v>3</v>
      </c>
      <c r="E32" s="15">
        <v>0</v>
      </c>
      <c r="F32" s="123">
        <f>0.5*$F$3*$B$109</f>
        <v>0</v>
      </c>
      <c r="G32" s="21">
        <f t="shared" si="3"/>
        <v>3</v>
      </c>
      <c r="H32" s="124">
        <f>3+(0.5*$D$3)*(IF($R$1=1,$R$2,IF($R$1=2,$R$3,IF($R$1=3,$R$4,0))))*$B$109</f>
        <v>3</v>
      </c>
      <c r="I32" s="15">
        <v>0</v>
      </c>
      <c r="J32" s="123">
        <f>0.5*$F$3*$B$109</f>
        <v>0</v>
      </c>
      <c r="K32" s="21">
        <f t="shared" si="4"/>
        <v>3</v>
      </c>
      <c r="L32" s="124">
        <f>3+(0.5*$D$3)*(IF($R$1=1,$R$2,IF($R$1=2,$R$3,IF($R$1=3,$R$4,0))))*$B$109</f>
        <v>3</v>
      </c>
      <c r="M32" s="15">
        <v>0</v>
      </c>
      <c r="N32" s="123">
        <f>0.5*$F$3*$B$109</f>
        <v>0</v>
      </c>
      <c r="O32" s="21">
        <f t="shared" si="5"/>
        <v>3</v>
      </c>
    </row>
    <row r="33" spans="1:21" x14ac:dyDescent="0.25">
      <c r="A33" s="1990"/>
      <c r="B33" s="19" t="s">
        <v>34</v>
      </c>
      <c r="C33" s="22"/>
      <c r="D33" s="124">
        <f>3+(0.5*$D$3)*(IF($R$1=1,$R$2,IF($R$1=2,$R$3,IF($R$1=3,$R$4,0))))*$B$110</f>
        <v>3</v>
      </c>
      <c r="E33" s="15">
        <v>0</v>
      </c>
      <c r="F33" s="123">
        <f>0.5*$F$3*$B$110</f>
        <v>0</v>
      </c>
      <c r="G33" s="21">
        <f t="shared" si="3"/>
        <v>3</v>
      </c>
      <c r="H33" s="124">
        <f>3+(0.5*$D$3)*(IF($R$1=1,$R$2,IF($R$1=2,$R$3,IF($R$1=3,$R$4,0))))*$B$110</f>
        <v>3</v>
      </c>
      <c r="I33" s="15">
        <v>0</v>
      </c>
      <c r="J33" s="123">
        <f>0.5*$F$3*$B$110</f>
        <v>0</v>
      </c>
      <c r="K33" s="21">
        <f t="shared" si="4"/>
        <v>3</v>
      </c>
      <c r="L33" s="124">
        <f>3+(0.5*$D$3)*(IF($R$1=1,$R$2,IF($R$1=2,$R$3,IF($R$1=3,$R$4,0))))*$B$110</f>
        <v>3</v>
      </c>
      <c r="M33" s="15">
        <v>0</v>
      </c>
      <c r="N33" s="123">
        <f>0.5*$F$3*$B$110</f>
        <v>0</v>
      </c>
      <c r="O33" s="21">
        <f t="shared" si="5"/>
        <v>3</v>
      </c>
    </row>
    <row r="34" spans="1:21" x14ac:dyDescent="0.25">
      <c r="A34" s="1990" t="s">
        <v>10</v>
      </c>
      <c r="B34" s="19" t="s">
        <v>32</v>
      </c>
      <c r="C34" s="22"/>
      <c r="D34" s="204">
        <f>2*(IF($R$1=1,$R$2,IF($R$1=2,$R$3,IF($R$1=3,$R$4,0))))*$B$108</f>
        <v>0.32000000000000006</v>
      </c>
      <c r="E34" s="15">
        <v>0</v>
      </c>
      <c r="F34" s="15">
        <v>0</v>
      </c>
      <c r="G34" s="21">
        <f t="shared" si="3"/>
        <v>0.32000000000000006</v>
      </c>
      <c r="H34" s="204">
        <f>2*(IF($R$1=1,$R$2,IF($R$1=2,$R$3,IF($R$1=3,$R$4,0))))*$B$108</f>
        <v>0.32000000000000006</v>
      </c>
      <c r="I34" s="15">
        <v>0</v>
      </c>
      <c r="J34" s="15">
        <v>0</v>
      </c>
      <c r="K34" s="21">
        <f t="shared" si="4"/>
        <v>0.32000000000000006</v>
      </c>
      <c r="L34" s="204">
        <f>2*(IF($R$1=1,$R$2,IF($R$1=2,$R$3,IF($R$1=3,$R$4,0))))*$B$108</f>
        <v>0.32000000000000006</v>
      </c>
      <c r="M34" s="15">
        <v>0</v>
      </c>
      <c r="N34" s="15">
        <v>0</v>
      </c>
      <c r="O34" s="21">
        <f t="shared" si="5"/>
        <v>0.32000000000000006</v>
      </c>
    </row>
    <row r="35" spans="1:21" x14ac:dyDescent="0.25">
      <c r="A35" s="1990"/>
      <c r="B35" s="19" t="s">
        <v>33</v>
      </c>
      <c r="C35" s="22"/>
      <c r="D35" s="204">
        <f>2*(IF($R$1=1,$R$2,IF($R$1=2,$R$3,IF($R$1=3,$R$4,0))))*$B$109</f>
        <v>0.4</v>
      </c>
      <c r="E35" s="15">
        <v>0</v>
      </c>
      <c r="F35" s="15">
        <v>0</v>
      </c>
      <c r="G35" s="21">
        <f t="shared" si="3"/>
        <v>0.4</v>
      </c>
      <c r="H35" s="204">
        <f>2*(IF($R$1=1,$R$2,IF($R$1=2,$R$3,IF($R$1=3,$R$4,0))))*$B$109</f>
        <v>0.4</v>
      </c>
      <c r="I35" s="15">
        <v>0</v>
      </c>
      <c r="J35" s="15">
        <v>0</v>
      </c>
      <c r="K35" s="21">
        <f t="shared" si="4"/>
        <v>0.4</v>
      </c>
      <c r="L35" s="204">
        <f>2*(IF($R$1=1,$R$2,IF($R$1=2,$R$3,IF($R$1=3,$R$4,0))))*$B$109</f>
        <v>0.4</v>
      </c>
      <c r="M35" s="15">
        <v>0</v>
      </c>
      <c r="N35" s="15">
        <v>0</v>
      </c>
      <c r="O35" s="21">
        <f t="shared" si="5"/>
        <v>0.4</v>
      </c>
    </row>
    <row r="36" spans="1:21" ht="15.75" thickBot="1" x14ac:dyDescent="0.3">
      <c r="A36" s="1992"/>
      <c r="B36" s="13" t="s">
        <v>34</v>
      </c>
      <c r="C36" s="34"/>
      <c r="D36" s="457">
        <f>2*(IF($R$1=1,$R$2,IF($R$1=2,$R$3,IF($R$1=3,$R$4,0))))*$B$110</f>
        <v>0.60000000000000009</v>
      </c>
      <c r="E36" s="399">
        <v>0</v>
      </c>
      <c r="F36" s="399">
        <v>0</v>
      </c>
      <c r="G36" s="77">
        <f t="shared" si="3"/>
        <v>0.60000000000000009</v>
      </c>
      <c r="H36" s="457">
        <f>2*(IF($R$1=1,$R$2,IF($R$1=2,$R$3,IF($R$1=3,$R$4,0))))*$B$110</f>
        <v>0.60000000000000009</v>
      </c>
      <c r="I36" s="399">
        <v>0</v>
      </c>
      <c r="J36" s="399">
        <v>0</v>
      </c>
      <c r="K36" s="77">
        <f t="shared" si="4"/>
        <v>0.60000000000000009</v>
      </c>
      <c r="L36" s="457">
        <f>2*(IF($R$1=1,$R$2,IF($R$1=2,$R$3,IF($R$1=3,$R$4,0))))*$B$110</f>
        <v>0.60000000000000009</v>
      </c>
      <c r="M36" s="399">
        <v>0</v>
      </c>
      <c r="N36" s="399">
        <v>0</v>
      </c>
      <c r="O36" s="77">
        <f t="shared" si="5"/>
        <v>0.60000000000000009</v>
      </c>
    </row>
    <row r="37" spans="1:21" ht="16.5" thickBot="1" x14ac:dyDescent="0.3">
      <c r="A37" s="330" t="s">
        <v>11</v>
      </c>
      <c r="B37" s="329"/>
      <c r="C37" s="329"/>
      <c r="D37" s="329"/>
      <c r="E37" s="329"/>
      <c r="F37" s="327"/>
      <c r="G37" s="327"/>
      <c r="H37" s="329"/>
      <c r="I37" s="329"/>
      <c r="J37" s="327"/>
      <c r="K37" s="327"/>
      <c r="L37" s="329"/>
      <c r="M37" s="329"/>
      <c r="N37" s="327"/>
      <c r="O37" s="396"/>
    </row>
    <row r="38" spans="1:21" x14ac:dyDescent="0.25">
      <c r="A38" s="1907" t="s">
        <v>12</v>
      </c>
      <c r="B38" s="404" t="s">
        <v>32</v>
      </c>
      <c r="C38" s="324"/>
      <c r="D38" s="458">
        <f>8*(IF($R$1=1,$R$2,IF($R$1=2,$R$3,IF($R$1=3,$R$4,0))))*$B$108</f>
        <v>1.2800000000000002</v>
      </c>
      <c r="E38" s="455">
        <f>(IF($R$1=1,$R$2,IF($R$1=2,$R$3,IF($R$1=3,$R$4,0))))*$E$3*2*$B$108</f>
        <v>0</v>
      </c>
      <c r="F38" s="414">
        <f>IF($F$3&gt;0,1,0)*$B$108</f>
        <v>0</v>
      </c>
      <c r="G38" s="230">
        <f xml:space="preserve"> SUM(D38:F38) + $C38</f>
        <v>1.2800000000000002</v>
      </c>
      <c r="H38" s="458">
        <f>8*(IF($R$1=1,$R$2,IF($R$1=2,$R$3,IF($R$1=3,$R$4,0))))*$B$108</f>
        <v>1.2800000000000002</v>
      </c>
      <c r="I38" s="455">
        <f>(IF($R$1=1,$R$2,IF($R$1=2,$R$3,IF($R$1=3,$R$4,0))))*$E$3*2*$B$108</f>
        <v>0</v>
      </c>
      <c r="J38" s="414">
        <f>IF($F$3&gt;0,1,0)*$B$108</f>
        <v>0</v>
      </c>
      <c r="K38" s="230">
        <f xml:space="preserve"> SUM(H38:J38) + $C38</f>
        <v>1.2800000000000002</v>
      </c>
      <c r="L38" s="458">
        <f>8*(IF($R$1=1,$R$2,IF($R$1=2,$R$3,IF($R$1=3,$R$4,0))))*$B$108</f>
        <v>1.2800000000000002</v>
      </c>
      <c r="M38" s="455">
        <f>(IF($R$1=1,$R$2,IF($R$1=2,$R$3,IF($R$1=3,$R$4,0))))*$E$3*2*$B$108</f>
        <v>0</v>
      </c>
      <c r="N38" s="414">
        <f>IF($F$3&gt;0,1,0)*$B$108</f>
        <v>0</v>
      </c>
      <c r="O38" s="230">
        <f xml:space="preserve"> SUM(L38:N38) + $C38</f>
        <v>1.2800000000000002</v>
      </c>
      <c r="P38" t="s">
        <v>191</v>
      </c>
      <c r="Q38" t="s">
        <v>192</v>
      </c>
    </row>
    <row r="39" spans="1:21" x14ac:dyDescent="0.25">
      <c r="A39" s="1907"/>
      <c r="B39" s="19" t="s">
        <v>33</v>
      </c>
      <c r="C39" s="22"/>
      <c r="D39" s="225">
        <f>8*(IF($R$1=1,$R$2,IF($R$1=2,$R$3,IF($R$1=3,$R$4,0))))*$B$109</f>
        <v>1.6</v>
      </c>
      <c r="E39" s="205">
        <f>(IF($R$1=1,$R$2,IF($R$1=2,$R$3,IF($R$1=3,$R$4,0))))*$E$3*2*$B$109</f>
        <v>0</v>
      </c>
      <c r="F39" s="188">
        <f>IF($F$3&gt;0,1,0)*$B$109</f>
        <v>0</v>
      </c>
      <c r="G39" s="21">
        <f xml:space="preserve"> SUM(D39:F39) + $C39</f>
        <v>1.6</v>
      </c>
      <c r="H39" s="225">
        <f>8*(IF($R$1=1,$R$2,IF($R$1=2,$R$3,IF($R$1=3,$R$4,0))))*$B$109</f>
        <v>1.6</v>
      </c>
      <c r="I39" s="205">
        <f>(IF($R$1=1,$R$2,IF($R$1=2,$R$3,IF($R$1=3,$R$4,0))))*$E$3*2*$B$109</f>
        <v>0</v>
      </c>
      <c r="J39" s="188">
        <f>IF($F$3&gt;0,1,0)*$B$109</f>
        <v>0</v>
      </c>
      <c r="K39" s="21">
        <f xml:space="preserve"> SUM(H39:J39) + $C39</f>
        <v>1.6</v>
      </c>
      <c r="L39" s="225">
        <f>8*(IF($R$1=1,$R$2,IF($R$1=2,$R$3,IF($R$1=3,$R$4,0))))*$B$109</f>
        <v>1.6</v>
      </c>
      <c r="M39" s="205">
        <f>(IF($R$1=1,$R$2,IF($R$1=2,$R$3,IF($R$1=3,$R$4,0))))*$E$3*2*$B$109</f>
        <v>0</v>
      </c>
      <c r="N39" s="188">
        <f>IF($F$3&gt;0,1,0)*$B$109</f>
        <v>0</v>
      </c>
      <c r="O39" s="21">
        <f xml:space="preserve"> SUM(L39:N39) + $C39</f>
        <v>1.6</v>
      </c>
      <c r="P39" t="s">
        <v>191</v>
      </c>
    </row>
    <row r="40" spans="1:21" ht="15.75" thickBot="1" x14ac:dyDescent="0.3">
      <c r="A40" s="1907"/>
      <c r="B40" s="13" t="s">
        <v>34</v>
      </c>
      <c r="C40" s="34"/>
      <c r="D40" s="459">
        <f>8*(IF($R$1=1,$R$2,IF($R$1=2,$R$3,IF($R$1=3,$R$4,0))))*$B$110</f>
        <v>2.4000000000000004</v>
      </c>
      <c r="E40" s="456">
        <f>(IF($R$1=1,$R$2,IF($R$1=2,$R$3,IF($R$1=3,$R$4,0))))*$E$3*2*$B$110</f>
        <v>0</v>
      </c>
      <c r="F40" s="416">
        <f>IF($F$3&gt;0,1,0)*$B$110</f>
        <v>0</v>
      </c>
      <c r="G40" s="77">
        <f xml:space="preserve"> SUM(D40:F40) + $C40</f>
        <v>2.4000000000000004</v>
      </c>
      <c r="H40" s="459">
        <f>8*(IF($R$1=1,$R$2,IF($R$1=2,$R$3,IF($R$1=3,$R$4,0))))*$B$110</f>
        <v>2.4000000000000004</v>
      </c>
      <c r="I40" s="456">
        <f>(IF($R$1=1,$R$2,IF($R$1=2,$R$3,IF($R$1=3,$R$4,0))))*$E$3*2*$B$110</f>
        <v>0</v>
      </c>
      <c r="J40" s="416">
        <f>IF($F$3&gt;0,1,0)*$B$110</f>
        <v>0</v>
      </c>
      <c r="K40" s="77">
        <f xml:space="preserve"> SUM(H40:J40) + $C40</f>
        <v>2.4000000000000004</v>
      </c>
      <c r="L40" s="459">
        <f>8*(IF($R$1=1,$R$2,IF($R$1=2,$R$3,IF($R$1=3,$R$4,0))))*$B$110</f>
        <v>2.4000000000000004</v>
      </c>
      <c r="M40" s="456">
        <f>(IF($R$1=1,$R$2,IF($R$1=2,$R$3,IF($R$1=3,$R$4,0))))*$E$3*2*$B$110</f>
        <v>0</v>
      </c>
      <c r="N40" s="416">
        <f>IF($F$3&gt;0,1,0)*$B$110</f>
        <v>0</v>
      </c>
      <c r="O40" s="77">
        <f xml:space="preserve"> SUM(L40:N40) + $C40</f>
        <v>2.4000000000000004</v>
      </c>
      <c r="P40" t="s">
        <v>191</v>
      </c>
    </row>
    <row r="41" spans="1:21" ht="16.5" thickBot="1" x14ac:dyDescent="0.3">
      <c r="A41" s="330" t="s">
        <v>13</v>
      </c>
      <c r="B41" s="329"/>
      <c r="C41" s="329"/>
      <c r="D41" s="329"/>
      <c r="E41" s="329"/>
      <c r="F41" s="327"/>
      <c r="G41" s="327"/>
      <c r="H41" s="329"/>
      <c r="I41" s="329"/>
      <c r="J41" s="327"/>
      <c r="K41" s="327"/>
      <c r="L41" s="329"/>
      <c r="M41" s="329"/>
      <c r="N41" s="327"/>
      <c r="O41" s="396"/>
    </row>
    <row r="42" spans="1:21" x14ac:dyDescent="0.25">
      <c r="A42" s="1907" t="s">
        <v>14</v>
      </c>
      <c r="B42" s="404" t="s">
        <v>32</v>
      </c>
      <c r="C42" s="324"/>
      <c r="D42" s="460">
        <f>2*(IF($R$1=1,$R$2,IF($R$1=2,$R$3,IF($R$1=3,$R$4,0))))*$B$108</f>
        <v>0.32000000000000006</v>
      </c>
      <c r="E42" s="400">
        <v>0</v>
      </c>
      <c r="F42" s="412">
        <v>0</v>
      </c>
      <c r="G42" s="230">
        <f t="shared" ref="G42:G77" si="6" xml:space="preserve"> SUM(D42:F42) + $C42</f>
        <v>0.32000000000000006</v>
      </c>
      <c r="H42" s="460">
        <f>2*(IF($R$1=1,$R$2,IF($R$1=2,$R$3,IF($R$1=3,$R$4,0))))*$B$108</f>
        <v>0.32000000000000006</v>
      </c>
      <c r="I42" s="400">
        <v>0</v>
      </c>
      <c r="J42" s="412">
        <v>0</v>
      </c>
      <c r="K42" s="230">
        <f t="shared" ref="K42:K86" si="7" xml:space="preserve"> SUM(H42:J42) + $C42</f>
        <v>0.32000000000000006</v>
      </c>
      <c r="L42" s="460">
        <f>2*(IF($R$1=1,$R$2,IF($R$1=2,$R$3,IF($R$1=3,$R$4,0))))*$B$108</f>
        <v>0.32000000000000006</v>
      </c>
      <c r="M42" s="400">
        <v>0</v>
      </c>
      <c r="N42" s="412">
        <v>0</v>
      </c>
      <c r="O42" s="230">
        <f t="shared" ref="O42:O86" si="8" xml:space="preserve"> SUM(L42:N42) + $C42</f>
        <v>0.32000000000000006</v>
      </c>
    </row>
    <row r="43" spans="1:21" x14ac:dyDescent="0.25">
      <c r="A43" s="1907"/>
      <c r="B43" s="19" t="s">
        <v>33</v>
      </c>
      <c r="C43" s="22"/>
      <c r="D43" s="226">
        <f>2*(IF($R$1=1,$R$2,IF($R$1=2,$R$3,IF($R$1=3,$R$4,0))))*$B$109</f>
        <v>0.4</v>
      </c>
      <c r="E43" s="15">
        <v>0</v>
      </c>
      <c r="F43" s="193">
        <v>0</v>
      </c>
      <c r="G43" s="21">
        <f t="shared" si="6"/>
        <v>0.4</v>
      </c>
      <c r="H43" s="226">
        <f>2*(IF($R$1=1,$R$2,IF($R$1=2,$R$3,IF($R$1=3,$R$4,0))))*$B$109</f>
        <v>0.4</v>
      </c>
      <c r="I43" s="15">
        <v>0</v>
      </c>
      <c r="J43" s="193">
        <v>0</v>
      </c>
      <c r="K43" s="21">
        <f t="shared" si="7"/>
        <v>0.4</v>
      </c>
      <c r="L43" s="226">
        <f>2*(IF($R$1=1,$R$2,IF($R$1=2,$R$3,IF($R$1=3,$R$4,0))))*$B$109</f>
        <v>0.4</v>
      </c>
      <c r="M43" s="15">
        <v>0</v>
      </c>
      <c r="N43" s="193">
        <v>0</v>
      </c>
      <c r="O43" s="21">
        <f t="shared" si="8"/>
        <v>0.4</v>
      </c>
    </row>
    <row r="44" spans="1:21" x14ac:dyDescent="0.25">
      <c r="A44" s="1907"/>
      <c r="B44" s="19" t="s">
        <v>34</v>
      </c>
      <c r="C44" s="22"/>
      <c r="D44" s="226">
        <f>2*(IF($R$1=1,$R$2,IF($R$1=2,$R$3,IF($R$1=3,$R$4,0))))*$B$110</f>
        <v>0.60000000000000009</v>
      </c>
      <c r="E44" s="15">
        <v>0</v>
      </c>
      <c r="F44" s="193">
        <v>0</v>
      </c>
      <c r="G44" s="21">
        <f t="shared" si="6"/>
        <v>0.60000000000000009</v>
      </c>
      <c r="H44" s="226">
        <f>2*(IF($R$1=1,$R$2,IF($R$1=2,$R$3,IF($R$1=3,$R$4,0))))*$B$110</f>
        <v>0.60000000000000009</v>
      </c>
      <c r="I44" s="15">
        <v>0</v>
      </c>
      <c r="J44" s="193">
        <v>0</v>
      </c>
      <c r="K44" s="21">
        <f t="shared" si="7"/>
        <v>0.60000000000000009</v>
      </c>
      <c r="L44" s="226">
        <f>2*(IF($R$1=1,$R$2,IF($R$1=2,$R$3,IF($R$1=3,$R$4,0))))*$B$110</f>
        <v>0.60000000000000009</v>
      </c>
      <c r="M44" s="15">
        <v>0</v>
      </c>
      <c r="N44" s="193">
        <v>0</v>
      </c>
      <c r="O44" s="21">
        <f t="shared" si="8"/>
        <v>0.60000000000000009</v>
      </c>
    </row>
    <row r="45" spans="1:21" x14ac:dyDescent="0.25">
      <c r="A45" s="1974" t="s">
        <v>15</v>
      </c>
      <c r="B45" s="19" t="s">
        <v>32</v>
      </c>
      <c r="C45" s="22"/>
      <c r="D45" s="190">
        <v>0</v>
      </c>
      <c r="E45" s="205">
        <f>(IF($R$1=1,$R$2,IF($R$1=2,$R$3,IF($R$1=3,$R$4,0))))*$E$3*2*$B$108</f>
        <v>0</v>
      </c>
      <c r="F45" s="189">
        <f>IF($F$3&gt;0,1,0)*$B$108</f>
        <v>0</v>
      </c>
      <c r="G45" s="21">
        <f t="shared" si="6"/>
        <v>0</v>
      </c>
      <c r="H45" s="190">
        <v>0</v>
      </c>
      <c r="I45" s="205">
        <f>(IF($R$1=1,$R$2,IF($R$1=2,$R$3,IF($R$1=3,$R$4,0))))*$E$3*2*$B$108</f>
        <v>0</v>
      </c>
      <c r="J45" s="189">
        <f>IF($F$3&gt;0,1,0)*$B$108</f>
        <v>0</v>
      </c>
      <c r="K45" s="21">
        <f t="shared" si="7"/>
        <v>0</v>
      </c>
      <c r="L45" s="190">
        <v>0</v>
      </c>
      <c r="M45" s="205">
        <f>(IF($R$1=1,$R$2,IF($R$1=2,$R$3,IF($R$1=3,$R$4,0))))*$E$3*2*$B$108</f>
        <v>0</v>
      </c>
      <c r="N45" s="189">
        <f>IF($F$3&gt;0,1,0)*$B$108</f>
        <v>0</v>
      </c>
      <c r="O45" s="21">
        <f t="shared" si="8"/>
        <v>0</v>
      </c>
      <c r="P45" t="s">
        <v>191</v>
      </c>
      <c r="Q45" s="1991" t="s">
        <v>195</v>
      </c>
      <c r="R45" s="1991"/>
      <c r="S45" s="1991"/>
      <c r="T45" s="1991"/>
      <c r="U45" s="1991"/>
    </row>
    <row r="46" spans="1:21" x14ac:dyDescent="0.25">
      <c r="A46" s="1974"/>
      <c r="B46" s="19" t="s">
        <v>33</v>
      </c>
      <c r="C46" s="22"/>
      <c r="D46" s="190">
        <v>0</v>
      </c>
      <c r="E46" s="205">
        <f>(IF($R$1=1,$R$2,IF($R$1=2,$R$3,IF($R$1=3,$R$4,0))))*$E$3*2*$B$109</f>
        <v>0</v>
      </c>
      <c r="F46" s="189">
        <f>IF($F$3&gt;0,1,0)*$B$109</f>
        <v>0</v>
      </c>
      <c r="G46" s="21">
        <f t="shared" si="6"/>
        <v>0</v>
      </c>
      <c r="H46" s="190">
        <v>0</v>
      </c>
      <c r="I46" s="205">
        <f>(IF($R$1=1,$R$2,IF($R$1=2,$R$3,IF($R$1=3,$R$4,0))))*$E$3*2*$B$109</f>
        <v>0</v>
      </c>
      <c r="J46" s="189">
        <f>IF($F$3&gt;0,1,0)*$B$109</f>
        <v>0</v>
      </c>
      <c r="K46" s="21">
        <f t="shared" si="7"/>
        <v>0</v>
      </c>
      <c r="L46" s="190">
        <v>0</v>
      </c>
      <c r="M46" s="205">
        <f>(IF($R$1=1,$R$2,IF($R$1=2,$R$3,IF($R$1=3,$R$4,0))))*$E$3*2*$B$109</f>
        <v>0</v>
      </c>
      <c r="N46" s="189">
        <f>IF($F$3&gt;0,1,0)*$B$109</f>
        <v>0</v>
      </c>
      <c r="O46" s="21">
        <f t="shared" si="8"/>
        <v>0</v>
      </c>
      <c r="P46" t="s">
        <v>191</v>
      </c>
      <c r="Q46" s="1991"/>
      <c r="R46" s="1991"/>
      <c r="S46" s="1991"/>
      <c r="T46" s="1991"/>
      <c r="U46" s="1991"/>
    </row>
    <row r="47" spans="1:21" x14ac:dyDescent="0.25">
      <c r="A47" s="1974"/>
      <c r="B47" s="19" t="s">
        <v>34</v>
      </c>
      <c r="C47" s="22"/>
      <c r="D47" s="190">
        <v>0</v>
      </c>
      <c r="E47" s="205">
        <f>(IF($R$1=1,$R$2,IF($R$1=2,$R$3,IF($R$1=3,$R$4,0))))*$E$3*2*$B$110</f>
        <v>0</v>
      </c>
      <c r="F47" s="189">
        <f>IF($F$3&gt;0,1,0)*$B$110</f>
        <v>0</v>
      </c>
      <c r="G47" s="21">
        <f t="shared" si="6"/>
        <v>0</v>
      </c>
      <c r="H47" s="190">
        <v>0</v>
      </c>
      <c r="I47" s="205">
        <f>(IF($R$1=1,$R$2,IF($R$1=2,$R$3,IF($R$1=3,$R$4,0))))*$E$3*2*$B$110</f>
        <v>0</v>
      </c>
      <c r="J47" s="189">
        <f>IF($F$3&gt;0,1,0)*$B$110</f>
        <v>0</v>
      </c>
      <c r="K47" s="21">
        <f t="shared" si="7"/>
        <v>0</v>
      </c>
      <c r="L47" s="190">
        <v>0</v>
      </c>
      <c r="M47" s="205">
        <f>(IF($R$1=1,$R$2,IF($R$1=2,$R$3,IF($R$1=3,$R$4,0))))*$E$3*2*$B$110</f>
        <v>0</v>
      </c>
      <c r="N47" s="189">
        <f>IF($F$3&gt;0,1,0)*$B$110</f>
        <v>0</v>
      </c>
      <c r="O47" s="21">
        <f t="shared" si="8"/>
        <v>0</v>
      </c>
      <c r="P47" t="s">
        <v>191</v>
      </c>
      <c r="Q47" s="1991"/>
      <c r="R47" s="1991"/>
      <c r="S47" s="1991"/>
      <c r="T47" s="1991"/>
      <c r="U47" s="1991"/>
    </row>
    <row r="48" spans="1:21" x14ac:dyDescent="0.25">
      <c r="A48" s="1974" t="s">
        <v>16</v>
      </c>
      <c r="B48" s="19" t="s">
        <v>32</v>
      </c>
      <c r="C48" s="22"/>
      <c r="D48" s="227">
        <f>1*$D$3+(0.5*$E$3)*(IF($R$1=1,$R$2,IF($R$1=2,$R$3,IF($R$1=3,$R$4,0))))*$B$108*(1/3)</f>
        <v>0</v>
      </c>
      <c r="E48" s="15">
        <v>0</v>
      </c>
      <c r="F48" s="228">
        <f>0.5*$F$3*$B$108*(1/3)</f>
        <v>0</v>
      </c>
      <c r="G48" s="21">
        <f t="shared" si="6"/>
        <v>0</v>
      </c>
      <c r="H48" s="227">
        <f>1*$D$3+(0.5*$E$3)*(IF($R$1=1,$R$2,IF($R$1=2,$R$3,IF($R$1=3,$R$4,0))))*$B$108*(1/3)</f>
        <v>0</v>
      </c>
      <c r="I48" s="15">
        <v>0</v>
      </c>
      <c r="J48" s="228">
        <f>0.5*$F$3*$B$108*(1/3)</f>
        <v>0</v>
      </c>
      <c r="K48" s="21">
        <f t="shared" si="7"/>
        <v>0</v>
      </c>
      <c r="L48" s="227">
        <f>1*$D$3+(0.5*$E$3)*(IF($R$1=1,$R$2,IF($R$1=2,$R$3,IF($R$1=3,$R$4,0))))*$B$108*(1/3)</f>
        <v>0</v>
      </c>
      <c r="M48" s="15">
        <v>0</v>
      </c>
      <c r="N48" s="228">
        <f>0.5*$F$3*$B$108*(1/3)</f>
        <v>0</v>
      </c>
      <c r="O48" s="21">
        <f t="shared" si="8"/>
        <v>0</v>
      </c>
    </row>
    <row r="49" spans="1:17" x14ac:dyDescent="0.25">
      <c r="A49" s="1974"/>
      <c r="B49" s="19" t="s">
        <v>33</v>
      </c>
      <c r="C49" s="22"/>
      <c r="D49" s="227">
        <f>1*$D$3+(0.5*$E$3)*(IF($R$1=1,$R$2,IF($R$1=2,$R$3,IF($R$1=3,$R$4,0))))*$B$109*(1/3)</f>
        <v>0</v>
      </c>
      <c r="E49" s="15">
        <v>0</v>
      </c>
      <c r="F49" s="228">
        <f>0.5*$F$3*$B$109*(1/3)</f>
        <v>0</v>
      </c>
      <c r="G49" s="21">
        <f t="shared" si="6"/>
        <v>0</v>
      </c>
      <c r="H49" s="227">
        <f>1*$D$3+(0.5*$E$3)*(IF($R$1=1,$R$2,IF($R$1=2,$R$3,IF($R$1=3,$R$4,0))))*$B$109*(1/3)</f>
        <v>0</v>
      </c>
      <c r="I49" s="15">
        <v>0</v>
      </c>
      <c r="J49" s="228">
        <f>0.5*$F$3*$B$109*(1/3)</f>
        <v>0</v>
      </c>
      <c r="K49" s="21">
        <f t="shared" si="7"/>
        <v>0</v>
      </c>
      <c r="L49" s="227">
        <f>1*$D$3+(0.5*$E$3)*(IF($R$1=1,$R$2,IF($R$1=2,$R$3,IF($R$1=3,$R$4,0))))*$B$109*(1/3)</f>
        <v>0</v>
      </c>
      <c r="M49" s="15">
        <v>0</v>
      </c>
      <c r="N49" s="228">
        <f>0.5*$F$3*$B$109*(1/3)</f>
        <v>0</v>
      </c>
      <c r="O49" s="21">
        <f t="shared" si="8"/>
        <v>0</v>
      </c>
    </row>
    <row r="50" spans="1:17" x14ac:dyDescent="0.25">
      <c r="A50" s="1974"/>
      <c r="B50" s="19" t="s">
        <v>34</v>
      </c>
      <c r="C50" s="22"/>
      <c r="D50" s="227">
        <f>1*$D$3+(0.5*$E$3)*(IF($R$1=1,$R$2,IF($R$1=2,$R$3,IF($R$1=3,$R$4,0))))*$B$110*(1/3)</f>
        <v>0</v>
      </c>
      <c r="E50" s="15">
        <v>0</v>
      </c>
      <c r="F50" s="228">
        <f>0.5*$F$3*$B$110*(1/3)</f>
        <v>0</v>
      </c>
      <c r="G50" s="21">
        <f t="shared" si="6"/>
        <v>0</v>
      </c>
      <c r="H50" s="227">
        <f>1*$D$3+(0.5*$E$3)*(IF($R$1=1,$R$2,IF($R$1=2,$R$3,IF($R$1=3,$R$4,0))))*$B$110*(1/3)</f>
        <v>0</v>
      </c>
      <c r="I50" s="15">
        <v>0</v>
      </c>
      <c r="J50" s="228">
        <f>0.5*$F$3*$B$110*(1/3)</f>
        <v>0</v>
      </c>
      <c r="K50" s="21">
        <f t="shared" si="7"/>
        <v>0</v>
      </c>
      <c r="L50" s="227">
        <f>1*$D$3+(0.5*$E$3)*(IF($R$1=1,$R$2,IF($R$1=2,$R$3,IF($R$1=3,$R$4,0))))*$B$110*(1/3)</f>
        <v>0</v>
      </c>
      <c r="M50" s="15">
        <v>0</v>
      </c>
      <c r="N50" s="228">
        <f>0.5*$F$3*$B$110*(1/3)</f>
        <v>0</v>
      </c>
      <c r="O50" s="21">
        <f t="shared" si="8"/>
        <v>0</v>
      </c>
    </row>
    <row r="51" spans="1:17" x14ac:dyDescent="0.25">
      <c r="A51" s="1974" t="s">
        <v>17</v>
      </c>
      <c r="B51" s="19" t="s">
        <v>32</v>
      </c>
      <c r="C51" s="22"/>
      <c r="D51" s="227">
        <f>1*$D$3+(0.5*$E$3)*(IF($R$1=1,$R$2,IF($R$1=2,$R$3,IF($R$1=3,$R$4,0))))*$B$108</f>
        <v>0</v>
      </c>
      <c r="E51" s="15">
        <v>0</v>
      </c>
      <c r="F51" s="229">
        <f>0.5*$F$3*$B$108</f>
        <v>0</v>
      </c>
      <c r="G51" s="21">
        <f t="shared" si="6"/>
        <v>0</v>
      </c>
      <c r="H51" s="227">
        <f>1*$D$3+(0.5*$E$3)*(IF($R$1=1,$R$2,IF($R$1=2,$R$3,IF($R$1=3,$R$4,0))))*$B$108</f>
        <v>0</v>
      </c>
      <c r="I51" s="15">
        <v>0</v>
      </c>
      <c r="J51" s="229">
        <f>0.5*$F$3*$B$108</f>
        <v>0</v>
      </c>
      <c r="K51" s="21">
        <f t="shared" si="7"/>
        <v>0</v>
      </c>
      <c r="L51" s="227">
        <f>1*$D$3+(0.5*$E$3)*(IF($R$1=1,$R$2,IF($R$1=2,$R$3,IF($R$1=3,$R$4,0))))*$B$108</f>
        <v>0</v>
      </c>
      <c r="M51" s="15">
        <v>0</v>
      </c>
      <c r="N51" s="229">
        <f>0.5*$F$3*$B$108</f>
        <v>0</v>
      </c>
      <c r="O51" s="21">
        <f t="shared" si="8"/>
        <v>0</v>
      </c>
    </row>
    <row r="52" spans="1:17" x14ac:dyDescent="0.25">
      <c r="A52" s="1974"/>
      <c r="B52" s="19" t="s">
        <v>33</v>
      </c>
      <c r="C52" s="22"/>
      <c r="D52" s="227">
        <f>1*$D$3+(0.5*$E$3)*(IF($R$1=1,$R$2,IF($R$1=2,$R$3,IF($R$1=3,$R$4,0))))*$B$109</f>
        <v>0</v>
      </c>
      <c r="E52" s="15">
        <v>0</v>
      </c>
      <c r="F52" s="229">
        <f>0.5*$F$3*$B$109</f>
        <v>0</v>
      </c>
      <c r="G52" s="21">
        <f t="shared" si="6"/>
        <v>0</v>
      </c>
      <c r="H52" s="227">
        <f>1*$D$3+(0.5*$E$3)*(IF($R$1=1,$R$2,IF($R$1=2,$R$3,IF($R$1=3,$R$4,0))))*$B$109</f>
        <v>0</v>
      </c>
      <c r="I52" s="15">
        <v>0</v>
      </c>
      <c r="J52" s="229">
        <f>0.5*$F$3*$B$109</f>
        <v>0</v>
      </c>
      <c r="K52" s="21">
        <f t="shared" si="7"/>
        <v>0</v>
      </c>
      <c r="L52" s="227">
        <f>1*$D$3+(0.5*$E$3)*(IF($R$1=1,$R$2,IF($R$1=2,$R$3,IF($R$1=3,$R$4,0))))*$B$109</f>
        <v>0</v>
      </c>
      <c r="M52" s="15">
        <v>0</v>
      </c>
      <c r="N52" s="229">
        <f>0.5*$F$3*$B$109</f>
        <v>0</v>
      </c>
      <c r="O52" s="21">
        <f t="shared" si="8"/>
        <v>0</v>
      </c>
    </row>
    <row r="53" spans="1:17" x14ac:dyDescent="0.25">
      <c r="A53" s="1974"/>
      <c r="B53" s="19" t="s">
        <v>34</v>
      </c>
      <c r="C53" s="22"/>
      <c r="D53" s="227">
        <f>1*$D$3+(0.5*$E$3)*$B$110</f>
        <v>0</v>
      </c>
      <c r="E53" s="15">
        <v>0</v>
      </c>
      <c r="F53" s="229">
        <f>0.5*$F$3*$B$110</f>
        <v>0</v>
      </c>
      <c r="G53" s="21">
        <f t="shared" si="6"/>
        <v>0</v>
      </c>
      <c r="H53" s="227">
        <f>1*$D$3+(0.5*$E$3)*$B$110</f>
        <v>0</v>
      </c>
      <c r="I53" s="15">
        <v>0</v>
      </c>
      <c r="J53" s="229">
        <f>0.5*$F$3*$B$110</f>
        <v>0</v>
      </c>
      <c r="K53" s="21">
        <f t="shared" si="7"/>
        <v>0</v>
      </c>
      <c r="L53" s="227">
        <f>1*$D$3+(0.5*$E$3)*$B$110</f>
        <v>0</v>
      </c>
      <c r="M53" s="15">
        <v>0</v>
      </c>
      <c r="N53" s="229">
        <f>0.5*$F$3*$B$110</f>
        <v>0</v>
      </c>
      <c r="O53" s="21">
        <f t="shared" si="8"/>
        <v>0</v>
      </c>
    </row>
    <row r="54" spans="1:17" x14ac:dyDescent="0.25">
      <c r="A54" s="1974" t="s">
        <v>194</v>
      </c>
      <c r="B54" s="19" t="s">
        <v>32</v>
      </c>
      <c r="C54" s="22"/>
      <c r="D54" s="227">
        <f>1*$D$3*(IF($R$1=1,$R$2,IF($R$1=2,$R$3,IF($R$1=3,$R$4,0))))*$B$108*(1/2)</f>
        <v>0</v>
      </c>
      <c r="E54" s="15">
        <v>0</v>
      </c>
      <c r="F54" s="193">
        <v>0</v>
      </c>
      <c r="G54" s="21">
        <f t="shared" si="6"/>
        <v>0</v>
      </c>
      <c r="H54" s="227">
        <f>1*$D$3*(IF($R$1=1,$R$2,IF($R$1=2,$R$3,IF($R$1=3,$R$4,0))))*$B$108*(1/2)</f>
        <v>0</v>
      </c>
      <c r="I54" s="15">
        <v>0</v>
      </c>
      <c r="J54" s="193">
        <v>0</v>
      </c>
      <c r="K54" s="21">
        <f t="shared" si="7"/>
        <v>0</v>
      </c>
      <c r="L54" s="227">
        <f>1*$D$3*(IF($R$1=1,$R$2,IF($R$1=2,$R$3,IF($R$1=3,$R$4,0))))*$B$108*(1/2)</f>
        <v>0</v>
      </c>
      <c r="M54" s="15">
        <v>0</v>
      </c>
      <c r="N54" s="193">
        <v>0</v>
      </c>
      <c r="O54" s="21">
        <f t="shared" si="8"/>
        <v>0</v>
      </c>
    </row>
    <row r="55" spans="1:17" x14ac:dyDescent="0.25">
      <c r="A55" s="1974"/>
      <c r="B55" s="19" t="s">
        <v>33</v>
      </c>
      <c r="C55" s="22"/>
      <c r="D55" s="227">
        <f>1*$D$3*(IF($R$1=1,$R$2,IF($R$1=2,$R$3,IF($R$1=3,$R$4,0))))*$B$109*(1/2)</f>
        <v>0</v>
      </c>
      <c r="E55" s="15">
        <v>0</v>
      </c>
      <c r="F55" s="193">
        <v>0</v>
      </c>
      <c r="G55" s="21">
        <f t="shared" si="6"/>
        <v>0</v>
      </c>
      <c r="H55" s="227">
        <f>1*$D$3*(IF($R$1=1,$R$2,IF($R$1=2,$R$3,IF($R$1=3,$R$4,0))))*$B$109*(1/2)</f>
        <v>0</v>
      </c>
      <c r="I55" s="15">
        <v>0</v>
      </c>
      <c r="J55" s="193">
        <v>0</v>
      </c>
      <c r="K55" s="21">
        <f t="shared" si="7"/>
        <v>0</v>
      </c>
      <c r="L55" s="227">
        <f>1*$D$3*(IF($R$1=1,$R$2,IF($R$1=2,$R$3,IF($R$1=3,$R$4,0))))*$B$109*(1/2)</f>
        <v>0</v>
      </c>
      <c r="M55" s="15">
        <v>0</v>
      </c>
      <c r="N55" s="193">
        <v>0</v>
      </c>
      <c r="O55" s="21">
        <f t="shared" si="8"/>
        <v>0</v>
      </c>
    </row>
    <row r="56" spans="1:17" x14ac:dyDescent="0.25">
      <c r="A56" s="1974"/>
      <c r="B56" s="19" t="s">
        <v>34</v>
      </c>
      <c r="C56" s="22"/>
      <c r="D56" s="227">
        <f>1*$D$3*(IF($R$1=1,$R$2,IF($R$1=2,$R$3,IF($R$1=3,$R$4,0))))*$B$110*(1/2)</f>
        <v>0</v>
      </c>
      <c r="E56" s="15">
        <v>0</v>
      </c>
      <c r="F56" s="193">
        <v>0</v>
      </c>
      <c r="G56" s="21">
        <f t="shared" si="6"/>
        <v>0</v>
      </c>
      <c r="H56" s="227">
        <f>1*$D$3*(IF($R$1=1,$R$2,IF($R$1=2,$R$3,IF($R$1=3,$R$4,0))))*$B$110*(1/2)</f>
        <v>0</v>
      </c>
      <c r="I56" s="15">
        <v>0</v>
      </c>
      <c r="J56" s="193">
        <v>0</v>
      </c>
      <c r="K56" s="21">
        <f t="shared" si="7"/>
        <v>0</v>
      </c>
      <c r="L56" s="227">
        <f>1*$D$3*(IF($R$1=1,$R$2,IF($R$1=2,$R$3,IF($R$1=3,$R$4,0))))*$B$110*(1/2)</f>
        <v>0</v>
      </c>
      <c r="M56" s="15">
        <v>0</v>
      </c>
      <c r="N56" s="193">
        <v>0</v>
      </c>
      <c r="O56" s="21">
        <f t="shared" si="8"/>
        <v>0</v>
      </c>
    </row>
    <row r="57" spans="1:17" x14ac:dyDescent="0.25">
      <c r="A57" s="1974" t="s">
        <v>19</v>
      </c>
      <c r="B57" s="19" t="s">
        <v>32</v>
      </c>
      <c r="C57" s="22"/>
      <c r="D57" s="226">
        <f>2*(IF($R$1=1,$R$2,IF($R$1=2,$R$3,IF($R$1=3,$R$4,0))))*$B$108</f>
        <v>0.32000000000000006</v>
      </c>
      <c r="E57" s="15">
        <v>0</v>
      </c>
      <c r="F57" s="193">
        <v>0</v>
      </c>
      <c r="G57" s="21">
        <f t="shared" si="6"/>
        <v>0.32000000000000006</v>
      </c>
      <c r="H57" s="226">
        <f>2*(IF($R$1=1,$R$2,IF($R$1=2,$R$3,IF($R$1=3,$R$4,0))))*$B$108</f>
        <v>0.32000000000000006</v>
      </c>
      <c r="I57" s="15">
        <v>0</v>
      </c>
      <c r="J57" s="193">
        <v>0</v>
      </c>
      <c r="K57" s="21">
        <f t="shared" si="7"/>
        <v>0.32000000000000006</v>
      </c>
      <c r="L57" s="226">
        <f>2*(IF($R$1=1,$R$2,IF($R$1=2,$R$3,IF($R$1=3,$R$4,0))))*$B$108</f>
        <v>0.32000000000000006</v>
      </c>
      <c r="M57" s="15">
        <v>0</v>
      </c>
      <c r="N57" s="193">
        <v>0</v>
      </c>
      <c r="O57" s="21">
        <f t="shared" si="8"/>
        <v>0.32000000000000006</v>
      </c>
    </row>
    <row r="58" spans="1:17" x14ac:dyDescent="0.25">
      <c r="A58" s="1974"/>
      <c r="B58" s="19" t="s">
        <v>33</v>
      </c>
      <c r="C58" s="22"/>
      <c r="D58" s="226">
        <f>2*(IF($R$1=1,$R$2,IF($R$1=2,$R$3,IF($R$1=3,$R$4,0))))*$B$109</f>
        <v>0.4</v>
      </c>
      <c r="E58" s="15">
        <v>0</v>
      </c>
      <c r="F58" s="193">
        <v>0</v>
      </c>
      <c r="G58" s="21">
        <f t="shared" si="6"/>
        <v>0.4</v>
      </c>
      <c r="H58" s="226">
        <f>2*(IF($R$1=1,$R$2,IF($R$1=2,$R$3,IF($R$1=3,$R$4,0))))*$B$109</f>
        <v>0.4</v>
      </c>
      <c r="I58" s="15">
        <v>0</v>
      </c>
      <c r="J58" s="193">
        <v>0</v>
      </c>
      <c r="K58" s="21">
        <f t="shared" si="7"/>
        <v>0.4</v>
      </c>
      <c r="L58" s="226">
        <f>2*(IF($R$1=1,$R$2,IF($R$1=2,$R$3,IF($R$1=3,$R$4,0))))*$B$109</f>
        <v>0.4</v>
      </c>
      <c r="M58" s="15">
        <v>0</v>
      </c>
      <c r="N58" s="193">
        <v>0</v>
      </c>
      <c r="O58" s="21">
        <f t="shared" si="8"/>
        <v>0.4</v>
      </c>
    </row>
    <row r="59" spans="1:17" x14ac:dyDescent="0.25">
      <c r="A59" s="1974"/>
      <c r="B59" s="19" t="s">
        <v>34</v>
      </c>
      <c r="C59" s="22"/>
      <c r="D59" s="226">
        <f>2*(IF($R$1=1,$R$2,IF($R$1=2,$R$3,IF($R$1=3,$R$4,0))))*$B$110</f>
        <v>0.60000000000000009</v>
      </c>
      <c r="E59" s="15">
        <v>0</v>
      </c>
      <c r="F59" s="193">
        <v>0</v>
      </c>
      <c r="G59" s="21">
        <f t="shared" si="6"/>
        <v>0.60000000000000009</v>
      </c>
      <c r="H59" s="226">
        <f>2*(IF($R$1=1,$R$2,IF($R$1=2,$R$3,IF($R$1=3,$R$4,0))))*$B$110</f>
        <v>0.60000000000000009</v>
      </c>
      <c r="I59" s="15">
        <v>0</v>
      </c>
      <c r="J59" s="193">
        <v>0</v>
      </c>
      <c r="K59" s="21">
        <f t="shared" si="7"/>
        <v>0.60000000000000009</v>
      </c>
      <c r="L59" s="226">
        <f>2*(IF($R$1=1,$R$2,IF($R$1=2,$R$3,IF($R$1=3,$R$4,0))))*$B$110</f>
        <v>0.60000000000000009</v>
      </c>
      <c r="M59" s="15">
        <v>0</v>
      </c>
      <c r="N59" s="193">
        <v>0</v>
      </c>
      <c r="O59" s="21">
        <f t="shared" si="8"/>
        <v>0.60000000000000009</v>
      </c>
    </row>
    <row r="60" spans="1:17" x14ac:dyDescent="0.25">
      <c r="A60" s="1974" t="s">
        <v>20</v>
      </c>
      <c r="B60" s="19" t="s">
        <v>32</v>
      </c>
      <c r="C60" s="22"/>
      <c r="D60" s="226">
        <f>8*(IF($R$1=1,$R$2,IF($R$1=2,$R$3,IF($R$1=3,$R$4,0))))*$B$108</f>
        <v>1.2800000000000002</v>
      </c>
      <c r="E60" s="205">
        <f>(IF($R$1=1,$R$2,IF($R$1=2,$R$3,IF($R$1=3,$R$4,0))))*$E$3*3*$B$108</f>
        <v>0</v>
      </c>
      <c r="F60" s="188">
        <f>IF($F$3&gt;0,0.4,0)*$B$108</f>
        <v>0</v>
      </c>
      <c r="G60" s="21">
        <f t="shared" si="6"/>
        <v>1.2800000000000002</v>
      </c>
      <c r="H60" s="226">
        <f>8*(IF($R$1=1,$R$2,IF($R$1=2,$R$3,IF($R$1=3,$R$4,0))))*$B$108</f>
        <v>1.2800000000000002</v>
      </c>
      <c r="I60" s="205">
        <f>(IF($R$1=1,$R$2,IF($R$1=2,$R$3,IF($R$1=3,$R$4,0))))*$E$3*3*$B$108</f>
        <v>0</v>
      </c>
      <c r="J60" s="188">
        <f>IF($F$3&gt;0,0.4,0)*$B$108</f>
        <v>0</v>
      </c>
      <c r="K60" s="21">
        <f t="shared" si="7"/>
        <v>1.2800000000000002</v>
      </c>
      <c r="L60" s="226">
        <f>8*(IF($R$1=1,$R$2,IF($R$1=2,$R$3,IF($R$1=3,$R$4,0))))*$B$108</f>
        <v>1.2800000000000002</v>
      </c>
      <c r="M60" s="205">
        <f>(IF($R$1=1,$R$2,IF($R$1=2,$R$3,IF($R$1=3,$R$4,0))))*$E$3*3*$B$108</f>
        <v>0</v>
      </c>
      <c r="N60" s="188">
        <f>IF($F$3&gt;0,0.4,0)*$B$108</f>
        <v>0</v>
      </c>
      <c r="O60" s="21">
        <f t="shared" si="8"/>
        <v>1.2800000000000002</v>
      </c>
      <c r="P60" t="s">
        <v>191</v>
      </c>
      <c r="Q60" t="s">
        <v>193</v>
      </c>
    </row>
    <row r="61" spans="1:17" ht="15.75" customHeight="1" x14ac:dyDescent="0.25">
      <c r="A61" s="1974"/>
      <c r="B61" s="19" t="s">
        <v>33</v>
      </c>
      <c r="C61" s="22"/>
      <c r="D61" s="226">
        <f>8*(IF($R$1=1,$R$2,IF($R$1=2,$R$3,IF($R$1=3,$R$4,0))))*$B$109</f>
        <v>1.6</v>
      </c>
      <c r="E61" s="205">
        <f>(IF($R$1=1,$R$2,IF($R$1=2,$R$3,IF($R$1=3,$R$4,0))))*$E$3*3*$B$109</f>
        <v>0</v>
      </c>
      <c r="F61" s="188">
        <f>IF($F$3&gt;0,0.4,0)*$B$109</f>
        <v>0</v>
      </c>
      <c r="G61" s="21">
        <f t="shared" si="6"/>
        <v>1.6</v>
      </c>
      <c r="H61" s="226">
        <f>8*(IF($R$1=1,$R$2,IF($R$1=2,$R$3,IF($R$1=3,$R$4,0))))*$B$109</f>
        <v>1.6</v>
      </c>
      <c r="I61" s="205">
        <f>(IF($R$1=1,$R$2,IF($R$1=2,$R$3,IF($R$1=3,$R$4,0))))*$E$3*3*$B$109</f>
        <v>0</v>
      </c>
      <c r="J61" s="188">
        <f>IF($F$3&gt;0,0.4,0)*$B$109</f>
        <v>0</v>
      </c>
      <c r="K61" s="21">
        <f t="shared" si="7"/>
        <v>1.6</v>
      </c>
      <c r="L61" s="226">
        <f>8*(IF($R$1=1,$R$2,IF($R$1=2,$R$3,IF($R$1=3,$R$4,0))))*$B$109</f>
        <v>1.6</v>
      </c>
      <c r="M61" s="205">
        <f>(IF($R$1=1,$R$2,IF($R$1=2,$R$3,IF($R$1=3,$R$4,0))))*$E$3*3*$B$109</f>
        <v>0</v>
      </c>
      <c r="N61" s="188">
        <f>IF($F$3&gt;0,0.4,0)*$B$109</f>
        <v>0</v>
      </c>
      <c r="O61" s="21">
        <f t="shared" si="8"/>
        <v>1.6</v>
      </c>
      <c r="P61" t="s">
        <v>191</v>
      </c>
    </row>
    <row r="62" spans="1:17" x14ac:dyDescent="0.25">
      <c r="A62" s="1974"/>
      <c r="B62" s="19" t="s">
        <v>34</v>
      </c>
      <c r="C62" s="22"/>
      <c r="D62" s="226">
        <f>8*(IF($R$1=1,$R$2,IF($R$1=2,$R$3,IF($R$1=3,$R$4,0))))*$B$110</f>
        <v>2.4000000000000004</v>
      </c>
      <c r="E62" s="205">
        <f>(IF($R$1=1,$R$2,IF($R$1=2,$R$3,IF($R$1=3,$R$4,0))))*$E$3*3*$B$110</f>
        <v>0</v>
      </c>
      <c r="F62" s="188">
        <f>IF($F$3&gt;0,0.4,0)*$B$110</f>
        <v>0</v>
      </c>
      <c r="G62" s="21">
        <f t="shared" si="6"/>
        <v>2.4000000000000004</v>
      </c>
      <c r="H62" s="226">
        <f>8*(IF($R$1=1,$R$2,IF($R$1=2,$R$3,IF($R$1=3,$R$4,0))))*$B$110</f>
        <v>2.4000000000000004</v>
      </c>
      <c r="I62" s="205">
        <f>(IF($R$1=1,$R$2,IF($R$1=2,$R$3,IF($R$1=3,$R$4,0))))*$E$3*3*$B$110</f>
        <v>0</v>
      </c>
      <c r="J62" s="188">
        <f>IF($F$3&gt;0,0.4,0)*$B$110</f>
        <v>0</v>
      </c>
      <c r="K62" s="21">
        <f t="shared" si="7"/>
        <v>2.4000000000000004</v>
      </c>
      <c r="L62" s="226">
        <f>8*(IF($R$1=1,$R$2,IF($R$1=2,$R$3,IF($R$1=3,$R$4,0))))*$B$110</f>
        <v>2.4000000000000004</v>
      </c>
      <c r="M62" s="205">
        <f>(IF($R$1=1,$R$2,IF($R$1=2,$R$3,IF($R$1=3,$R$4,0))))*$E$3*3*$B$110</f>
        <v>0</v>
      </c>
      <c r="N62" s="188">
        <f>IF($F$3&gt;0,0.4,0)*$B$110</f>
        <v>0</v>
      </c>
      <c r="O62" s="21">
        <f t="shared" si="8"/>
        <v>2.4000000000000004</v>
      </c>
      <c r="P62" t="s">
        <v>191</v>
      </c>
    </row>
    <row r="63" spans="1:17" x14ac:dyDescent="0.25">
      <c r="A63" s="1974" t="s">
        <v>451</v>
      </c>
      <c r="B63" s="19" t="s">
        <v>32</v>
      </c>
      <c r="C63" s="22"/>
      <c r="D63" s="638">
        <v>0.5</v>
      </c>
      <c r="E63" s="637">
        <v>0</v>
      </c>
      <c r="F63" s="714">
        <v>0</v>
      </c>
      <c r="G63" s="21">
        <f t="shared" si="6"/>
        <v>0.5</v>
      </c>
      <c r="H63" s="638">
        <v>0.5</v>
      </c>
      <c r="I63" s="637">
        <v>0</v>
      </c>
      <c r="J63" s="714">
        <v>0</v>
      </c>
      <c r="K63" s="21">
        <f t="shared" si="7"/>
        <v>0.5</v>
      </c>
      <c r="L63" s="638">
        <v>0.5</v>
      </c>
      <c r="M63" s="637">
        <v>0</v>
      </c>
      <c r="N63" s="714">
        <v>0</v>
      </c>
      <c r="O63" s="21">
        <f t="shared" si="8"/>
        <v>0.5</v>
      </c>
    </row>
    <row r="64" spans="1:17" x14ac:dyDescent="0.25">
      <c r="A64" s="1974"/>
      <c r="B64" s="19" t="s">
        <v>33</v>
      </c>
      <c r="C64" s="22"/>
      <c r="D64" s="638">
        <v>1</v>
      </c>
      <c r="E64" s="637">
        <v>0</v>
      </c>
      <c r="F64" s="714">
        <v>0</v>
      </c>
      <c r="G64" s="21">
        <f t="shared" si="6"/>
        <v>1</v>
      </c>
      <c r="H64" s="638">
        <v>1</v>
      </c>
      <c r="I64" s="637">
        <v>0</v>
      </c>
      <c r="J64" s="714">
        <v>0</v>
      </c>
      <c r="K64" s="21">
        <f t="shared" si="7"/>
        <v>1</v>
      </c>
      <c r="L64" s="638">
        <v>1</v>
      </c>
      <c r="M64" s="637">
        <v>0</v>
      </c>
      <c r="N64" s="714">
        <v>0</v>
      </c>
      <c r="O64" s="21">
        <f t="shared" si="8"/>
        <v>1</v>
      </c>
    </row>
    <row r="65" spans="1:15" x14ac:dyDescent="0.25">
      <c r="A65" s="1974"/>
      <c r="B65" s="19" t="s">
        <v>34</v>
      </c>
      <c r="C65" s="22"/>
      <c r="D65" s="638">
        <v>1.5</v>
      </c>
      <c r="E65" s="637">
        <v>0</v>
      </c>
      <c r="F65" s="714">
        <v>0</v>
      </c>
      <c r="G65" s="21">
        <f t="shared" si="6"/>
        <v>1.5</v>
      </c>
      <c r="H65" s="638">
        <v>1.5</v>
      </c>
      <c r="I65" s="637">
        <v>0</v>
      </c>
      <c r="J65" s="714">
        <v>0</v>
      </c>
      <c r="K65" s="21">
        <f t="shared" si="7"/>
        <v>1.5</v>
      </c>
      <c r="L65" s="638">
        <v>1.5</v>
      </c>
      <c r="M65" s="637">
        <v>0</v>
      </c>
      <c r="N65" s="714">
        <v>0</v>
      </c>
      <c r="O65" s="21">
        <f t="shared" si="8"/>
        <v>1.5</v>
      </c>
    </row>
    <row r="66" spans="1:15" x14ac:dyDescent="0.25">
      <c r="A66" s="1974" t="s">
        <v>452</v>
      </c>
      <c r="B66" s="19" t="s">
        <v>32</v>
      </c>
      <c r="C66" s="22"/>
      <c r="D66" s="638">
        <v>0.5</v>
      </c>
      <c r="E66" s="637">
        <v>0</v>
      </c>
      <c r="F66" s="714">
        <v>0</v>
      </c>
      <c r="G66" s="21">
        <f t="shared" si="6"/>
        <v>0.5</v>
      </c>
      <c r="H66" s="638">
        <v>0.5</v>
      </c>
      <c r="I66" s="637">
        <v>0</v>
      </c>
      <c r="J66" s="714">
        <v>0</v>
      </c>
      <c r="K66" s="21">
        <f t="shared" si="7"/>
        <v>0.5</v>
      </c>
      <c r="L66" s="638">
        <v>0.5</v>
      </c>
      <c r="M66" s="637">
        <v>0</v>
      </c>
      <c r="N66" s="714">
        <v>0</v>
      </c>
      <c r="O66" s="21">
        <f t="shared" si="8"/>
        <v>0.5</v>
      </c>
    </row>
    <row r="67" spans="1:15" x14ac:dyDescent="0.25">
      <c r="A67" s="1974"/>
      <c r="B67" s="19" t="s">
        <v>33</v>
      </c>
      <c r="C67" s="22"/>
      <c r="D67" s="638">
        <v>1</v>
      </c>
      <c r="E67" s="637">
        <v>0</v>
      </c>
      <c r="F67" s="714">
        <v>0</v>
      </c>
      <c r="G67" s="21">
        <f t="shared" si="6"/>
        <v>1</v>
      </c>
      <c r="H67" s="638">
        <v>1</v>
      </c>
      <c r="I67" s="637">
        <v>0</v>
      </c>
      <c r="J67" s="714">
        <v>0</v>
      </c>
      <c r="K67" s="21">
        <f t="shared" si="7"/>
        <v>1</v>
      </c>
      <c r="L67" s="638">
        <v>1</v>
      </c>
      <c r="M67" s="637">
        <v>0</v>
      </c>
      <c r="N67" s="714">
        <v>0</v>
      </c>
      <c r="O67" s="21">
        <f t="shared" si="8"/>
        <v>1</v>
      </c>
    </row>
    <row r="68" spans="1:15" x14ac:dyDescent="0.25">
      <c r="A68" s="1974"/>
      <c r="B68" s="19" t="s">
        <v>34</v>
      </c>
      <c r="C68" s="22"/>
      <c r="D68" s="638">
        <v>1.5</v>
      </c>
      <c r="E68" s="637">
        <v>0</v>
      </c>
      <c r="F68" s="714">
        <v>0</v>
      </c>
      <c r="G68" s="21">
        <f t="shared" si="6"/>
        <v>1.5</v>
      </c>
      <c r="H68" s="638">
        <v>1.5</v>
      </c>
      <c r="I68" s="637">
        <v>0</v>
      </c>
      <c r="J68" s="714">
        <v>0</v>
      </c>
      <c r="K68" s="21">
        <f t="shared" si="7"/>
        <v>1.5</v>
      </c>
      <c r="L68" s="638">
        <v>1.5</v>
      </c>
      <c r="M68" s="637">
        <v>0</v>
      </c>
      <c r="N68" s="714">
        <v>0</v>
      </c>
      <c r="O68" s="21">
        <f t="shared" si="8"/>
        <v>1.5</v>
      </c>
    </row>
    <row r="69" spans="1:15" x14ac:dyDescent="0.25">
      <c r="A69" s="1993" t="s">
        <v>533</v>
      </c>
      <c r="B69" s="19" t="s">
        <v>32</v>
      </c>
      <c r="C69" s="22"/>
      <c r="D69" s="638">
        <v>0</v>
      </c>
      <c r="E69" s="636">
        <v>0</v>
      </c>
      <c r="F69" s="635">
        <v>0</v>
      </c>
      <c r="G69" s="21">
        <f t="shared" si="6"/>
        <v>0</v>
      </c>
      <c r="H69" s="638">
        <v>0</v>
      </c>
      <c r="I69" s="636">
        <v>0</v>
      </c>
      <c r="J69" s="635">
        <v>0</v>
      </c>
      <c r="K69" s="21">
        <f t="shared" si="7"/>
        <v>0</v>
      </c>
      <c r="L69" s="638">
        <v>0</v>
      </c>
      <c r="M69" s="636">
        <v>0</v>
      </c>
      <c r="N69" s="635">
        <v>0</v>
      </c>
      <c r="O69" s="21">
        <f t="shared" si="8"/>
        <v>0</v>
      </c>
    </row>
    <row r="70" spans="1:15" x14ac:dyDescent="0.25">
      <c r="A70" s="1993"/>
      <c r="B70" s="19" t="s">
        <v>33</v>
      </c>
      <c r="C70" s="22"/>
      <c r="D70" s="638">
        <v>0</v>
      </c>
      <c r="E70" s="636">
        <v>0</v>
      </c>
      <c r="F70" s="635">
        <v>0</v>
      </c>
      <c r="G70" s="21">
        <f t="shared" si="6"/>
        <v>0</v>
      </c>
      <c r="H70" s="638">
        <v>0</v>
      </c>
      <c r="I70" s="636">
        <v>0</v>
      </c>
      <c r="J70" s="635">
        <v>0</v>
      </c>
      <c r="K70" s="21">
        <f t="shared" si="7"/>
        <v>0</v>
      </c>
      <c r="L70" s="638">
        <v>0</v>
      </c>
      <c r="M70" s="636">
        <v>0</v>
      </c>
      <c r="N70" s="635">
        <v>0</v>
      </c>
      <c r="O70" s="21">
        <f t="shared" si="8"/>
        <v>0</v>
      </c>
    </row>
    <row r="71" spans="1:15" x14ac:dyDescent="0.25">
      <c r="A71" s="1993"/>
      <c r="B71" s="19" t="s">
        <v>34</v>
      </c>
      <c r="C71" s="22"/>
      <c r="D71" s="638">
        <v>0</v>
      </c>
      <c r="E71" s="636">
        <v>0</v>
      </c>
      <c r="F71" s="635">
        <v>0</v>
      </c>
      <c r="G71" s="21">
        <f t="shared" si="6"/>
        <v>0</v>
      </c>
      <c r="H71" s="638">
        <v>0</v>
      </c>
      <c r="I71" s="636">
        <v>0</v>
      </c>
      <c r="J71" s="635">
        <v>0</v>
      </c>
      <c r="K71" s="21">
        <f t="shared" si="7"/>
        <v>0</v>
      </c>
      <c r="L71" s="638">
        <v>0</v>
      </c>
      <c r="M71" s="636">
        <v>0</v>
      </c>
      <c r="N71" s="635">
        <v>0</v>
      </c>
      <c r="O71" s="21">
        <f t="shared" si="8"/>
        <v>0</v>
      </c>
    </row>
    <row r="72" spans="1:15" x14ac:dyDescent="0.25">
      <c r="A72" s="1974" t="s">
        <v>534</v>
      </c>
      <c r="B72" s="19" t="s">
        <v>32</v>
      </c>
      <c r="C72" s="22"/>
      <c r="D72" s="638">
        <v>0</v>
      </c>
      <c r="E72" s="636">
        <v>0</v>
      </c>
      <c r="F72" s="635">
        <v>0</v>
      </c>
      <c r="G72" s="21">
        <f t="shared" si="6"/>
        <v>0</v>
      </c>
      <c r="H72" s="638">
        <v>0</v>
      </c>
      <c r="I72" s="636">
        <v>0</v>
      </c>
      <c r="J72" s="635">
        <v>0</v>
      </c>
      <c r="K72" s="21">
        <f t="shared" si="7"/>
        <v>0</v>
      </c>
      <c r="L72" s="638">
        <v>0</v>
      </c>
      <c r="M72" s="636">
        <v>0</v>
      </c>
      <c r="N72" s="635">
        <v>0</v>
      </c>
      <c r="O72" s="21">
        <f t="shared" si="8"/>
        <v>0</v>
      </c>
    </row>
    <row r="73" spans="1:15" x14ac:dyDescent="0.25">
      <c r="A73" s="1974"/>
      <c r="B73" s="19" t="s">
        <v>33</v>
      </c>
      <c r="C73" s="22"/>
      <c r="D73" s="638">
        <v>0</v>
      </c>
      <c r="E73" s="636">
        <v>0</v>
      </c>
      <c r="F73" s="635">
        <v>0</v>
      </c>
      <c r="G73" s="21">
        <f t="shared" si="6"/>
        <v>0</v>
      </c>
      <c r="H73" s="638">
        <v>0</v>
      </c>
      <c r="I73" s="636">
        <v>0</v>
      </c>
      <c r="J73" s="635">
        <v>0</v>
      </c>
      <c r="K73" s="21">
        <f t="shared" si="7"/>
        <v>0</v>
      </c>
      <c r="L73" s="638">
        <v>0</v>
      </c>
      <c r="M73" s="636">
        <v>0</v>
      </c>
      <c r="N73" s="635">
        <v>0</v>
      </c>
      <c r="O73" s="21">
        <f t="shared" si="8"/>
        <v>0</v>
      </c>
    </row>
    <row r="74" spans="1:15" x14ac:dyDescent="0.25">
      <c r="A74" s="1974"/>
      <c r="B74" s="19" t="s">
        <v>34</v>
      </c>
      <c r="C74" s="22"/>
      <c r="D74" s="638">
        <v>0</v>
      </c>
      <c r="E74" s="636">
        <v>0</v>
      </c>
      <c r="F74" s="635">
        <v>0</v>
      </c>
      <c r="G74" s="21">
        <f t="shared" si="6"/>
        <v>0</v>
      </c>
      <c r="H74" s="638">
        <v>0</v>
      </c>
      <c r="I74" s="636">
        <v>0</v>
      </c>
      <c r="J74" s="635">
        <v>0</v>
      </c>
      <c r="K74" s="21">
        <f t="shared" si="7"/>
        <v>0</v>
      </c>
      <c r="L74" s="638">
        <v>0</v>
      </c>
      <c r="M74" s="636">
        <v>0</v>
      </c>
      <c r="N74" s="635">
        <v>0</v>
      </c>
      <c r="O74" s="21">
        <f t="shared" si="8"/>
        <v>0</v>
      </c>
    </row>
    <row r="75" spans="1:15" x14ac:dyDescent="0.25">
      <c r="A75" s="1974" t="s">
        <v>21</v>
      </c>
      <c r="B75" s="19" t="s">
        <v>32</v>
      </c>
      <c r="C75" s="22"/>
      <c r="D75" s="190" t="s">
        <v>90</v>
      </c>
      <c r="E75" s="38" t="s">
        <v>90</v>
      </c>
      <c r="F75" s="16" t="s">
        <v>90</v>
      </c>
      <c r="G75" s="21">
        <f t="shared" si="6"/>
        <v>0</v>
      </c>
      <c r="H75" s="190" t="s">
        <v>90</v>
      </c>
      <c r="I75" s="38" t="s">
        <v>90</v>
      </c>
      <c r="J75" s="16" t="s">
        <v>90</v>
      </c>
      <c r="K75" s="21">
        <f t="shared" si="7"/>
        <v>0</v>
      </c>
      <c r="L75" s="190" t="s">
        <v>90</v>
      </c>
      <c r="M75" s="38" t="s">
        <v>90</v>
      </c>
      <c r="N75" s="16" t="s">
        <v>90</v>
      </c>
      <c r="O75" s="21">
        <f t="shared" si="8"/>
        <v>0</v>
      </c>
    </row>
    <row r="76" spans="1:15" x14ac:dyDescent="0.25">
      <c r="A76" s="1974"/>
      <c r="B76" s="19" t="s">
        <v>33</v>
      </c>
      <c r="C76" s="22"/>
      <c r="D76" s="190" t="s">
        <v>90</v>
      </c>
      <c r="E76" s="38" t="s">
        <v>90</v>
      </c>
      <c r="F76" s="16" t="s">
        <v>90</v>
      </c>
      <c r="G76" s="21">
        <f t="shared" si="6"/>
        <v>0</v>
      </c>
      <c r="H76" s="190" t="s">
        <v>90</v>
      </c>
      <c r="I76" s="38" t="s">
        <v>90</v>
      </c>
      <c r="J76" s="16" t="s">
        <v>90</v>
      </c>
      <c r="K76" s="21">
        <f t="shared" si="7"/>
        <v>0</v>
      </c>
      <c r="L76" s="190" t="s">
        <v>90</v>
      </c>
      <c r="M76" s="38" t="s">
        <v>90</v>
      </c>
      <c r="N76" s="16" t="s">
        <v>90</v>
      </c>
      <c r="O76" s="21">
        <f t="shared" si="8"/>
        <v>0</v>
      </c>
    </row>
    <row r="77" spans="1:15" x14ac:dyDescent="0.25">
      <c r="A77" s="1974"/>
      <c r="B77" s="13" t="s">
        <v>34</v>
      </c>
      <c r="C77" s="34"/>
      <c r="D77" s="190" t="s">
        <v>90</v>
      </c>
      <c r="E77" s="38" t="s">
        <v>90</v>
      </c>
      <c r="F77" s="16" t="s">
        <v>90</v>
      </c>
      <c r="G77" s="21">
        <f t="shared" si="6"/>
        <v>0</v>
      </c>
      <c r="H77" s="190" t="s">
        <v>90</v>
      </c>
      <c r="I77" s="38" t="s">
        <v>90</v>
      </c>
      <c r="J77" s="16" t="s">
        <v>90</v>
      </c>
      <c r="K77" s="21">
        <f t="shared" si="7"/>
        <v>0</v>
      </c>
      <c r="L77" s="190" t="s">
        <v>90</v>
      </c>
      <c r="M77" s="38" t="s">
        <v>90</v>
      </c>
      <c r="N77" s="16" t="s">
        <v>90</v>
      </c>
      <c r="O77" s="21">
        <f t="shared" si="8"/>
        <v>0</v>
      </c>
    </row>
    <row r="78" spans="1:15" x14ac:dyDescent="0.25">
      <c r="A78" s="1974" t="s">
        <v>181</v>
      </c>
      <c r="B78" s="19" t="s">
        <v>32</v>
      </c>
      <c r="C78" s="198"/>
      <c r="D78" s="227">
        <f>1*$D$3+(0.5*$E$3)*(IF($R$1=1,$R$2,IF($R$1=2,$R$3,IF($R$1=3,$R$4,0))))*$B$108*(1/3)</f>
        <v>0</v>
      </c>
      <c r="E78" s="15">
        <v>0</v>
      </c>
      <c r="F78" s="228">
        <f>0.5*$F$3*$B$108*(1/3)</f>
        <v>0</v>
      </c>
      <c r="G78" s="21">
        <f t="shared" ref="G78:G86" si="9" xml:space="preserve"> SUM(D78:F78) + $C78</f>
        <v>0</v>
      </c>
      <c r="H78" s="227">
        <f>1*$D$3+(0.5*$E$3)*(IF($R$1=1,$R$2,IF($R$1=2,$R$3,IF($R$1=3,$R$4,0))))*$B$108*(1/3)</f>
        <v>0</v>
      </c>
      <c r="I78" s="15">
        <v>0</v>
      </c>
      <c r="J78" s="228">
        <f>0.5*$F$3*$B$108*(1/3)</f>
        <v>0</v>
      </c>
      <c r="K78" s="21">
        <f t="shared" si="7"/>
        <v>0</v>
      </c>
      <c r="L78" s="227">
        <f>1*$D$3+(0.5*$E$3)*(IF($R$1=1,$R$2,IF($R$1=2,$R$3,IF($R$1=3,$R$4,0))))*$B$108*(1/3)</f>
        <v>0</v>
      </c>
      <c r="M78" s="15">
        <v>0</v>
      </c>
      <c r="N78" s="228">
        <f>0.5*$F$3*$B$108*(1/3)</f>
        <v>0</v>
      </c>
      <c r="O78" s="21">
        <f t="shared" si="8"/>
        <v>0</v>
      </c>
    </row>
    <row r="79" spans="1:15" x14ac:dyDescent="0.25">
      <c r="A79" s="1974"/>
      <c r="B79" s="19" t="s">
        <v>33</v>
      </c>
      <c r="C79" s="198"/>
      <c r="D79" s="227">
        <f>1*$D$3+(0.5*$E$3)*(IF($R$1=1,$R$2,IF($R$1=2,$R$3,IF($R$1=3,$R$4,0))))*$B$109*(1/3)</f>
        <v>0</v>
      </c>
      <c r="E79" s="15">
        <v>0</v>
      </c>
      <c r="F79" s="228">
        <f>0.5*$F$3*$B$109*(1/3)</f>
        <v>0</v>
      </c>
      <c r="G79" s="21">
        <f t="shared" si="9"/>
        <v>0</v>
      </c>
      <c r="H79" s="227">
        <f>1*$D$3+(0.5*$E$3)*(IF($R$1=1,$R$2,IF($R$1=2,$R$3,IF($R$1=3,$R$4,0))))*$B$109*(1/3)</f>
        <v>0</v>
      </c>
      <c r="I79" s="15">
        <v>0</v>
      </c>
      <c r="J79" s="228">
        <f>0.5*$F$3*$B$109*(1/3)</f>
        <v>0</v>
      </c>
      <c r="K79" s="21">
        <f t="shared" si="7"/>
        <v>0</v>
      </c>
      <c r="L79" s="227">
        <f>1*$D$3+(0.5*$E$3)*(IF($R$1=1,$R$2,IF($R$1=2,$R$3,IF($R$1=3,$R$4,0))))*$B$109*(1/3)</f>
        <v>0</v>
      </c>
      <c r="M79" s="15">
        <v>0</v>
      </c>
      <c r="N79" s="228">
        <f>0.5*$F$3*$B$109*(1/3)</f>
        <v>0</v>
      </c>
      <c r="O79" s="21">
        <f t="shared" si="8"/>
        <v>0</v>
      </c>
    </row>
    <row r="80" spans="1:15" x14ac:dyDescent="0.25">
      <c r="A80" s="1974"/>
      <c r="B80" s="19" t="s">
        <v>34</v>
      </c>
      <c r="C80" s="198"/>
      <c r="D80" s="227">
        <f>1*$D$3+(0.5*$E$3)*(IF($R$1=1,$R$2,IF($R$1=2,$R$3,IF($R$1=3,$R$4,0))))*$B$110*(1/3)</f>
        <v>0</v>
      </c>
      <c r="E80" s="15">
        <v>0</v>
      </c>
      <c r="F80" s="228">
        <f>0.5*$F$3*$B$110*(1/3)</f>
        <v>0</v>
      </c>
      <c r="G80" s="21">
        <f t="shared" si="9"/>
        <v>0</v>
      </c>
      <c r="H80" s="227">
        <f>1*$D$3+(0.5*$E$3)*(IF($R$1=1,$R$2,IF($R$1=2,$R$3,IF($R$1=3,$R$4,0))))*$B$110*(1/3)</f>
        <v>0</v>
      </c>
      <c r="I80" s="15">
        <v>0</v>
      </c>
      <c r="J80" s="228">
        <f>0.5*$F$3*$B$110*(1/3)</f>
        <v>0</v>
      </c>
      <c r="K80" s="21">
        <f t="shared" si="7"/>
        <v>0</v>
      </c>
      <c r="L80" s="227">
        <f>1*$D$3+(0.5*$E$3)*(IF($R$1=1,$R$2,IF($R$1=2,$R$3,IF($R$1=3,$R$4,0))))*$B$110*(1/3)</f>
        <v>0</v>
      </c>
      <c r="M80" s="15">
        <v>0</v>
      </c>
      <c r="N80" s="228">
        <f>0.5*$F$3*$B$110*(1/3)</f>
        <v>0</v>
      </c>
      <c r="O80" s="21">
        <f t="shared" si="8"/>
        <v>0</v>
      </c>
    </row>
    <row r="81" spans="1:17" x14ac:dyDescent="0.25">
      <c r="A81" s="1974" t="s">
        <v>182</v>
      </c>
      <c r="B81" s="19" t="s">
        <v>32</v>
      </c>
      <c r="C81" s="198"/>
      <c r="D81" s="227">
        <f>1*$D$3+(0.5*$E$3)*(IF($R$1=1,$R$2,IF($R$1=2,$R$3,IF($R$1=3,$R$4,0))))*$B$108*(1/3)</f>
        <v>0</v>
      </c>
      <c r="E81" s="15">
        <v>0</v>
      </c>
      <c r="F81" s="228">
        <f>0.5*$F$3*$B$108*(1/3)</f>
        <v>0</v>
      </c>
      <c r="G81" s="21">
        <f t="shared" si="9"/>
        <v>0</v>
      </c>
      <c r="H81" s="227">
        <f>1*$D$3+(0.5*$E$3)*(IF($R$1=1,$R$2,IF($R$1=2,$R$3,IF($R$1=3,$R$4,0))))*$B$108*(1/3)</f>
        <v>0</v>
      </c>
      <c r="I81" s="15">
        <v>0</v>
      </c>
      <c r="J81" s="228">
        <f>0.5*$F$3*$B$108*(1/3)</f>
        <v>0</v>
      </c>
      <c r="K81" s="21">
        <f t="shared" si="7"/>
        <v>0</v>
      </c>
      <c r="L81" s="227">
        <f>1*$D$3+(0.5*$E$3)*(IF($R$1=1,$R$2,IF($R$1=2,$R$3,IF($R$1=3,$R$4,0))))*$B$108*(1/3)</f>
        <v>0</v>
      </c>
      <c r="M81" s="15">
        <v>0</v>
      </c>
      <c r="N81" s="228">
        <f>0.5*$F$3*$B$108*(1/3)</f>
        <v>0</v>
      </c>
      <c r="O81" s="21">
        <f t="shared" si="8"/>
        <v>0</v>
      </c>
    </row>
    <row r="82" spans="1:17" x14ac:dyDescent="0.25">
      <c r="A82" s="1974"/>
      <c r="B82" s="19" t="s">
        <v>33</v>
      </c>
      <c r="C82" s="198"/>
      <c r="D82" s="227">
        <f>1*$D$3+(0.5*$E$3)*(IF($R$1=1,$R$2,IF($R$1=2,$R$3,IF($R$1=3,$R$4,0))))*$B$109*(1/3)</f>
        <v>0</v>
      </c>
      <c r="E82" s="15">
        <v>0</v>
      </c>
      <c r="F82" s="228">
        <f>0.5*$F$3*$B$109*(1/3)</f>
        <v>0</v>
      </c>
      <c r="G82" s="21">
        <f t="shared" si="9"/>
        <v>0</v>
      </c>
      <c r="H82" s="227">
        <f>1*$D$3+(0.5*$E$3)*(IF($R$1=1,$R$2,IF($R$1=2,$R$3,IF($R$1=3,$R$4,0))))*$B$109*(1/3)</f>
        <v>0</v>
      </c>
      <c r="I82" s="15">
        <v>0</v>
      </c>
      <c r="J82" s="228">
        <f>0.5*$F$3*$B$109*(1/3)</f>
        <v>0</v>
      </c>
      <c r="K82" s="21">
        <f t="shared" si="7"/>
        <v>0</v>
      </c>
      <c r="L82" s="227">
        <f>1*$D$3+(0.5*$E$3)*(IF($R$1=1,$R$2,IF($R$1=2,$R$3,IF($R$1=3,$R$4,0))))*$B$109*(1/3)</f>
        <v>0</v>
      </c>
      <c r="M82" s="15">
        <v>0</v>
      </c>
      <c r="N82" s="228">
        <f>0.5*$F$3*$B$109*(1/3)</f>
        <v>0</v>
      </c>
      <c r="O82" s="21">
        <f t="shared" si="8"/>
        <v>0</v>
      </c>
    </row>
    <row r="83" spans="1:17" x14ac:dyDescent="0.25">
      <c r="A83" s="1974"/>
      <c r="B83" s="19" t="s">
        <v>34</v>
      </c>
      <c r="C83" s="198"/>
      <c r="D83" s="227">
        <f>1*$D$3+(0.5*$E$3)*(IF($R$1=1,$R$2,IF($R$1=2,$R$3,IF($R$1=3,$R$4,0))))*$B$110*(1/3)</f>
        <v>0</v>
      </c>
      <c r="E83" s="15">
        <v>0</v>
      </c>
      <c r="F83" s="228">
        <f>0.5*$F$3*$B$110*(1/3)</f>
        <v>0</v>
      </c>
      <c r="G83" s="21">
        <f t="shared" si="9"/>
        <v>0</v>
      </c>
      <c r="H83" s="227">
        <f>1*$D$3+(0.5*$E$3)*(IF($R$1=1,$R$2,IF($R$1=2,$R$3,IF($R$1=3,$R$4,0))))*$B$110*(1/3)</f>
        <v>0</v>
      </c>
      <c r="I83" s="15">
        <v>0</v>
      </c>
      <c r="J83" s="228">
        <f>0.5*$F$3*$B$110*(1/3)</f>
        <v>0</v>
      </c>
      <c r="K83" s="21">
        <f t="shared" si="7"/>
        <v>0</v>
      </c>
      <c r="L83" s="227">
        <f>1*$D$3+(0.5*$E$3)*(IF($R$1=1,$R$2,IF($R$1=2,$R$3,IF($R$1=3,$R$4,0))))*$B$110*(1/3)</f>
        <v>0</v>
      </c>
      <c r="M83" s="15">
        <v>0</v>
      </c>
      <c r="N83" s="228">
        <f>0.5*$F$3*$B$110*(1/3)</f>
        <v>0</v>
      </c>
      <c r="O83" s="21">
        <f t="shared" si="8"/>
        <v>0</v>
      </c>
    </row>
    <row r="84" spans="1:17" x14ac:dyDescent="0.25">
      <c r="A84" s="1994" t="s">
        <v>183</v>
      </c>
      <c r="B84" s="19" t="s">
        <v>32</v>
      </c>
      <c r="C84" s="198"/>
      <c r="D84" s="195">
        <f>1*$D$3*(IF($R$1=1,$R$2,IF($R$1=2,$R$3,IF($R$1=3,$R$4,0))))*$B$108*(1/2)</f>
        <v>0</v>
      </c>
      <c r="E84" s="15">
        <v>0</v>
      </c>
      <c r="F84" s="193">
        <v>0</v>
      </c>
      <c r="G84" s="21">
        <f t="shared" si="9"/>
        <v>0</v>
      </c>
      <c r="H84" s="195">
        <f>1*$D$3*(IF($R$1=1,$R$2,IF($R$1=2,$R$3,IF($R$1=3,$R$4,0))))*$B$108*(1/2)</f>
        <v>0</v>
      </c>
      <c r="I84" s="15">
        <v>0</v>
      </c>
      <c r="J84" s="193">
        <v>0</v>
      </c>
      <c r="K84" s="21">
        <f t="shared" si="7"/>
        <v>0</v>
      </c>
      <c r="L84" s="195">
        <f>1*$D$3*(IF($R$1=1,$R$2,IF($R$1=2,$R$3,IF($R$1=3,$R$4,0))))*$B$108*(1/2)</f>
        <v>0</v>
      </c>
      <c r="M84" s="15">
        <v>0</v>
      </c>
      <c r="N84" s="193">
        <v>0</v>
      </c>
      <c r="O84" s="21">
        <f t="shared" si="8"/>
        <v>0</v>
      </c>
    </row>
    <row r="85" spans="1:17" x14ac:dyDescent="0.25">
      <c r="A85" s="1994"/>
      <c r="B85" s="19" t="s">
        <v>33</v>
      </c>
      <c r="C85" s="198"/>
      <c r="D85" s="195">
        <f>1*$D$3*(IF($R$1=1,$R$2,IF($R$1=2,$R$3,IF($R$1=3,$R$4,0))))*$B$109*(1/2)</f>
        <v>0</v>
      </c>
      <c r="E85" s="15">
        <v>0</v>
      </c>
      <c r="F85" s="193">
        <v>0</v>
      </c>
      <c r="G85" s="21">
        <f t="shared" si="9"/>
        <v>0</v>
      </c>
      <c r="H85" s="195">
        <f>1*$D$3*(IF($R$1=1,$R$2,IF($R$1=2,$R$3,IF($R$1=3,$R$4,0))))*$B$109*(1/2)</f>
        <v>0</v>
      </c>
      <c r="I85" s="15">
        <v>0</v>
      </c>
      <c r="J85" s="193">
        <v>0</v>
      </c>
      <c r="K85" s="21">
        <f t="shared" si="7"/>
        <v>0</v>
      </c>
      <c r="L85" s="195">
        <f>1*$D$3*(IF($R$1=1,$R$2,IF($R$1=2,$R$3,IF($R$1=3,$R$4,0))))*$B$109*(1/2)</f>
        <v>0</v>
      </c>
      <c r="M85" s="15">
        <v>0</v>
      </c>
      <c r="N85" s="193">
        <v>0</v>
      </c>
      <c r="O85" s="21">
        <f t="shared" si="8"/>
        <v>0</v>
      </c>
    </row>
    <row r="86" spans="1:17" ht="15.75" thickBot="1" x14ac:dyDescent="0.3">
      <c r="A86" s="1994"/>
      <c r="B86" s="13" t="s">
        <v>34</v>
      </c>
      <c r="C86" s="220"/>
      <c r="D86" s="461">
        <f>1*$D$3*(IF($R$1=1,$R$2,IF($R$1=2,$R$3,IF($R$1=3,$R$4,0))))*$B$110*(1/2)</f>
        <v>0</v>
      </c>
      <c r="E86" s="399">
        <v>0</v>
      </c>
      <c r="F86" s="410">
        <v>0</v>
      </c>
      <c r="G86" s="77">
        <f t="shared" si="9"/>
        <v>0</v>
      </c>
      <c r="H86" s="461">
        <f>1*$D$3*(IF($R$1=1,$R$2,IF($R$1=2,$R$3,IF($R$1=3,$R$4,0))))*$B$110*(1/2)</f>
        <v>0</v>
      </c>
      <c r="I86" s="399">
        <v>0</v>
      </c>
      <c r="J86" s="410">
        <v>0</v>
      </c>
      <c r="K86" s="77">
        <f t="shared" si="7"/>
        <v>0</v>
      </c>
      <c r="L86" s="461">
        <f>1*$D$3*(IF($R$1=1,$R$2,IF($R$1=2,$R$3,IF($R$1=3,$R$4,0))))*$B$110*(1/2)</f>
        <v>0</v>
      </c>
      <c r="M86" s="399">
        <v>0</v>
      </c>
      <c r="N86" s="410">
        <v>0</v>
      </c>
      <c r="O86" s="77">
        <f t="shared" si="8"/>
        <v>0</v>
      </c>
    </row>
    <row r="87" spans="1:17" ht="16.5" thickBot="1" x14ac:dyDescent="0.3">
      <c r="A87" s="330" t="s">
        <v>22</v>
      </c>
      <c r="B87" s="329"/>
      <c r="C87" s="329"/>
      <c r="D87" s="329"/>
      <c r="E87" s="329"/>
      <c r="F87" s="327"/>
      <c r="G87" s="327"/>
      <c r="H87" s="329"/>
      <c r="I87" s="329"/>
      <c r="J87" s="327"/>
      <c r="K87" s="327"/>
      <c r="L87" s="329"/>
      <c r="M87" s="329"/>
      <c r="N87" s="327"/>
      <c r="O87" s="396"/>
    </row>
    <row r="88" spans="1:17" x14ac:dyDescent="0.25">
      <c r="A88" s="1907" t="s">
        <v>23</v>
      </c>
      <c r="B88" s="404" t="s">
        <v>32</v>
      </c>
      <c r="C88" s="324"/>
      <c r="D88" s="678">
        <v>0.25</v>
      </c>
      <c r="E88" s="710">
        <v>0</v>
      </c>
      <c r="F88" s="679">
        <v>0</v>
      </c>
      <c r="G88" s="230">
        <f t="shared" ref="G88:G105" si="10" xml:space="preserve"> SUM(D88:F88) + $C88</f>
        <v>0.25</v>
      </c>
      <c r="H88" s="678">
        <v>0.25</v>
      </c>
      <c r="I88" s="710">
        <v>0</v>
      </c>
      <c r="J88" s="679">
        <v>0</v>
      </c>
      <c r="K88" s="230">
        <f t="shared" ref="K88:K105" si="11" xml:space="preserve"> SUM(H88:J88) + $C88</f>
        <v>0.25</v>
      </c>
      <c r="L88" s="427">
        <v>1</v>
      </c>
      <c r="M88" s="400">
        <v>0</v>
      </c>
      <c r="N88" s="428">
        <v>0</v>
      </c>
      <c r="O88" s="230">
        <f t="shared" ref="O88:O105" si="12" xml:space="preserve"> SUM(L88:N88) + $C88</f>
        <v>1</v>
      </c>
    </row>
    <row r="89" spans="1:17" x14ac:dyDescent="0.25">
      <c r="A89" s="1907"/>
      <c r="B89" s="19" t="s">
        <v>33</v>
      </c>
      <c r="C89" s="22"/>
      <c r="D89" s="678">
        <v>0.25</v>
      </c>
      <c r="E89" s="616">
        <v>0</v>
      </c>
      <c r="F89" s="623">
        <v>0</v>
      </c>
      <c r="G89" s="21">
        <f t="shared" si="10"/>
        <v>0.25</v>
      </c>
      <c r="H89" s="678">
        <v>0.25</v>
      </c>
      <c r="I89" s="616">
        <v>0</v>
      </c>
      <c r="J89" s="623">
        <v>0</v>
      </c>
      <c r="K89" s="21">
        <f t="shared" si="11"/>
        <v>0.25</v>
      </c>
      <c r="L89" s="38">
        <v>1</v>
      </c>
      <c r="M89" s="15">
        <v>0</v>
      </c>
      <c r="N89" s="33">
        <v>0</v>
      </c>
      <c r="O89" s="21">
        <f t="shared" si="12"/>
        <v>1</v>
      </c>
    </row>
    <row r="90" spans="1:17" x14ac:dyDescent="0.25">
      <c r="A90" s="1907"/>
      <c r="B90" s="19" t="s">
        <v>34</v>
      </c>
      <c r="C90" s="22"/>
      <c r="D90" s="678">
        <v>0.25</v>
      </c>
      <c r="E90" s="616">
        <v>0</v>
      </c>
      <c r="F90" s="623">
        <v>0</v>
      </c>
      <c r="G90" s="21">
        <f t="shared" si="10"/>
        <v>0.25</v>
      </c>
      <c r="H90" s="678">
        <v>0.25</v>
      </c>
      <c r="I90" s="616">
        <v>0</v>
      </c>
      <c r="J90" s="623">
        <v>0</v>
      </c>
      <c r="K90" s="21">
        <f t="shared" si="11"/>
        <v>0.25</v>
      </c>
      <c r="L90" s="38">
        <v>1</v>
      </c>
      <c r="M90" s="15">
        <v>0</v>
      </c>
      <c r="N90" s="33">
        <v>0</v>
      </c>
      <c r="O90" s="21">
        <f t="shared" si="12"/>
        <v>1</v>
      </c>
    </row>
    <row r="91" spans="1:17" x14ac:dyDescent="0.25">
      <c r="A91" s="1974" t="s">
        <v>24</v>
      </c>
      <c r="B91" s="19" t="s">
        <v>32</v>
      </c>
      <c r="C91" s="22"/>
      <c r="D91" s="204">
        <f>4*(IF($R$1=1,$R$2,IF($R$1=2,$R$3,IF($R$1=3,$R$4,0))))*$B$108</f>
        <v>0.64000000000000012</v>
      </c>
      <c r="E91" s="205">
        <f>(IF($R$1=1,$R$2,IF($R$1=2,$R$3,IF($R$1=3,$R$4,0))))*$E$3*$B$108</f>
        <v>0</v>
      </c>
      <c r="F91" s="184">
        <f>IF($F$3&gt;0,1,0)*$B$108</f>
        <v>0</v>
      </c>
      <c r="G91" s="21">
        <f t="shared" si="10"/>
        <v>0.64000000000000012</v>
      </c>
      <c r="H91" s="204">
        <f>4*(IF($R$1=1,$R$2,IF($R$1=2,$R$3,IF($R$1=3,$R$4,0))))*$B$108</f>
        <v>0.64000000000000012</v>
      </c>
      <c r="I91" s="205">
        <f>(IF($R$1=1,$R$2,IF($R$1=2,$R$3,IF($R$1=3,$R$4,0))))*$E$3*$B$108</f>
        <v>0</v>
      </c>
      <c r="J91" s="184">
        <f>IF($F$3&gt;0,1,0)*$B$108</f>
        <v>0</v>
      </c>
      <c r="K91" s="21">
        <f t="shared" si="11"/>
        <v>0.64000000000000012</v>
      </c>
      <c r="L91" s="204">
        <f>4*(IF($R$1=1,$R$2,IF($R$1=2,$R$3,IF($R$1=3,$R$4,0))))*$B$108</f>
        <v>0.64000000000000012</v>
      </c>
      <c r="M91" s="205">
        <f>(IF($R$1=1,$R$2,IF($R$1=2,$R$3,IF($R$1=3,$R$4,0))))*$E$3*$B$108</f>
        <v>0</v>
      </c>
      <c r="N91" s="184">
        <f>IF($F$3&gt;0,1,0)*$B$108</f>
        <v>0</v>
      </c>
      <c r="O91" s="21">
        <f t="shared" si="12"/>
        <v>0.64000000000000012</v>
      </c>
      <c r="P91" t="s">
        <v>191</v>
      </c>
      <c r="Q91" t="s">
        <v>192</v>
      </c>
    </row>
    <row r="92" spans="1:17" x14ac:dyDescent="0.25">
      <c r="A92" s="1974"/>
      <c r="B92" s="19" t="s">
        <v>33</v>
      </c>
      <c r="C92" s="22"/>
      <c r="D92" s="204">
        <f>4*(IF($R$1=1,$R$2,IF($R$1=2,$R$3,IF($R$1=3,$R$4,0))))*$B$109</f>
        <v>0.8</v>
      </c>
      <c r="E92" s="205">
        <f>(IF($R$1=1,$R$2,IF($R$1=2,$R$3,IF($R$1=3,$R$4,0))))*$E$3*$B$109</f>
        <v>0</v>
      </c>
      <c r="F92" s="184">
        <f>IF($F$3&gt;0,1,0)*$B$109</f>
        <v>0</v>
      </c>
      <c r="G92" s="21">
        <f t="shared" si="10"/>
        <v>0.8</v>
      </c>
      <c r="H92" s="204">
        <f>4*(IF($R$1=1,$R$2,IF($R$1=2,$R$3,IF($R$1=3,$R$4,0))))*$B$109</f>
        <v>0.8</v>
      </c>
      <c r="I92" s="205">
        <f>(IF($R$1=1,$R$2,IF($R$1=2,$R$3,IF($R$1=3,$R$4,0))))*$E$3*$B$109</f>
        <v>0</v>
      </c>
      <c r="J92" s="184">
        <f>IF($F$3&gt;0,1,0)*$B$109</f>
        <v>0</v>
      </c>
      <c r="K92" s="21">
        <f t="shared" si="11"/>
        <v>0.8</v>
      </c>
      <c r="L92" s="204">
        <f>4*(IF($R$1=1,$R$2,IF($R$1=2,$R$3,IF($R$1=3,$R$4,0))))*$B$109</f>
        <v>0.8</v>
      </c>
      <c r="M92" s="205">
        <f>(IF($R$1=1,$R$2,IF($R$1=2,$R$3,IF($R$1=3,$R$4,0))))*$E$3*$B$109</f>
        <v>0</v>
      </c>
      <c r="N92" s="184">
        <f>IF($F$3&gt;0,1,0)*$B$109</f>
        <v>0</v>
      </c>
      <c r="O92" s="21">
        <f t="shared" si="12"/>
        <v>0.8</v>
      </c>
      <c r="P92" t="s">
        <v>191</v>
      </c>
    </row>
    <row r="93" spans="1:17" x14ac:dyDescent="0.25">
      <c r="A93" s="1974"/>
      <c r="B93" s="19" t="s">
        <v>34</v>
      </c>
      <c r="C93" s="22"/>
      <c r="D93" s="204">
        <f>4*(IF($R$1=1,$R$2,IF($R$1=2,$R$3,IF($R$1=3,$R$4,0))))*$B$110</f>
        <v>1.2000000000000002</v>
      </c>
      <c r="E93" s="205">
        <f>(IF($R$1=1,$R$2,IF($R$1=2,$R$3,IF($R$1=3,$R$4,0))))*$E$3*$B$110</f>
        <v>0</v>
      </c>
      <c r="F93" s="184">
        <f>IF($F$3&gt;0,1,0)*$B$110</f>
        <v>0</v>
      </c>
      <c r="G93" s="21">
        <f t="shared" si="10"/>
        <v>1.2000000000000002</v>
      </c>
      <c r="H93" s="204">
        <f>4*(IF($R$1=1,$R$2,IF($R$1=2,$R$3,IF($R$1=3,$R$4,0))))*$B$110</f>
        <v>1.2000000000000002</v>
      </c>
      <c r="I93" s="205">
        <f>(IF($R$1=1,$R$2,IF($R$1=2,$R$3,IF($R$1=3,$R$4,0))))*$E$3*$B$110</f>
        <v>0</v>
      </c>
      <c r="J93" s="184">
        <f>IF($F$3&gt;0,1,0)*$B$110</f>
        <v>0</v>
      </c>
      <c r="K93" s="21">
        <f t="shared" si="11"/>
        <v>1.2000000000000002</v>
      </c>
      <c r="L93" s="204">
        <f>4*(IF($R$1=1,$R$2,IF($R$1=2,$R$3,IF($R$1=3,$R$4,0))))*$B$110</f>
        <v>1.2000000000000002</v>
      </c>
      <c r="M93" s="205">
        <f>(IF($R$1=1,$R$2,IF($R$1=2,$R$3,IF($R$1=3,$R$4,0))))*$E$3*$B$110</f>
        <v>0</v>
      </c>
      <c r="N93" s="184">
        <f>IF($F$3&gt;0,1,0)*$B$110</f>
        <v>0</v>
      </c>
      <c r="O93" s="21">
        <f t="shared" si="12"/>
        <v>1.2000000000000002</v>
      </c>
      <c r="P93" t="s">
        <v>191</v>
      </c>
    </row>
    <row r="94" spans="1:17" x14ac:dyDescent="0.25">
      <c r="A94" s="1974" t="s">
        <v>25</v>
      </c>
      <c r="B94" s="19" t="s">
        <v>32</v>
      </c>
      <c r="C94" s="22"/>
      <c r="D94" s="204">
        <f>4*(IF($R$1=1,$R$2,IF($R$1=2,$R$3,IF($R$1=3,$R$4,0))))*$B$108</f>
        <v>0.64000000000000012</v>
      </c>
      <c r="E94" s="205">
        <f>(IF($R$1=1,$R$2,IF($R$1=2,$R$3,IF($R$1=3,$R$4,0))))*$E$3*$B$108</f>
        <v>0</v>
      </c>
      <c r="F94" s="184">
        <f>IF($F$3&gt;0,1,0)*$B$108</f>
        <v>0</v>
      </c>
      <c r="G94" s="21">
        <f t="shared" si="10"/>
        <v>0.64000000000000012</v>
      </c>
      <c r="H94" s="204">
        <f>4*(IF($R$1=1,$R$2,IF($R$1=2,$R$3,IF($R$1=3,$R$4,0))))*$B$108</f>
        <v>0.64000000000000012</v>
      </c>
      <c r="I94" s="205">
        <f>(IF($R$1=1,$R$2,IF($R$1=2,$R$3,IF($R$1=3,$R$4,0))))*$E$3*$B$108</f>
        <v>0</v>
      </c>
      <c r="J94" s="184">
        <f>IF($F$3&gt;0,1,0)*$B$108</f>
        <v>0</v>
      </c>
      <c r="K94" s="21">
        <f t="shared" si="11"/>
        <v>0.64000000000000012</v>
      </c>
      <c r="L94" s="204">
        <f>4*(IF($R$1=1,$R$2,IF($R$1=2,$R$3,IF($R$1=3,$R$4,0))))*$B$108</f>
        <v>0.64000000000000012</v>
      </c>
      <c r="M94" s="205">
        <f>(IF($R$1=1,$R$2,IF($R$1=2,$R$3,IF($R$1=3,$R$4,0))))*$E$3*$B$108</f>
        <v>0</v>
      </c>
      <c r="N94" s="184">
        <f>IF($F$3&gt;0,1,0)*$B$108</f>
        <v>0</v>
      </c>
      <c r="O94" s="21">
        <f t="shared" si="12"/>
        <v>0.64000000000000012</v>
      </c>
      <c r="P94" t="s">
        <v>191</v>
      </c>
      <c r="Q94" t="s">
        <v>192</v>
      </c>
    </row>
    <row r="95" spans="1:17" x14ac:dyDescent="0.25">
      <c r="A95" s="1974"/>
      <c r="B95" s="19" t="s">
        <v>33</v>
      </c>
      <c r="C95" s="22"/>
      <c r="D95" s="204">
        <f>4*(IF($R$1=1,$R$2,IF($R$1=2,$R$3,IF($R$1=3,$R$4,0))))*$B$109</f>
        <v>0.8</v>
      </c>
      <c r="E95" s="205">
        <f>(IF($R$1=1,$R$2,IF($R$1=2,$R$3,IF($R$1=3,$R$4,0))))*$E$3*$B$109</f>
        <v>0</v>
      </c>
      <c r="F95" s="184">
        <f>IF($F$3&gt;0,1,0)*$B$109</f>
        <v>0</v>
      </c>
      <c r="G95" s="21">
        <f t="shared" si="10"/>
        <v>0.8</v>
      </c>
      <c r="H95" s="204">
        <f>4*(IF($R$1=1,$R$2,IF($R$1=2,$R$3,IF($R$1=3,$R$4,0))))*$B$109</f>
        <v>0.8</v>
      </c>
      <c r="I95" s="205">
        <f>(IF($R$1=1,$R$2,IF($R$1=2,$R$3,IF($R$1=3,$R$4,0))))*$E$3*$B$109</f>
        <v>0</v>
      </c>
      <c r="J95" s="184">
        <f>IF($F$3&gt;0,1,0)*$B$109</f>
        <v>0</v>
      </c>
      <c r="K95" s="21">
        <f t="shared" si="11"/>
        <v>0.8</v>
      </c>
      <c r="L95" s="204">
        <f>4*(IF($R$1=1,$R$2,IF($R$1=2,$R$3,IF($R$1=3,$R$4,0))))*$B$109</f>
        <v>0.8</v>
      </c>
      <c r="M95" s="205">
        <f>(IF($R$1=1,$R$2,IF($R$1=2,$R$3,IF($R$1=3,$R$4,0))))*$E$3*$B$109</f>
        <v>0</v>
      </c>
      <c r="N95" s="184">
        <f>IF($F$3&gt;0,1,0)*$B$109</f>
        <v>0</v>
      </c>
      <c r="O95" s="21">
        <f t="shared" si="12"/>
        <v>0.8</v>
      </c>
      <c r="P95" t="s">
        <v>191</v>
      </c>
    </row>
    <row r="96" spans="1:17" x14ac:dyDescent="0.25">
      <c r="A96" s="1974"/>
      <c r="B96" s="19" t="s">
        <v>34</v>
      </c>
      <c r="C96" s="22"/>
      <c r="D96" s="204">
        <f>4*(IF($R$1=1,$R$2,IF($R$1=2,$R$3,IF($R$1=3,$R$4,0))))*$B$110</f>
        <v>1.2000000000000002</v>
      </c>
      <c r="E96" s="205">
        <f>(IF($R$1=1,$R$2,IF($R$1=2,$R$3,IF($R$1=3,$R$4,0))))*$E$3*$B$110</f>
        <v>0</v>
      </c>
      <c r="F96" s="184">
        <f>IF($F$3&gt;0,1,0)*$B$110</f>
        <v>0</v>
      </c>
      <c r="G96" s="21">
        <f t="shared" si="10"/>
        <v>1.2000000000000002</v>
      </c>
      <c r="H96" s="204">
        <f>4*(IF($R$1=1,$R$2,IF($R$1=2,$R$3,IF($R$1=3,$R$4,0))))*$B$110</f>
        <v>1.2000000000000002</v>
      </c>
      <c r="I96" s="205">
        <f>(IF($R$1=1,$R$2,IF($R$1=2,$R$3,IF($R$1=3,$R$4,0))))*$E$3*$B$110</f>
        <v>0</v>
      </c>
      <c r="J96" s="184">
        <f>IF($F$3&gt;0,1,0)*$B$110</f>
        <v>0</v>
      </c>
      <c r="K96" s="21">
        <f t="shared" si="11"/>
        <v>1.2000000000000002</v>
      </c>
      <c r="L96" s="204">
        <f>4*(IF($R$1=1,$R$2,IF($R$1=2,$R$3,IF($R$1=3,$R$4,0))))*$B$110</f>
        <v>1.2000000000000002</v>
      </c>
      <c r="M96" s="205">
        <f>(IF($R$1=1,$R$2,IF($R$1=2,$R$3,IF($R$1=3,$R$4,0))))*$E$3*$B$110</f>
        <v>0</v>
      </c>
      <c r="N96" s="184">
        <f>IF($F$3&gt;0,1,0)*$B$110</f>
        <v>0</v>
      </c>
      <c r="O96" s="21">
        <f t="shared" si="12"/>
        <v>1.2000000000000002</v>
      </c>
      <c r="P96" t="s">
        <v>191</v>
      </c>
    </row>
    <row r="97" spans="1:17" x14ac:dyDescent="0.25">
      <c r="A97" s="1974" t="s">
        <v>26</v>
      </c>
      <c r="B97" s="19" t="s">
        <v>32</v>
      </c>
      <c r="C97" s="22"/>
      <c r="D97" s="124">
        <f>4+(0.5*$D$3)*(IF($R$1=1,$R$2,IF($R$1=2,$R$3,IF($R$1=3,$R$4,0))))*$B$108</f>
        <v>4</v>
      </c>
      <c r="E97" s="38">
        <v>0</v>
      </c>
      <c r="F97" s="184">
        <f>IF($F$3&gt;0,1,0)*$B$108</f>
        <v>0</v>
      </c>
      <c r="G97" s="21">
        <f t="shared" si="10"/>
        <v>4</v>
      </c>
      <c r="H97" s="124">
        <f>4+(0.5*$D$3)*(IF($R$1=1,$R$2,IF($R$1=2,$R$3,IF($R$1=3,$R$4,0))))*$B$108</f>
        <v>4</v>
      </c>
      <c r="I97" s="38">
        <v>0</v>
      </c>
      <c r="J97" s="184">
        <f>IF($F$3&gt;0,1,0)*$B$108</f>
        <v>0</v>
      </c>
      <c r="K97" s="21">
        <f t="shared" si="11"/>
        <v>4</v>
      </c>
      <c r="L97" s="124">
        <f>4+(0.5*$D$3)*(IF($R$1=1,$R$2,IF($R$1=2,$R$3,IF($R$1=3,$R$4,0))))*$B$108</f>
        <v>4</v>
      </c>
      <c r="M97" s="38">
        <v>0</v>
      </c>
      <c r="N97" s="184">
        <f>IF($F$3&gt;0,1,0)*$B$108</f>
        <v>0</v>
      </c>
      <c r="O97" s="21">
        <f t="shared" si="12"/>
        <v>4</v>
      </c>
      <c r="P97" t="s">
        <v>191</v>
      </c>
      <c r="Q97" t="s">
        <v>192</v>
      </c>
    </row>
    <row r="98" spans="1:17" x14ac:dyDescent="0.25">
      <c r="A98" s="1974"/>
      <c r="B98" s="19" t="s">
        <v>33</v>
      </c>
      <c r="C98" s="22"/>
      <c r="D98" s="124">
        <f>4+(0.5*$D$3)*(IF($R$1=1,$R$2,IF($R$1=2,$R$3,IF($R$1=3,$R$4,0))))*$B$109</f>
        <v>4</v>
      </c>
      <c r="E98" s="38">
        <v>0</v>
      </c>
      <c r="F98" s="184">
        <f>IF($F$3&gt;0,1,0)*$B$109</f>
        <v>0</v>
      </c>
      <c r="G98" s="21">
        <f t="shared" si="10"/>
        <v>4</v>
      </c>
      <c r="H98" s="124">
        <f>4+(0.5*$D$3)*(IF($R$1=1,$R$2,IF($R$1=2,$R$3,IF($R$1=3,$R$4,0))))*$B$109</f>
        <v>4</v>
      </c>
      <c r="I98" s="38">
        <v>0</v>
      </c>
      <c r="J98" s="184">
        <f>IF($F$3&gt;0,1,0)*$B$109</f>
        <v>0</v>
      </c>
      <c r="K98" s="21">
        <f t="shared" si="11"/>
        <v>4</v>
      </c>
      <c r="L98" s="124">
        <f>4+(0.5*$D$3)*(IF($R$1=1,$R$2,IF($R$1=2,$R$3,IF($R$1=3,$R$4,0))))*$B$109</f>
        <v>4</v>
      </c>
      <c r="M98" s="38">
        <v>0</v>
      </c>
      <c r="N98" s="184">
        <f>IF($F$3&gt;0,1,0)*$B$109</f>
        <v>0</v>
      </c>
      <c r="O98" s="21">
        <f t="shared" si="12"/>
        <v>4</v>
      </c>
      <c r="P98" t="s">
        <v>191</v>
      </c>
    </row>
    <row r="99" spans="1:17" x14ac:dyDescent="0.25">
      <c r="A99" s="1974"/>
      <c r="B99" s="19" t="s">
        <v>34</v>
      </c>
      <c r="C99" s="22"/>
      <c r="D99" s="124">
        <f>4+(0.5*$D$3)*(IF($R$1=1,$R$2,IF($R$1=2,$R$3,IF($R$1=3,$R$4,0))))*$B$110</f>
        <v>4</v>
      </c>
      <c r="E99" s="38">
        <v>0</v>
      </c>
      <c r="F99" s="184">
        <f>IF($F$3&gt;0,1,0)*$B$110</f>
        <v>0</v>
      </c>
      <c r="G99" s="21">
        <f t="shared" si="10"/>
        <v>4</v>
      </c>
      <c r="H99" s="124">
        <f>4+(0.5*$D$3)*(IF($R$1=1,$R$2,IF($R$1=2,$R$3,IF($R$1=3,$R$4,0))))*$B$110</f>
        <v>4</v>
      </c>
      <c r="I99" s="38">
        <v>0</v>
      </c>
      <c r="J99" s="184">
        <f>IF($F$3&gt;0,1,0)*$B$110</f>
        <v>0</v>
      </c>
      <c r="K99" s="21">
        <f t="shared" si="11"/>
        <v>4</v>
      </c>
      <c r="L99" s="124">
        <f>4+(0.5*$D$3)*(IF($R$1=1,$R$2,IF($R$1=2,$R$3,IF($R$1=3,$R$4,0))))*$B$110</f>
        <v>4</v>
      </c>
      <c r="M99" s="38">
        <v>0</v>
      </c>
      <c r="N99" s="184">
        <f>IF($F$3&gt;0,1,0)*$B$110</f>
        <v>0</v>
      </c>
      <c r="O99" s="21">
        <f t="shared" si="12"/>
        <v>4</v>
      </c>
      <c r="P99" t="s">
        <v>191</v>
      </c>
    </row>
    <row r="100" spans="1:17" x14ac:dyDescent="0.25">
      <c r="A100" s="1974" t="s">
        <v>27</v>
      </c>
      <c r="B100" s="19" t="s">
        <v>32</v>
      </c>
      <c r="C100" s="22"/>
      <c r="D100" s="124">
        <f>2+(0.5*$D$3)*(IF($R$1=1,$R$2,IF($R$1=2,$R$3,IF($R$1=3,$R$4,0))))*$B$108</f>
        <v>2</v>
      </c>
      <c r="E100" s="38">
        <v>0</v>
      </c>
      <c r="F100" s="38">
        <v>0</v>
      </c>
      <c r="G100" s="21">
        <f t="shared" si="10"/>
        <v>2</v>
      </c>
      <c r="H100" s="124">
        <f>2+(0.5*$D$3)*(IF($R$1=1,$R$2,IF($R$1=2,$R$3,IF($R$1=3,$R$4,0))))*$B$108</f>
        <v>2</v>
      </c>
      <c r="I100" s="38">
        <v>0</v>
      </c>
      <c r="J100" s="38">
        <v>0</v>
      </c>
      <c r="K100" s="21">
        <f t="shared" si="11"/>
        <v>2</v>
      </c>
      <c r="L100" s="124">
        <f>2+(0.5*$D$3)*(IF($R$1=1,$R$2,IF($R$1=2,$R$3,IF($R$1=3,$R$4,0))))*$B$108</f>
        <v>2</v>
      </c>
      <c r="M100" s="38">
        <v>0</v>
      </c>
      <c r="N100" s="38">
        <v>0</v>
      </c>
      <c r="O100" s="21">
        <f t="shared" si="12"/>
        <v>2</v>
      </c>
    </row>
    <row r="101" spans="1:17" x14ac:dyDescent="0.25">
      <c r="A101" s="1974"/>
      <c r="B101" s="19" t="s">
        <v>33</v>
      </c>
      <c r="C101" s="22"/>
      <c r="D101" s="124">
        <f>2+(0.5*$D$3)*(IF($R$1=1,$R$2,IF($R$1=2,$R$3,IF($R$1=3,$R$4,0))))*$B$109</f>
        <v>2</v>
      </c>
      <c r="E101" s="38">
        <v>0</v>
      </c>
      <c r="F101" s="38">
        <v>0</v>
      </c>
      <c r="G101" s="21">
        <f t="shared" si="10"/>
        <v>2</v>
      </c>
      <c r="H101" s="124">
        <f>2+(0.5*$D$3)*(IF($R$1=1,$R$2,IF($R$1=2,$R$3,IF($R$1=3,$R$4,0))))*$B$109</f>
        <v>2</v>
      </c>
      <c r="I101" s="38">
        <v>0</v>
      </c>
      <c r="J101" s="38">
        <v>0</v>
      </c>
      <c r="K101" s="21">
        <f t="shared" si="11"/>
        <v>2</v>
      </c>
      <c r="L101" s="124">
        <f>2+(0.5*$D$3)*(IF($R$1=1,$R$2,IF($R$1=2,$R$3,IF($R$1=3,$R$4,0))))*$B$109</f>
        <v>2</v>
      </c>
      <c r="M101" s="38">
        <v>0</v>
      </c>
      <c r="N101" s="38">
        <v>0</v>
      </c>
      <c r="O101" s="21">
        <f t="shared" si="12"/>
        <v>2</v>
      </c>
    </row>
    <row r="102" spans="1:17" x14ac:dyDescent="0.25">
      <c r="A102" s="1974"/>
      <c r="B102" s="19" t="s">
        <v>34</v>
      </c>
      <c r="C102" s="22"/>
      <c r="D102" s="124">
        <f>2+(0.5*$D$3)*(IF($R$1=1,$R$2,IF($R$1=2,$R$3,IF($R$1=3,$R$4,0))))*$B$110</f>
        <v>2</v>
      </c>
      <c r="E102" s="38">
        <v>0</v>
      </c>
      <c r="F102" s="38">
        <v>0</v>
      </c>
      <c r="G102" s="21">
        <f t="shared" si="10"/>
        <v>2</v>
      </c>
      <c r="H102" s="124">
        <f>2+(0.5*$D$3)*(IF($R$1=1,$R$2,IF($R$1=2,$R$3,IF($R$1=3,$R$4,0))))*$B$110</f>
        <v>2</v>
      </c>
      <c r="I102" s="38">
        <v>0</v>
      </c>
      <c r="J102" s="38">
        <v>0</v>
      </c>
      <c r="K102" s="21">
        <f t="shared" si="11"/>
        <v>2</v>
      </c>
      <c r="L102" s="124">
        <f>2+(0.5*$D$3)*(IF($R$1=1,$R$2,IF($R$1=2,$R$3,IF($R$1=3,$R$4,0))))*$B$110</f>
        <v>2</v>
      </c>
      <c r="M102" s="38">
        <v>0</v>
      </c>
      <c r="N102" s="38">
        <v>0</v>
      </c>
      <c r="O102" s="21">
        <f t="shared" si="12"/>
        <v>2</v>
      </c>
    </row>
    <row r="103" spans="1:17" x14ac:dyDescent="0.25">
      <c r="A103" s="1907" t="s">
        <v>28</v>
      </c>
      <c r="B103" s="19" t="s">
        <v>32</v>
      </c>
      <c r="C103" s="22"/>
      <c r="D103" s="204">
        <f>3*(IF($R$1=1,$R$2,IF($R$1=2,$R$3,IF($R$1=3,$R$4,0))))*$B$108</f>
        <v>0.48000000000000009</v>
      </c>
      <c r="E103" s="203">
        <f>(IF($R$1=1,$R$2,IF($R$1=2,$R$3,IF($R$1=3,$R$4,0))))*$E$3*$B$108</f>
        <v>0</v>
      </c>
      <c r="F103" s="38">
        <v>0</v>
      </c>
      <c r="G103" s="21">
        <f t="shared" si="10"/>
        <v>0.48000000000000009</v>
      </c>
      <c r="H103" s="204">
        <f>3*(IF($R$1=1,$R$2,IF($R$1=2,$R$3,IF($R$1=3,$R$4,0))))*$B$108</f>
        <v>0.48000000000000009</v>
      </c>
      <c r="I103" s="203">
        <f>(IF($R$1=1,$R$2,IF($R$1=2,$R$3,IF($R$1=3,$R$4,0))))*$E$3*$B$108</f>
        <v>0</v>
      </c>
      <c r="J103" s="38">
        <v>0</v>
      </c>
      <c r="K103" s="21">
        <f t="shared" si="11"/>
        <v>0.48000000000000009</v>
      </c>
      <c r="L103" s="204">
        <f>3*(IF($R$1=1,$R$2,IF($R$1=2,$R$3,IF($R$1=3,$R$4,0))))*$B$108</f>
        <v>0.48000000000000009</v>
      </c>
      <c r="M103" s="203">
        <f>(IF($R$1=1,$R$2,IF($R$1=2,$R$3,IF($R$1=3,$R$4,0))))*$E$3*$B$108</f>
        <v>0</v>
      </c>
      <c r="N103" s="38">
        <v>0</v>
      </c>
      <c r="O103" s="21">
        <f t="shared" si="12"/>
        <v>0.48000000000000009</v>
      </c>
    </row>
    <row r="104" spans="1:17" x14ac:dyDescent="0.25">
      <c r="A104" s="1907"/>
      <c r="B104" s="19" t="s">
        <v>33</v>
      </c>
      <c r="C104" s="22"/>
      <c r="D104" s="204">
        <f>3*(IF($R$1=1,$R$2,IF($R$1=2,$R$3,IF($R$1=3,$R$4,0))))*$B$109</f>
        <v>0.60000000000000009</v>
      </c>
      <c r="E104" s="203">
        <f>(IF($R$1=1,$R$2,IF($R$1=2,$R$3,IF($R$1=3,$R$4,0))))*$E$3*$B$109</f>
        <v>0</v>
      </c>
      <c r="F104" s="38">
        <v>0</v>
      </c>
      <c r="G104" s="21">
        <f t="shared" si="10"/>
        <v>0.60000000000000009</v>
      </c>
      <c r="H104" s="204">
        <f>3*(IF($R$1=1,$R$2,IF($R$1=2,$R$3,IF($R$1=3,$R$4,0))))*$B$109</f>
        <v>0.60000000000000009</v>
      </c>
      <c r="I104" s="203">
        <f>(IF($R$1=1,$R$2,IF($R$1=2,$R$3,IF($R$1=3,$R$4,0))))*$E$3*$B$109</f>
        <v>0</v>
      </c>
      <c r="J104" s="38">
        <v>0</v>
      </c>
      <c r="K104" s="21">
        <f t="shared" si="11"/>
        <v>0.60000000000000009</v>
      </c>
      <c r="L104" s="204">
        <f>3*(IF($R$1=1,$R$2,IF($R$1=2,$R$3,IF($R$1=3,$R$4,0))))*$B$109</f>
        <v>0.60000000000000009</v>
      </c>
      <c r="M104" s="203">
        <f>(IF($R$1=1,$R$2,IF($R$1=2,$R$3,IF($R$1=3,$R$4,0))))*$E$3*$B$109</f>
        <v>0</v>
      </c>
      <c r="N104" s="38">
        <v>0</v>
      </c>
      <c r="O104" s="21">
        <f t="shared" si="12"/>
        <v>0.60000000000000009</v>
      </c>
    </row>
    <row r="105" spans="1:17" ht="15.75" thickBot="1" x14ac:dyDescent="0.3">
      <c r="A105" s="1975"/>
      <c r="B105" s="20" t="s">
        <v>34</v>
      </c>
      <c r="C105" s="23"/>
      <c r="D105" s="462">
        <f>3*(IF($R$1=1,$R$2,IF($R$1=2,$R$3,IF($R$1=3,$R$4,0))))*$B$110</f>
        <v>0.90000000000000013</v>
      </c>
      <c r="E105" s="463">
        <f>(IF($R$1=1,$R$2,IF($R$1=2,$R$3,IF($R$1=3,$R$4,0))))*$E$3*$B$110</f>
        <v>0</v>
      </c>
      <c r="F105" s="408">
        <v>0</v>
      </c>
      <c r="G105" s="24">
        <f t="shared" si="10"/>
        <v>0.90000000000000013</v>
      </c>
      <c r="H105" s="464">
        <f>3*(IF($R$1=1,$R$2,IF($R$1=2,$R$3,IF($R$1=3,$R$4,0))))*$B$110</f>
        <v>0.90000000000000013</v>
      </c>
      <c r="I105" s="463">
        <f>(IF($R$1=1,$R$2,IF($R$1=2,$R$3,IF($R$1=3,$R$4,0))))*$E$3*$B$110</f>
        <v>0</v>
      </c>
      <c r="J105" s="408">
        <v>0</v>
      </c>
      <c r="K105" s="24">
        <f t="shared" si="11"/>
        <v>0.90000000000000013</v>
      </c>
      <c r="L105" s="464">
        <f>3*(IF($R$1=1,$R$2,IF($R$1=2,$R$3,IF($R$1=3,$R$4,0))))*$B$110</f>
        <v>0.90000000000000013</v>
      </c>
      <c r="M105" s="463">
        <f>(IF($R$1=1,$R$2,IF($R$1=2,$R$3,IF($R$1=3,$R$4,0))))*$E$3*$B$110</f>
        <v>0</v>
      </c>
      <c r="N105" s="408">
        <v>0</v>
      </c>
      <c r="O105" s="24">
        <f t="shared" si="12"/>
        <v>0.90000000000000013</v>
      </c>
    </row>
    <row r="106" spans="1:17" x14ac:dyDescent="0.25">
      <c r="G106" s="83"/>
      <c r="H106" s="83"/>
      <c r="I106" s="83"/>
      <c r="J106" s="83"/>
      <c r="K106" s="83"/>
      <c r="L106" s="83"/>
      <c r="M106" s="83"/>
      <c r="N106" s="83"/>
      <c r="O106" s="83"/>
    </row>
    <row r="107" spans="1:17" x14ac:dyDescent="0.25">
      <c r="A107" s="125" t="s">
        <v>89</v>
      </c>
      <c r="B107" s="7" t="s">
        <v>73</v>
      </c>
      <c r="G107" s="83"/>
      <c r="H107" s="83"/>
      <c r="I107" s="83"/>
      <c r="J107" s="83"/>
      <c r="K107" s="83"/>
      <c r="L107" s="83"/>
      <c r="M107" s="83"/>
      <c r="N107" s="83"/>
      <c r="O107" s="83"/>
      <c r="P107" s="202" t="s">
        <v>190</v>
      </c>
    </row>
    <row r="108" spans="1:17" x14ac:dyDescent="0.25">
      <c r="B108" s="7">
        <v>0.8</v>
      </c>
      <c r="C108" t="s">
        <v>189</v>
      </c>
      <c r="D108" s="54">
        <f t="shared" ref="D108:F110" si="13">(D8+D12+D16+D19+D22+D25+D28+D31+D34+D38+D42+D45+D48+D51+D54+D57+D60+D88+D91+D94+D97+D100+D103)</f>
        <v>19.940000000000005</v>
      </c>
      <c r="E108" s="54">
        <f t="shared" si="13"/>
        <v>0</v>
      </c>
      <c r="F108" s="54">
        <f t="shared" si="13"/>
        <v>0</v>
      </c>
      <c r="P108" s="202">
        <f>(D108+E108+F108)/8</f>
        <v>2.4925000000000006</v>
      </c>
    </row>
    <row r="109" spans="1:17" x14ac:dyDescent="0.25">
      <c r="B109" s="7">
        <v>1</v>
      </c>
      <c r="C109" t="s">
        <v>188</v>
      </c>
      <c r="D109" s="54">
        <f t="shared" si="13"/>
        <v>22.500000000000004</v>
      </c>
      <c r="E109" s="54">
        <f t="shared" si="13"/>
        <v>0</v>
      </c>
      <c r="F109" s="54">
        <f t="shared" si="13"/>
        <v>0</v>
      </c>
      <c r="P109" s="202">
        <f>(D109+E109+F109)/8</f>
        <v>2.8125000000000004</v>
      </c>
    </row>
    <row r="110" spans="1:17" x14ac:dyDescent="0.25">
      <c r="B110" s="7">
        <v>1.5</v>
      </c>
      <c r="C110" t="s">
        <v>187</v>
      </c>
      <c r="D110" s="54">
        <f t="shared" si="13"/>
        <v>28.9</v>
      </c>
      <c r="E110" s="54">
        <f t="shared" si="13"/>
        <v>0</v>
      </c>
      <c r="F110" s="54">
        <f t="shared" si="13"/>
        <v>0</v>
      </c>
      <c r="P110" s="202">
        <f>(D110+E110+F110)/8</f>
        <v>3.6124999999999998</v>
      </c>
    </row>
  </sheetData>
  <mergeCells count="42">
    <mergeCell ref="G2:G3"/>
    <mergeCell ref="D1:G1"/>
    <mergeCell ref="L1:O1"/>
    <mergeCell ref="O2:O3"/>
    <mergeCell ref="H1:K1"/>
    <mergeCell ref="K2:K3"/>
    <mergeCell ref="A45:A47"/>
    <mergeCell ref="A48:A50"/>
    <mergeCell ref="C2:C3"/>
    <mergeCell ref="A8:A10"/>
    <mergeCell ref="A12:A14"/>
    <mergeCell ref="A5:A7"/>
    <mergeCell ref="A103:A105"/>
    <mergeCell ref="A57:A59"/>
    <mergeCell ref="A60:A62"/>
    <mergeCell ref="A75:A77"/>
    <mergeCell ref="A88:A90"/>
    <mergeCell ref="A91:A93"/>
    <mergeCell ref="A94:A96"/>
    <mergeCell ref="A78:A80"/>
    <mergeCell ref="A81:A83"/>
    <mergeCell ref="A84:A86"/>
    <mergeCell ref="A63:A65"/>
    <mergeCell ref="A66:A68"/>
    <mergeCell ref="A69:A71"/>
    <mergeCell ref="A72:A74"/>
    <mergeCell ref="Q28:U30"/>
    <mergeCell ref="Q12:U14"/>
    <mergeCell ref="Q45:U47"/>
    <mergeCell ref="A97:A99"/>
    <mergeCell ref="A100:A102"/>
    <mergeCell ref="A54:A56"/>
    <mergeCell ref="A19:A21"/>
    <mergeCell ref="A22:A24"/>
    <mergeCell ref="A25:A27"/>
    <mergeCell ref="A28:A30"/>
    <mergeCell ref="A51:A53"/>
    <mergeCell ref="A16:A18"/>
    <mergeCell ref="A31:A33"/>
    <mergeCell ref="A34:A36"/>
    <mergeCell ref="A38:A40"/>
    <mergeCell ref="A42:A44"/>
  </mergeCells>
  <dataValidations count="1">
    <dataValidation type="list" allowBlank="1" showInputMessage="1" showErrorMessage="1" sqref="R1" xr:uid="{00000000-0002-0000-1500-000000000000}">
      <formula1>$P$2:$P$4</formula1>
    </dataValidation>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11"/>
  <dimension ref="A1:AK69"/>
  <sheetViews>
    <sheetView workbookViewId="0">
      <selection activeCell="X6" sqref="X6"/>
    </sheetView>
  </sheetViews>
  <sheetFormatPr defaultRowHeight="15" x14ac:dyDescent="0.25"/>
  <cols>
    <col min="1" max="1" width="45.5703125" bestFit="1" customWidth="1"/>
    <col min="2" max="2" width="29.28515625" bestFit="1" customWidth="1"/>
    <col min="3" max="3" width="15.7109375" style="270" customWidth="1"/>
    <col min="4" max="4" width="10.42578125" bestFit="1" customWidth="1"/>
    <col min="5" max="5" width="51.140625" bestFit="1" customWidth="1"/>
    <col min="6" max="6" width="55.5703125" bestFit="1" customWidth="1"/>
    <col min="7" max="7" width="27.42578125" bestFit="1" customWidth="1"/>
    <col min="8" max="8" width="22.140625" bestFit="1" customWidth="1"/>
    <col min="9" max="9" width="22" bestFit="1" customWidth="1"/>
    <col min="10" max="11" width="18.5703125" customWidth="1"/>
    <col min="12" max="12" width="44.5703125" bestFit="1" customWidth="1"/>
    <col min="13" max="14" width="15" customWidth="1"/>
    <col min="15" max="15" width="22.140625" bestFit="1" customWidth="1"/>
    <col min="16" max="16" width="26" customWidth="1"/>
    <col min="17" max="17" width="21.28515625" customWidth="1"/>
    <col min="18" max="18" width="50.85546875" bestFit="1" customWidth="1"/>
    <col min="19" max="19" width="33.140625" bestFit="1" customWidth="1"/>
    <col min="20" max="20" width="23.42578125" bestFit="1" customWidth="1"/>
    <col min="21" max="21" width="55.7109375" bestFit="1" customWidth="1"/>
    <col min="22" max="22" width="19" bestFit="1" customWidth="1"/>
    <col min="23" max="23" width="20.28515625" bestFit="1" customWidth="1"/>
    <col min="24" max="24" width="23.5703125" bestFit="1" customWidth="1"/>
    <col min="25" max="25" width="44.5703125" bestFit="1" customWidth="1"/>
    <col min="26" max="26" width="29.28515625" bestFit="1" customWidth="1"/>
    <col min="27" max="27" width="33.28515625" bestFit="1" customWidth="1"/>
    <col min="28" max="28" width="13.7109375" customWidth="1"/>
    <col min="29" max="29" width="18.140625" bestFit="1" customWidth="1"/>
    <col min="30" max="30" width="18.5703125" bestFit="1" customWidth="1"/>
    <col min="31" max="31" width="21.7109375" bestFit="1" customWidth="1"/>
    <col min="32" max="32" width="19" bestFit="1" customWidth="1"/>
    <col min="33" max="33" width="24.7109375" bestFit="1" customWidth="1"/>
    <col min="34" max="34" width="8.140625" bestFit="1" customWidth="1"/>
  </cols>
  <sheetData>
    <row r="1" spans="1:37" x14ac:dyDescent="0.25">
      <c r="A1" t="s">
        <v>55</v>
      </c>
      <c r="B1" t="s">
        <v>79</v>
      </c>
      <c r="C1" s="270" t="s">
        <v>78</v>
      </c>
      <c r="D1" t="s">
        <v>71</v>
      </c>
      <c r="E1" t="s">
        <v>42</v>
      </c>
      <c r="F1" t="s">
        <v>43</v>
      </c>
      <c r="G1" t="s">
        <v>44</v>
      </c>
      <c r="H1" t="s">
        <v>359</v>
      </c>
      <c r="I1" t="s">
        <v>45</v>
      </c>
      <c r="J1" t="s">
        <v>46</v>
      </c>
      <c r="K1" t="s">
        <v>99</v>
      </c>
      <c r="L1" t="s">
        <v>47</v>
      </c>
      <c r="M1" t="s">
        <v>98</v>
      </c>
      <c r="N1" t="s">
        <v>646</v>
      </c>
      <c r="O1" t="s">
        <v>535</v>
      </c>
      <c r="P1" t="s">
        <v>532</v>
      </c>
      <c r="Q1" t="s">
        <v>110</v>
      </c>
      <c r="R1" t="s">
        <v>394</v>
      </c>
      <c r="S1" t="s">
        <v>398</v>
      </c>
      <c r="T1" t="s">
        <v>619</v>
      </c>
      <c r="U1" t="s">
        <v>399</v>
      </c>
      <c r="V1" t="s">
        <v>400</v>
      </c>
      <c r="W1" t="s">
        <v>401</v>
      </c>
      <c r="X1" t="s">
        <v>402</v>
      </c>
      <c r="Y1" t="s">
        <v>403</v>
      </c>
      <c r="Z1" t="s">
        <v>404</v>
      </c>
      <c r="AA1" t="s">
        <v>405</v>
      </c>
      <c r="AB1" t="s">
        <v>406</v>
      </c>
      <c r="AC1" t="s">
        <v>407</v>
      </c>
      <c r="AD1" t="s">
        <v>408</v>
      </c>
      <c r="AE1" t="s">
        <v>100</v>
      </c>
      <c r="AF1" t="s">
        <v>603</v>
      </c>
      <c r="AG1" t="s">
        <v>604</v>
      </c>
      <c r="AH1" t="s">
        <v>605</v>
      </c>
      <c r="AI1" t="s">
        <v>48</v>
      </c>
      <c r="AK1">
        <v>1</v>
      </c>
    </row>
    <row r="2" spans="1:37" ht="15" customHeight="1" x14ac:dyDescent="0.25">
      <c r="A2" t="s">
        <v>61</v>
      </c>
      <c r="B2" t="s">
        <v>108</v>
      </c>
      <c r="C2" s="270" t="s">
        <v>0</v>
      </c>
      <c r="E2" s="286" t="s">
        <v>349</v>
      </c>
      <c r="F2" t="s">
        <v>40</v>
      </c>
      <c r="G2" s="286" t="s">
        <v>357</v>
      </c>
      <c r="H2" t="s">
        <v>360</v>
      </c>
      <c r="I2" t="s">
        <v>363</v>
      </c>
      <c r="J2" t="s">
        <v>41</v>
      </c>
      <c r="K2" t="s">
        <v>288</v>
      </c>
      <c r="L2" t="s">
        <v>372</v>
      </c>
      <c r="M2" t="s">
        <v>376</v>
      </c>
      <c r="N2" t="s">
        <v>377</v>
      </c>
      <c r="O2" t="s">
        <v>380</v>
      </c>
      <c r="P2" t="s">
        <v>383</v>
      </c>
      <c r="Q2" t="s">
        <v>111</v>
      </c>
      <c r="R2" t="s">
        <v>818</v>
      </c>
      <c r="S2" t="s">
        <v>409</v>
      </c>
      <c r="T2" t="s">
        <v>414</v>
      </c>
      <c r="U2" t="s">
        <v>418</v>
      </c>
      <c r="V2" t="s">
        <v>420</v>
      </c>
      <c r="W2" t="s">
        <v>422</v>
      </c>
      <c r="X2" t="s">
        <v>1850</v>
      </c>
      <c r="Y2" t="s">
        <v>425</v>
      </c>
      <c r="Z2" t="s">
        <v>429</v>
      </c>
      <c r="AA2" t="s">
        <v>430</v>
      </c>
      <c r="AB2" t="s">
        <v>433</v>
      </c>
      <c r="AC2" t="s">
        <v>434</v>
      </c>
      <c r="AD2" t="s">
        <v>436</v>
      </c>
      <c r="AE2" t="s">
        <v>538</v>
      </c>
      <c r="AF2" t="s">
        <v>385</v>
      </c>
      <c r="AG2" t="s">
        <v>606</v>
      </c>
      <c r="AH2" t="s">
        <v>608</v>
      </c>
      <c r="AI2" s="108" t="s">
        <v>567</v>
      </c>
      <c r="AK2">
        <v>2</v>
      </c>
    </row>
    <row r="3" spans="1:37" x14ac:dyDescent="0.25">
      <c r="A3" t="s">
        <v>81</v>
      </c>
      <c r="B3" t="s">
        <v>109</v>
      </c>
      <c r="C3" s="270" t="s">
        <v>1</v>
      </c>
      <c r="E3" s="286" t="s">
        <v>347</v>
      </c>
      <c r="F3" t="s">
        <v>355</v>
      </c>
      <c r="G3" s="286" t="s">
        <v>358</v>
      </c>
      <c r="H3" t="s">
        <v>361</v>
      </c>
      <c r="I3" s="118" t="s">
        <v>364</v>
      </c>
      <c r="J3" t="s">
        <v>367</v>
      </c>
      <c r="K3" t="s">
        <v>371</v>
      </c>
      <c r="L3" t="s">
        <v>373</v>
      </c>
      <c r="M3" t="s">
        <v>379</v>
      </c>
      <c r="N3" t="s">
        <v>378</v>
      </c>
      <c r="O3" t="s">
        <v>381</v>
      </c>
      <c r="P3" t="s">
        <v>285</v>
      </c>
      <c r="Q3" t="s">
        <v>391</v>
      </c>
      <c r="R3" t="s">
        <v>1833</v>
      </c>
      <c r="S3" t="s">
        <v>410</v>
      </c>
      <c r="T3" t="s">
        <v>415</v>
      </c>
      <c r="U3" t="s">
        <v>419</v>
      </c>
      <c r="V3" t="s">
        <v>421</v>
      </c>
      <c r="W3" t="s">
        <v>423</v>
      </c>
      <c r="Y3" t="s">
        <v>426</v>
      </c>
      <c r="AA3" t="s">
        <v>431</v>
      </c>
      <c r="AB3" s="118"/>
      <c r="AC3" s="118" t="s">
        <v>435</v>
      </c>
      <c r="AD3" s="118" t="s">
        <v>437</v>
      </c>
      <c r="AE3" s="118" t="s">
        <v>537</v>
      </c>
      <c r="AF3" t="s">
        <v>386</v>
      </c>
      <c r="AG3" t="s">
        <v>607</v>
      </c>
      <c r="AH3" s="118" t="s">
        <v>609</v>
      </c>
      <c r="AI3" s="118" t="s">
        <v>87</v>
      </c>
    </row>
    <row r="4" spans="1:37" ht="15" customHeight="1" x14ac:dyDescent="0.25">
      <c r="B4" t="s">
        <v>80</v>
      </c>
      <c r="C4" s="270" t="s">
        <v>3</v>
      </c>
      <c r="E4" s="286" t="s">
        <v>348</v>
      </c>
      <c r="G4" s="293" t="s">
        <v>356</v>
      </c>
      <c r="H4" t="s">
        <v>362</v>
      </c>
      <c r="I4" s="118" t="s">
        <v>365</v>
      </c>
      <c r="J4" t="s">
        <v>368</v>
      </c>
      <c r="K4" s="118"/>
      <c r="L4" t="s">
        <v>374</v>
      </c>
      <c r="M4" t="s">
        <v>284</v>
      </c>
      <c r="O4" t="s">
        <v>384</v>
      </c>
      <c r="P4" t="s">
        <v>286</v>
      </c>
      <c r="Q4" t="s">
        <v>392</v>
      </c>
      <c r="R4" s="1748" t="s">
        <v>1834</v>
      </c>
      <c r="S4" t="s">
        <v>411</v>
      </c>
      <c r="W4" t="s">
        <v>424</v>
      </c>
      <c r="Y4" t="s">
        <v>427</v>
      </c>
      <c r="AA4" t="s">
        <v>432</v>
      </c>
      <c r="AE4" t="s">
        <v>539</v>
      </c>
      <c r="AF4" t="s">
        <v>387</v>
      </c>
      <c r="AG4" t="s">
        <v>416</v>
      </c>
      <c r="AH4" s="118"/>
      <c r="AI4" t="s">
        <v>119</v>
      </c>
    </row>
    <row r="5" spans="1:37" x14ac:dyDescent="0.25">
      <c r="C5" s="270" t="s">
        <v>11</v>
      </c>
      <c r="E5" s="286" t="s">
        <v>350</v>
      </c>
      <c r="G5" s="286" t="s">
        <v>283</v>
      </c>
      <c r="I5" t="s">
        <v>289</v>
      </c>
      <c r="J5" t="s">
        <v>369</v>
      </c>
      <c r="O5" t="s">
        <v>382</v>
      </c>
      <c r="P5" t="s">
        <v>287</v>
      </c>
      <c r="S5" t="s">
        <v>412</v>
      </c>
      <c r="Y5" t="s">
        <v>428</v>
      </c>
      <c r="AF5" t="s">
        <v>388</v>
      </c>
      <c r="AG5" t="s">
        <v>417</v>
      </c>
    </row>
    <row r="6" spans="1:37" ht="15" customHeight="1" x14ac:dyDescent="0.25">
      <c r="C6" s="270" t="s">
        <v>13</v>
      </c>
      <c r="E6" s="286" t="s">
        <v>351</v>
      </c>
      <c r="I6" t="s">
        <v>366</v>
      </c>
      <c r="J6" t="s">
        <v>370</v>
      </c>
      <c r="S6" t="s">
        <v>413</v>
      </c>
      <c r="AF6" t="s">
        <v>389</v>
      </c>
    </row>
    <row r="7" spans="1:37" x14ac:dyDescent="0.25">
      <c r="C7" s="270" t="s">
        <v>22</v>
      </c>
      <c r="E7" s="286" t="s">
        <v>352</v>
      </c>
      <c r="X7">
        <v>2</v>
      </c>
      <c r="AF7" t="s">
        <v>390</v>
      </c>
    </row>
    <row r="8" spans="1:37" x14ac:dyDescent="0.25">
      <c r="A8" t="s">
        <v>106</v>
      </c>
      <c r="C8" s="270" t="s">
        <v>30</v>
      </c>
      <c r="E8" s="286" t="s">
        <v>353</v>
      </c>
    </row>
    <row r="9" spans="1:37" x14ac:dyDescent="0.25">
      <c r="A9" t="s">
        <v>107</v>
      </c>
      <c r="C9" s="270" t="s">
        <v>31</v>
      </c>
      <c r="E9" s="286" t="s">
        <v>354</v>
      </c>
    </row>
    <row r="11" spans="1:37" x14ac:dyDescent="0.25">
      <c r="C11" s="270" t="s">
        <v>179</v>
      </c>
    </row>
    <row r="12" spans="1:37" x14ac:dyDescent="0.25">
      <c r="C12" s="270" t="s">
        <v>1</v>
      </c>
      <c r="D12">
        <v>1</v>
      </c>
    </row>
    <row r="13" spans="1:37" x14ac:dyDescent="0.25">
      <c r="C13" s="270" t="s">
        <v>11</v>
      </c>
      <c r="D13">
        <v>2</v>
      </c>
    </row>
    <row r="14" spans="1:37" x14ac:dyDescent="0.25">
      <c r="C14" s="270" t="s">
        <v>447</v>
      </c>
      <c r="D14">
        <v>3</v>
      </c>
    </row>
    <row r="15" spans="1:37" x14ac:dyDescent="0.25">
      <c r="C15" s="270" t="s">
        <v>3</v>
      </c>
      <c r="D15">
        <v>4</v>
      </c>
    </row>
    <row r="21" spans="3:5" ht="15.75" thickBot="1" x14ac:dyDescent="0.3"/>
    <row r="22" spans="3:5" x14ac:dyDescent="0.25">
      <c r="C22" s="888" t="s">
        <v>79</v>
      </c>
      <c r="D22" s="517"/>
    </row>
    <row r="23" spans="3:5" x14ac:dyDescent="0.25">
      <c r="C23" s="884" t="s">
        <v>108</v>
      </c>
      <c r="D23" s="403">
        <v>1</v>
      </c>
    </row>
    <row r="24" spans="3:5" x14ac:dyDescent="0.25">
      <c r="C24" s="884" t="s">
        <v>109</v>
      </c>
      <c r="D24" s="403">
        <v>2</v>
      </c>
    </row>
    <row r="25" spans="3:5" ht="15.75" thickBot="1" x14ac:dyDescent="0.3">
      <c r="C25" s="885" t="s">
        <v>80</v>
      </c>
      <c r="D25" s="886">
        <v>3</v>
      </c>
    </row>
    <row r="26" spans="3:5" ht="15.75" thickBot="1" x14ac:dyDescent="0.3"/>
    <row r="27" spans="3:5" x14ac:dyDescent="0.25">
      <c r="C27" s="888" t="s">
        <v>335</v>
      </c>
      <c r="D27" s="517"/>
      <c r="E27" t="s">
        <v>701</v>
      </c>
    </row>
    <row r="28" spans="3:5" x14ac:dyDescent="0.25">
      <c r="C28" s="884" t="s">
        <v>630</v>
      </c>
      <c r="D28" s="403">
        <v>1</v>
      </c>
    </row>
    <row r="29" spans="3:5" x14ac:dyDescent="0.25">
      <c r="C29" s="884" t="s">
        <v>631</v>
      </c>
      <c r="D29" s="403">
        <v>2</v>
      </c>
    </row>
    <row r="30" spans="3:5" ht="30.75" thickBot="1" x14ac:dyDescent="0.3">
      <c r="C30" s="885" t="s">
        <v>336</v>
      </c>
      <c r="D30" s="886">
        <v>3</v>
      </c>
    </row>
    <row r="31" spans="3:5" ht="15.75" thickBot="1" x14ac:dyDescent="0.3"/>
    <row r="32" spans="3:5" ht="30" x14ac:dyDescent="0.25">
      <c r="C32" s="888" t="s">
        <v>337</v>
      </c>
      <c r="D32" s="517"/>
      <c r="E32" s="286"/>
    </row>
    <row r="33" spans="3:4" x14ac:dyDescent="0.25">
      <c r="C33" s="884" t="s">
        <v>632</v>
      </c>
      <c r="D33" s="403">
        <v>1</v>
      </c>
    </row>
    <row r="34" spans="3:4" x14ac:dyDescent="0.25">
      <c r="C34" s="884" t="s">
        <v>631</v>
      </c>
      <c r="D34" s="403">
        <v>2</v>
      </c>
    </row>
    <row r="35" spans="3:4" ht="45.75" thickBot="1" x14ac:dyDescent="0.3">
      <c r="C35" s="885" t="s">
        <v>338</v>
      </c>
      <c r="D35" s="886">
        <v>3</v>
      </c>
    </row>
    <row r="36" spans="3:4" ht="15.75" thickBot="1" x14ac:dyDescent="0.3"/>
    <row r="37" spans="3:4" ht="30" x14ac:dyDescent="0.25">
      <c r="C37" s="888" t="s">
        <v>634</v>
      </c>
      <c r="D37" s="517"/>
    </row>
    <row r="38" spans="3:4" x14ac:dyDescent="0.25">
      <c r="C38" s="884" t="s">
        <v>109</v>
      </c>
      <c r="D38" s="403">
        <v>1</v>
      </c>
    </row>
    <row r="39" spans="3:4" ht="15.75" thickBot="1" x14ac:dyDescent="0.3">
      <c r="C39" s="885" t="s">
        <v>80</v>
      </c>
      <c r="D39" s="886">
        <v>2</v>
      </c>
    </row>
    <row r="40" spans="3:4" ht="15.75" thickBot="1" x14ac:dyDescent="0.3"/>
    <row r="41" spans="3:4" x14ac:dyDescent="0.25">
      <c r="C41" s="887" t="s">
        <v>672</v>
      </c>
      <c r="D41" s="517"/>
    </row>
    <row r="42" spans="3:4" x14ac:dyDescent="0.25">
      <c r="C42" s="884" t="s">
        <v>453</v>
      </c>
      <c r="D42" s="403">
        <v>1</v>
      </c>
    </row>
    <row r="43" spans="3:4" x14ac:dyDescent="0.25">
      <c r="C43" s="884" t="s">
        <v>454</v>
      </c>
      <c r="D43" s="403">
        <v>2</v>
      </c>
    </row>
    <row r="44" spans="3:4" x14ac:dyDescent="0.25">
      <c r="C44" s="884" t="s">
        <v>455</v>
      </c>
      <c r="D44" s="403">
        <v>3</v>
      </c>
    </row>
    <row r="45" spans="3:4" ht="15.75" thickBot="1" x14ac:dyDescent="0.3">
      <c r="C45" s="885" t="s">
        <v>456</v>
      </c>
      <c r="D45" s="886">
        <v>4</v>
      </c>
    </row>
    <row r="46" spans="3:4" ht="15.75" thickBot="1" x14ac:dyDescent="0.3"/>
    <row r="47" spans="3:4" x14ac:dyDescent="0.25">
      <c r="C47" s="888" t="s">
        <v>637</v>
      </c>
      <c r="D47" s="517"/>
    </row>
    <row r="48" spans="3:4" x14ac:dyDescent="0.25">
      <c r="C48" s="884" t="s">
        <v>643</v>
      </c>
      <c r="D48" s="403">
        <v>1</v>
      </c>
    </row>
    <row r="49" spans="3:4" x14ac:dyDescent="0.25">
      <c r="C49" s="884" t="s">
        <v>644</v>
      </c>
      <c r="D49" s="403">
        <v>2</v>
      </c>
    </row>
    <row r="50" spans="3:4" x14ac:dyDescent="0.25">
      <c r="C50" s="884" t="s">
        <v>645</v>
      </c>
      <c r="D50" s="403">
        <v>3</v>
      </c>
    </row>
    <row r="51" spans="3:4" ht="15.75" thickBot="1" x14ac:dyDescent="0.3">
      <c r="C51" s="885"/>
      <c r="D51" s="886"/>
    </row>
    <row r="52" spans="3:4" ht="15.75" thickBot="1" x14ac:dyDescent="0.3"/>
    <row r="53" spans="3:4" x14ac:dyDescent="0.25">
      <c r="C53" s="888" t="s">
        <v>638</v>
      </c>
      <c r="D53" s="517"/>
    </row>
    <row r="54" spans="3:4" x14ac:dyDescent="0.25">
      <c r="C54" s="884" t="s">
        <v>648</v>
      </c>
      <c r="D54" s="403">
        <v>1</v>
      </c>
    </row>
    <row r="55" spans="3:4" x14ac:dyDescent="0.25">
      <c r="C55" s="884" t="s">
        <v>649</v>
      </c>
      <c r="D55" s="403">
        <v>2</v>
      </c>
    </row>
    <row r="56" spans="3:4" x14ac:dyDescent="0.25">
      <c r="C56" s="884" t="s">
        <v>650</v>
      </c>
      <c r="D56" s="403">
        <v>3</v>
      </c>
    </row>
    <row r="57" spans="3:4" ht="15.75" thickBot="1" x14ac:dyDescent="0.3">
      <c r="C57" s="885" t="s">
        <v>651</v>
      </c>
      <c r="D57" s="886">
        <v>4</v>
      </c>
    </row>
    <row r="58" spans="3:4" ht="15.75" thickBot="1" x14ac:dyDescent="0.3"/>
    <row r="59" spans="3:4" x14ac:dyDescent="0.25">
      <c r="C59" s="888" t="s">
        <v>639</v>
      </c>
      <c r="D59" s="517"/>
    </row>
    <row r="60" spans="3:4" x14ac:dyDescent="0.25">
      <c r="C60" s="884" t="s">
        <v>652</v>
      </c>
      <c r="D60" s="403">
        <v>1</v>
      </c>
    </row>
    <row r="61" spans="3:4" x14ac:dyDescent="0.25">
      <c r="C61" s="884" t="s">
        <v>653</v>
      </c>
      <c r="D61" s="403">
        <v>2</v>
      </c>
    </row>
    <row r="62" spans="3:4" x14ac:dyDescent="0.25">
      <c r="C62" s="884" t="s">
        <v>654</v>
      </c>
      <c r="D62" s="403">
        <v>3</v>
      </c>
    </row>
    <row r="63" spans="3:4" ht="15.75" thickBot="1" x14ac:dyDescent="0.3">
      <c r="C63" s="885"/>
      <c r="D63" s="886"/>
    </row>
    <row r="64" spans="3:4" ht="15.75" thickBot="1" x14ac:dyDescent="0.3"/>
    <row r="65" spans="3:4" ht="30" x14ac:dyDescent="0.25">
      <c r="C65" s="888" t="s">
        <v>1676</v>
      </c>
      <c r="D65" s="517"/>
    </row>
    <row r="66" spans="3:4" x14ac:dyDescent="0.25">
      <c r="C66" s="884" t="s">
        <v>1677</v>
      </c>
      <c r="D66" s="403">
        <v>1</v>
      </c>
    </row>
    <row r="67" spans="3:4" x14ac:dyDescent="0.25">
      <c r="C67" s="884" t="s">
        <v>1678</v>
      </c>
      <c r="D67" s="403">
        <v>2</v>
      </c>
    </row>
    <row r="68" spans="3:4" x14ac:dyDescent="0.25">
      <c r="C68" s="884" t="s">
        <v>1679</v>
      </c>
      <c r="D68" s="403">
        <v>3</v>
      </c>
    </row>
    <row r="69" spans="3:4" ht="15.75" thickBot="1" x14ac:dyDescent="0.3">
      <c r="C69" s="885"/>
      <c r="D69" s="886"/>
    </row>
  </sheetData>
  <customSheetViews>
    <customSheetView guid="{B91A3F61-3B23-46E3-9B55-19B17EB6638A}" state="hidden" topLeftCell="C1">
      <pageMargins left="0.7" right="0.7" top="0.75" bottom="0.75" header="0.3" footer="0.3"/>
    </customSheetView>
    <customSheetView guid="{F5CB9414-DBF4-48FF-9213-FFE745451535}" state="hidden" topLeftCell="C1">
      <pageMargins left="0.7" right="0.7" top="0.75" bottom="0.75" header="0.3" footer="0.3"/>
    </customSheetView>
    <customSheetView guid="{A1A876F1-3EAA-4E5F-BD51-8B131AB8854B}" state="hidden" topLeftCell="C1">
      <pageMargins left="0.7" right="0.7" top="0.75" bottom="0.75" header="0.3" footer="0.3"/>
    </customSheetView>
    <customSheetView guid="{18A094BB-EA3E-4938-9069-21F549B37E23}" state="hidden" topLeftCell="C1">
      <pageMargins left="0.7" right="0.7" top="0.75" bottom="0.75" header="0.3" footer="0.3"/>
    </customSheetView>
  </customSheetView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47">
    <tabColor theme="4"/>
    <outlinePr summaryBelow="0"/>
  </sheetPr>
  <dimension ref="A1:R166"/>
  <sheetViews>
    <sheetView topLeftCell="A7" zoomScale="80" zoomScaleNormal="80" workbookViewId="0">
      <selection activeCell="C16" sqref="C16"/>
    </sheetView>
  </sheetViews>
  <sheetFormatPr defaultColWidth="16.140625" defaultRowHeight="15" outlineLevelRow="1" x14ac:dyDescent="0.25"/>
  <cols>
    <col min="1" max="1" width="15.5703125" customWidth="1"/>
    <col min="2" max="2" width="22" customWidth="1"/>
    <col min="3" max="3" width="27.28515625" customWidth="1"/>
    <col min="4" max="4" width="23.42578125" customWidth="1"/>
    <col min="5" max="5" width="14.5703125" customWidth="1"/>
    <col min="6" max="6" width="13.28515625" customWidth="1"/>
    <col min="7" max="7" width="24.28515625" customWidth="1"/>
    <col min="8" max="8" width="27.85546875" customWidth="1"/>
    <col min="9" max="9" width="28.85546875" bestFit="1" customWidth="1"/>
    <col min="10" max="11" width="14.28515625" customWidth="1"/>
    <col min="12" max="12" width="29.140625" bestFit="1" customWidth="1"/>
    <col min="13" max="13" width="16.28515625" customWidth="1"/>
    <col min="14" max="14" width="24.42578125" customWidth="1"/>
    <col min="15" max="15" width="12.140625" customWidth="1"/>
    <col min="16" max="16" width="12.5703125" customWidth="1"/>
    <col min="17" max="17" width="9" customWidth="1"/>
  </cols>
  <sheetData>
    <row r="1" spans="1:18" ht="21" customHeight="1" thickBot="1" x14ac:dyDescent="0.3">
      <c r="A1" s="1995" t="s">
        <v>702</v>
      </c>
      <c r="B1" s="1996"/>
      <c r="C1" s="1996"/>
      <c r="D1" s="1996"/>
      <c r="E1" s="1997"/>
      <c r="F1" s="1997"/>
      <c r="G1" s="1997"/>
      <c r="H1" s="1997"/>
      <c r="I1" s="1997"/>
      <c r="J1" s="1997"/>
      <c r="K1" s="1997"/>
      <c r="L1" s="1997"/>
      <c r="M1" s="1997"/>
      <c r="N1" s="1997"/>
      <c r="O1" s="1997"/>
      <c r="P1" s="1997"/>
      <c r="Q1" s="1998"/>
      <c r="R1" s="927"/>
    </row>
    <row r="2" spans="1:18" ht="21" customHeight="1" x14ac:dyDescent="0.25">
      <c r="A2" s="927"/>
      <c r="B2" s="928" t="s">
        <v>114</v>
      </c>
      <c r="C2" s="1999" t="s">
        <v>703</v>
      </c>
      <c r="D2" s="2000"/>
      <c r="E2" s="927"/>
      <c r="F2" s="927"/>
      <c r="G2" s="927"/>
      <c r="H2" s="927"/>
      <c r="I2" s="927"/>
      <c r="J2" s="927"/>
      <c r="K2" s="927"/>
      <c r="L2" s="927"/>
      <c r="M2" s="927"/>
      <c r="N2" s="927"/>
      <c r="O2" s="927"/>
      <c r="P2" s="927"/>
      <c r="Q2" s="927"/>
      <c r="R2" s="927"/>
    </row>
    <row r="3" spans="1:18" ht="21" customHeight="1" x14ac:dyDescent="0.25">
      <c r="A3" s="927"/>
      <c r="B3" s="929" t="s">
        <v>704</v>
      </c>
      <c r="C3" s="2001" t="s">
        <v>705</v>
      </c>
      <c r="D3" s="2002"/>
      <c r="E3" s="927"/>
      <c r="F3" s="927"/>
      <c r="G3" s="927"/>
      <c r="H3" s="927"/>
      <c r="I3" s="927"/>
      <c r="J3" s="927"/>
      <c r="K3" s="927"/>
      <c r="L3" s="927"/>
      <c r="M3" s="927"/>
      <c r="N3" s="927"/>
      <c r="O3" s="927"/>
      <c r="P3" s="927"/>
      <c r="Q3" s="927"/>
      <c r="R3" s="927"/>
    </row>
    <row r="4" spans="1:18" ht="21" customHeight="1" thickBot="1" x14ac:dyDescent="0.3">
      <c r="A4" s="927"/>
      <c r="B4" s="930" t="s">
        <v>706</v>
      </c>
      <c r="C4" s="2003" t="s">
        <v>707</v>
      </c>
      <c r="D4" s="2004"/>
      <c r="E4" s="927"/>
      <c r="F4" s="927"/>
      <c r="G4" s="927"/>
      <c r="H4" s="927"/>
      <c r="I4" s="927"/>
      <c r="J4" s="927"/>
      <c r="K4" s="927"/>
      <c r="L4" s="927"/>
      <c r="M4" s="927"/>
      <c r="N4" s="927"/>
      <c r="O4" s="927"/>
      <c r="P4" s="927"/>
      <c r="Q4" s="927"/>
      <c r="R4" s="927"/>
    </row>
    <row r="5" spans="1:18" ht="21" customHeight="1" x14ac:dyDescent="0.25">
      <c r="A5" s="927"/>
      <c r="B5" s="927"/>
      <c r="C5" s="927"/>
      <c r="D5" s="927"/>
      <c r="E5" s="927"/>
      <c r="F5" s="927"/>
      <c r="G5" s="927"/>
      <c r="H5" s="927"/>
      <c r="I5" s="927"/>
      <c r="J5" s="927"/>
      <c r="K5" s="927"/>
      <c r="L5" s="927"/>
      <c r="M5" s="927"/>
      <c r="N5" s="927"/>
      <c r="O5" s="927"/>
      <c r="P5" s="927"/>
      <c r="Q5" s="927"/>
      <c r="R5" s="927"/>
    </row>
    <row r="6" spans="1:18" ht="15.75" thickBot="1" x14ac:dyDescent="0.3">
      <c r="A6" s="927"/>
      <c r="B6" s="927"/>
      <c r="C6" s="927"/>
      <c r="D6" s="927"/>
      <c r="E6" s="927"/>
      <c r="F6" s="927"/>
      <c r="G6" s="927"/>
      <c r="H6" s="927"/>
      <c r="I6" s="927"/>
      <c r="J6" s="927"/>
      <c r="K6" s="927"/>
      <c r="L6" s="927"/>
      <c r="M6" s="927"/>
      <c r="N6" s="927"/>
      <c r="O6" s="927"/>
      <c r="P6" s="927"/>
      <c r="Q6" s="927"/>
      <c r="R6" s="927"/>
    </row>
    <row r="7" spans="1:18" ht="28.5" customHeight="1" thickBot="1" x14ac:dyDescent="0.3">
      <c r="A7" s="927"/>
      <c r="B7" s="2005" t="s">
        <v>708</v>
      </c>
      <c r="C7" s="2006"/>
      <c r="D7" s="2007"/>
      <c r="E7" s="927"/>
      <c r="F7" s="927"/>
      <c r="G7" s="2008" t="s">
        <v>709</v>
      </c>
      <c r="H7" s="2009"/>
      <c r="I7" s="2010"/>
      <c r="J7" s="927"/>
      <c r="K7" s="927"/>
      <c r="L7" s="2011" t="s">
        <v>710</v>
      </c>
      <c r="M7" s="2012"/>
      <c r="N7" s="2013"/>
      <c r="O7" s="927"/>
      <c r="P7" s="927"/>
      <c r="Q7" s="927"/>
      <c r="R7" s="927"/>
    </row>
    <row r="8" spans="1:18" ht="24.75" customHeight="1" thickBot="1" x14ac:dyDescent="0.3">
      <c r="A8" s="927"/>
      <c r="B8" s="931" t="s">
        <v>711</v>
      </c>
      <c r="C8" s="932" t="s">
        <v>704</v>
      </c>
      <c r="D8" s="933" t="s">
        <v>712</v>
      </c>
      <c r="E8" s="927"/>
      <c r="F8" s="927"/>
      <c r="G8" s="934" t="s">
        <v>85</v>
      </c>
      <c r="H8" s="935" t="s">
        <v>704</v>
      </c>
      <c r="I8" s="936" t="s">
        <v>712</v>
      </c>
      <c r="J8" s="927"/>
      <c r="K8" s="927"/>
      <c r="L8" s="2023"/>
      <c r="M8" s="2024"/>
      <c r="N8" s="2025"/>
      <c r="O8" s="927"/>
      <c r="P8" s="927"/>
      <c r="Q8" s="927"/>
      <c r="R8" s="927"/>
    </row>
    <row r="9" spans="1:18" ht="13.9" customHeight="1" x14ac:dyDescent="0.25">
      <c r="A9" s="927"/>
      <c r="B9" s="937"/>
      <c r="C9" s="938" t="s">
        <v>713</v>
      </c>
      <c r="D9" s="942">
        <f>IF($B$11,'Служебный ОВ'!E52,'Служебный ОВ'!N52)</f>
        <v>0</v>
      </c>
      <c r="E9" s="927"/>
      <c r="F9" s="927"/>
      <c r="G9" s="939"/>
      <c r="H9" s="940"/>
      <c r="I9" s="941"/>
      <c r="J9" s="927"/>
      <c r="K9" s="927"/>
      <c r="L9" s="2026"/>
      <c r="M9" s="2027"/>
      <c r="N9" s="2028"/>
      <c r="O9" s="927"/>
      <c r="P9" s="927"/>
      <c r="Q9" s="927"/>
      <c r="R9" s="927"/>
    </row>
    <row r="10" spans="1:18" ht="15" customHeight="1" x14ac:dyDescent="0.25">
      <c r="A10" s="927"/>
      <c r="B10" s="937"/>
      <c r="C10" s="940" t="s">
        <v>714</v>
      </c>
      <c r="D10" s="942">
        <f>IF($B$11,'Служебный ОВ'!D52,'Служебный ОВ'!M52)</f>
        <v>0</v>
      </c>
      <c r="E10" s="927"/>
      <c r="F10" s="927"/>
      <c r="G10" s="943"/>
      <c r="H10" s="940"/>
      <c r="I10" s="944"/>
      <c r="J10" s="927"/>
      <c r="K10" s="927"/>
      <c r="L10" s="2026"/>
      <c r="M10" s="2027"/>
      <c r="N10" s="2028"/>
      <c r="O10" s="927"/>
      <c r="P10" s="927"/>
      <c r="Q10" s="927"/>
      <c r="R10" s="927"/>
    </row>
    <row r="11" spans="1:18" ht="15" customHeight="1" x14ac:dyDescent="0.25">
      <c r="A11" s="927">
        <f>IF($B$11,1,0)</f>
        <v>1</v>
      </c>
      <c r="B11" s="937" t="b">
        <v>1</v>
      </c>
      <c r="C11" s="940" t="s">
        <v>715</v>
      </c>
      <c r="D11" s="942">
        <f>IF($B$11,'Служебный ОВ'!C52,'Служебный ОВ'!L52)</f>
        <v>0</v>
      </c>
      <c r="E11" s="927"/>
      <c r="F11" s="927"/>
      <c r="G11" s="943"/>
      <c r="H11" s="940"/>
      <c r="I11" s="944"/>
      <c r="J11" s="927"/>
      <c r="K11" s="927"/>
      <c r="L11" s="2026"/>
      <c r="M11" s="2027"/>
      <c r="N11" s="2028"/>
      <c r="O11" s="927"/>
      <c r="P11" s="927"/>
      <c r="Q11" s="927"/>
      <c r="R11" s="927"/>
    </row>
    <row r="12" spans="1:18" x14ac:dyDescent="0.25">
      <c r="A12" s="927"/>
      <c r="B12" s="945" t="s">
        <v>716</v>
      </c>
      <c r="C12" s="940" t="s">
        <v>53</v>
      </c>
      <c r="D12" s="942">
        <f>0.1*SUM(D9:D11)</f>
        <v>0</v>
      </c>
      <c r="E12" s="927"/>
      <c r="F12" s="927"/>
      <c r="G12" s="943"/>
      <c r="H12" s="940"/>
      <c r="I12" s="944"/>
      <c r="J12" s="927"/>
      <c r="K12" s="927"/>
      <c r="L12" s="2026"/>
      <c r="M12" s="2027"/>
      <c r="N12" s="2028"/>
      <c r="O12" s="927"/>
      <c r="P12" s="927"/>
      <c r="Q12" s="927"/>
      <c r="R12" s="927"/>
    </row>
    <row r="13" spans="1:18" ht="15.75" thickBot="1" x14ac:dyDescent="0.3">
      <c r="A13" s="927"/>
      <c r="B13" s="946" t="s">
        <v>717</v>
      </c>
      <c r="C13" s="940" t="s">
        <v>120</v>
      </c>
      <c r="D13" s="942">
        <f>0.2*SUM(D9:D12)</f>
        <v>0</v>
      </c>
      <c r="E13" s="927"/>
      <c r="F13" s="927"/>
      <c r="G13" s="943"/>
      <c r="H13" s="940"/>
      <c r="I13" s="944"/>
      <c r="J13" s="927"/>
      <c r="K13" s="927"/>
      <c r="L13" s="2029"/>
      <c r="M13" s="2030"/>
      <c r="N13" s="2031"/>
      <c r="O13" s="927"/>
      <c r="P13" s="927"/>
      <c r="Q13" s="927"/>
      <c r="R13" s="927"/>
    </row>
    <row r="14" spans="1:18" x14ac:dyDescent="0.25">
      <c r="A14" s="927"/>
      <c r="B14" s="947"/>
      <c r="C14" s="940" t="s">
        <v>713</v>
      </c>
      <c r="D14" s="942">
        <f>'Служебный ОВ'!H52</f>
        <v>0</v>
      </c>
      <c r="E14" s="927"/>
      <c r="F14" s="927"/>
      <c r="G14" s="943"/>
      <c r="H14" s="940"/>
      <c r="I14" s="944"/>
      <c r="J14" s="927"/>
      <c r="K14" s="927"/>
      <c r="L14" s="2032"/>
      <c r="M14" s="2033"/>
      <c r="N14" s="2034"/>
      <c r="O14" s="927"/>
      <c r="P14" s="927"/>
      <c r="Q14" s="927"/>
      <c r="R14" s="927"/>
    </row>
    <row r="15" spans="1:18" x14ac:dyDescent="0.25">
      <c r="A15" s="927"/>
      <c r="B15" s="937"/>
      <c r="C15" s="940" t="s">
        <v>714</v>
      </c>
      <c r="D15" s="942">
        <f>'Служебный ОВ'!G52</f>
        <v>0</v>
      </c>
      <c r="E15" s="927"/>
      <c r="F15" s="927"/>
      <c r="G15" s="943"/>
      <c r="H15" s="940"/>
      <c r="I15" s="944"/>
      <c r="J15" s="927"/>
      <c r="K15" s="927"/>
      <c r="L15" s="2035"/>
      <c r="M15" s="2036"/>
      <c r="N15" s="2037"/>
      <c r="O15" s="927"/>
      <c r="P15" s="927"/>
      <c r="Q15" s="927"/>
      <c r="R15" s="927"/>
    </row>
    <row r="16" spans="1:18" x14ac:dyDescent="0.25">
      <c r="A16" s="927"/>
      <c r="B16" s="948" t="s">
        <v>244</v>
      </c>
      <c r="C16" s="940" t="s">
        <v>715</v>
      </c>
      <c r="D16" s="942">
        <f>'Служебный ОВ'!F52</f>
        <v>0</v>
      </c>
      <c r="E16" s="927"/>
      <c r="F16" s="927"/>
      <c r="G16" s="943"/>
      <c r="H16" s="940"/>
      <c r="I16" s="944"/>
      <c r="J16" s="927"/>
      <c r="K16" s="927"/>
      <c r="L16" s="2035"/>
      <c r="M16" s="2036"/>
      <c r="N16" s="2037"/>
      <c r="O16" s="927"/>
      <c r="P16" s="927"/>
      <c r="Q16" s="927"/>
      <c r="R16" s="927"/>
    </row>
    <row r="17" spans="1:18" x14ac:dyDescent="0.25">
      <c r="A17" s="927"/>
      <c r="B17" s="937"/>
      <c r="C17" s="940" t="s">
        <v>53</v>
      </c>
      <c r="D17" s="942">
        <f>0.1*SUM(D14:D16)</f>
        <v>0</v>
      </c>
      <c r="E17" s="927"/>
      <c r="F17" s="927"/>
      <c r="G17" s="943"/>
      <c r="H17" s="940"/>
      <c r="I17" s="944"/>
      <c r="J17" s="927"/>
      <c r="K17" s="927"/>
      <c r="L17" s="2035"/>
      <c r="M17" s="2036"/>
      <c r="N17" s="2037"/>
      <c r="O17" s="927"/>
      <c r="P17" s="927"/>
      <c r="Q17" s="927"/>
      <c r="R17" s="927"/>
    </row>
    <row r="18" spans="1:18" ht="15.75" thickBot="1" x14ac:dyDescent="0.3">
      <c r="A18" s="927"/>
      <c r="B18" s="949"/>
      <c r="C18" s="940" t="s">
        <v>120</v>
      </c>
      <c r="D18" s="942">
        <f>0.2*SUM(D14:D17)</f>
        <v>0</v>
      </c>
      <c r="E18" s="927"/>
      <c r="F18" s="927"/>
      <c r="G18" s="943"/>
      <c r="H18" s="940"/>
      <c r="I18" s="944"/>
      <c r="J18" s="927"/>
      <c r="K18" s="927"/>
      <c r="L18" s="2035"/>
      <c r="M18" s="2036"/>
      <c r="N18" s="2037"/>
      <c r="O18" s="927"/>
      <c r="P18" s="927"/>
      <c r="Q18" s="927"/>
      <c r="R18" s="927"/>
    </row>
    <row r="19" spans="1:18" x14ac:dyDescent="0.25">
      <c r="A19" s="927"/>
      <c r="B19" s="947"/>
      <c r="C19" s="940" t="s">
        <v>713</v>
      </c>
      <c r="D19" s="942">
        <f>'Служебный ОВ'!K52</f>
        <v>0</v>
      </c>
      <c r="E19" s="927"/>
      <c r="F19" s="927"/>
      <c r="G19" s="943"/>
      <c r="H19" s="940"/>
      <c r="I19" s="944"/>
      <c r="J19" s="927"/>
      <c r="K19" s="927"/>
      <c r="L19" s="2035"/>
      <c r="M19" s="2036"/>
      <c r="N19" s="2037"/>
      <c r="O19" s="927"/>
      <c r="P19" s="927"/>
      <c r="Q19" s="927"/>
      <c r="R19" s="927"/>
    </row>
    <row r="20" spans="1:18" x14ac:dyDescent="0.25">
      <c r="A20" s="927"/>
      <c r="B20" s="937"/>
      <c r="C20" s="940" t="s">
        <v>714</v>
      </c>
      <c r="D20" s="942">
        <f>'Служебный ОВ'!J52</f>
        <v>0</v>
      </c>
      <c r="E20" s="927"/>
      <c r="F20" s="927"/>
      <c r="G20" s="943"/>
      <c r="H20" s="940"/>
      <c r="I20" s="944"/>
      <c r="J20" s="927"/>
      <c r="K20" s="927"/>
      <c r="L20" s="2035"/>
      <c r="M20" s="2036"/>
      <c r="N20" s="2037"/>
      <c r="O20" s="927"/>
      <c r="P20" s="927"/>
      <c r="Q20" s="927"/>
      <c r="R20" s="927"/>
    </row>
    <row r="21" spans="1:18" ht="15.75" thickBot="1" x14ac:dyDescent="0.3">
      <c r="A21" s="927"/>
      <c r="B21" s="937" t="s">
        <v>245</v>
      </c>
      <c r="C21" s="940" t="s">
        <v>715</v>
      </c>
      <c r="D21" s="942">
        <f>'Служебный ОВ'!I52</f>
        <v>0</v>
      </c>
      <c r="E21" s="927"/>
      <c r="F21" s="927"/>
      <c r="G21" s="943"/>
      <c r="H21" s="940"/>
      <c r="I21" s="944"/>
      <c r="J21" s="927"/>
      <c r="K21" s="927"/>
      <c r="L21" s="2038"/>
      <c r="M21" s="2039"/>
      <c r="N21" s="2040"/>
      <c r="O21" s="927"/>
      <c r="P21" s="927"/>
      <c r="Q21" s="927"/>
      <c r="R21" s="927"/>
    </row>
    <row r="22" spans="1:18" x14ac:dyDescent="0.25">
      <c r="A22" s="927"/>
      <c r="B22" s="937"/>
      <c r="C22" s="940" t="s">
        <v>53</v>
      </c>
      <c r="D22" s="942">
        <f>0.1*SUM(D19:D21)</f>
        <v>0</v>
      </c>
      <c r="E22" s="927"/>
      <c r="F22" s="927"/>
      <c r="G22" s="943"/>
      <c r="H22" s="940"/>
      <c r="I22" s="944"/>
      <c r="J22" s="927"/>
      <c r="K22" s="927"/>
      <c r="L22" s="2041"/>
      <c r="M22" s="2042"/>
      <c r="N22" s="2043"/>
      <c r="O22" s="927"/>
      <c r="P22" s="927"/>
      <c r="Q22" s="927"/>
      <c r="R22" s="927"/>
    </row>
    <row r="23" spans="1:18" x14ac:dyDescent="0.25">
      <c r="A23" s="927"/>
      <c r="B23" s="937"/>
      <c r="C23" s="950" t="s">
        <v>120</v>
      </c>
      <c r="D23" s="942">
        <f>0.2*SUM(D19:D22)</f>
        <v>0</v>
      </c>
      <c r="E23" s="927"/>
      <c r="F23" s="927"/>
      <c r="G23" s="943"/>
      <c r="H23" s="940"/>
      <c r="I23" s="944"/>
      <c r="J23" s="927"/>
      <c r="K23" s="927"/>
      <c r="L23" s="2044"/>
      <c r="M23" s="2045"/>
      <c r="N23" s="2046"/>
      <c r="O23" s="927"/>
      <c r="P23" s="927"/>
      <c r="Q23" s="927"/>
      <c r="R23" s="927"/>
    </row>
    <row r="24" spans="1:18" x14ac:dyDescent="0.25">
      <c r="A24" s="927"/>
      <c r="B24" s="951"/>
      <c r="C24" s="952" t="s">
        <v>713</v>
      </c>
      <c r="D24" s="1558" t="str">
        <f>IF(Q107=1,'АЗ ОВ'!G54,"0,0")</f>
        <v>0,0</v>
      </c>
      <c r="E24" s="927"/>
      <c r="F24" s="927"/>
      <c r="G24" s="943"/>
      <c r="H24" s="940"/>
      <c r="I24" s="944"/>
      <c r="J24" s="927"/>
      <c r="K24" s="927"/>
      <c r="L24" s="2044"/>
      <c r="M24" s="2045"/>
      <c r="N24" s="2046"/>
      <c r="O24" s="927"/>
      <c r="P24" s="927"/>
      <c r="Q24" s="927"/>
      <c r="R24" s="927"/>
    </row>
    <row r="25" spans="1:18" x14ac:dyDescent="0.25">
      <c r="A25" s="927"/>
      <c r="B25" s="953"/>
      <c r="C25" s="952" t="s">
        <v>714</v>
      </c>
      <c r="D25" s="1558" t="str">
        <f>IF(Q107=1,'АЗ ОВ'!F54,"0,0")</f>
        <v>0,0</v>
      </c>
      <c r="E25" s="927"/>
      <c r="F25" s="927"/>
      <c r="G25" s="943"/>
      <c r="H25" s="940"/>
      <c r="I25" s="944"/>
      <c r="J25" s="927"/>
      <c r="K25" s="927"/>
      <c r="L25" s="2044"/>
      <c r="M25" s="2045"/>
      <c r="N25" s="2046"/>
      <c r="O25" s="927"/>
      <c r="P25" s="927"/>
      <c r="Q25" s="927"/>
      <c r="R25" s="927"/>
    </row>
    <row r="26" spans="1:18" x14ac:dyDescent="0.25">
      <c r="A26" s="927"/>
      <c r="B26" s="953" t="s">
        <v>139</v>
      </c>
      <c r="C26" s="952" t="s">
        <v>715</v>
      </c>
      <c r="D26" s="1558" t="str">
        <f>IF(Q107=1,'АЗ ОВ'!E54,"0,0")</f>
        <v>0,0</v>
      </c>
      <c r="E26" s="927"/>
      <c r="F26" s="927"/>
      <c r="G26" s="943"/>
      <c r="H26" s="940"/>
      <c r="I26" s="944"/>
      <c r="J26" s="927"/>
      <c r="K26" s="927"/>
      <c r="L26" s="2044"/>
      <c r="M26" s="2045"/>
      <c r="N26" s="2046"/>
      <c r="O26" s="927"/>
      <c r="P26" s="927"/>
      <c r="Q26" s="927"/>
      <c r="R26" s="927"/>
    </row>
    <row r="27" spans="1:18" x14ac:dyDescent="0.25">
      <c r="A27" s="927"/>
      <c r="B27" s="953"/>
      <c r="C27" s="952" t="s">
        <v>53</v>
      </c>
      <c r="D27" s="942">
        <f>0.1*SUM(D24:D26)</f>
        <v>0</v>
      </c>
      <c r="E27" s="927"/>
      <c r="F27" s="927"/>
      <c r="G27" s="943"/>
      <c r="H27" s="940"/>
      <c r="I27" s="944"/>
      <c r="J27" s="927"/>
      <c r="K27" s="927"/>
      <c r="L27" s="2044"/>
      <c r="M27" s="2045"/>
      <c r="N27" s="2046"/>
      <c r="O27" s="927"/>
      <c r="P27" s="927"/>
      <c r="Q27" s="927"/>
      <c r="R27" s="927"/>
    </row>
    <row r="28" spans="1:18" ht="15.75" thickBot="1" x14ac:dyDescent="0.3">
      <c r="A28" s="927"/>
      <c r="B28" s="954"/>
      <c r="C28" s="955" t="s">
        <v>120</v>
      </c>
      <c r="D28" s="942">
        <f>0.2*SUM(D24:D27)</f>
        <v>0</v>
      </c>
      <c r="E28" s="927"/>
      <c r="F28" s="927"/>
      <c r="G28" s="943"/>
      <c r="H28" s="940"/>
      <c r="I28" s="944"/>
      <c r="J28" s="927"/>
      <c r="K28" s="927"/>
      <c r="L28" s="2044"/>
      <c r="M28" s="2045"/>
      <c r="N28" s="2046"/>
      <c r="O28" s="927"/>
      <c r="P28" s="927"/>
      <c r="Q28" s="927"/>
      <c r="R28" s="927"/>
    </row>
    <row r="29" spans="1:18" ht="15.75" thickBot="1" x14ac:dyDescent="0.3">
      <c r="A29" s="927"/>
      <c r="B29" s="956"/>
      <c r="C29" s="957" t="s">
        <v>713</v>
      </c>
      <c r="D29" s="960">
        <f>SUM(D9,D14,D19)</f>
        <v>0</v>
      </c>
      <c r="E29" s="927"/>
      <c r="F29" s="927"/>
      <c r="G29" s="943"/>
      <c r="H29" s="940"/>
      <c r="I29" s="944"/>
      <c r="J29" s="927"/>
      <c r="K29" s="927"/>
      <c r="L29" s="2044"/>
      <c r="M29" s="2045"/>
      <c r="N29" s="2046"/>
      <c r="O29" s="927"/>
      <c r="P29" s="927"/>
      <c r="Q29" s="927"/>
      <c r="R29" s="927"/>
    </row>
    <row r="30" spans="1:18" ht="15.75" thickBot="1" x14ac:dyDescent="0.3">
      <c r="A30" s="927"/>
      <c r="B30" s="958"/>
      <c r="C30" s="959" t="s">
        <v>714</v>
      </c>
      <c r="D30" s="960">
        <f>SUM(D10,D15,D20)</f>
        <v>0</v>
      </c>
      <c r="E30" s="927"/>
      <c r="F30" s="927"/>
      <c r="G30" s="943"/>
      <c r="H30" s="940"/>
      <c r="I30" s="944"/>
      <c r="J30" s="927"/>
      <c r="K30" s="927"/>
      <c r="L30" s="2044"/>
      <c r="M30" s="2045"/>
      <c r="N30" s="2046"/>
      <c r="O30" s="927"/>
      <c r="P30" s="927"/>
      <c r="Q30" s="927"/>
      <c r="R30" s="927"/>
    </row>
    <row r="31" spans="1:18" ht="15.75" thickBot="1" x14ac:dyDescent="0.3">
      <c r="A31" s="927"/>
      <c r="B31" s="961" t="s">
        <v>52</v>
      </c>
      <c r="C31" s="959" t="s">
        <v>715</v>
      </c>
      <c r="D31" s="960">
        <f>SUM(D11,D16,D21)</f>
        <v>0</v>
      </c>
      <c r="E31" s="927"/>
      <c r="F31" s="927"/>
      <c r="G31" s="943"/>
      <c r="H31" s="940"/>
      <c r="I31" s="944"/>
      <c r="J31" s="927"/>
      <c r="K31" s="927"/>
      <c r="L31" s="2044"/>
      <c r="M31" s="2045"/>
      <c r="N31" s="2046"/>
      <c r="O31" s="927"/>
      <c r="P31" s="927"/>
      <c r="Q31" s="927"/>
      <c r="R31" s="927"/>
    </row>
    <row r="32" spans="1:18" ht="15.75" thickBot="1" x14ac:dyDescent="0.3">
      <c r="A32" s="927"/>
      <c r="B32" s="958"/>
      <c r="C32" s="959" t="s">
        <v>53</v>
      </c>
      <c r="D32" s="960">
        <f>0.1*SUM(D29:D31)</f>
        <v>0</v>
      </c>
      <c r="E32" s="927"/>
      <c r="F32" s="927"/>
      <c r="G32" s="943"/>
      <c r="H32" s="940"/>
      <c r="I32" s="944"/>
      <c r="J32" s="927"/>
      <c r="K32" s="927"/>
      <c r="L32" s="2044"/>
      <c r="M32" s="2045"/>
      <c r="N32" s="2046"/>
      <c r="O32" s="927"/>
      <c r="P32" s="927"/>
      <c r="Q32" s="927"/>
      <c r="R32" s="927"/>
    </row>
    <row r="33" spans="1:18" ht="15.75" thickBot="1" x14ac:dyDescent="0.3">
      <c r="A33" s="927"/>
      <c r="B33" s="962"/>
      <c r="C33" s="963" t="s">
        <v>120</v>
      </c>
      <c r="D33" s="960">
        <f>0.2*SUM(D29:D32)</f>
        <v>0</v>
      </c>
      <c r="E33" s="927"/>
      <c r="F33" s="927"/>
      <c r="G33" s="964"/>
      <c r="H33" s="965"/>
      <c r="I33" s="966"/>
      <c r="J33" s="927"/>
      <c r="K33" s="927"/>
      <c r="L33" s="2047"/>
      <c r="M33" s="2048"/>
      <c r="N33" s="2049"/>
      <c r="O33" s="927"/>
      <c r="P33" s="927"/>
      <c r="Q33" s="927"/>
      <c r="R33" s="927"/>
    </row>
    <row r="34" spans="1:18" x14ac:dyDescent="0.25">
      <c r="A34" s="927"/>
      <c r="B34" s="927"/>
      <c r="C34" s="927"/>
      <c r="D34" s="927"/>
      <c r="E34" s="927"/>
      <c r="F34" s="927"/>
      <c r="G34" s="927"/>
      <c r="H34" s="927"/>
      <c r="I34" s="927"/>
      <c r="J34" s="927"/>
      <c r="K34" s="927"/>
      <c r="L34" s="927"/>
      <c r="M34" s="927"/>
      <c r="N34" s="927"/>
      <c r="O34" s="927"/>
      <c r="P34" s="927"/>
      <c r="Q34" s="927"/>
      <c r="R34" s="927"/>
    </row>
    <row r="35" spans="1:18" ht="15.75" thickBot="1" x14ac:dyDescent="0.3">
      <c r="A35" s="927"/>
      <c r="B35" s="927"/>
      <c r="C35" s="927"/>
      <c r="D35" s="927"/>
      <c r="E35" s="927"/>
      <c r="F35" s="927"/>
      <c r="G35" s="927"/>
      <c r="H35" s="927"/>
      <c r="I35" s="927"/>
      <c r="J35" s="927"/>
      <c r="K35" s="927"/>
      <c r="L35" s="927"/>
      <c r="M35" s="927"/>
      <c r="N35" s="927"/>
      <c r="O35" s="927"/>
      <c r="P35" s="927"/>
      <c r="Q35" s="927"/>
      <c r="R35" s="927"/>
    </row>
    <row r="36" spans="1:18" ht="22.15" customHeight="1" thickBot="1" x14ac:dyDescent="0.3">
      <c r="A36" s="1995" t="s">
        <v>718</v>
      </c>
      <c r="B36" s="1997"/>
      <c r="C36" s="1997"/>
      <c r="D36" s="1997"/>
      <c r="E36" s="1997"/>
      <c r="F36" s="1997"/>
      <c r="G36" s="1997"/>
      <c r="H36" s="1997"/>
      <c r="I36" s="1997"/>
      <c r="J36" s="1997"/>
      <c r="K36" s="1997"/>
      <c r="L36" s="1997"/>
      <c r="M36" s="1997"/>
      <c r="N36" s="1997"/>
      <c r="O36" s="1997"/>
      <c r="P36" s="1997"/>
      <c r="Q36" s="1998"/>
      <c r="R36" s="927"/>
    </row>
    <row r="37" spans="1:18" ht="15.75" thickBot="1" x14ac:dyDescent="0.3">
      <c r="A37" s="927"/>
      <c r="B37" s="927"/>
      <c r="C37" s="927"/>
      <c r="D37" s="927"/>
      <c r="E37" s="927"/>
      <c r="F37" s="927"/>
      <c r="G37" s="927"/>
      <c r="H37" s="927"/>
      <c r="I37" s="927"/>
      <c r="J37" s="927"/>
      <c r="K37" s="927"/>
      <c r="L37" s="927"/>
      <c r="M37" s="927"/>
      <c r="N37" s="927"/>
      <c r="O37" s="927"/>
      <c r="P37" s="927"/>
      <c r="Q37" s="927"/>
      <c r="R37" s="927"/>
    </row>
    <row r="38" spans="1:18" ht="32.25" customHeight="1" x14ac:dyDescent="0.25">
      <c r="A38" s="927"/>
      <c r="B38" s="967" t="s">
        <v>719</v>
      </c>
      <c r="C38" s="968"/>
      <c r="D38" s="967" t="s">
        <v>720</v>
      </c>
      <c r="E38" s="2050" t="s">
        <v>36</v>
      </c>
      <c r="F38" s="2051"/>
      <c r="G38" s="967" t="s">
        <v>721</v>
      </c>
      <c r="H38" s="967" t="s">
        <v>722</v>
      </c>
      <c r="I38" s="967" t="s">
        <v>723</v>
      </c>
      <c r="J38" s="2050" t="s">
        <v>36</v>
      </c>
      <c r="K38" s="2051"/>
      <c r="L38" s="967" t="s">
        <v>724</v>
      </c>
      <c r="M38" s="967" t="s">
        <v>722</v>
      </c>
      <c r="N38" s="967" t="s">
        <v>725</v>
      </c>
      <c r="O38" s="2050" t="s">
        <v>36</v>
      </c>
      <c r="P38" s="2051"/>
      <c r="Q38" s="969"/>
      <c r="R38" s="927"/>
    </row>
    <row r="39" spans="1:18" ht="16.899999999999999" customHeight="1" collapsed="1" x14ac:dyDescent="0.25">
      <c r="A39" s="927">
        <f>IF($B$11,1,0)</f>
        <v>1</v>
      </c>
      <c r="B39" s="970" t="b">
        <v>0</v>
      </c>
      <c r="C39" s="971"/>
      <c r="D39" s="940" t="str">
        <f>IF(B39, "Количество площадок","")</f>
        <v/>
      </c>
      <c r="E39" s="2014"/>
      <c r="F39" s="2014"/>
      <c r="G39" s="940" t="str">
        <f>IF(B39, "Количество узлов","")</f>
        <v/>
      </c>
      <c r="H39" s="972"/>
      <c r="I39" s="940" t="str">
        <f>IF(B39, "Количество кластеров","")</f>
        <v/>
      </c>
      <c r="J39" s="2014"/>
      <c r="K39" s="2014"/>
      <c r="L39" s="940"/>
      <c r="M39" s="970"/>
      <c r="N39" s="940"/>
      <c r="O39" s="2014"/>
      <c r="P39" s="2014"/>
      <c r="Q39" s="970" t="str">
        <f>IF(B39,1,"")</f>
        <v/>
      </c>
      <c r="R39" s="927"/>
    </row>
    <row r="40" spans="1:18" ht="27" hidden="1" customHeight="1" outlineLevel="1" thickBot="1" x14ac:dyDescent="0.3">
      <c r="A40" s="927"/>
      <c r="B40" s="2015" t="s">
        <v>1559</v>
      </c>
      <c r="C40" s="2016"/>
      <c r="D40" s="2016"/>
      <c r="E40" s="2016"/>
      <c r="F40" s="2016"/>
      <c r="G40" s="2016"/>
      <c r="H40" s="2016"/>
      <c r="I40" s="2016"/>
      <c r="J40" s="2016"/>
      <c r="K40" s="2016"/>
      <c r="L40" s="2016"/>
      <c r="M40" s="2016"/>
      <c r="N40" s="2016"/>
      <c r="O40" s="2016"/>
      <c r="P40" s="2016"/>
      <c r="Q40" s="2017"/>
      <c r="R40" s="927"/>
    </row>
    <row r="41" spans="1:18" ht="4.1500000000000004" hidden="1" customHeight="1" outlineLevel="1" thickTop="1" x14ac:dyDescent="0.25">
      <c r="A41" s="927"/>
      <c r="B41" s="973"/>
      <c r="C41" s="974"/>
      <c r="D41" s="974"/>
      <c r="E41" s="975"/>
      <c r="F41" s="975"/>
      <c r="G41" s="974"/>
      <c r="H41" s="974"/>
      <c r="I41" s="974"/>
      <c r="J41" s="975"/>
      <c r="K41" s="975"/>
      <c r="L41" s="974"/>
      <c r="M41" s="974"/>
      <c r="N41" s="974"/>
      <c r="O41" s="975"/>
      <c r="P41" s="975"/>
      <c r="Q41" s="976"/>
      <c r="R41" s="927"/>
    </row>
    <row r="42" spans="1:18" ht="16.149999999999999" hidden="1" customHeight="1" outlineLevel="1" x14ac:dyDescent="0.25">
      <c r="A42" s="927"/>
      <c r="B42" s="2018" t="s">
        <v>1560</v>
      </c>
      <c r="C42" s="2019"/>
      <c r="D42" s="2019"/>
      <c r="E42" s="2019"/>
      <c r="F42" s="2019"/>
      <c r="G42" s="2019"/>
      <c r="H42" s="2019"/>
      <c r="I42" s="2019"/>
      <c r="J42" s="2019"/>
      <c r="K42" s="2019"/>
      <c r="L42" s="2019"/>
      <c r="M42" s="2019"/>
      <c r="N42" s="2019"/>
      <c r="O42" s="2019"/>
      <c r="P42" s="2019"/>
      <c r="Q42" s="2020"/>
      <c r="R42" s="927"/>
    </row>
    <row r="43" spans="1:18" s="118" customFormat="1" ht="28.9" hidden="1" customHeight="1" outlineLevel="1" x14ac:dyDescent="0.25">
      <c r="A43" s="927"/>
      <c r="B43" s="2021" t="s">
        <v>1561</v>
      </c>
      <c r="C43" s="2022"/>
      <c r="D43" s="977" t="s">
        <v>106</v>
      </c>
      <c r="E43" s="978"/>
      <c r="F43" s="978"/>
      <c r="G43" s="979"/>
      <c r="H43" s="979"/>
      <c r="I43" s="979"/>
      <c r="J43" s="978"/>
      <c r="K43" s="978"/>
      <c r="L43" s="979"/>
      <c r="M43" s="979"/>
      <c r="N43" s="979"/>
      <c r="O43" s="978"/>
      <c r="P43" s="978"/>
      <c r="Q43" s="980"/>
      <c r="R43" s="927"/>
    </row>
    <row r="44" spans="1:18" ht="28.9" hidden="1" customHeight="1" outlineLevel="1" x14ac:dyDescent="0.25">
      <c r="A44" s="927"/>
      <c r="B44" s="2021" t="s">
        <v>1562</v>
      </c>
      <c r="C44" s="2022"/>
      <c r="D44" s="977" t="s">
        <v>107</v>
      </c>
      <c r="E44" s="981"/>
      <c r="F44" s="981"/>
      <c r="G44" s="982"/>
      <c r="H44" s="982"/>
      <c r="I44" s="982"/>
      <c r="J44" s="981"/>
      <c r="K44" s="981"/>
      <c r="L44" s="982"/>
      <c r="M44" s="982"/>
      <c r="N44" s="982"/>
      <c r="O44" s="981"/>
      <c r="P44" s="981"/>
      <c r="Q44" s="983"/>
      <c r="R44" s="927"/>
    </row>
    <row r="45" spans="1:18" ht="28.9" hidden="1" customHeight="1" outlineLevel="1" x14ac:dyDescent="0.25">
      <c r="A45" s="927"/>
      <c r="B45" s="2021" t="s">
        <v>1563</v>
      </c>
      <c r="C45" s="2022"/>
      <c r="D45" s="977" t="s">
        <v>107</v>
      </c>
      <c r="E45" s="981"/>
      <c r="F45" s="981"/>
      <c r="G45" s="982"/>
      <c r="H45" s="982"/>
      <c r="I45" s="982"/>
      <c r="J45" s="981"/>
      <c r="K45" s="981"/>
      <c r="L45" s="982"/>
      <c r="M45" s="982"/>
      <c r="N45" s="982"/>
      <c r="O45" s="981"/>
      <c r="P45" s="981"/>
      <c r="Q45" s="983"/>
      <c r="R45" s="927"/>
    </row>
    <row r="46" spans="1:18" ht="33.6" hidden="1" customHeight="1" outlineLevel="1" x14ac:dyDescent="0.25">
      <c r="A46" s="927"/>
      <c r="B46" s="2021" t="s">
        <v>726</v>
      </c>
      <c r="C46" s="2022"/>
      <c r="D46" s="977" t="s">
        <v>107</v>
      </c>
      <c r="E46" s="981"/>
      <c r="F46" s="981"/>
      <c r="G46" s="982"/>
      <c r="H46" s="982"/>
      <c r="I46" s="982"/>
      <c r="J46" s="981"/>
      <c r="K46" s="981"/>
      <c r="L46" s="982"/>
      <c r="M46" s="982"/>
      <c r="N46" s="982"/>
      <c r="O46" s="981"/>
      <c r="P46" s="981"/>
      <c r="Q46" s="983"/>
      <c r="R46" s="927"/>
    </row>
    <row r="47" spans="1:18" ht="31.9" hidden="1" customHeight="1" outlineLevel="1" x14ac:dyDescent="0.25">
      <c r="A47" s="927"/>
      <c r="B47" s="2021" t="s">
        <v>727</v>
      </c>
      <c r="C47" s="2022"/>
      <c r="D47" s="977" t="s">
        <v>107</v>
      </c>
      <c r="E47" s="981"/>
      <c r="F47" s="981"/>
      <c r="G47" s="982"/>
      <c r="H47" s="982"/>
      <c r="I47" s="982"/>
      <c r="J47" s="981"/>
      <c r="K47" s="981"/>
      <c r="L47" s="982"/>
      <c r="M47" s="982"/>
      <c r="N47" s="982"/>
      <c r="O47" s="981"/>
      <c r="P47" s="981"/>
      <c r="Q47" s="983"/>
      <c r="R47" s="927"/>
    </row>
    <row r="48" spans="1:18" ht="42.6" hidden="1" customHeight="1" outlineLevel="1" x14ac:dyDescent="0.25">
      <c r="A48" s="927"/>
      <c r="B48" s="2021" t="s">
        <v>1564</v>
      </c>
      <c r="C48" s="2022"/>
      <c r="D48" s="977" t="s">
        <v>107</v>
      </c>
      <c r="E48" s="981"/>
      <c r="F48" s="981"/>
      <c r="G48" s="982"/>
      <c r="H48" s="982"/>
      <c r="I48" s="982"/>
      <c r="J48" s="981"/>
      <c r="K48" s="981"/>
      <c r="L48" s="982"/>
      <c r="M48" s="982"/>
      <c r="N48" s="982"/>
      <c r="O48" s="981"/>
      <c r="P48" s="981"/>
      <c r="Q48" s="983"/>
      <c r="R48" s="927"/>
    </row>
    <row r="49" spans="1:18" ht="43.15" hidden="1" customHeight="1" outlineLevel="1" x14ac:dyDescent="0.25">
      <c r="A49" s="927"/>
      <c r="B49" s="2021" t="s">
        <v>1565</v>
      </c>
      <c r="C49" s="2022"/>
      <c r="D49" s="977" t="s">
        <v>107</v>
      </c>
      <c r="E49" s="981"/>
      <c r="F49" s="981"/>
      <c r="G49" s="982"/>
      <c r="H49" s="982"/>
      <c r="I49" s="982"/>
      <c r="J49" s="981"/>
      <c r="K49" s="981"/>
      <c r="L49" s="982"/>
      <c r="M49" s="982"/>
      <c r="N49" s="982"/>
      <c r="O49" s="981"/>
      <c r="P49" s="981"/>
      <c r="Q49" s="983"/>
      <c r="R49" s="927"/>
    </row>
    <row r="50" spans="1:18" ht="28.9" hidden="1" customHeight="1" outlineLevel="1" x14ac:dyDescent="0.25">
      <c r="A50" s="927"/>
      <c r="B50" s="2021" t="s">
        <v>1566</v>
      </c>
      <c r="C50" s="2022"/>
      <c r="D50" s="977" t="s">
        <v>107</v>
      </c>
      <c r="E50" s="981"/>
      <c r="F50" s="981"/>
      <c r="G50" s="982"/>
      <c r="H50" s="982"/>
      <c r="I50" s="982"/>
      <c r="J50" s="981"/>
      <c r="K50" s="981"/>
      <c r="L50" s="982"/>
      <c r="M50" s="982"/>
      <c r="N50" s="982"/>
      <c r="O50" s="981"/>
      <c r="P50" s="981"/>
      <c r="Q50" s="983"/>
      <c r="R50" s="927"/>
    </row>
    <row r="51" spans="1:18" hidden="1" outlineLevel="1" x14ac:dyDescent="0.25">
      <c r="A51" s="927"/>
      <c r="B51" s="984"/>
      <c r="C51" s="982"/>
      <c r="D51" s="982"/>
      <c r="E51" s="981"/>
      <c r="F51" s="981"/>
      <c r="G51" s="982"/>
      <c r="H51" s="982"/>
      <c r="I51" s="982"/>
      <c r="J51" s="981"/>
      <c r="K51" s="981"/>
      <c r="L51" s="982"/>
      <c r="M51" s="982"/>
      <c r="N51" s="982"/>
      <c r="O51" s="981"/>
      <c r="P51" s="981"/>
      <c r="Q51" s="983"/>
      <c r="R51" s="927"/>
    </row>
    <row r="52" spans="1:18" hidden="1" outlineLevel="1" x14ac:dyDescent="0.25">
      <c r="A52" s="927"/>
      <c r="B52" s="2018" t="s">
        <v>1567</v>
      </c>
      <c r="C52" s="2019"/>
      <c r="D52" s="2019"/>
      <c r="E52" s="2019"/>
      <c r="F52" s="2019"/>
      <c r="G52" s="2019"/>
      <c r="H52" s="2019"/>
      <c r="I52" s="2019"/>
      <c r="J52" s="2019"/>
      <c r="K52" s="2019"/>
      <c r="L52" s="2019"/>
      <c r="M52" s="2019"/>
      <c r="N52" s="2019"/>
      <c r="O52" s="2019"/>
      <c r="P52" s="2019"/>
      <c r="Q52" s="2020"/>
      <c r="R52" s="927"/>
    </row>
    <row r="53" spans="1:18" ht="21" hidden="1" customHeight="1" outlineLevel="1" x14ac:dyDescent="0.25">
      <c r="A53" s="927"/>
      <c r="B53" s="2052" t="s">
        <v>728</v>
      </c>
      <c r="C53" s="2053"/>
      <c r="D53" s="985"/>
      <c r="E53" s="981"/>
      <c r="F53" s="981"/>
      <c r="G53" s="982"/>
      <c r="H53" s="982"/>
      <c r="I53" s="982"/>
      <c r="J53" s="981"/>
      <c r="K53" s="981"/>
      <c r="L53" s="982"/>
      <c r="M53" s="982"/>
      <c r="N53" s="982"/>
      <c r="O53" s="981"/>
      <c r="P53" s="981"/>
      <c r="Q53" s="983"/>
      <c r="R53" s="927"/>
    </row>
    <row r="54" spans="1:18" ht="27.6" hidden="1" customHeight="1" outlineLevel="1" x14ac:dyDescent="0.25">
      <c r="A54" s="927"/>
      <c r="B54" s="2052" t="s">
        <v>729</v>
      </c>
      <c r="C54" s="2053"/>
      <c r="D54" s="977" t="s">
        <v>107</v>
      </c>
      <c r="E54" s="981"/>
      <c r="F54" s="981"/>
      <c r="G54" s="982"/>
      <c r="H54" s="982"/>
      <c r="I54" s="982"/>
      <c r="J54" s="981"/>
      <c r="K54" s="981"/>
      <c r="L54" s="982"/>
      <c r="M54" s="982"/>
      <c r="N54" s="982"/>
      <c r="O54" s="981"/>
      <c r="P54" s="981"/>
      <c r="Q54" s="983"/>
      <c r="R54" s="927"/>
    </row>
    <row r="55" spans="1:18" ht="26.45" hidden="1" customHeight="1" outlineLevel="1" x14ac:dyDescent="0.25">
      <c r="A55" s="927"/>
      <c r="B55" s="2052" t="s">
        <v>730</v>
      </c>
      <c r="C55" s="2053"/>
      <c r="D55" s="977" t="s">
        <v>107</v>
      </c>
      <c r="E55" s="981"/>
      <c r="F55" s="981"/>
      <c r="G55" s="982"/>
      <c r="H55" s="982"/>
      <c r="I55" s="982"/>
      <c r="J55" s="981"/>
      <c r="K55" s="981"/>
      <c r="L55" s="982"/>
      <c r="M55" s="982"/>
      <c r="N55" s="982"/>
      <c r="O55" s="981"/>
      <c r="P55" s="981"/>
      <c r="Q55" s="983"/>
      <c r="R55" s="927"/>
    </row>
    <row r="56" spans="1:18" ht="22.9" hidden="1" customHeight="1" outlineLevel="1" x14ac:dyDescent="0.25">
      <c r="A56" s="927"/>
      <c r="B56" s="2052" t="s">
        <v>731</v>
      </c>
      <c r="C56" s="2053"/>
      <c r="D56" s="977" t="s">
        <v>107</v>
      </c>
      <c r="E56" s="981"/>
      <c r="F56" s="981"/>
      <c r="G56" s="982"/>
      <c r="H56" s="982"/>
      <c r="I56" s="982"/>
      <c r="J56" s="981"/>
      <c r="K56" s="981"/>
      <c r="L56" s="982"/>
      <c r="M56" s="982"/>
      <c r="N56" s="982"/>
      <c r="O56" s="981"/>
      <c r="P56" s="981"/>
      <c r="Q56" s="983"/>
      <c r="R56" s="927"/>
    </row>
    <row r="57" spans="1:18" ht="24" hidden="1" customHeight="1" outlineLevel="1" x14ac:dyDescent="0.25">
      <c r="A57" s="927"/>
      <c r="B57" s="2052" t="s">
        <v>732</v>
      </c>
      <c r="C57" s="2053"/>
      <c r="D57" s="977" t="s">
        <v>107</v>
      </c>
      <c r="E57" s="981"/>
      <c r="F57" s="981"/>
      <c r="G57" s="982"/>
      <c r="H57" s="982"/>
      <c r="I57" s="982"/>
      <c r="J57" s="981"/>
      <c r="K57" s="981"/>
      <c r="L57" s="982"/>
      <c r="M57" s="982"/>
      <c r="N57" s="982"/>
      <c r="O57" s="981"/>
      <c r="P57" s="981"/>
      <c r="Q57" s="983"/>
      <c r="R57" s="927"/>
    </row>
    <row r="58" spans="1:18" ht="22.15" hidden="1" customHeight="1" outlineLevel="1" x14ac:dyDescent="0.25">
      <c r="A58" s="927"/>
      <c r="B58" s="2052" t="s">
        <v>733</v>
      </c>
      <c r="C58" s="2053"/>
      <c r="D58" s="977" t="s">
        <v>107</v>
      </c>
      <c r="E58" s="981"/>
      <c r="F58" s="981"/>
      <c r="G58" s="982"/>
      <c r="H58" s="982"/>
      <c r="I58" s="982"/>
      <c r="J58" s="981"/>
      <c r="K58" s="981"/>
      <c r="L58" s="982"/>
      <c r="M58" s="982"/>
      <c r="N58" s="982"/>
      <c r="O58" s="981"/>
      <c r="P58" s="981"/>
      <c r="Q58" s="983"/>
      <c r="R58" s="927"/>
    </row>
    <row r="59" spans="1:18" ht="29.45" hidden="1" customHeight="1" outlineLevel="1" x14ac:dyDescent="0.25">
      <c r="A59" s="927"/>
      <c r="B59" s="2052" t="s">
        <v>734</v>
      </c>
      <c r="C59" s="2053"/>
      <c r="D59" s="977" t="s">
        <v>107</v>
      </c>
      <c r="E59" s="981"/>
      <c r="F59" s="981"/>
      <c r="G59" s="982"/>
      <c r="H59" s="982"/>
      <c r="I59" s="982"/>
      <c r="J59" s="981"/>
      <c r="K59" s="981"/>
      <c r="L59" s="982"/>
      <c r="M59" s="982"/>
      <c r="N59" s="982"/>
      <c r="O59" s="981"/>
      <c r="P59" s="981"/>
      <c r="Q59" s="983"/>
      <c r="R59" s="927"/>
    </row>
    <row r="60" spans="1:18" hidden="1" outlineLevel="1" x14ac:dyDescent="0.25">
      <c r="A60" s="927"/>
      <c r="B60" s="984"/>
      <c r="C60" s="982"/>
      <c r="D60" s="982"/>
      <c r="E60" s="981"/>
      <c r="F60" s="981"/>
      <c r="G60" s="982"/>
      <c r="H60" s="982"/>
      <c r="I60" s="982"/>
      <c r="J60" s="981"/>
      <c r="K60" s="981"/>
      <c r="L60" s="982"/>
      <c r="M60" s="982"/>
      <c r="N60" s="982"/>
      <c r="O60" s="981"/>
      <c r="P60" s="981"/>
      <c r="Q60" s="983"/>
      <c r="R60" s="927"/>
    </row>
    <row r="61" spans="1:18" hidden="1" outlineLevel="1" x14ac:dyDescent="0.25">
      <c r="A61" s="927"/>
      <c r="B61" s="2018" t="s">
        <v>1568</v>
      </c>
      <c r="C61" s="2019"/>
      <c r="D61" s="2019"/>
      <c r="E61" s="2019"/>
      <c r="F61" s="2019"/>
      <c r="G61" s="2019"/>
      <c r="H61" s="2019"/>
      <c r="I61" s="2019"/>
      <c r="J61" s="2019"/>
      <c r="K61" s="2019"/>
      <c r="L61" s="2019"/>
      <c r="M61" s="2019"/>
      <c r="N61" s="2019"/>
      <c r="O61" s="2019"/>
      <c r="P61" s="2019"/>
      <c r="Q61" s="2020"/>
      <c r="R61" s="927"/>
    </row>
    <row r="62" spans="1:18" ht="21.6" hidden="1" customHeight="1" outlineLevel="1" x14ac:dyDescent="0.25">
      <c r="A62" s="927"/>
      <c r="B62" s="2052" t="s">
        <v>735</v>
      </c>
      <c r="C62" s="2053"/>
      <c r="D62" s="977" t="s">
        <v>107</v>
      </c>
      <c r="E62" s="981"/>
      <c r="F62" s="981"/>
      <c r="G62" s="982"/>
      <c r="H62" s="982"/>
      <c r="I62" s="982"/>
      <c r="J62" s="981"/>
      <c r="K62" s="981"/>
      <c r="L62" s="982"/>
      <c r="M62" s="982"/>
      <c r="N62" s="982"/>
      <c r="O62" s="981"/>
      <c r="P62" s="981"/>
      <c r="Q62" s="983"/>
      <c r="R62" s="927"/>
    </row>
    <row r="63" spans="1:18" hidden="1" outlineLevel="1" x14ac:dyDescent="0.25">
      <c r="A63" s="927"/>
      <c r="B63" s="2052" t="s">
        <v>736</v>
      </c>
      <c r="C63" s="2053"/>
      <c r="D63" s="977" t="s">
        <v>107</v>
      </c>
      <c r="E63" s="981"/>
      <c r="F63" s="981"/>
      <c r="G63" s="982"/>
      <c r="H63" s="982"/>
      <c r="I63" s="982"/>
      <c r="J63" s="981"/>
      <c r="K63" s="981"/>
      <c r="L63" s="982"/>
      <c r="M63" s="982"/>
      <c r="N63" s="982"/>
      <c r="O63" s="981"/>
      <c r="P63" s="981"/>
      <c r="Q63" s="983"/>
      <c r="R63" s="927"/>
    </row>
    <row r="64" spans="1:18" ht="18" hidden="1" customHeight="1" outlineLevel="1" x14ac:dyDescent="0.25">
      <c r="A64" s="927"/>
      <c r="B64" s="2052" t="s">
        <v>737</v>
      </c>
      <c r="C64" s="2053"/>
      <c r="D64" s="977" t="s">
        <v>107</v>
      </c>
      <c r="E64" s="981"/>
      <c r="F64" s="981"/>
      <c r="G64" s="982"/>
      <c r="H64" s="982"/>
      <c r="I64" s="982"/>
      <c r="J64" s="981"/>
      <c r="K64" s="981"/>
      <c r="L64" s="982"/>
      <c r="M64" s="982"/>
      <c r="N64" s="982"/>
      <c r="O64" s="981"/>
      <c r="P64" s="981"/>
      <c r="Q64" s="983"/>
      <c r="R64" s="927"/>
    </row>
    <row r="65" spans="1:18" ht="23.45" hidden="1" customHeight="1" outlineLevel="1" x14ac:dyDescent="0.25">
      <c r="A65" s="927"/>
      <c r="B65" s="2052" t="s">
        <v>738</v>
      </c>
      <c r="C65" s="2053"/>
      <c r="D65" s="977" t="s">
        <v>107</v>
      </c>
      <c r="E65" s="981"/>
      <c r="F65" s="981"/>
      <c r="G65" s="982"/>
      <c r="H65" s="982"/>
      <c r="I65" s="982"/>
      <c r="J65" s="981"/>
      <c r="K65" s="981"/>
      <c r="L65" s="982"/>
      <c r="M65" s="982"/>
      <c r="N65" s="982"/>
      <c r="O65" s="981"/>
      <c r="P65" s="981"/>
      <c r="Q65" s="983"/>
      <c r="R65" s="927"/>
    </row>
    <row r="66" spans="1:18" ht="25.9" hidden="1" customHeight="1" outlineLevel="1" x14ac:dyDescent="0.25">
      <c r="A66" s="927"/>
      <c r="B66" s="2052" t="s">
        <v>739</v>
      </c>
      <c r="C66" s="2053"/>
      <c r="D66" s="977" t="s">
        <v>107</v>
      </c>
      <c r="E66" s="981"/>
      <c r="F66" s="981"/>
      <c r="G66" s="982"/>
      <c r="H66" s="982"/>
      <c r="I66" s="982"/>
      <c r="J66" s="981"/>
      <c r="K66" s="981"/>
      <c r="L66" s="982"/>
      <c r="M66" s="982"/>
      <c r="N66" s="982"/>
      <c r="O66" s="981"/>
      <c r="P66" s="981"/>
      <c r="Q66" s="983"/>
      <c r="R66" s="927"/>
    </row>
    <row r="67" spans="1:18" ht="21" hidden="1" customHeight="1" outlineLevel="1" x14ac:dyDescent="0.25">
      <c r="A67" s="927"/>
      <c r="B67" s="2052" t="s">
        <v>740</v>
      </c>
      <c r="C67" s="2053"/>
      <c r="D67" s="985"/>
      <c r="E67" s="981"/>
      <c r="F67" s="981"/>
      <c r="G67" s="982"/>
      <c r="H67" s="982"/>
      <c r="I67" s="982"/>
      <c r="J67" s="981"/>
      <c r="K67" s="981"/>
      <c r="L67" s="982"/>
      <c r="M67" s="982"/>
      <c r="N67" s="982"/>
      <c r="O67" s="981"/>
      <c r="P67" s="981"/>
      <c r="Q67" s="983"/>
      <c r="R67" s="927"/>
    </row>
    <row r="68" spans="1:18" hidden="1" outlineLevel="1" x14ac:dyDescent="0.25">
      <c r="A68" s="927"/>
      <c r="B68" s="2052" t="s">
        <v>741</v>
      </c>
      <c r="C68" s="2053"/>
      <c r="D68" s="985"/>
      <c r="E68" s="981"/>
      <c r="F68" s="981"/>
      <c r="G68" s="982"/>
      <c r="H68" s="982"/>
      <c r="I68" s="982"/>
      <c r="J68" s="981"/>
      <c r="K68" s="981"/>
      <c r="L68" s="982"/>
      <c r="M68" s="982"/>
      <c r="N68" s="982"/>
      <c r="O68" s="981"/>
      <c r="P68" s="981"/>
      <c r="Q68" s="983"/>
      <c r="R68" s="927"/>
    </row>
    <row r="69" spans="1:18" ht="21" hidden="1" customHeight="1" outlineLevel="1" x14ac:dyDescent="0.25">
      <c r="A69" s="927"/>
      <c r="B69" s="2052" t="s">
        <v>742</v>
      </c>
      <c r="C69" s="2053"/>
      <c r="D69" s="985"/>
      <c r="E69" s="981"/>
      <c r="F69" s="981"/>
      <c r="G69" s="982"/>
      <c r="H69" s="982"/>
      <c r="I69" s="982"/>
      <c r="J69" s="981"/>
      <c r="K69" s="981"/>
      <c r="L69" s="982"/>
      <c r="M69" s="982"/>
      <c r="N69" s="982"/>
      <c r="O69" s="981"/>
      <c r="P69" s="981"/>
      <c r="Q69" s="983"/>
      <c r="R69" s="927"/>
    </row>
    <row r="70" spans="1:18" hidden="1" outlineLevel="1" x14ac:dyDescent="0.25">
      <c r="A70" s="927"/>
      <c r="B70" s="2052" t="s">
        <v>1569</v>
      </c>
      <c r="C70" s="2053"/>
      <c r="D70" s="985"/>
      <c r="E70" s="981"/>
      <c r="F70" s="981"/>
      <c r="G70" s="982"/>
      <c r="H70" s="982"/>
      <c r="I70" s="982"/>
      <c r="J70" s="981"/>
      <c r="K70" s="981"/>
      <c r="L70" s="982"/>
      <c r="M70" s="982"/>
      <c r="N70" s="982"/>
      <c r="O70" s="981"/>
      <c r="P70" s="981"/>
      <c r="Q70" s="983"/>
      <c r="R70" s="927"/>
    </row>
    <row r="71" spans="1:18" ht="22.15" hidden="1" customHeight="1" outlineLevel="1" x14ac:dyDescent="0.25">
      <c r="A71" s="927"/>
      <c r="B71" s="2056" t="s">
        <v>743</v>
      </c>
      <c r="C71" s="2057"/>
      <c r="D71" s="985"/>
      <c r="E71" s="2058"/>
      <c r="F71" s="2058"/>
      <c r="G71" s="982"/>
      <c r="H71" s="982"/>
      <c r="I71" s="982"/>
      <c r="J71" s="2058"/>
      <c r="K71" s="2058"/>
      <c r="L71" s="982"/>
      <c r="M71" s="982"/>
      <c r="N71" s="982"/>
      <c r="O71" s="2058"/>
      <c r="P71" s="2058"/>
      <c r="Q71" s="983"/>
      <c r="R71" s="927"/>
    </row>
    <row r="72" spans="1:18" hidden="1" outlineLevel="1" x14ac:dyDescent="0.25">
      <c r="A72" s="927"/>
      <c r="B72" s="984"/>
      <c r="C72" s="982"/>
      <c r="D72" s="982"/>
      <c r="E72" s="2058"/>
      <c r="F72" s="2058"/>
      <c r="G72" s="982"/>
      <c r="H72" s="982"/>
      <c r="I72" s="982"/>
      <c r="J72" s="2058"/>
      <c r="K72" s="2058"/>
      <c r="L72" s="982"/>
      <c r="M72" s="982"/>
      <c r="N72" s="982"/>
      <c r="O72" s="2058"/>
      <c r="P72" s="2058"/>
      <c r="Q72" s="983"/>
      <c r="R72" s="927"/>
    </row>
    <row r="73" spans="1:18" ht="21" customHeight="1" collapsed="1" x14ac:dyDescent="0.25">
      <c r="A73" s="927">
        <f>IF($B$11,1,0)</f>
        <v>1</v>
      </c>
      <c r="B73" s="970" t="b">
        <v>0</v>
      </c>
      <c r="C73" s="971"/>
      <c r="D73" s="986" t="str">
        <f>IF(B73, "Количество площадок","")</f>
        <v/>
      </c>
      <c r="E73" s="2014"/>
      <c r="F73" s="2014"/>
      <c r="G73" s="987" t="str">
        <f>IF(B73, "Количество узлов упр-я","")</f>
        <v/>
      </c>
      <c r="H73" s="988"/>
      <c r="I73" s="987" t="str">
        <f>IF(B73, "Количество KICS","")</f>
        <v/>
      </c>
      <c r="J73" s="2014"/>
      <c r="K73" s="2014"/>
      <c r="L73" s="987" t="str">
        <f>IF(B73, "Количество KES","")</f>
        <v/>
      </c>
      <c r="M73" s="972"/>
      <c r="N73" s="940"/>
      <c r="O73" s="2014"/>
      <c r="P73" s="2014"/>
      <c r="Q73" s="970" t="str">
        <f>IF(B73,1,"")</f>
        <v/>
      </c>
      <c r="R73" s="927"/>
    </row>
    <row r="74" spans="1:18" ht="19.5" hidden="1" outlineLevel="1" thickBot="1" x14ac:dyDescent="0.3">
      <c r="A74" s="927"/>
      <c r="B74" s="2015" t="s">
        <v>744</v>
      </c>
      <c r="C74" s="2016"/>
      <c r="D74" s="2016"/>
      <c r="E74" s="2016"/>
      <c r="F74" s="2016"/>
      <c r="G74" s="2016"/>
      <c r="H74" s="2016"/>
      <c r="I74" s="2016"/>
      <c r="J74" s="2016"/>
      <c r="K74" s="2016"/>
      <c r="L74" s="2016"/>
      <c r="M74" s="2016"/>
      <c r="N74" s="2016"/>
      <c r="O74" s="2016"/>
      <c r="P74" s="2016"/>
      <c r="Q74" s="2017"/>
      <c r="R74" s="927"/>
    </row>
    <row r="75" spans="1:18" ht="3" hidden="1" customHeight="1" outlineLevel="1" thickTop="1" x14ac:dyDescent="0.25">
      <c r="A75" s="927"/>
      <c r="B75" s="973"/>
      <c r="C75" s="974"/>
      <c r="D75" s="974"/>
      <c r="E75" s="975"/>
      <c r="F75" s="975"/>
      <c r="G75" s="974"/>
      <c r="H75" s="974"/>
      <c r="I75" s="974"/>
      <c r="J75" s="975"/>
      <c r="K75" s="975"/>
      <c r="L75" s="974"/>
      <c r="M75" s="974"/>
      <c r="N75" s="974"/>
      <c r="O75" s="975"/>
      <c r="P75" s="975"/>
      <c r="Q75" s="976"/>
      <c r="R75" s="927"/>
    </row>
    <row r="76" spans="1:18" hidden="1" outlineLevel="1" x14ac:dyDescent="0.25">
      <c r="A76" s="927"/>
      <c r="B76" s="2018" t="s">
        <v>745</v>
      </c>
      <c r="C76" s="2019"/>
      <c r="D76" s="2019"/>
      <c r="E76" s="2019"/>
      <c r="F76" s="2019"/>
      <c r="G76" s="2019"/>
      <c r="H76" s="2019"/>
      <c r="I76" s="2019"/>
      <c r="J76" s="2019"/>
      <c r="K76" s="2019"/>
      <c r="L76" s="2019"/>
      <c r="M76" s="2019"/>
      <c r="N76" s="2019"/>
      <c r="O76" s="2019"/>
      <c r="P76" s="2019"/>
      <c r="Q76" s="2020"/>
      <c r="R76" s="927"/>
    </row>
    <row r="77" spans="1:18" ht="22.15" hidden="1" customHeight="1" outlineLevel="1" x14ac:dyDescent="0.25">
      <c r="A77" s="927"/>
      <c r="B77" s="2054" t="s">
        <v>746</v>
      </c>
      <c r="C77" s="2055"/>
      <c r="D77" s="977" t="s">
        <v>107</v>
      </c>
      <c r="E77" s="981"/>
      <c r="F77" s="981"/>
      <c r="G77" s="982"/>
      <c r="H77" s="982"/>
      <c r="I77" s="982"/>
      <c r="J77" s="981"/>
      <c r="K77" s="981"/>
      <c r="L77" s="982"/>
      <c r="M77" s="982"/>
      <c r="N77" s="982"/>
      <c r="O77" s="981"/>
      <c r="P77" s="981"/>
      <c r="Q77" s="983"/>
      <c r="R77" s="927"/>
    </row>
    <row r="78" spans="1:18" hidden="1" outlineLevel="1" x14ac:dyDescent="0.25">
      <c r="A78" s="927"/>
      <c r="B78" s="984"/>
      <c r="C78" s="982"/>
      <c r="D78" s="982"/>
      <c r="E78" s="981"/>
      <c r="F78" s="981"/>
      <c r="G78" s="982"/>
      <c r="H78" s="982"/>
      <c r="I78" s="982"/>
      <c r="J78" s="981"/>
      <c r="K78" s="981"/>
      <c r="L78" s="982"/>
      <c r="M78" s="982"/>
      <c r="N78" s="982"/>
      <c r="O78" s="981"/>
      <c r="P78" s="981"/>
      <c r="Q78" s="983"/>
      <c r="R78" s="927"/>
    </row>
    <row r="79" spans="1:18" hidden="1" outlineLevel="1" x14ac:dyDescent="0.25">
      <c r="A79" s="927"/>
      <c r="B79" s="2018" t="s">
        <v>747</v>
      </c>
      <c r="C79" s="2019"/>
      <c r="D79" s="2019"/>
      <c r="E79" s="2019"/>
      <c r="F79" s="2019"/>
      <c r="G79" s="2019"/>
      <c r="H79" s="2019"/>
      <c r="I79" s="2019"/>
      <c r="J79" s="2019"/>
      <c r="K79" s="2019"/>
      <c r="L79" s="2019"/>
      <c r="M79" s="2019"/>
      <c r="N79" s="2019"/>
      <c r="O79" s="2019"/>
      <c r="P79" s="2019"/>
      <c r="Q79" s="2020"/>
      <c r="R79" s="927"/>
    </row>
    <row r="80" spans="1:18" ht="23.45" hidden="1" customHeight="1" outlineLevel="1" x14ac:dyDescent="0.25">
      <c r="A80" s="927"/>
      <c r="B80" s="2054" t="s">
        <v>746</v>
      </c>
      <c r="C80" s="2055"/>
      <c r="D80" s="977" t="s">
        <v>107</v>
      </c>
      <c r="E80" s="981"/>
      <c r="F80" s="981"/>
      <c r="G80" s="982"/>
      <c r="H80" s="982"/>
      <c r="I80" s="982"/>
      <c r="J80" s="981"/>
      <c r="K80" s="981"/>
      <c r="L80" s="982"/>
      <c r="M80" s="982"/>
      <c r="N80" s="982"/>
      <c r="O80" s="981"/>
      <c r="P80" s="981"/>
      <c r="Q80" s="983"/>
      <c r="R80" s="927"/>
    </row>
    <row r="81" spans="1:18" ht="13.9" hidden="1" customHeight="1" outlineLevel="1" thickBot="1" x14ac:dyDescent="0.3">
      <c r="A81" s="927"/>
      <c r="B81" s="989"/>
      <c r="C81" s="990"/>
      <c r="D81" s="982"/>
      <c r="E81" s="991"/>
      <c r="F81" s="991"/>
      <c r="G81" s="982"/>
      <c r="H81" s="990"/>
      <c r="I81" s="990"/>
      <c r="J81" s="991"/>
      <c r="K81" s="991"/>
      <c r="L81" s="990"/>
      <c r="M81" s="990"/>
      <c r="N81" s="990"/>
      <c r="O81" s="991"/>
      <c r="P81" s="991"/>
      <c r="Q81" s="992"/>
      <c r="R81" s="927"/>
    </row>
    <row r="82" spans="1:18" ht="17.25" customHeight="1" collapsed="1" x14ac:dyDescent="0.25">
      <c r="A82" s="927">
        <f>IF($B$11,1,0)</f>
        <v>1</v>
      </c>
      <c r="B82" s="993" t="b">
        <v>0</v>
      </c>
      <c r="C82" s="994"/>
      <c r="D82" s="940" t="str">
        <f>IF(B82, "Количество площадок","")</f>
        <v/>
      </c>
      <c r="E82" s="2062"/>
      <c r="F82" s="2062"/>
      <c r="G82" s="940" t="str">
        <f>IF(B82, "Количество хостов","")</f>
        <v/>
      </c>
      <c r="H82" s="995"/>
      <c r="I82" s="938" t="str">
        <f>IF(B82, "Количество почтовых серверов","")</f>
        <v/>
      </c>
      <c r="J82" s="2062"/>
      <c r="K82" s="2062"/>
      <c r="L82" s="938" t="str">
        <f>IF(B82, "Количество правил фильтрации","")</f>
        <v/>
      </c>
      <c r="M82" s="995"/>
      <c r="N82" s="938"/>
      <c r="O82" s="2062"/>
      <c r="P82" s="2062"/>
      <c r="Q82" s="993" t="str">
        <f>IF(B82,1,"")</f>
        <v/>
      </c>
      <c r="R82" s="927"/>
    </row>
    <row r="83" spans="1:18" collapsed="1" x14ac:dyDescent="0.25">
      <c r="A83" s="927">
        <f>IF($B$11,1,0)</f>
        <v>1</v>
      </c>
      <c r="B83" s="996" t="b">
        <v>0</v>
      </c>
      <c r="C83" s="997"/>
      <c r="D83" s="940" t="str">
        <f>IF(B83, "Количество площадок","")</f>
        <v/>
      </c>
      <c r="E83" s="2063"/>
      <c r="F83" s="2063"/>
      <c r="G83" s="950" t="str">
        <f>IF(B83, "Количество устройств","")</f>
        <v/>
      </c>
      <c r="H83" s="998"/>
      <c r="I83" s="950" t="str">
        <f>IF(B83, "Количество кластеров","")</f>
        <v/>
      </c>
      <c r="J83" s="2063"/>
      <c r="K83" s="2063"/>
      <c r="L83" s="950" t="str">
        <f>IF(B83, "Кол-во VPN клиентов ","")</f>
        <v/>
      </c>
      <c r="M83" s="998"/>
      <c r="N83" s="950"/>
      <c r="O83" s="2063"/>
      <c r="P83" s="2063"/>
      <c r="Q83" s="993" t="str">
        <f>IF(B83,1,"")</f>
        <v/>
      </c>
      <c r="R83" s="927"/>
    </row>
    <row r="84" spans="1:18" ht="19.5" hidden="1" outlineLevel="1" thickBot="1" x14ac:dyDescent="0.3">
      <c r="A84" s="927"/>
      <c r="B84" s="2015" t="s">
        <v>748</v>
      </c>
      <c r="C84" s="2016"/>
      <c r="D84" s="2016"/>
      <c r="E84" s="2016"/>
      <c r="F84" s="2016"/>
      <c r="G84" s="2016"/>
      <c r="H84" s="2016"/>
      <c r="I84" s="2016"/>
      <c r="J84" s="2016"/>
      <c r="K84" s="2016"/>
      <c r="L84" s="2016"/>
      <c r="M84" s="2016"/>
      <c r="N84" s="2016"/>
      <c r="O84" s="2016"/>
      <c r="P84" s="2016"/>
      <c r="Q84" s="2017"/>
      <c r="R84" s="927"/>
    </row>
    <row r="85" spans="1:18" ht="3" hidden="1" customHeight="1" outlineLevel="1" thickTop="1" x14ac:dyDescent="0.25">
      <c r="A85" s="927"/>
      <c r="B85" s="973"/>
      <c r="C85" s="974"/>
      <c r="D85" s="974"/>
      <c r="E85" s="975"/>
      <c r="F85" s="975"/>
      <c r="G85" s="974"/>
      <c r="H85" s="974"/>
      <c r="I85" s="974"/>
      <c r="J85" s="975"/>
      <c r="K85" s="975"/>
      <c r="L85" s="974"/>
      <c r="M85" s="974"/>
      <c r="N85" s="974"/>
      <c r="O85" s="975"/>
      <c r="P85" s="975"/>
      <c r="Q85" s="976"/>
      <c r="R85" s="927"/>
    </row>
    <row r="86" spans="1:18" hidden="1" outlineLevel="1" x14ac:dyDescent="0.25">
      <c r="A86" s="927"/>
      <c r="B86" s="2018" t="s">
        <v>749</v>
      </c>
      <c r="C86" s="2019"/>
      <c r="D86" s="2019"/>
      <c r="E86" s="2019"/>
      <c r="F86" s="2019"/>
      <c r="G86" s="2019"/>
      <c r="H86" s="2019"/>
      <c r="I86" s="2019"/>
      <c r="J86" s="2019"/>
      <c r="K86" s="2019"/>
      <c r="L86" s="2019"/>
      <c r="M86" s="2019"/>
      <c r="N86" s="2019"/>
      <c r="O86" s="2019"/>
      <c r="P86" s="2019"/>
      <c r="Q86" s="2020"/>
      <c r="R86" s="927"/>
    </row>
    <row r="87" spans="1:18" ht="18" hidden="1" customHeight="1" outlineLevel="1" x14ac:dyDescent="0.25">
      <c r="A87" s="927"/>
      <c r="B87" s="2059" t="s">
        <v>750</v>
      </c>
      <c r="C87" s="2055"/>
      <c r="D87" s="999" t="s">
        <v>106</v>
      </c>
      <c r="E87" s="981"/>
      <c r="F87" s="981"/>
      <c r="G87" s="982"/>
      <c r="H87" s="982"/>
      <c r="I87" s="982"/>
      <c r="J87" s="981"/>
      <c r="K87" s="981"/>
      <c r="L87" s="982"/>
      <c r="M87" s="982"/>
      <c r="N87" s="982"/>
      <c r="O87" s="981"/>
      <c r="P87" s="981"/>
      <c r="Q87" s="982"/>
      <c r="R87" s="927"/>
    </row>
    <row r="88" spans="1:18" hidden="1" outlineLevel="1" x14ac:dyDescent="0.25">
      <c r="A88" s="927"/>
      <c r="B88" s="2058"/>
      <c r="C88" s="2058"/>
      <c r="D88" s="982"/>
      <c r="E88" s="981"/>
      <c r="F88" s="981"/>
      <c r="G88" s="982"/>
      <c r="H88" s="982"/>
      <c r="I88" s="982"/>
      <c r="J88" s="981"/>
      <c r="K88" s="981"/>
      <c r="L88" s="982"/>
      <c r="M88" s="982"/>
      <c r="N88" s="982"/>
      <c r="O88" s="981"/>
      <c r="P88" s="981"/>
      <c r="Q88" s="982"/>
      <c r="R88" s="927"/>
    </row>
    <row r="89" spans="1:18" hidden="1" outlineLevel="1" x14ac:dyDescent="0.25">
      <c r="A89" s="927"/>
      <c r="B89" s="2018" t="s">
        <v>751</v>
      </c>
      <c r="C89" s="2019"/>
      <c r="D89" s="2019"/>
      <c r="E89" s="2019"/>
      <c r="F89" s="2019"/>
      <c r="G89" s="2019"/>
      <c r="H89" s="2019"/>
      <c r="I89" s="2019"/>
      <c r="J89" s="2019"/>
      <c r="K89" s="2019"/>
      <c r="L89" s="2019"/>
      <c r="M89" s="2019"/>
      <c r="N89" s="2019"/>
      <c r="O89" s="2019"/>
      <c r="P89" s="2019"/>
      <c r="Q89" s="2020"/>
      <c r="R89" s="927"/>
    </row>
    <row r="90" spans="1:18" ht="30.6" hidden="1" customHeight="1" outlineLevel="1" x14ac:dyDescent="0.25">
      <c r="A90" s="927"/>
      <c r="B90" s="2060" t="s">
        <v>726</v>
      </c>
      <c r="C90" s="2061"/>
      <c r="D90" s="999" t="s">
        <v>106</v>
      </c>
      <c r="E90" s="981"/>
      <c r="F90" s="981"/>
      <c r="G90" s="982"/>
      <c r="H90" s="982"/>
      <c r="I90" s="982"/>
      <c r="J90" s="981"/>
      <c r="K90" s="981"/>
      <c r="L90" s="982"/>
      <c r="M90" s="982"/>
      <c r="N90" s="982"/>
      <c r="O90" s="981"/>
      <c r="P90" s="981"/>
      <c r="Q90" s="982"/>
      <c r="R90" s="927"/>
    </row>
    <row r="91" spans="1:18" ht="28.15" hidden="1" customHeight="1" outlineLevel="1" x14ac:dyDescent="0.25">
      <c r="A91" s="927"/>
      <c r="B91" s="2060" t="s">
        <v>727</v>
      </c>
      <c r="C91" s="2061"/>
      <c r="D91" s="999" t="s">
        <v>106</v>
      </c>
      <c r="E91" s="981"/>
      <c r="F91" s="981"/>
      <c r="G91" s="982"/>
      <c r="H91" s="982"/>
      <c r="I91" s="982"/>
      <c r="J91" s="981"/>
      <c r="K91" s="981"/>
      <c r="L91" s="982"/>
      <c r="M91" s="982"/>
      <c r="N91" s="982"/>
      <c r="O91" s="981"/>
      <c r="P91" s="981"/>
      <c r="Q91" s="982"/>
      <c r="R91" s="927"/>
    </row>
    <row r="92" spans="1:18" ht="26.45" hidden="1" customHeight="1" outlineLevel="1" x14ac:dyDescent="0.25">
      <c r="A92" s="927"/>
      <c r="B92" s="2060" t="s">
        <v>752</v>
      </c>
      <c r="C92" s="2061"/>
      <c r="D92" s="999" t="s">
        <v>106</v>
      </c>
      <c r="E92" s="981"/>
      <c r="F92" s="981"/>
      <c r="G92" s="982"/>
      <c r="H92" s="982"/>
      <c r="I92" s="982"/>
      <c r="J92" s="981"/>
      <c r="K92" s="981"/>
      <c r="L92" s="982"/>
      <c r="M92" s="982"/>
      <c r="N92" s="982"/>
      <c r="O92" s="981"/>
      <c r="P92" s="981"/>
      <c r="Q92" s="982"/>
      <c r="R92" s="927"/>
    </row>
    <row r="93" spans="1:18" hidden="1" outlineLevel="1" x14ac:dyDescent="0.25">
      <c r="A93" s="927"/>
      <c r="B93" s="2059" t="s">
        <v>753</v>
      </c>
      <c r="C93" s="2055"/>
      <c r="D93" s="999" t="s">
        <v>106</v>
      </c>
      <c r="E93" s="981"/>
      <c r="F93" s="981"/>
      <c r="G93" s="982"/>
      <c r="H93" s="982"/>
      <c r="I93" s="982"/>
      <c r="J93" s="981"/>
      <c r="K93" s="981"/>
      <c r="L93" s="982"/>
      <c r="M93" s="982"/>
      <c r="N93" s="982"/>
      <c r="O93" s="981"/>
      <c r="P93" s="981"/>
      <c r="Q93" s="982"/>
      <c r="R93" s="927"/>
    </row>
    <row r="94" spans="1:18" hidden="1" outlineLevel="1" x14ac:dyDescent="0.25">
      <c r="A94" s="927"/>
      <c r="B94" s="982"/>
      <c r="C94" s="982"/>
      <c r="D94" s="982"/>
      <c r="E94" s="981"/>
      <c r="F94" s="981"/>
      <c r="G94" s="982"/>
      <c r="H94" s="982"/>
      <c r="I94" s="982"/>
      <c r="J94" s="981"/>
      <c r="K94" s="981"/>
      <c r="L94" s="982"/>
      <c r="M94" s="982"/>
      <c r="N94" s="982"/>
      <c r="O94" s="981"/>
      <c r="P94" s="981"/>
      <c r="Q94" s="982"/>
      <c r="R94" s="927"/>
    </row>
    <row r="95" spans="1:18" hidden="1" outlineLevel="1" x14ac:dyDescent="0.25">
      <c r="A95" s="927"/>
      <c r="B95" s="2018" t="s">
        <v>754</v>
      </c>
      <c r="C95" s="2019"/>
      <c r="D95" s="2019"/>
      <c r="E95" s="2019"/>
      <c r="F95" s="2019"/>
      <c r="G95" s="2019"/>
      <c r="H95" s="2019"/>
      <c r="I95" s="2019"/>
      <c r="J95" s="2019"/>
      <c r="K95" s="2019"/>
      <c r="L95" s="2019"/>
      <c r="M95" s="2019"/>
      <c r="N95" s="2019"/>
      <c r="O95" s="2019"/>
      <c r="P95" s="2019"/>
      <c r="Q95" s="2020"/>
      <c r="R95" s="927"/>
    </row>
    <row r="96" spans="1:18" ht="25.15" hidden="1" customHeight="1" outlineLevel="1" x14ac:dyDescent="0.25">
      <c r="A96" s="927"/>
      <c r="B96" s="2060" t="s">
        <v>755</v>
      </c>
      <c r="C96" s="2061"/>
      <c r="D96" s="999" t="s">
        <v>107</v>
      </c>
      <c r="E96" s="981"/>
      <c r="F96" s="981"/>
      <c r="G96" s="982"/>
      <c r="H96" s="982"/>
      <c r="I96" s="982"/>
      <c r="J96" s="981"/>
      <c r="K96" s="981"/>
      <c r="L96" s="982"/>
      <c r="M96" s="982"/>
      <c r="N96" s="982"/>
      <c r="O96" s="981"/>
      <c r="P96" s="981"/>
      <c r="Q96" s="982"/>
      <c r="R96" s="927"/>
    </row>
    <row r="97" spans="1:18" ht="27.6" hidden="1" customHeight="1" outlineLevel="1" x14ac:dyDescent="0.25">
      <c r="A97" s="927"/>
      <c r="B97" s="2060" t="s">
        <v>728</v>
      </c>
      <c r="C97" s="2061"/>
      <c r="D97" s="985"/>
      <c r="E97" s="981"/>
      <c r="F97" s="981"/>
      <c r="G97" s="982"/>
      <c r="H97" s="982"/>
      <c r="I97" s="982"/>
      <c r="J97" s="981"/>
      <c r="K97" s="981"/>
      <c r="L97" s="982"/>
      <c r="M97" s="982"/>
      <c r="N97" s="982"/>
      <c r="O97" s="981"/>
      <c r="P97" s="981"/>
      <c r="Q97" s="982"/>
      <c r="R97" s="927"/>
    </row>
    <row r="98" spans="1:18" ht="27.6" hidden="1" customHeight="1" outlineLevel="1" x14ac:dyDescent="0.25">
      <c r="A98" s="927"/>
      <c r="B98" s="2060" t="s">
        <v>756</v>
      </c>
      <c r="C98" s="2061"/>
      <c r="D98" s="985"/>
      <c r="E98" s="981"/>
      <c r="F98" s="981"/>
      <c r="G98" s="982"/>
      <c r="H98" s="982"/>
      <c r="I98" s="982"/>
      <c r="J98" s="981"/>
      <c r="K98" s="981"/>
      <c r="L98" s="982"/>
      <c r="M98" s="982"/>
      <c r="N98" s="982"/>
      <c r="O98" s="981"/>
      <c r="P98" s="981"/>
      <c r="Q98" s="982"/>
      <c r="R98" s="927"/>
    </row>
    <row r="99" spans="1:18" ht="29.45" hidden="1" customHeight="1" outlineLevel="1" x14ac:dyDescent="0.25">
      <c r="A99" s="927"/>
      <c r="B99" s="2060" t="s">
        <v>729</v>
      </c>
      <c r="C99" s="2061"/>
      <c r="D99" s="985"/>
      <c r="E99" s="981"/>
      <c r="F99" s="981"/>
      <c r="G99" s="982"/>
      <c r="H99" s="982"/>
      <c r="I99" s="982"/>
      <c r="J99" s="981"/>
      <c r="K99" s="981"/>
      <c r="L99" s="982"/>
      <c r="M99" s="982"/>
      <c r="N99" s="982"/>
      <c r="O99" s="981"/>
      <c r="P99" s="981"/>
      <c r="Q99" s="982"/>
      <c r="R99" s="927"/>
    </row>
    <row r="100" spans="1:18" hidden="1" outlineLevel="1" x14ac:dyDescent="0.25">
      <c r="A100" s="927"/>
      <c r="B100" s="2064"/>
      <c r="C100" s="2065"/>
      <c r="D100" s="982"/>
      <c r="E100" s="981"/>
      <c r="F100" s="981"/>
      <c r="G100" s="982"/>
      <c r="H100" s="982"/>
      <c r="I100" s="982"/>
      <c r="J100" s="981"/>
      <c r="K100" s="981"/>
      <c r="L100" s="982"/>
      <c r="M100" s="982"/>
      <c r="N100" s="982"/>
      <c r="O100" s="981"/>
      <c r="P100" s="981"/>
      <c r="Q100" s="982"/>
      <c r="R100" s="927"/>
    </row>
    <row r="101" spans="1:18" ht="14.45" hidden="1" customHeight="1" outlineLevel="1" x14ac:dyDescent="0.25">
      <c r="A101" s="927"/>
      <c r="B101" s="2018" t="s">
        <v>757</v>
      </c>
      <c r="C101" s="2019"/>
      <c r="D101" s="2019"/>
      <c r="E101" s="2019"/>
      <c r="F101" s="2019"/>
      <c r="G101" s="2019"/>
      <c r="H101" s="2019"/>
      <c r="I101" s="2019"/>
      <c r="J101" s="2019"/>
      <c r="K101" s="2019"/>
      <c r="L101" s="2019"/>
      <c r="M101" s="2019"/>
      <c r="N101" s="2019"/>
      <c r="O101" s="2019"/>
      <c r="P101" s="2019"/>
      <c r="Q101" s="2020"/>
      <c r="R101" s="927"/>
    </row>
    <row r="102" spans="1:18" ht="14.45" hidden="1" customHeight="1" outlineLevel="1" x14ac:dyDescent="0.25">
      <c r="A102" s="927"/>
      <c r="B102" s="2060" t="s">
        <v>758</v>
      </c>
      <c r="C102" s="2061"/>
      <c r="D102" s="985"/>
      <c r="E102" s="981"/>
      <c r="F102" s="981"/>
      <c r="G102" s="982"/>
      <c r="H102" s="982"/>
      <c r="I102" s="982"/>
      <c r="J102" s="981"/>
      <c r="K102" s="981"/>
      <c r="L102" s="982"/>
      <c r="M102" s="982"/>
      <c r="N102" s="982"/>
      <c r="O102" s="981"/>
      <c r="P102" s="981"/>
      <c r="Q102" s="982"/>
      <c r="R102" s="927"/>
    </row>
    <row r="103" spans="1:18" ht="21" hidden="1" customHeight="1" outlineLevel="1" x14ac:dyDescent="0.25">
      <c r="A103" s="927"/>
      <c r="B103" s="2060" t="s">
        <v>743</v>
      </c>
      <c r="C103" s="2061"/>
      <c r="D103" s="985"/>
      <c r="E103" s="981"/>
      <c r="F103" s="981"/>
      <c r="G103" s="982"/>
      <c r="H103" s="982"/>
      <c r="I103" s="982"/>
      <c r="J103" s="981"/>
      <c r="K103" s="981"/>
      <c r="L103" s="982"/>
      <c r="M103" s="982"/>
      <c r="N103" s="982"/>
      <c r="O103" s="981"/>
      <c r="P103" s="981"/>
      <c r="Q103" s="982"/>
      <c r="R103" s="927"/>
    </row>
    <row r="104" spans="1:18" ht="17.45" hidden="1" customHeight="1" outlineLevel="1" x14ac:dyDescent="0.25">
      <c r="A104" s="927"/>
      <c r="B104" s="2060" t="s">
        <v>737</v>
      </c>
      <c r="C104" s="2061"/>
      <c r="D104" s="999" t="s">
        <v>106</v>
      </c>
      <c r="E104" s="981"/>
      <c r="F104" s="981"/>
      <c r="G104" s="982"/>
      <c r="H104" s="982"/>
      <c r="I104" s="982"/>
      <c r="J104" s="981"/>
      <c r="K104" s="981"/>
      <c r="L104" s="982"/>
      <c r="M104" s="982"/>
      <c r="N104" s="982"/>
      <c r="O104" s="981"/>
      <c r="P104" s="981"/>
      <c r="Q104" s="982"/>
      <c r="R104" s="927"/>
    </row>
    <row r="105" spans="1:18" ht="22.15" hidden="1" customHeight="1" outlineLevel="1" x14ac:dyDescent="0.25">
      <c r="A105" s="927"/>
      <c r="B105" s="2060" t="s">
        <v>759</v>
      </c>
      <c r="C105" s="2061"/>
      <c r="D105" s="999" t="s">
        <v>106</v>
      </c>
      <c r="E105" s="981"/>
      <c r="F105" s="981"/>
      <c r="G105" s="982"/>
      <c r="H105" s="982"/>
      <c r="I105" s="982"/>
      <c r="J105" s="981"/>
      <c r="K105" s="981"/>
      <c r="L105" s="982"/>
      <c r="M105" s="982"/>
      <c r="N105" s="982"/>
      <c r="O105" s="981"/>
      <c r="P105" s="981"/>
      <c r="Q105" s="982"/>
      <c r="R105" s="927"/>
    </row>
    <row r="106" spans="1:18" hidden="1" outlineLevel="1" x14ac:dyDescent="0.25">
      <c r="A106" s="927"/>
      <c r="B106" s="982"/>
      <c r="C106" s="982"/>
      <c r="D106" s="982"/>
      <c r="E106" s="981"/>
      <c r="F106" s="981"/>
      <c r="G106" s="982"/>
      <c r="H106" s="982"/>
      <c r="I106" s="982"/>
      <c r="J106" s="981"/>
      <c r="K106" s="981"/>
      <c r="L106" s="982"/>
      <c r="M106" s="982"/>
      <c r="N106" s="982"/>
      <c r="O106" s="981"/>
      <c r="P106" s="981"/>
      <c r="Q106" s="982"/>
      <c r="R106" s="927"/>
    </row>
    <row r="107" spans="1:18" collapsed="1" x14ac:dyDescent="0.25">
      <c r="A107" s="927">
        <f>IF($B$11,1,0)</f>
        <v>1</v>
      </c>
      <c r="B107" s="970" t="b">
        <v>0</v>
      </c>
      <c r="C107" s="971"/>
      <c r="D107" s="940" t="str">
        <f t="shared" ref="D107:D109" si="0">IF(B107, "Количество площадок ","")</f>
        <v/>
      </c>
      <c r="E107" s="2014"/>
      <c r="F107" s="2014"/>
      <c r="G107" s="940" t="str">
        <f>IF(B107, "Кол-во хостов ","")</f>
        <v/>
      </c>
      <c r="H107" s="972"/>
      <c r="I107" s="940" t="str">
        <f>IF(B107, "Домен ","")</f>
        <v/>
      </c>
      <c r="J107" s="2014"/>
      <c r="K107" s="2014"/>
      <c r="L107" s="940"/>
      <c r="M107" s="972"/>
      <c r="N107" s="940"/>
      <c r="O107" s="2014"/>
      <c r="P107" s="2014"/>
      <c r="Q107" s="970" t="str">
        <f>IF(B107,1,"")</f>
        <v/>
      </c>
      <c r="R107" s="927"/>
    </row>
    <row r="108" spans="1:18" x14ac:dyDescent="0.25">
      <c r="A108" s="927">
        <f t="shared" ref="A108:A127" si="1">IF($B$11,1,0)</f>
        <v>1</v>
      </c>
      <c r="B108" s="993" t="b">
        <v>0</v>
      </c>
      <c r="C108" s="994"/>
      <c r="D108" s="938" t="str">
        <f t="shared" si="0"/>
        <v/>
      </c>
      <c r="E108" s="2062"/>
      <c r="F108" s="2062"/>
      <c r="G108" s="938" t="str">
        <f>IF(B108, "Кол-во серверов ПРК ","")</f>
        <v/>
      </c>
      <c r="H108" s="995"/>
      <c r="I108" s="938" t="str">
        <f>IF(B108, "Хосты с агентом","")</f>
        <v/>
      </c>
      <c r="J108" s="2062"/>
      <c r="K108" s="2062"/>
      <c r="L108" s="938"/>
      <c r="M108" s="995"/>
      <c r="N108" s="938"/>
      <c r="O108" s="2062"/>
      <c r="P108" s="2062"/>
      <c r="Q108" s="970" t="str">
        <f t="shared" ref="Q108:Q127" si="2">IF(B108,1,"")</f>
        <v/>
      </c>
      <c r="R108" s="927"/>
    </row>
    <row r="109" spans="1:18" x14ac:dyDescent="0.25">
      <c r="A109" s="927">
        <f t="shared" si="1"/>
        <v>1</v>
      </c>
      <c r="B109" s="970" t="b">
        <v>0</v>
      </c>
      <c r="C109" s="971"/>
      <c r="D109" s="940" t="str">
        <f t="shared" si="0"/>
        <v/>
      </c>
      <c r="E109" s="2014"/>
      <c r="F109" s="2014"/>
      <c r="G109" s="940" t="str">
        <f>IF(B109, "Количество устройств","")</f>
        <v/>
      </c>
      <c r="H109" s="972"/>
      <c r="I109" s="940"/>
      <c r="J109" s="2014"/>
      <c r="K109" s="2014"/>
      <c r="L109" s="940"/>
      <c r="M109" s="972"/>
      <c r="N109" s="940"/>
      <c r="O109" s="2014"/>
      <c r="P109" s="2014"/>
      <c r="Q109" s="970" t="str">
        <f t="shared" si="2"/>
        <v/>
      </c>
      <c r="R109" s="927"/>
    </row>
    <row r="110" spans="1:18" x14ac:dyDescent="0.25">
      <c r="A110" s="927">
        <f t="shared" si="1"/>
        <v>1</v>
      </c>
      <c r="B110" s="970" t="b">
        <v>0</v>
      </c>
      <c r="C110" s="971"/>
      <c r="D110" s="940" t="str">
        <f>IF(B110, "Количество площадок ","")</f>
        <v/>
      </c>
      <c r="E110" s="2014"/>
      <c r="F110" s="2014"/>
      <c r="G110" s="940" t="str">
        <f>IF(B110, "Количество компонентов","")</f>
        <v/>
      </c>
      <c r="H110" s="972"/>
      <c r="I110" s="940" t="str">
        <f>IF(B110, "Кол-во защищ. серверов","")</f>
        <v/>
      </c>
      <c r="J110" s="2014"/>
      <c r="K110" s="2014"/>
      <c r="L110" s="940"/>
      <c r="M110" s="972"/>
      <c r="N110" s="940"/>
      <c r="O110" s="2014"/>
      <c r="P110" s="2014"/>
      <c r="Q110" s="970" t="str">
        <f t="shared" si="2"/>
        <v/>
      </c>
      <c r="R110" s="927"/>
    </row>
    <row r="111" spans="1:18" x14ac:dyDescent="0.25">
      <c r="A111" s="927">
        <f t="shared" si="1"/>
        <v>1</v>
      </c>
      <c r="B111" s="970" t="b">
        <v>0</v>
      </c>
      <c r="C111" s="971"/>
      <c r="D111" s="940" t="str">
        <f>IF(B111, "Количество площадок ","")</f>
        <v/>
      </c>
      <c r="E111" s="2014"/>
      <c r="F111" s="2014"/>
      <c r="G111" s="940" t="str">
        <f>IF(B111, "Количество хостов","")</f>
        <v/>
      </c>
      <c r="H111" s="972"/>
      <c r="I111" s="940"/>
      <c r="J111" s="2014"/>
      <c r="K111" s="2014"/>
      <c r="L111" s="940"/>
      <c r="M111" s="972"/>
      <c r="N111" s="940"/>
      <c r="O111" s="2014"/>
      <c r="P111" s="2014"/>
      <c r="Q111" s="970" t="str">
        <f t="shared" si="2"/>
        <v/>
      </c>
      <c r="R111" s="927"/>
    </row>
    <row r="112" spans="1:18" x14ac:dyDescent="0.25">
      <c r="A112" s="927">
        <f t="shared" si="1"/>
        <v>1</v>
      </c>
      <c r="B112" s="970" t="b">
        <v>0</v>
      </c>
      <c r="C112" s="971"/>
      <c r="D112" s="940" t="str">
        <f>IF(B112, "Количество площадок ","")</f>
        <v/>
      </c>
      <c r="E112" s="2014"/>
      <c r="F112" s="2014"/>
      <c r="G112" s="940" t="str">
        <f>IF(B112, "Количество хостов","")</f>
        <v/>
      </c>
      <c r="H112" s="972"/>
      <c r="I112" s="940"/>
      <c r="J112" s="2014"/>
      <c r="K112" s="2014"/>
      <c r="L112" s="940"/>
      <c r="M112" s="972"/>
      <c r="N112" s="940"/>
      <c r="O112" s="2014"/>
      <c r="P112" s="2014"/>
      <c r="Q112" s="970" t="str">
        <f t="shared" si="2"/>
        <v/>
      </c>
      <c r="R112" s="927"/>
    </row>
    <row r="113" spans="1:18" x14ac:dyDescent="0.25">
      <c r="A113" s="927">
        <f t="shared" si="1"/>
        <v>1</v>
      </c>
      <c r="B113" s="970" t="b">
        <v>0</v>
      </c>
      <c r="C113" s="970"/>
      <c r="D113" s="940" t="str">
        <f>IF(B113, "Количество AiО","")</f>
        <v/>
      </c>
      <c r="E113" s="2014"/>
      <c r="F113" s="2014"/>
      <c r="G113" s="940" t="str">
        <f>IF(B113, "Количество хостов ядра","")</f>
        <v/>
      </c>
      <c r="H113" s="972"/>
      <c r="I113" s="940" t="str">
        <f>IF(B113, "Количество коллекторов","")</f>
        <v/>
      </c>
      <c r="J113" s="2014"/>
      <c r="K113" s="2014"/>
      <c r="L113" s="940" t="str">
        <f>IF(B113, "Количество корреляторов","")</f>
        <v/>
      </c>
      <c r="M113" s="972"/>
      <c r="N113" s="940" t="str">
        <f>IF(B113, "Количество источников","")</f>
        <v/>
      </c>
      <c r="O113" s="2014"/>
      <c r="P113" s="2014"/>
      <c r="Q113" s="970" t="str">
        <f t="shared" si="2"/>
        <v/>
      </c>
      <c r="R113" s="927"/>
    </row>
    <row r="114" spans="1:18" ht="28.9" customHeight="1" collapsed="1" x14ac:dyDescent="0.25">
      <c r="A114" s="927">
        <f t="shared" si="1"/>
        <v>1</v>
      </c>
      <c r="B114" s="970" t="b">
        <v>0</v>
      </c>
      <c r="C114" s="970"/>
      <c r="D114" s="987" t="str">
        <f>IF(B114, "Количество серверов\сенсеров","")</f>
        <v/>
      </c>
      <c r="E114" s="2014"/>
      <c r="F114" s="2014"/>
      <c r="G114" s="987" t="str">
        <f>IF(B114, "Количество агрегаторов трафика","")</f>
        <v/>
      </c>
      <c r="H114" s="972"/>
      <c r="I114" s="987" t="str">
        <f>IF(B114, "Количество брокеров сетевых пакетов","")</f>
        <v/>
      </c>
      <c r="J114" s="2014"/>
      <c r="K114" s="2014"/>
      <c r="L114" s="987" t="str">
        <f>IF(B114, "Количество точек мониторинга","")</f>
        <v/>
      </c>
      <c r="M114" s="972"/>
      <c r="N114" s="987" t="str">
        <f>IF(B114, "Количество узлов в защищаемых сегментах","")</f>
        <v/>
      </c>
      <c r="O114" s="2014"/>
      <c r="P114" s="2014"/>
      <c r="Q114" s="970" t="str">
        <f t="shared" si="2"/>
        <v/>
      </c>
      <c r="R114" s="927"/>
    </row>
    <row r="115" spans="1:18" ht="15" hidden="1" customHeight="1" outlineLevel="1" thickBot="1" x14ac:dyDescent="0.3">
      <c r="A115" s="927"/>
      <c r="B115" s="2015" t="s">
        <v>760</v>
      </c>
      <c r="C115" s="2016"/>
      <c r="D115" s="2016"/>
      <c r="E115" s="2016"/>
      <c r="F115" s="2016"/>
      <c r="G115" s="2016"/>
      <c r="H115" s="2016"/>
      <c r="I115" s="2016"/>
      <c r="J115" s="2016"/>
      <c r="K115" s="2016"/>
      <c r="L115" s="2016"/>
      <c r="M115" s="2016"/>
      <c r="N115" s="2016"/>
      <c r="O115" s="2016"/>
      <c r="P115" s="2016"/>
      <c r="Q115" s="2017"/>
      <c r="R115" s="927"/>
    </row>
    <row r="116" spans="1:18" ht="3.6" hidden="1" customHeight="1" outlineLevel="1" thickTop="1" x14ac:dyDescent="0.25">
      <c r="A116" s="927"/>
      <c r="B116" s="1000"/>
      <c r="C116" s="1000"/>
      <c r="D116" s="1000"/>
      <c r="E116" s="1000"/>
      <c r="F116" s="1000"/>
      <c r="G116" s="1000"/>
      <c r="H116" s="1000"/>
      <c r="I116" s="1000"/>
      <c r="J116" s="1000"/>
      <c r="K116" s="1000"/>
      <c r="L116" s="1000"/>
      <c r="M116" s="1000"/>
      <c r="N116" s="1000"/>
      <c r="O116" s="1000"/>
      <c r="P116" s="1000"/>
      <c r="Q116" s="1000"/>
      <c r="R116" s="927"/>
    </row>
    <row r="117" spans="1:18" ht="15" hidden="1" customHeight="1" outlineLevel="1" thickBot="1" x14ac:dyDescent="0.3">
      <c r="A117" s="927"/>
      <c r="B117" s="2018" t="s">
        <v>761</v>
      </c>
      <c r="C117" s="2019"/>
      <c r="D117" s="2019"/>
      <c r="E117" s="2019"/>
      <c r="F117" s="2019"/>
      <c r="G117" s="2019"/>
      <c r="H117" s="2019"/>
      <c r="I117" s="2019"/>
      <c r="J117" s="2019"/>
      <c r="K117" s="2019"/>
      <c r="L117" s="2019"/>
      <c r="M117" s="2019"/>
      <c r="N117" s="2019"/>
      <c r="O117" s="2019"/>
      <c r="P117" s="2019"/>
      <c r="Q117" s="2020"/>
      <c r="R117" s="927"/>
    </row>
    <row r="118" spans="1:18" ht="30.6" hidden="1" customHeight="1" outlineLevel="1" x14ac:dyDescent="0.25">
      <c r="A118" s="927"/>
      <c r="B118" s="2069" t="s">
        <v>762</v>
      </c>
      <c r="C118" s="2070"/>
      <c r="D118" s="1001" t="s">
        <v>106</v>
      </c>
      <c r="E118" s="2068"/>
      <c r="F118" s="2068"/>
      <c r="G118" s="1002"/>
      <c r="H118" s="1003"/>
      <c r="I118" s="1002"/>
      <c r="J118" s="2068"/>
      <c r="K118" s="2068"/>
      <c r="L118" s="1002"/>
      <c r="M118" s="1003"/>
      <c r="N118" s="1002"/>
      <c r="O118" s="2068"/>
      <c r="P118" s="2068"/>
      <c r="Q118" s="1004"/>
      <c r="R118" s="927"/>
    </row>
    <row r="119" spans="1:18" ht="15" hidden="1" customHeight="1" outlineLevel="1" x14ac:dyDescent="0.25">
      <c r="A119" s="927"/>
      <c r="B119" s="2066" t="s">
        <v>763</v>
      </c>
      <c r="C119" s="2067"/>
      <c r="D119" s="1005" t="s">
        <v>106</v>
      </c>
      <c r="E119" s="2068"/>
      <c r="F119" s="2068"/>
      <c r="G119" s="1002"/>
      <c r="H119" s="1003"/>
      <c r="I119" s="1002"/>
      <c r="J119" s="2068"/>
      <c r="K119" s="2068"/>
      <c r="L119" s="1002"/>
      <c r="M119" s="1003"/>
      <c r="N119" s="1002"/>
      <c r="O119" s="2068"/>
      <c r="P119" s="2068"/>
      <c r="Q119" s="1004"/>
      <c r="R119" s="927"/>
    </row>
    <row r="120" spans="1:18" ht="15" hidden="1" customHeight="1" outlineLevel="1" x14ac:dyDescent="0.25">
      <c r="A120" s="927"/>
      <c r="B120" s="2066" t="s">
        <v>764</v>
      </c>
      <c r="C120" s="2067"/>
      <c r="D120" s="1005" t="s">
        <v>106</v>
      </c>
      <c r="E120" s="2068"/>
      <c r="F120" s="2068"/>
      <c r="G120" s="1002"/>
      <c r="H120" s="1003"/>
      <c r="I120" s="1002"/>
      <c r="J120" s="2068"/>
      <c r="K120" s="2068"/>
      <c r="L120" s="1002"/>
      <c r="M120" s="1003"/>
      <c r="N120" s="1002"/>
      <c r="O120" s="2068"/>
      <c r="P120" s="2068"/>
      <c r="Q120" s="1004"/>
      <c r="R120" s="927"/>
    </row>
    <row r="121" spans="1:18" ht="15" hidden="1" customHeight="1" outlineLevel="1" x14ac:dyDescent="0.25">
      <c r="A121" s="927"/>
      <c r="B121" s="2066" t="s">
        <v>765</v>
      </c>
      <c r="C121" s="2067"/>
      <c r="D121" s="1005"/>
      <c r="E121" s="2068"/>
      <c r="F121" s="2068"/>
      <c r="G121" s="1002"/>
      <c r="H121" s="1003"/>
      <c r="I121" s="1002"/>
      <c r="J121" s="2068"/>
      <c r="K121" s="2068"/>
      <c r="L121" s="1002"/>
      <c r="M121" s="1003"/>
      <c r="N121" s="1002"/>
      <c r="O121" s="2068"/>
      <c r="P121" s="2068"/>
      <c r="Q121" s="1004"/>
      <c r="R121" s="927"/>
    </row>
    <row r="122" spans="1:18" ht="36.6" hidden="1" customHeight="1" outlineLevel="1" x14ac:dyDescent="0.25">
      <c r="A122" s="927"/>
      <c r="B122" s="2073" t="s">
        <v>766</v>
      </c>
      <c r="C122" s="2074"/>
      <c r="D122" s="1006"/>
      <c r="E122" s="2068"/>
      <c r="F122" s="2068"/>
      <c r="G122" s="1002"/>
      <c r="H122" s="1003"/>
      <c r="I122" s="1002"/>
      <c r="J122" s="2068"/>
      <c r="K122" s="2068"/>
      <c r="L122" s="1002"/>
      <c r="M122" s="1003"/>
      <c r="N122" s="1002"/>
      <c r="O122" s="2068"/>
      <c r="P122" s="2068"/>
      <c r="Q122" s="1004"/>
      <c r="R122" s="927"/>
    </row>
    <row r="123" spans="1:18" ht="15" hidden="1" customHeight="1" outlineLevel="1" x14ac:dyDescent="0.25">
      <c r="A123" s="927"/>
      <c r="B123" s="2066" t="s">
        <v>767</v>
      </c>
      <c r="C123" s="2067"/>
      <c r="D123" s="1005" t="s">
        <v>106</v>
      </c>
      <c r="E123" s="2068"/>
      <c r="F123" s="2068"/>
      <c r="G123" s="1002"/>
      <c r="H123" s="1003"/>
      <c r="I123" s="1002"/>
      <c r="J123" s="2068"/>
      <c r="K123" s="2068"/>
      <c r="L123" s="1002"/>
      <c r="M123" s="1003"/>
      <c r="N123" s="1002"/>
      <c r="O123" s="2068"/>
      <c r="P123" s="2068"/>
      <c r="Q123" s="1004"/>
      <c r="R123" s="927"/>
    </row>
    <row r="124" spans="1:18" ht="15" hidden="1" customHeight="1" outlineLevel="1" thickBot="1" x14ac:dyDescent="0.3">
      <c r="A124" s="927"/>
      <c r="B124" s="2071" t="s">
        <v>753</v>
      </c>
      <c r="C124" s="2072"/>
      <c r="D124" s="1007" t="s">
        <v>106</v>
      </c>
      <c r="E124" s="2068"/>
      <c r="F124" s="2068"/>
      <c r="G124" s="1002"/>
      <c r="H124" s="1003"/>
      <c r="I124" s="1002"/>
      <c r="J124" s="2068"/>
      <c r="K124" s="2068"/>
      <c r="L124" s="1002"/>
      <c r="M124" s="1003"/>
      <c r="N124" s="1002"/>
      <c r="O124" s="2068"/>
      <c r="P124" s="2068"/>
      <c r="Q124" s="1004"/>
      <c r="R124" s="927"/>
    </row>
    <row r="125" spans="1:18" ht="4.1500000000000004" hidden="1" customHeight="1" outlineLevel="1" x14ac:dyDescent="0.25">
      <c r="A125" s="927"/>
      <c r="B125" s="1008"/>
      <c r="C125" s="1008"/>
      <c r="D125" s="1009"/>
      <c r="E125" s="2076"/>
      <c r="F125" s="2077"/>
      <c r="G125" s="1009"/>
      <c r="H125" s="1010"/>
      <c r="I125" s="1009"/>
      <c r="J125" s="2076"/>
      <c r="K125" s="2077"/>
      <c r="L125" s="1009"/>
      <c r="M125" s="1010"/>
      <c r="N125" s="1009"/>
      <c r="O125" s="2076"/>
      <c r="P125" s="2077"/>
      <c r="Q125" s="1008"/>
      <c r="R125" s="927"/>
    </row>
    <row r="126" spans="1:18" ht="13.9" customHeight="1" collapsed="1" x14ac:dyDescent="0.25">
      <c r="A126" s="927">
        <f t="shared" si="1"/>
        <v>1</v>
      </c>
      <c r="B126" s="970" t="b">
        <v>0</v>
      </c>
      <c r="C126" s="970"/>
      <c r="D126" s="940" t="str">
        <f>IF(B126, "Количество площадок ","")</f>
        <v/>
      </c>
      <c r="E126" s="2014"/>
      <c r="F126" s="2014"/>
      <c r="G126" s="940" t="str">
        <f>IF(B126, "Количество хостов","")</f>
        <v/>
      </c>
      <c r="H126" s="972"/>
      <c r="I126" s="940"/>
      <c r="J126" s="2014"/>
      <c r="K126" s="2014"/>
      <c r="L126" s="940"/>
      <c r="M126" s="972"/>
      <c r="N126" s="940"/>
      <c r="O126" s="2014"/>
      <c r="P126" s="2014"/>
      <c r="Q126" s="970" t="str">
        <f t="shared" si="2"/>
        <v/>
      </c>
      <c r="R126" s="927"/>
    </row>
    <row r="127" spans="1:18" ht="30.6" customHeight="1" collapsed="1" x14ac:dyDescent="0.25">
      <c r="A127" s="927">
        <f t="shared" si="1"/>
        <v>1</v>
      </c>
      <c r="B127" s="1011" t="b">
        <v>0</v>
      </c>
      <c r="C127" s="970"/>
      <c r="D127" s="987" t="str">
        <f>IF(B127, "Количество серверов\сенсеров","")</f>
        <v/>
      </c>
      <c r="E127" s="2075"/>
      <c r="F127" s="2075"/>
      <c r="G127" s="987" t="str">
        <f>IF(B127, "Количество агрегаторов трафика","")</f>
        <v/>
      </c>
      <c r="H127" s="988"/>
      <c r="I127" s="987" t="str">
        <f>IF(B127, "Количество брокеров сетевых пакетов","")</f>
        <v/>
      </c>
      <c r="J127" s="2075"/>
      <c r="K127" s="2075"/>
      <c r="L127" s="987" t="str">
        <f>IF(B127, "Количество точек мониторинга","")</f>
        <v/>
      </c>
      <c r="M127" s="988"/>
      <c r="N127" s="987" t="str">
        <f>IF(B127, "Количество узлов в защищаемых сегментах","")</f>
        <v/>
      </c>
      <c r="O127" s="2075"/>
      <c r="P127" s="2075"/>
      <c r="Q127" s="970" t="str">
        <f t="shared" si="2"/>
        <v/>
      </c>
      <c r="R127" s="927"/>
    </row>
    <row r="128" spans="1:18" ht="19.5" hidden="1" outlineLevel="1" thickBot="1" x14ac:dyDescent="0.3">
      <c r="A128" s="927"/>
      <c r="B128" s="2015" t="s">
        <v>768</v>
      </c>
      <c r="C128" s="2016"/>
      <c r="D128" s="2016"/>
      <c r="E128" s="2016"/>
      <c r="F128" s="2016"/>
      <c r="G128" s="2016"/>
      <c r="H128" s="2016"/>
      <c r="I128" s="2016"/>
      <c r="J128" s="2016"/>
      <c r="K128" s="2016"/>
      <c r="L128" s="2016"/>
      <c r="M128" s="2016"/>
      <c r="N128" s="2016"/>
      <c r="O128" s="2016"/>
      <c r="P128" s="2016"/>
      <c r="Q128" s="2017"/>
      <c r="R128" s="927"/>
    </row>
    <row r="129" spans="1:18" ht="3" hidden="1" customHeight="1" outlineLevel="1" thickTop="1" x14ac:dyDescent="0.25">
      <c r="A129" s="927"/>
      <c r="B129" s="1000"/>
      <c r="C129" s="1000"/>
      <c r="D129" s="1000"/>
      <c r="E129" s="1000"/>
      <c r="F129" s="1000"/>
      <c r="G129" s="1000"/>
      <c r="H129" s="1000"/>
      <c r="I129" s="1000"/>
      <c r="J129" s="1000"/>
      <c r="K129" s="1000"/>
      <c r="L129" s="1000"/>
      <c r="M129" s="1000"/>
      <c r="N129" s="1000"/>
      <c r="O129" s="1000"/>
      <c r="P129" s="1000"/>
      <c r="Q129" s="1000"/>
      <c r="R129" s="927"/>
    </row>
    <row r="130" spans="1:18" hidden="1" outlineLevel="1" x14ac:dyDescent="0.25">
      <c r="A130" s="927"/>
      <c r="B130" s="2018" t="s">
        <v>761</v>
      </c>
      <c r="C130" s="2019"/>
      <c r="D130" s="2019"/>
      <c r="E130" s="2019"/>
      <c r="F130" s="2019"/>
      <c r="G130" s="2019"/>
      <c r="H130" s="2019"/>
      <c r="I130" s="2019"/>
      <c r="J130" s="2019"/>
      <c r="K130" s="2019"/>
      <c r="L130" s="2019"/>
      <c r="M130" s="2019"/>
      <c r="N130" s="2019"/>
      <c r="O130" s="2019"/>
      <c r="P130" s="2019"/>
      <c r="Q130" s="2020"/>
      <c r="R130" s="927"/>
    </row>
    <row r="131" spans="1:18" ht="28.9" hidden="1" customHeight="1" outlineLevel="1" x14ac:dyDescent="0.25">
      <c r="A131" s="927"/>
      <c r="B131" s="2060" t="s">
        <v>762</v>
      </c>
      <c r="C131" s="2061"/>
      <c r="D131" s="999" t="s">
        <v>106</v>
      </c>
      <c r="E131" s="981"/>
      <c r="F131" s="981"/>
      <c r="G131" s="982"/>
      <c r="H131" s="982"/>
      <c r="I131" s="982"/>
      <c r="J131" s="981"/>
      <c r="K131" s="981"/>
      <c r="L131" s="982"/>
      <c r="M131" s="982"/>
      <c r="N131" s="982"/>
      <c r="O131" s="981"/>
      <c r="P131" s="981"/>
      <c r="Q131" s="982"/>
      <c r="R131" s="927"/>
    </row>
    <row r="132" spans="1:18" ht="18.75" hidden="1" outlineLevel="1" x14ac:dyDescent="0.25">
      <c r="A132" s="927"/>
      <c r="B132" s="2059" t="s">
        <v>763</v>
      </c>
      <c r="C132" s="2055"/>
      <c r="D132" s="999" t="s">
        <v>106</v>
      </c>
      <c r="E132" s="1012"/>
      <c r="F132" s="1012"/>
      <c r="G132" s="1012"/>
      <c r="H132" s="1012"/>
      <c r="I132" s="1012"/>
      <c r="J132" s="1012"/>
      <c r="K132" s="1012"/>
      <c r="L132" s="1012"/>
      <c r="M132" s="1012"/>
      <c r="N132" s="1012"/>
      <c r="O132" s="1012"/>
      <c r="P132" s="1012"/>
      <c r="Q132" s="1012"/>
      <c r="R132" s="927"/>
    </row>
    <row r="133" spans="1:18" ht="18.75" hidden="1" outlineLevel="1" x14ac:dyDescent="0.25">
      <c r="A133" s="927"/>
      <c r="B133" s="2059" t="s">
        <v>764</v>
      </c>
      <c r="C133" s="2055"/>
      <c r="D133" s="999" t="s">
        <v>106</v>
      </c>
      <c r="E133" s="1012"/>
      <c r="F133" s="1012"/>
      <c r="G133" s="1012"/>
      <c r="H133" s="1012"/>
      <c r="I133" s="1012"/>
      <c r="J133" s="1012"/>
      <c r="K133" s="1012"/>
      <c r="L133" s="1012"/>
      <c r="M133" s="1012"/>
      <c r="N133" s="1012"/>
      <c r="O133" s="1012"/>
      <c r="P133" s="1012"/>
      <c r="Q133" s="1012"/>
      <c r="R133" s="927"/>
    </row>
    <row r="134" spans="1:18" ht="30.6" hidden="1" customHeight="1" outlineLevel="1" x14ac:dyDescent="0.25">
      <c r="A134" s="927"/>
      <c r="B134" s="2060" t="s">
        <v>765</v>
      </c>
      <c r="C134" s="2061"/>
      <c r="D134" s="999"/>
      <c r="E134" s="1012"/>
      <c r="F134" s="1012"/>
      <c r="G134" s="1012"/>
      <c r="H134" s="1012"/>
      <c r="I134" s="1012"/>
      <c r="J134" s="1012"/>
      <c r="K134" s="1012"/>
      <c r="L134" s="1012"/>
      <c r="M134" s="1012"/>
      <c r="N134" s="1012"/>
      <c r="O134" s="1012"/>
      <c r="P134" s="1012"/>
      <c r="Q134" s="1012"/>
      <c r="R134" s="927"/>
    </row>
    <row r="135" spans="1:18" ht="27.6" hidden="1" customHeight="1" outlineLevel="1" x14ac:dyDescent="0.25">
      <c r="A135" s="927"/>
      <c r="B135" s="2060" t="s">
        <v>766</v>
      </c>
      <c r="C135" s="2061"/>
      <c r="D135" s="999"/>
      <c r="E135" s="1012"/>
      <c r="F135" s="1012"/>
      <c r="G135" s="1012"/>
      <c r="H135" s="1012"/>
      <c r="I135" s="1012"/>
      <c r="J135" s="1012"/>
      <c r="K135" s="1012"/>
      <c r="L135" s="1012"/>
      <c r="M135" s="1012"/>
      <c r="N135" s="1012"/>
      <c r="O135" s="1012"/>
      <c r="P135" s="1012"/>
      <c r="Q135" s="1012"/>
      <c r="R135" s="927"/>
    </row>
    <row r="136" spans="1:18" ht="31.9" hidden="1" customHeight="1" outlineLevel="1" x14ac:dyDescent="0.25">
      <c r="A136" s="927"/>
      <c r="B136" s="2060" t="s">
        <v>753</v>
      </c>
      <c r="C136" s="2061"/>
      <c r="D136" s="999" t="s">
        <v>106</v>
      </c>
      <c r="E136" s="1012"/>
      <c r="F136" s="1012"/>
      <c r="G136" s="1012"/>
      <c r="H136" s="1012"/>
      <c r="I136" s="1012"/>
      <c r="J136" s="1012"/>
      <c r="K136" s="1012"/>
      <c r="L136" s="1012"/>
      <c r="M136" s="1012"/>
      <c r="N136" s="1012"/>
      <c r="O136" s="1012"/>
      <c r="P136" s="1012"/>
      <c r="Q136" s="1012"/>
      <c r="R136" s="927"/>
    </row>
    <row r="137" spans="1:18" ht="2.4500000000000002" hidden="1" customHeight="1" outlineLevel="1" x14ac:dyDescent="0.25">
      <c r="A137" s="927"/>
      <c r="B137" s="1012"/>
      <c r="C137" s="1012"/>
      <c r="D137" s="1012"/>
      <c r="E137" s="1012"/>
      <c r="F137" s="1012"/>
      <c r="G137" s="1012"/>
      <c r="H137" s="1012"/>
      <c r="I137" s="1012"/>
      <c r="J137" s="1012"/>
      <c r="K137" s="1012"/>
      <c r="L137" s="1012"/>
      <c r="M137" s="1012"/>
      <c r="N137" s="1012"/>
      <c r="O137" s="1012"/>
      <c r="P137" s="1012"/>
      <c r="Q137" s="1012"/>
      <c r="R137" s="927"/>
    </row>
    <row r="138" spans="1:18" collapsed="1" x14ac:dyDescent="0.25">
      <c r="A138" s="927">
        <f>IF($B$11,1,0)</f>
        <v>1</v>
      </c>
      <c r="B138" s="970" t="b">
        <v>0</v>
      </c>
      <c r="C138" s="970"/>
      <c r="D138" s="940" t="str">
        <f>IF(B138, "Количество площадок ","")</f>
        <v/>
      </c>
      <c r="E138" s="2014"/>
      <c r="F138" s="2014"/>
      <c r="G138" s="940" t="str">
        <f>IF(B138, "Количество хостов","")</f>
        <v/>
      </c>
      <c r="H138" s="972"/>
      <c r="I138" s="940"/>
      <c r="J138" s="2014"/>
      <c r="K138" s="2014"/>
      <c r="L138" s="940"/>
      <c r="M138" s="972"/>
      <c r="N138" s="940"/>
      <c r="O138" s="2014"/>
      <c r="P138" s="2014"/>
      <c r="Q138" s="970" t="str">
        <f>IF(B138,1,"")</f>
        <v/>
      </c>
      <c r="R138" s="927"/>
    </row>
    <row r="139" spans="1:18" ht="15.6" customHeight="1" x14ac:dyDescent="0.25">
      <c r="A139" s="927">
        <f t="shared" ref="A139:A164" si="3">IF($B$11,1,0)</f>
        <v>1</v>
      </c>
      <c r="B139" s="970" t="b">
        <v>0</v>
      </c>
      <c r="C139" s="970"/>
      <c r="D139" s="940" t="str">
        <f>IF(B139, "Количество площадок ","")</f>
        <v/>
      </c>
      <c r="E139" s="2014"/>
      <c r="F139" s="2014"/>
      <c r="G139" s="940" t="str">
        <f>IF(B139, "Количество узлов","")</f>
        <v/>
      </c>
      <c r="H139" s="972"/>
      <c r="I139" s="940" t="str">
        <f>IF(B139, "Количество хостов","")</f>
        <v/>
      </c>
      <c r="J139" s="2014"/>
      <c r="K139" s="2014"/>
      <c r="L139" s="940"/>
      <c r="M139" s="972"/>
      <c r="N139" s="940"/>
      <c r="O139" s="2014"/>
      <c r="P139" s="2014"/>
      <c r="Q139" s="970" t="str">
        <f t="shared" ref="Q139:Q164" si="4">IF(B139,1,"")</f>
        <v/>
      </c>
      <c r="R139" s="927"/>
    </row>
    <row r="140" spans="1:18" collapsed="1" x14ac:dyDescent="0.25">
      <c r="A140" s="927">
        <f t="shared" si="3"/>
        <v>1</v>
      </c>
      <c r="B140" s="970" t="b">
        <v>0</v>
      </c>
      <c r="C140" s="970"/>
      <c r="D140" s="940" t="str">
        <f>IF(B140, "Количество площадок ","")</f>
        <v/>
      </c>
      <c r="E140" s="2014"/>
      <c r="F140" s="2014"/>
      <c r="G140" s="940" t="str">
        <f>IF(B140, "Количество диодов","")</f>
        <v/>
      </c>
      <c r="H140" s="972"/>
      <c r="I140" s="940" t="str">
        <f>IF(B140, "Количество кластеров","")</f>
        <v/>
      </c>
      <c r="J140" s="2014"/>
      <c r="K140" s="2014"/>
      <c r="L140" s="940"/>
      <c r="M140" s="972"/>
      <c r="N140" s="940"/>
      <c r="O140" s="2014"/>
      <c r="P140" s="2014"/>
      <c r="Q140" s="970" t="str">
        <f t="shared" si="4"/>
        <v/>
      </c>
      <c r="R140" s="927"/>
    </row>
    <row r="141" spans="1:18" ht="19.5" hidden="1" outlineLevel="1" thickBot="1" x14ac:dyDescent="0.3">
      <c r="A141" s="927"/>
      <c r="B141" s="2015" t="s">
        <v>769</v>
      </c>
      <c r="C141" s="2016"/>
      <c r="D141" s="2016"/>
      <c r="E141" s="2016"/>
      <c r="F141" s="2016"/>
      <c r="G141" s="2016"/>
      <c r="H141" s="2016"/>
      <c r="I141" s="2016"/>
      <c r="J141" s="2016"/>
      <c r="K141" s="2016"/>
      <c r="L141" s="2016"/>
      <c r="M141" s="2016"/>
      <c r="N141" s="2016"/>
      <c r="O141" s="2016"/>
      <c r="P141" s="2016"/>
      <c r="Q141" s="2017"/>
      <c r="R141" s="927"/>
    </row>
    <row r="142" spans="1:18" ht="2.4500000000000002" hidden="1" customHeight="1" outlineLevel="1" thickTop="1" x14ac:dyDescent="0.25">
      <c r="A142" s="927"/>
      <c r="B142" s="1000"/>
      <c r="C142" s="1000"/>
      <c r="D142" s="1000"/>
      <c r="E142" s="1000"/>
      <c r="F142" s="1000"/>
      <c r="G142" s="1000"/>
      <c r="H142" s="1000"/>
      <c r="I142" s="1000"/>
      <c r="J142" s="1000"/>
      <c r="K142" s="1000"/>
      <c r="L142" s="1000"/>
      <c r="M142" s="1000"/>
      <c r="N142" s="1000"/>
      <c r="O142" s="1000"/>
      <c r="P142" s="1000"/>
      <c r="Q142" s="1000"/>
      <c r="R142" s="927"/>
    </row>
    <row r="143" spans="1:18" hidden="1" outlineLevel="1" x14ac:dyDescent="0.25">
      <c r="A143" s="927"/>
      <c r="B143" s="2018" t="s">
        <v>761</v>
      </c>
      <c r="C143" s="2019"/>
      <c r="D143" s="2019"/>
      <c r="E143" s="2019"/>
      <c r="F143" s="2019"/>
      <c r="G143" s="2019"/>
      <c r="H143" s="2019"/>
      <c r="I143" s="2019"/>
      <c r="J143" s="2019"/>
      <c r="K143" s="2019"/>
      <c r="L143" s="2019"/>
      <c r="M143" s="2019"/>
      <c r="N143" s="2019"/>
      <c r="O143" s="2019"/>
      <c r="P143" s="2019"/>
      <c r="Q143" s="2020"/>
      <c r="R143" s="927"/>
    </row>
    <row r="144" spans="1:18" hidden="1" outlineLevel="1" x14ac:dyDescent="0.25">
      <c r="A144" s="927"/>
      <c r="B144" s="2060" t="s">
        <v>770</v>
      </c>
      <c r="C144" s="2061"/>
      <c r="D144" s="999" t="s">
        <v>106</v>
      </c>
      <c r="E144" s="981"/>
      <c r="F144" s="981"/>
      <c r="G144" s="982"/>
      <c r="H144" s="982"/>
      <c r="I144" s="982"/>
      <c r="J144" s="981"/>
      <c r="K144" s="981"/>
      <c r="L144" s="982"/>
      <c r="M144" s="982"/>
      <c r="N144" s="982"/>
      <c r="O144" s="981"/>
      <c r="P144" s="981"/>
      <c r="Q144" s="982"/>
      <c r="R144" s="927"/>
    </row>
    <row r="145" spans="1:18" ht="18.75" hidden="1" outlineLevel="1" x14ac:dyDescent="0.25">
      <c r="A145" s="927"/>
      <c r="B145" s="2059" t="s">
        <v>771</v>
      </c>
      <c r="C145" s="2055"/>
      <c r="D145" s="999" t="s">
        <v>106</v>
      </c>
      <c r="E145" s="1012"/>
      <c r="F145" s="1012"/>
      <c r="G145" s="1012"/>
      <c r="H145" s="1012"/>
      <c r="I145" s="1012"/>
      <c r="J145" s="1012"/>
      <c r="K145" s="1012"/>
      <c r="L145" s="1012"/>
      <c r="M145" s="1012"/>
      <c r="N145" s="1012"/>
      <c r="O145" s="1012"/>
      <c r="P145" s="1012"/>
      <c r="Q145" s="1012"/>
      <c r="R145" s="927"/>
    </row>
    <row r="146" spans="1:18" ht="18.75" hidden="1" outlineLevel="1" x14ac:dyDescent="0.25">
      <c r="A146" s="927"/>
      <c r="B146" s="2059" t="s">
        <v>772</v>
      </c>
      <c r="C146" s="2055"/>
      <c r="D146" s="999"/>
      <c r="E146" s="1012"/>
      <c r="F146" s="1012"/>
      <c r="G146" s="1012"/>
      <c r="H146" s="1012"/>
      <c r="I146" s="1012"/>
      <c r="J146" s="1012"/>
      <c r="K146" s="1012"/>
      <c r="L146" s="1012"/>
      <c r="M146" s="1012"/>
      <c r="N146" s="1012"/>
      <c r="O146" s="1012"/>
      <c r="P146" s="1012"/>
      <c r="Q146" s="1012"/>
      <c r="R146" s="927"/>
    </row>
    <row r="147" spans="1:18" ht="18.75" hidden="1" outlineLevel="1" x14ac:dyDescent="0.25">
      <c r="A147" s="927"/>
      <c r="B147" s="2060" t="s">
        <v>773</v>
      </c>
      <c r="C147" s="2061"/>
      <c r="D147" s="999"/>
      <c r="E147" s="1012"/>
      <c r="F147" s="1012"/>
      <c r="G147" s="1012"/>
      <c r="H147" s="1012"/>
      <c r="I147" s="1012"/>
      <c r="J147" s="1012"/>
      <c r="K147" s="1012"/>
      <c r="L147" s="1012"/>
      <c r="M147" s="1012"/>
      <c r="N147" s="1012"/>
      <c r="O147" s="1012"/>
      <c r="P147" s="1012"/>
      <c r="Q147" s="1012"/>
      <c r="R147" s="927"/>
    </row>
    <row r="148" spans="1:18" ht="32.450000000000003" hidden="1" customHeight="1" outlineLevel="1" x14ac:dyDescent="0.25">
      <c r="A148" s="927"/>
      <c r="B148" s="2060" t="s">
        <v>774</v>
      </c>
      <c r="C148" s="2061"/>
      <c r="D148" s="999"/>
      <c r="E148" s="1012"/>
      <c r="F148" s="1012"/>
      <c r="G148" s="1012"/>
      <c r="H148" s="1012"/>
      <c r="I148" s="1012"/>
      <c r="J148" s="1012"/>
      <c r="K148" s="1012"/>
      <c r="L148" s="1012"/>
      <c r="M148" s="1012"/>
      <c r="N148" s="1012"/>
      <c r="O148" s="1012"/>
      <c r="P148" s="1012"/>
      <c r="Q148" s="1012"/>
      <c r="R148" s="927"/>
    </row>
    <row r="149" spans="1:18" ht="32.450000000000003" hidden="1" customHeight="1" outlineLevel="1" x14ac:dyDescent="0.25">
      <c r="A149" s="927"/>
      <c r="B149" s="2060" t="s">
        <v>775</v>
      </c>
      <c r="C149" s="2061"/>
      <c r="D149" s="999" t="s">
        <v>106</v>
      </c>
      <c r="E149" s="1012"/>
      <c r="F149" s="1012"/>
      <c r="G149" s="1012"/>
      <c r="H149" s="1012"/>
      <c r="I149" s="1012"/>
      <c r="J149" s="1012"/>
      <c r="K149" s="1012"/>
      <c r="L149" s="1012"/>
      <c r="M149" s="1012"/>
      <c r="N149" s="1012"/>
      <c r="O149" s="1012"/>
      <c r="P149" s="1012"/>
      <c r="Q149" s="1012"/>
      <c r="R149" s="927"/>
    </row>
    <row r="150" spans="1:18" ht="18.75" hidden="1" outlineLevel="1" x14ac:dyDescent="0.25">
      <c r="A150" s="927"/>
      <c r="B150" s="2060" t="s">
        <v>776</v>
      </c>
      <c r="C150" s="2061"/>
      <c r="D150" s="999" t="s">
        <v>106</v>
      </c>
      <c r="E150" s="1012"/>
      <c r="F150" s="1012"/>
      <c r="G150" s="1012"/>
      <c r="H150" s="1012"/>
      <c r="I150" s="1012"/>
      <c r="J150" s="1012"/>
      <c r="K150" s="1012"/>
      <c r="L150" s="1012"/>
      <c r="M150" s="1012"/>
      <c r="N150" s="1012"/>
      <c r="O150" s="1012"/>
      <c r="P150" s="1012"/>
      <c r="Q150" s="1012"/>
      <c r="R150" s="927"/>
    </row>
    <row r="151" spans="1:18" ht="6.6" hidden="1" customHeight="1" outlineLevel="1" x14ac:dyDescent="0.25">
      <c r="A151" s="927"/>
      <c r="B151" s="1013"/>
      <c r="C151" s="1013"/>
      <c r="D151" s="1013"/>
      <c r="E151" s="1014"/>
      <c r="F151" s="1014"/>
      <c r="G151" s="1013"/>
      <c r="H151" s="1014"/>
      <c r="I151" s="1013"/>
      <c r="J151" s="1014"/>
      <c r="K151" s="1014"/>
      <c r="L151" s="1013"/>
      <c r="M151" s="1014"/>
      <c r="N151" s="1013"/>
      <c r="O151" s="1014"/>
      <c r="P151" s="1014"/>
      <c r="Q151" s="1013"/>
      <c r="R151" s="927"/>
    </row>
    <row r="152" spans="1:18" x14ac:dyDescent="0.25">
      <c r="A152" s="927">
        <f t="shared" si="3"/>
        <v>1</v>
      </c>
      <c r="B152" s="970" t="b">
        <v>0</v>
      </c>
      <c r="C152" s="970"/>
      <c r="D152" s="940" t="str">
        <f t="shared" ref="D152:D157" si="5">IF(B152, "Количество площадок ","")</f>
        <v/>
      </c>
      <c r="E152" s="2014"/>
      <c r="F152" s="2014"/>
      <c r="G152" s="940" t="str">
        <f>IF(B152, "Количество хостов","")</f>
        <v/>
      </c>
      <c r="H152" s="972"/>
      <c r="I152" s="940" t="str">
        <f>IF(B152, "Количество ВМ","")</f>
        <v/>
      </c>
      <c r="J152" s="2014"/>
      <c r="K152" s="2014"/>
      <c r="L152" s="940"/>
      <c r="M152" s="972"/>
      <c r="N152" s="940"/>
      <c r="O152" s="2014"/>
      <c r="P152" s="2014"/>
      <c r="Q152" s="970" t="str">
        <f t="shared" si="4"/>
        <v/>
      </c>
      <c r="R152" s="927"/>
    </row>
    <row r="153" spans="1:18" x14ac:dyDescent="0.25">
      <c r="A153" s="927">
        <f t="shared" si="3"/>
        <v>1</v>
      </c>
      <c r="B153" s="970" t="b">
        <v>0</v>
      </c>
      <c r="C153" s="970"/>
      <c r="D153" s="940" t="str">
        <f t="shared" si="5"/>
        <v/>
      </c>
      <c r="E153" s="2014"/>
      <c r="F153" s="2014"/>
      <c r="G153" s="940" t="str">
        <f>IF(B153, "Кол-во хостов вирт-ции","")</f>
        <v/>
      </c>
      <c r="H153" s="972"/>
      <c r="I153" s="940" t="str">
        <f>IF(B153, "Количество брокеров","")</f>
        <v/>
      </c>
      <c r="J153" s="2014"/>
      <c r="K153" s="2014"/>
      <c r="L153" s="940" t="str">
        <f>IF(B153, "Количество ВМ","")</f>
        <v/>
      </c>
      <c r="M153" s="972"/>
      <c r="N153" s="940" t="str">
        <f>IF(B153, "Кол-во золотых образов","")</f>
        <v/>
      </c>
      <c r="O153" s="2014"/>
      <c r="P153" s="2014"/>
      <c r="Q153" s="970" t="str">
        <f t="shared" si="4"/>
        <v/>
      </c>
      <c r="R153" s="927"/>
    </row>
    <row r="154" spans="1:18" x14ac:dyDescent="0.25">
      <c r="A154" s="927">
        <f t="shared" si="3"/>
        <v>1</v>
      </c>
      <c r="B154" s="970" t="b">
        <v>0</v>
      </c>
      <c r="C154" s="970"/>
      <c r="D154" s="940" t="str">
        <f t="shared" si="5"/>
        <v/>
      </c>
      <c r="E154" s="2014"/>
      <c r="F154" s="2014"/>
      <c r="G154" s="940" t="str">
        <f t="shared" ref="G154:G159" si="6">IF(B154, "Количество хостов","")</f>
        <v/>
      </c>
      <c r="H154" s="972"/>
      <c r="I154" s="940"/>
      <c r="J154" s="2014"/>
      <c r="K154" s="2014"/>
      <c r="L154" s="940"/>
      <c r="M154" s="972"/>
      <c r="N154" s="940"/>
      <c r="O154" s="2014"/>
      <c r="P154" s="2014"/>
      <c r="Q154" s="970" t="str">
        <f t="shared" si="4"/>
        <v/>
      </c>
      <c r="R154" s="927"/>
    </row>
    <row r="155" spans="1:18" x14ac:dyDescent="0.25">
      <c r="A155" s="927">
        <f t="shared" si="3"/>
        <v>1</v>
      </c>
      <c r="B155" s="970" t="b">
        <v>0</v>
      </c>
      <c r="C155" s="970"/>
      <c r="D155" s="940" t="str">
        <f t="shared" si="5"/>
        <v/>
      </c>
      <c r="E155" s="2014"/>
      <c r="F155" s="2014"/>
      <c r="G155" s="940" t="str">
        <f t="shared" si="6"/>
        <v/>
      </c>
      <c r="H155" s="972"/>
      <c r="I155" s="940" t="str">
        <f>IF(B155, "Количество endpoint","")</f>
        <v/>
      </c>
      <c r="J155" s="2014"/>
      <c r="K155" s="2014"/>
      <c r="L155" s="940"/>
      <c r="M155" s="972"/>
      <c r="N155" s="940"/>
      <c r="O155" s="2014"/>
      <c r="P155" s="2014"/>
      <c r="Q155" s="970" t="str">
        <f t="shared" si="4"/>
        <v/>
      </c>
      <c r="R155" s="927"/>
    </row>
    <row r="156" spans="1:18" x14ac:dyDescent="0.25">
      <c r="A156" s="927">
        <f t="shared" si="3"/>
        <v>1</v>
      </c>
      <c r="B156" s="970" t="b">
        <v>0</v>
      </c>
      <c r="C156" s="970"/>
      <c r="D156" s="940" t="str">
        <f t="shared" si="5"/>
        <v/>
      </c>
      <c r="E156" s="2014"/>
      <c r="F156" s="2014"/>
      <c r="G156" s="940" t="str">
        <f t="shared" si="6"/>
        <v/>
      </c>
      <c r="H156" s="972"/>
      <c r="I156" s="940" t="s">
        <v>1207</v>
      </c>
      <c r="J156" s="2014"/>
      <c r="K156" s="2014"/>
      <c r="L156" s="940"/>
      <c r="M156" s="972"/>
      <c r="N156" s="940"/>
      <c r="O156" s="2014"/>
      <c r="P156" s="2014"/>
      <c r="Q156" s="970" t="str">
        <f t="shared" si="4"/>
        <v/>
      </c>
      <c r="R156" s="927"/>
    </row>
    <row r="157" spans="1:18" x14ac:dyDescent="0.25">
      <c r="A157" s="927">
        <f t="shared" si="3"/>
        <v>1</v>
      </c>
      <c r="B157" s="970" t="b">
        <v>0</v>
      </c>
      <c r="C157" s="970"/>
      <c r="D157" s="940" t="str">
        <f t="shared" si="5"/>
        <v/>
      </c>
      <c r="E157" s="2014"/>
      <c r="F157" s="2014"/>
      <c r="G157" s="940" t="str">
        <f t="shared" si="6"/>
        <v/>
      </c>
      <c r="H157" s="972"/>
      <c r="I157" s="940" t="str">
        <f>IF(B157, "Количество клиентов","")</f>
        <v/>
      </c>
      <c r="J157" s="2014"/>
      <c r="K157" s="2014"/>
      <c r="L157" s="940"/>
      <c r="M157" s="972"/>
      <c r="N157" s="940"/>
      <c r="O157" s="2014"/>
      <c r="P157" s="2014"/>
      <c r="Q157" s="970" t="str">
        <f t="shared" si="4"/>
        <v/>
      </c>
      <c r="R157" s="927"/>
    </row>
    <row r="158" spans="1:18" x14ac:dyDescent="0.25">
      <c r="A158" s="927">
        <f t="shared" si="3"/>
        <v>1</v>
      </c>
      <c r="B158" s="970" t="b">
        <v>0</v>
      </c>
      <c r="C158" s="970"/>
      <c r="D158" s="940" t="str">
        <f t="shared" ref="D158:D160" si="7">IF(B158, "Количество площадок ","")</f>
        <v/>
      </c>
      <c r="E158" s="2014"/>
      <c r="F158" s="2014"/>
      <c r="G158" s="940" t="str">
        <f t="shared" si="6"/>
        <v/>
      </c>
      <c r="H158" s="972"/>
      <c r="I158" s="940" t="str">
        <f>IF(B158, "Количество АСО","")</f>
        <v/>
      </c>
      <c r="J158" s="2014"/>
      <c r="K158" s="2014"/>
      <c r="L158" s="940"/>
      <c r="M158" s="972"/>
      <c r="N158" s="940"/>
      <c r="O158" s="2014"/>
      <c r="P158" s="2014"/>
      <c r="Q158" s="970" t="str">
        <f t="shared" si="4"/>
        <v/>
      </c>
      <c r="R158" s="927"/>
    </row>
    <row r="159" spans="1:18" x14ac:dyDescent="0.25">
      <c r="A159" s="927">
        <f t="shared" si="3"/>
        <v>1</v>
      </c>
      <c r="B159" s="970" t="b">
        <v>0</v>
      </c>
      <c r="C159" s="970"/>
      <c r="D159" s="940" t="str">
        <f>IF(B159, "Количество площадок ","")</f>
        <v/>
      </c>
      <c r="E159" s="2014"/>
      <c r="F159" s="2014"/>
      <c r="G159" s="940" t="str">
        <f t="shared" si="6"/>
        <v/>
      </c>
      <c r="H159" s="972"/>
      <c r="I159" s="940" t="str">
        <f>IF(B159, "Количество endpoint","")</f>
        <v/>
      </c>
      <c r="J159" s="2014"/>
      <c r="K159" s="2014"/>
      <c r="L159" s="940"/>
      <c r="M159" s="972"/>
      <c r="N159" s="940"/>
      <c r="O159" s="2014"/>
      <c r="P159" s="2014"/>
      <c r="Q159" s="970" t="str">
        <f t="shared" si="4"/>
        <v/>
      </c>
      <c r="R159" s="927"/>
    </row>
    <row r="160" spans="1:18" x14ac:dyDescent="0.25">
      <c r="A160" s="927">
        <f t="shared" si="3"/>
        <v>1</v>
      </c>
      <c r="B160" s="1015" t="b">
        <v>0</v>
      </c>
      <c r="C160" s="970"/>
      <c r="D160" s="1016" t="str">
        <f t="shared" si="7"/>
        <v/>
      </c>
      <c r="E160" s="2078"/>
      <c r="F160" s="2079"/>
      <c r="G160" s="987" t="str">
        <f>IF(B160, "Количество СХД","")</f>
        <v/>
      </c>
      <c r="H160" s="988"/>
      <c r="I160" s="940"/>
      <c r="J160" s="2080"/>
      <c r="K160" s="2081"/>
      <c r="L160" s="940"/>
      <c r="M160" s="972"/>
      <c r="N160" s="940"/>
      <c r="O160" s="2080"/>
      <c r="P160" s="2081"/>
      <c r="Q160" s="970" t="str">
        <f t="shared" si="4"/>
        <v/>
      </c>
      <c r="R160" s="927"/>
    </row>
    <row r="161" spans="1:18" x14ac:dyDescent="0.25">
      <c r="A161" s="927">
        <f t="shared" si="3"/>
        <v>1</v>
      </c>
      <c r="B161" s="970" t="b">
        <v>0</v>
      </c>
      <c r="C161" s="970"/>
      <c r="D161" s="940" t="str">
        <f>IF(B161, "Количество площадок ","")</f>
        <v/>
      </c>
      <c r="E161" s="2014"/>
      <c r="F161" s="2014"/>
      <c r="G161" s="940" t="str">
        <f>IF(B161, "Количество серверов","")</f>
        <v/>
      </c>
      <c r="H161" s="972"/>
      <c r="I161" s="940" t="str">
        <f>IF(B161, "Количество сенсеров","")</f>
        <v/>
      </c>
      <c r="J161" s="2014"/>
      <c r="K161" s="2014"/>
      <c r="L161" s="940" t="str">
        <f>IF(B161, "Количество ЗОКИИ","")</f>
        <v/>
      </c>
      <c r="M161" s="972"/>
      <c r="N161" s="940"/>
      <c r="O161" s="2014"/>
      <c r="P161" s="2014"/>
      <c r="Q161" s="970" t="str">
        <f t="shared" si="4"/>
        <v/>
      </c>
      <c r="R161" s="927"/>
    </row>
    <row r="162" spans="1:18" x14ac:dyDescent="0.25">
      <c r="A162" s="927">
        <f t="shared" si="3"/>
        <v>1</v>
      </c>
      <c r="B162" s="970" t="b">
        <v>0</v>
      </c>
      <c r="C162" s="970"/>
      <c r="D162" s="940" t="str">
        <f>IF(B162, "Количество площадок ","")</f>
        <v/>
      </c>
      <c r="E162" s="2014"/>
      <c r="F162" s="2014"/>
      <c r="G162" s="940"/>
      <c r="H162" s="972"/>
      <c r="I162" s="940"/>
      <c r="J162" s="2014"/>
      <c r="K162" s="2014"/>
      <c r="L162" s="940"/>
      <c r="M162" s="972"/>
      <c r="N162" s="940"/>
      <c r="O162" s="2014"/>
      <c r="P162" s="2014"/>
      <c r="Q162" s="970" t="str">
        <f t="shared" si="4"/>
        <v/>
      </c>
      <c r="R162" s="927"/>
    </row>
    <row r="163" spans="1:18" x14ac:dyDescent="0.25">
      <c r="A163" s="927">
        <f t="shared" si="3"/>
        <v>1</v>
      </c>
      <c r="B163" s="970" t="b">
        <v>0</v>
      </c>
      <c r="C163" s="970"/>
      <c r="D163" s="940" t="str">
        <f>IF(B163, "Количество площадок ","")</f>
        <v/>
      </c>
      <c r="E163" s="2014"/>
      <c r="F163" s="2014"/>
      <c r="G163" s="940" t="str">
        <f>IF(B163, "Количество узлов","")</f>
        <v/>
      </c>
      <c r="H163" s="972"/>
      <c r="I163" s="940"/>
      <c r="J163" s="2014"/>
      <c r="K163" s="2014"/>
      <c r="L163" s="940"/>
      <c r="M163" s="972"/>
      <c r="N163" s="940"/>
      <c r="O163" s="2014"/>
      <c r="P163" s="2014"/>
      <c r="Q163" s="970" t="str">
        <f t="shared" si="4"/>
        <v/>
      </c>
      <c r="R163" s="927"/>
    </row>
    <row r="164" spans="1:18" x14ac:dyDescent="0.25">
      <c r="A164" s="927">
        <f t="shared" si="3"/>
        <v>1</v>
      </c>
      <c r="B164" s="970" t="b">
        <v>0</v>
      </c>
      <c r="C164" s="970"/>
      <c r="D164" s="940" t="str">
        <f>IF(B164, "Количество площадок ","")</f>
        <v/>
      </c>
      <c r="E164" s="2014"/>
      <c r="F164" s="2014"/>
      <c r="G164" s="940" t="str">
        <f>IF(B164, "Количество АСО","")</f>
        <v/>
      </c>
      <c r="H164" s="972"/>
      <c r="I164" s="940"/>
      <c r="J164" s="2014"/>
      <c r="K164" s="2014"/>
      <c r="L164" s="940"/>
      <c r="M164" s="972"/>
      <c r="N164" s="940"/>
      <c r="O164" s="2014"/>
      <c r="P164" s="2014"/>
      <c r="Q164" s="970" t="str">
        <f t="shared" si="4"/>
        <v/>
      </c>
      <c r="R164" s="927"/>
    </row>
    <row r="165" spans="1:18" x14ac:dyDescent="0.25">
      <c r="A165" s="927"/>
      <c r="B165" s="927"/>
      <c r="C165" s="927"/>
      <c r="D165" s="927"/>
      <c r="E165" s="927"/>
      <c r="F165" s="927"/>
      <c r="G165" s="927"/>
      <c r="H165" s="927"/>
      <c r="I165" s="927"/>
      <c r="J165" s="927"/>
      <c r="K165" s="927"/>
      <c r="L165" s="927"/>
      <c r="M165" s="927"/>
      <c r="N165" s="927"/>
      <c r="O165" s="927"/>
      <c r="P165" s="927"/>
      <c r="Q165" s="927"/>
      <c r="R165" s="927"/>
    </row>
    <row r="166" spans="1:18" x14ac:dyDescent="0.25">
      <c r="A166" s="927"/>
      <c r="B166" s="927"/>
      <c r="C166" s="927"/>
      <c r="D166" s="927"/>
      <c r="E166" s="927"/>
      <c r="F166" s="927"/>
      <c r="G166" s="927"/>
      <c r="H166" s="927"/>
      <c r="I166" s="927"/>
      <c r="J166" s="927"/>
      <c r="K166" s="927"/>
      <c r="L166" s="927"/>
      <c r="M166" s="927"/>
      <c r="N166" s="927"/>
      <c r="O166" s="927"/>
      <c r="P166" s="927"/>
      <c r="Q166" s="927"/>
      <c r="R166" s="927"/>
    </row>
  </sheetData>
  <mergeCells count="214">
    <mergeCell ref="E163:F163"/>
    <mergeCell ref="J163:K163"/>
    <mergeCell ref="O163:P163"/>
    <mergeCell ref="E164:F164"/>
    <mergeCell ref="J164:K164"/>
    <mergeCell ref="O164:P164"/>
    <mergeCell ref="E161:F161"/>
    <mergeCell ref="J161:K161"/>
    <mergeCell ref="O161:P161"/>
    <mergeCell ref="E162:F162"/>
    <mergeCell ref="J162:K162"/>
    <mergeCell ref="O162:P162"/>
    <mergeCell ref="E159:F159"/>
    <mergeCell ref="J159:K159"/>
    <mergeCell ref="O159:P159"/>
    <mergeCell ref="E160:F160"/>
    <mergeCell ref="J160:K160"/>
    <mergeCell ref="O160:P160"/>
    <mergeCell ref="E157:F157"/>
    <mergeCell ref="J157:K157"/>
    <mergeCell ref="O157:P157"/>
    <mergeCell ref="E158:F158"/>
    <mergeCell ref="J158:K158"/>
    <mergeCell ref="O158:P158"/>
    <mergeCell ref="E155:F155"/>
    <mergeCell ref="J155:K155"/>
    <mergeCell ref="O155:P155"/>
    <mergeCell ref="E156:F156"/>
    <mergeCell ref="J156:K156"/>
    <mergeCell ref="O156:P156"/>
    <mergeCell ref="E153:F153"/>
    <mergeCell ref="J153:K153"/>
    <mergeCell ref="O153:P153"/>
    <mergeCell ref="E154:F154"/>
    <mergeCell ref="J154:K154"/>
    <mergeCell ref="O154:P154"/>
    <mergeCell ref="B148:C148"/>
    <mergeCell ref="B149:C149"/>
    <mergeCell ref="B150:C150"/>
    <mergeCell ref="E152:F152"/>
    <mergeCell ref="J152:K152"/>
    <mergeCell ref="O152:P152"/>
    <mergeCell ref="B141:Q141"/>
    <mergeCell ref="B143:Q143"/>
    <mergeCell ref="B144:C144"/>
    <mergeCell ref="B145:C145"/>
    <mergeCell ref="B146:C146"/>
    <mergeCell ref="B147:C147"/>
    <mergeCell ref="J138:K138"/>
    <mergeCell ref="O138:P138"/>
    <mergeCell ref="E139:F139"/>
    <mergeCell ref="J139:K139"/>
    <mergeCell ref="O139:P139"/>
    <mergeCell ref="E140:F140"/>
    <mergeCell ref="J140:K140"/>
    <mergeCell ref="O140:P140"/>
    <mergeCell ref="B132:C132"/>
    <mergeCell ref="B133:C133"/>
    <mergeCell ref="B134:C134"/>
    <mergeCell ref="B135:C135"/>
    <mergeCell ref="B136:C136"/>
    <mergeCell ref="E138:F138"/>
    <mergeCell ref="E127:F127"/>
    <mergeCell ref="J127:K127"/>
    <mergeCell ref="O127:P127"/>
    <mergeCell ref="B128:Q128"/>
    <mergeCell ref="B130:Q130"/>
    <mergeCell ref="B131:C131"/>
    <mergeCell ref="E125:F125"/>
    <mergeCell ref="J125:K125"/>
    <mergeCell ref="O125:P125"/>
    <mergeCell ref="E126:F126"/>
    <mergeCell ref="J126:K126"/>
    <mergeCell ref="O126:P126"/>
    <mergeCell ref="B123:C123"/>
    <mergeCell ref="E123:F123"/>
    <mergeCell ref="J123:K123"/>
    <mergeCell ref="O123:P123"/>
    <mergeCell ref="B124:C124"/>
    <mergeCell ref="E124:F124"/>
    <mergeCell ref="J124:K124"/>
    <mergeCell ref="O124:P124"/>
    <mergeCell ref="B121:C121"/>
    <mergeCell ref="E121:F121"/>
    <mergeCell ref="J121:K121"/>
    <mergeCell ref="O121:P121"/>
    <mergeCell ref="B122:C122"/>
    <mergeCell ref="E122:F122"/>
    <mergeCell ref="J122:K122"/>
    <mergeCell ref="O122:P122"/>
    <mergeCell ref="B119:C119"/>
    <mergeCell ref="E119:F119"/>
    <mergeCell ref="J119:K119"/>
    <mergeCell ref="O119:P119"/>
    <mergeCell ref="B120:C120"/>
    <mergeCell ref="E120:F120"/>
    <mergeCell ref="J120:K120"/>
    <mergeCell ref="O120:P120"/>
    <mergeCell ref="B115:Q115"/>
    <mergeCell ref="B117:Q117"/>
    <mergeCell ref="B118:C118"/>
    <mergeCell ref="E118:F118"/>
    <mergeCell ref="J118:K118"/>
    <mergeCell ref="O118:P118"/>
    <mergeCell ref="E113:F113"/>
    <mergeCell ref="J113:K113"/>
    <mergeCell ref="O113:P113"/>
    <mergeCell ref="E114:F114"/>
    <mergeCell ref="J114:K114"/>
    <mergeCell ref="O114:P114"/>
    <mergeCell ref="E111:F111"/>
    <mergeCell ref="J111:K111"/>
    <mergeCell ref="O111:P111"/>
    <mergeCell ref="E112:F112"/>
    <mergeCell ref="J112:K112"/>
    <mergeCell ref="O112:P112"/>
    <mergeCell ref="E109:F109"/>
    <mergeCell ref="J109:K109"/>
    <mergeCell ref="O109:P109"/>
    <mergeCell ref="E110:F110"/>
    <mergeCell ref="J110:K110"/>
    <mergeCell ref="O110:P110"/>
    <mergeCell ref="B104:C104"/>
    <mergeCell ref="B105:C105"/>
    <mergeCell ref="E107:F107"/>
    <mergeCell ref="J107:K107"/>
    <mergeCell ref="O107:P107"/>
    <mergeCell ref="E108:F108"/>
    <mergeCell ref="J108:K108"/>
    <mergeCell ref="O108:P108"/>
    <mergeCell ref="B98:C98"/>
    <mergeCell ref="B99:C99"/>
    <mergeCell ref="B100:C100"/>
    <mergeCell ref="B101:Q101"/>
    <mergeCell ref="B102:C102"/>
    <mergeCell ref="B103:C103"/>
    <mergeCell ref="B91:C91"/>
    <mergeCell ref="B92:C92"/>
    <mergeCell ref="B93:C93"/>
    <mergeCell ref="B95:Q95"/>
    <mergeCell ref="B96:C96"/>
    <mergeCell ref="B97:C97"/>
    <mergeCell ref="B84:Q84"/>
    <mergeCell ref="B86:Q86"/>
    <mergeCell ref="B87:C87"/>
    <mergeCell ref="B88:C88"/>
    <mergeCell ref="B89:Q89"/>
    <mergeCell ref="B90:C90"/>
    <mergeCell ref="B79:Q79"/>
    <mergeCell ref="B80:C80"/>
    <mergeCell ref="E82:F82"/>
    <mergeCell ref="J82:K82"/>
    <mergeCell ref="O82:P82"/>
    <mergeCell ref="E83:F83"/>
    <mergeCell ref="J83:K83"/>
    <mergeCell ref="O83:P83"/>
    <mergeCell ref="E73:F73"/>
    <mergeCell ref="J73:K73"/>
    <mergeCell ref="O73:P73"/>
    <mergeCell ref="B74:Q74"/>
    <mergeCell ref="B76:Q76"/>
    <mergeCell ref="B77:C77"/>
    <mergeCell ref="B70:C70"/>
    <mergeCell ref="B71:C71"/>
    <mergeCell ref="E71:F71"/>
    <mergeCell ref="J71:K71"/>
    <mergeCell ref="O71:P71"/>
    <mergeCell ref="E72:F72"/>
    <mergeCell ref="J72:K72"/>
    <mergeCell ref="O72:P72"/>
    <mergeCell ref="B64:C64"/>
    <mergeCell ref="B65:C65"/>
    <mergeCell ref="B66:C66"/>
    <mergeCell ref="B67:C67"/>
    <mergeCell ref="B68:C68"/>
    <mergeCell ref="B69:C69"/>
    <mergeCell ref="B57:C57"/>
    <mergeCell ref="B58:C58"/>
    <mergeCell ref="B59:C59"/>
    <mergeCell ref="B61:Q61"/>
    <mergeCell ref="B62:C62"/>
    <mergeCell ref="B63:C63"/>
    <mergeCell ref="B50:C50"/>
    <mergeCell ref="B52:Q52"/>
    <mergeCell ref="B53:C53"/>
    <mergeCell ref="B54:C54"/>
    <mergeCell ref="B55:C55"/>
    <mergeCell ref="B56:C56"/>
    <mergeCell ref="B44:C44"/>
    <mergeCell ref="B45:C45"/>
    <mergeCell ref="B46:C46"/>
    <mergeCell ref="B47:C47"/>
    <mergeCell ref="B48:C48"/>
    <mergeCell ref="B49:C49"/>
    <mergeCell ref="B40:Q40"/>
    <mergeCell ref="B42:Q42"/>
    <mergeCell ref="B43:C43"/>
    <mergeCell ref="L8:N13"/>
    <mergeCell ref="L14:N21"/>
    <mergeCell ref="L22:N33"/>
    <mergeCell ref="A36:Q36"/>
    <mergeCell ref="E38:F38"/>
    <mergeCell ref="J38:K38"/>
    <mergeCell ref="O38:P38"/>
    <mergeCell ref="A1:Q1"/>
    <mergeCell ref="C2:D2"/>
    <mergeCell ref="C3:D3"/>
    <mergeCell ref="C4:D4"/>
    <mergeCell ref="B7:D7"/>
    <mergeCell ref="G7:I7"/>
    <mergeCell ref="L7:N7"/>
    <mergeCell ref="E39:F39"/>
    <mergeCell ref="J39:K39"/>
    <mergeCell ref="O39:P39"/>
  </mergeCells>
  <dataValidations disablePrompts="1" count="31">
    <dataValidation type="list" allowBlank="1" showInputMessage="1" showErrorMessage="1" sqref="C111" xr:uid="{00000000-0002-0000-1700-000000000000}">
      <formula1>IF(B111,OV_VM,EMPTY)</formula1>
    </dataValidation>
    <dataValidation type="list" allowBlank="1" showInputMessage="1" showErrorMessage="1" sqref="C3:D3" xr:uid="{00000000-0002-0000-1700-000001000000}">
      <formula1>Speci</formula1>
    </dataValidation>
    <dataValidation type="list" allowBlank="1" showInputMessage="1" showErrorMessage="1" sqref="C138" xr:uid="{00000000-0002-0000-1700-000002000000}">
      <formula1>IF(B138,OV_DCAP,EMPTY)</formula1>
    </dataValidation>
    <dataValidation type="list" allowBlank="1" showInputMessage="1" showErrorMessage="1" sqref="C127" xr:uid="{00000000-0002-0000-1700-000003000000}">
      <formula1>IF(B127,OV_NTA,EMPTY)</formula1>
    </dataValidation>
    <dataValidation type="list" allowBlank="1" showInputMessage="1" showErrorMessage="1" sqref="C126" xr:uid="{00000000-0002-0000-1700-000004000000}">
      <formula1>IF(B126,OV_WAF,EMPTY)</formula1>
    </dataValidation>
    <dataValidation type="list" allowBlank="1" showInputMessage="1" showErrorMessage="1" sqref="C114 C125" xr:uid="{00000000-0002-0000-1700-000005000000}">
      <formula1>IF(B114,OV_IDS\IPS,EMPTY)</formula1>
    </dataValidation>
    <dataValidation type="list" allowBlank="1" showInputMessage="1" showErrorMessage="1" sqref="C161:C164" xr:uid="{00000000-0002-0000-1700-000006000000}">
      <formula1>IF(B161,OV_Config,EMPTY)</formula1>
    </dataValidation>
    <dataValidation type="list" allowBlank="1" showInputMessage="1" showErrorMessage="1" sqref="C160" xr:uid="{00000000-0002-0000-1700-000007000000}">
      <formula1>IF(B160,OV_SHD,EMPTY)</formula1>
    </dataValidation>
    <dataValidation type="list" allowBlank="1" showInputMessage="1" showErrorMessage="1" sqref="C159" xr:uid="{00000000-0002-0000-1700-000008000000}">
      <formula1>IF(B159,OV_EDR,EMPTY)</formula1>
    </dataValidation>
    <dataValidation type="list" allowBlank="1" showInputMessage="1" showErrorMessage="1" sqref="C158" xr:uid="{00000000-0002-0000-1700-000009000000}">
      <formula1>IF(B158,OV_NAC,EMPTY)</formula1>
    </dataValidation>
    <dataValidation type="list" allowBlank="1" showInputMessage="1" showErrorMessage="1" sqref="C157" xr:uid="{00000000-0002-0000-1700-00000A000000}">
      <formula1>IF(B157,OV_TLSH,EMPTY)</formula1>
    </dataValidation>
    <dataValidation type="list" allowBlank="1" showInputMessage="1" showErrorMessage="1" sqref="C156" xr:uid="{00000000-0002-0000-1700-00000B000000}">
      <formula1>IF(B156,OV_SOAR,EMPTY)</formula1>
    </dataValidation>
    <dataValidation type="list" allowBlank="1" showInputMessage="1" showErrorMessage="1" sqref="C155" xr:uid="{00000000-0002-0000-1700-00000C000000}">
      <formula1>IF(B155,OV_APT,EMPTY)</formula1>
    </dataValidation>
    <dataValidation type="list" allowBlank="1" showInputMessage="1" showErrorMessage="1" sqref="C154" xr:uid="{00000000-0002-0000-1700-00000D000000}">
      <formula1>IF(B154,OV_MFA,EMPTY)</formula1>
    </dataValidation>
    <dataValidation type="list" allowBlank="1" showInputMessage="1" showErrorMessage="1" sqref="C153" xr:uid="{00000000-0002-0000-1700-00000E000000}">
      <formula1>IF(B153,OV_VDI,EMPTY)</formula1>
    </dataValidation>
    <dataValidation type="list" allowBlank="1" showInputMessage="1" showErrorMessage="1" sqref="C152" xr:uid="{00000000-0002-0000-1700-00000F000000}">
      <formula1>IF(B152,OV_Sandbox,EMPTY)</formula1>
    </dataValidation>
    <dataValidation type="list" allowBlank="1" showInputMessage="1" showErrorMessage="1" sqref="C140 C151" xr:uid="{00000000-0002-0000-1700-000010000000}">
      <formula1>IF(B140,OV_DIODE,EMPTY)</formula1>
    </dataValidation>
    <dataValidation type="list" allowBlank="1" showInputMessage="1" showErrorMessage="1" sqref="C109" xr:uid="{00000000-0002-0000-1700-000011000000}">
      <formula1>IF(B109,OV_NSD,EMPTY)</formula1>
    </dataValidation>
    <dataValidation type="list" allowBlank="1" showInputMessage="1" showErrorMessage="1" sqref="C139" xr:uid="{00000000-0002-0000-1700-000012000000}">
      <formula1>IF(B139,OV_PUM,EMPTY)</formula1>
    </dataValidation>
    <dataValidation type="list" allowBlank="1" showInputMessage="1" showErrorMessage="1" sqref="C113" xr:uid="{00000000-0002-0000-1700-000013000000}">
      <formula1>IF(B113,OV_SIEM,EMPTY)</formula1>
    </dataValidation>
    <dataValidation type="list" allowBlank="1" showInputMessage="1" showErrorMessage="1" sqref="C112" xr:uid="{00000000-0002-0000-1700-000014000000}">
      <formula1>IF(B112,OV_SOPKA,EMPTY)</formula1>
    </dataValidation>
    <dataValidation type="list" allowBlank="1" showInputMessage="1" showErrorMessage="1" sqref="C110" xr:uid="{00000000-0002-0000-1700-000015000000}">
      <formula1>IF(B110,OV_SZV,EMPTY)</formula1>
    </dataValidation>
    <dataValidation type="list" allowBlank="1" showInputMessage="1" showErrorMessage="1" sqref="C83" xr:uid="{00000000-0002-0000-1700-000016000000}">
      <formula1>IF(B83,OV_SKZI,EMPTY)</formula1>
    </dataValidation>
    <dataValidation type="list" allowBlank="1" showInputMessage="1" showErrorMessage="1" sqref="C82" xr:uid="{00000000-0002-0000-1700-000017000000}">
      <formula1>IF(B82,OV_SEG,EMPTY)</formula1>
    </dataValidation>
    <dataValidation type="list" allowBlank="1" showInputMessage="1" showErrorMessage="1" sqref="C108" xr:uid="{00000000-0002-0000-1700-000018000000}">
      <formula1>IF(B108,OV_RK,EMPTY)</formula1>
    </dataValidation>
    <dataValidation type="list" allowBlank="1" showInputMessage="1" showErrorMessage="1" sqref="C107" xr:uid="{00000000-0002-0000-1700-000019000000}">
      <formula1>IF(B107,OV_AZ,EMPTY)</formula1>
    </dataValidation>
    <dataValidation type="list" allowBlank="1" showInputMessage="1" showErrorMessage="1" sqref="C106 C94" xr:uid="{00000000-0002-0000-1700-00001A000000}">
      <formula1>OV_SKZI</formula1>
    </dataValidation>
    <dataValidation type="list" allowBlank="1" showInputMessage="1" showErrorMessage="1" sqref="C73" xr:uid="{00000000-0002-0000-1700-00001B000000}">
      <formula1>IF(B73,OV_AVZ,EMPTY)</formula1>
    </dataValidation>
    <dataValidation type="list" allowBlank="1" showInputMessage="1" showErrorMessage="1" sqref="D43:D50 D54:D59 D62:D66 D77 D80 D87 D90:D93 D96 D104:D105 J107:K107 D131:D133 D136 D118:D120 D123:D124 D149:D150 D144:D145" xr:uid="{00000000-0002-0000-1700-00001C000000}">
      <formula1>OV_Var</formula1>
    </dataValidation>
    <dataValidation type="list" allowBlank="1" showInputMessage="1" showErrorMessage="1" sqref="C39" xr:uid="{00000000-0002-0000-1700-00001D000000}">
      <formula1>IF(B39,OV_Firewall,EMPTY)</formula1>
    </dataValidation>
    <dataValidation type="list" allowBlank="1" showInputMessage="1" showErrorMessage="1" sqref="H9:H33" xr:uid="{00000000-0002-0000-1700-00001E000000}">
      <formula1>OV_Worker</formula1>
    </dataValidation>
  </dataValidations>
  <pageMargins left="0.7" right="0.7" top="0.75" bottom="0.75" header="0.3" footer="0.3"/>
  <pageSetup paperSize="9" orientation="portrait" r:id="rId1"/>
  <ignoredErrors>
    <ignoredError sqref="G15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46081" r:id="rId4" name="Check Box 1">
              <controlPr defaultSize="0" autoFill="0" autoLine="0" autoPict="0" altText="СМР">
                <anchor moveWithCells="1">
                  <from>
                    <xdr:col>1</xdr:col>
                    <xdr:colOff>38100</xdr:colOff>
                    <xdr:row>9</xdr:row>
                    <xdr:rowOff>161925</xdr:rowOff>
                  </from>
                  <to>
                    <xdr:col>1</xdr:col>
                    <xdr:colOff>1162050</xdr:colOff>
                    <xdr:row>11</xdr:row>
                    <xdr:rowOff>9525</xdr:rowOff>
                  </to>
                </anchor>
              </controlPr>
            </control>
          </mc:Choice>
        </mc:AlternateContent>
        <mc:AlternateContent xmlns:mc="http://schemas.openxmlformats.org/markup-compatibility/2006">
          <mc:Choice Requires="x14">
            <control shapeId="46082" r:id="rId5" name="Check Box 2">
              <controlPr locked="0" defaultSize="0" print="0" autoFill="0" autoLine="0" autoPict="0">
                <anchor moveWithCells="1">
                  <from>
                    <xdr:col>1</xdr:col>
                    <xdr:colOff>28575</xdr:colOff>
                    <xdr:row>38</xdr:row>
                    <xdr:rowOff>38100</xdr:rowOff>
                  </from>
                  <to>
                    <xdr:col>1</xdr:col>
                    <xdr:colOff>1162050</xdr:colOff>
                    <xdr:row>38</xdr:row>
                    <xdr:rowOff>180975</xdr:rowOff>
                  </to>
                </anchor>
              </controlPr>
            </control>
          </mc:Choice>
        </mc:AlternateContent>
        <mc:AlternateContent xmlns:mc="http://schemas.openxmlformats.org/markup-compatibility/2006">
          <mc:Choice Requires="x14">
            <control shapeId="46083" r:id="rId6" name="Check Box 3">
              <controlPr defaultSize="0" autoFill="0" autoLine="0" autoPict="0">
                <anchor moveWithCells="1">
                  <from>
                    <xdr:col>1</xdr:col>
                    <xdr:colOff>28575</xdr:colOff>
                    <xdr:row>72</xdr:row>
                    <xdr:rowOff>38100</xdr:rowOff>
                  </from>
                  <to>
                    <xdr:col>1</xdr:col>
                    <xdr:colOff>1181100</xdr:colOff>
                    <xdr:row>72</xdr:row>
                    <xdr:rowOff>228600</xdr:rowOff>
                  </to>
                </anchor>
              </controlPr>
            </control>
          </mc:Choice>
        </mc:AlternateContent>
        <mc:AlternateContent xmlns:mc="http://schemas.openxmlformats.org/markup-compatibility/2006">
          <mc:Choice Requires="x14">
            <control shapeId="46084" r:id="rId7" name="Check Box 4">
              <controlPr defaultSize="0" autoFill="0" autoLine="0" autoPict="0">
                <anchor moveWithCells="1">
                  <from>
                    <xdr:col>1</xdr:col>
                    <xdr:colOff>28575</xdr:colOff>
                    <xdr:row>82</xdr:row>
                    <xdr:rowOff>38100</xdr:rowOff>
                  </from>
                  <to>
                    <xdr:col>1</xdr:col>
                    <xdr:colOff>1181100</xdr:colOff>
                    <xdr:row>82</xdr:row>
                    <xdr:rowOff>171450</xdr:rowOff>
                  </to>
                </anchor>
              </controlPr>
            </control>
          </mc:Choice>
        </mc:AlternateContent>
        <mc:AlternateContent xmlns:mc="http://schemas.openxmlformats.org/markup-compatibility/2006">
          <mc:Choice Requires="x14">
            <control shapeId="46085" r:id="rId8" name="Check Box 5">
              <controlPr defaultSize="0" autoFill="0" autoLine="0" autoPict="0">
                <anchor moveWithCells="1">
                  <from>
                    <xdr:col>1</xdr:col>
                    <xdr:colOff>28575</xdr:colOff>
                    <xdr:row>106</xdr:row>
                    <xdr:rowOff>47625</xdr:rowOff>
                  </from>
                  <to>
                    <xdr:col>1</xdr:col>
                    <xdr:colOff>1181100</xdr:colOff>
                    <xdr:row>106</xdr:row>
                    <xdr:rowOff>152400</xdr:rowOff>
                  </to>
                </anchor>
              </controlPr>
            </control>
          </mc:Choice>
        </mc:AlternateContent>
        <mc:AlternateContent xmlns:mc="http://schemas.openxmlformats.org/markup-compatibility/2006">
          <mc:Choice Requires="x14">
            <control shapeId="46086" r:id="rId9" name="Check Box 6">
              <controlPr defaultSize="0" autoFill="0" autoLine="0" autoPict="0">
                <anchor moveWithCells="1">
                  <from>
                    <xdr:col>1</xdr:col>
                    <xdr:colOff>28575</xdr:colOff>
                    <xdr:row>107</xdr:row>
                    <xdr:rowOff>38100</xdr:rowOff>
                  </from>
                  <to>
                    <xdr:col>1</xdr:col>
                    <xdr:colOff>1181100</xdr:colOff>
                    <xdr:row>107</xdr:row>
                    <xdr:rowOff>171450</xdr:rowOff>
                  </to>
                </anchor>
              </controlPr>
            </control>
          </mc:Choice>
        </mc:AlternateContent>
        <mc:AlternateContent xmlns:mc="http://schemas.openxmlformats.org/markup-compatibility/2006">
          <mc:Choice Requires="x14">
            <control shapeId="46087" r:id="rId10" name="Check Box 7">
              <controlPr defaultSize="0" autoFill="0" autoLine="0" autoPict="0">
                <anchor moveWithCells="1">
                  <from>
                    <xdr:col>1</xdr:col>
                    <xdr:colOff>28575</xdr:colOff>
                    <xdr:row>108</xdr:row>
                    <xdr:rowOff>38100</xdr:rowOff>
                  </from>
                  <to>
                    <xdr:col>1</xdr:col>
                    <xdr:colOff>1181100</xdr:colOff>
                    <xdr:row>108</xdr:row>
                    <xdr:rowOff>171450</xdr:rowOff>
                  </to>
                </anchor>
              </controlPr>
            </control>
          </mc:Choice>
        </mc:AlternateContent>
        <mc:AlternateContent xmlns:mc="http://schemas.openxmlformats.org/markup-compatibility/2006">
          <mc:Choice Requires="x14">
            <control shapeId="46088" r:id="rId11" name="Check Box 8">
              <controlPr defaultSize="0" autoFill="0" autoLine="0" autoPict="0">
                <anchor moveWithCells="1">
                  <from>
                    <xdr:col>1</xdr:col>
                    <xdr:colOff>28575</xdr:colOff>
                    <xdr:row>109</xdr:row>
                    <xdr:rowOff>38100</xdr:rowOff>
                  </from>
                  <to>
                    <xdr:col>1</xdr:col>
                    <xdr:colOff>1181100</xdr:colOff>
                    <xdr:row>109</xdr:row>
                    <xdr:rowOff>171450</xdr:rowOff>
                  </to>
                </anchor>
              </controlPr>
            </control>
          </mc:Choice>
        </mc:AlternateContent>
        <mc:AlternateContent xmlns:mc="http://schemas.openxmlformats.org/markup-compatibility/2006">
          <mc:Choice Requires="x14">
            <control shapeId="46089" r:id="rId12" name="Check Box 9">
              <controlPr defaultSize="0" autoFill="0" autoLine="0" autoPict="0" altText="VM">
                <anchor moveWithCells="1">
                  <from>
                    <xdr:col>1</xdr:col>
                    <xdr:colOff>28575</xdr:colOff>
                    <xdr:row>110</xdr:row>
                    <xdr:rowOff>38100</xdr:rowOff>
                  </from>
                  <to>
                    <xdr:col>1</xdr:col>
                    <xdr:colOff>1181100</xdr:colOff>
                    <xdr:row>110</xdr:row>
                    <xdr:rowOff>171450</xdr:rowOff>
                  </to>
                </anchor>
              </controlPr>
            </control>
          </mc:Choice>
        </mc:AlternateContent>
        <mc:AlternateContent xmlns:mc="http://schemas.openxmlformats.org/markup-compatibility/2006">
          <mc:Choice Requires="x14">
            <control shapeId="46090" r:id="rId13" name="Check Box 10">
              <controlPr defaultSize="0" autoFill="0" autoLine="0" autoPict="0" altText="ГосСОПКА">
                <anchor moveWithCells="1">
                  <from>
                    <xdr:col>1</xdr:col>
                    <xdr:colOff>28575</xdr:colOff>
                    <xdr:row>111</xdr:row>
                    <xdr:rowOff>38100</xdr:rowOff>
                  </from>
                  <to>
                    <xdr:col>1</xdr:col>
                    <xdr:colOff>1181100</xdr:colOff>
                    <xdr:row>111</xdr:row>
                    <xdr:rowOff>171450</xdr:rowOff>
                  </to>
                </anchor>
              </controlPr>
            </control>
          </mc:Choice>
        </mc:AlternateContent>
        <mc:AlternateContent xmlns:mc="http://schemas.openxmlformats.org/markup-compatibility/2006">
          <mc:Choice Requires="x14">
            <control shapeId="46091" r:id="rId14" name="Check Box 11">
              <controlPr defaultSize="0" autoFill="0" autoLine="0" autoPict="0" altText="VM">
                <anchor moveWithCells="1">
                  <from>
                    <xdr:col>1</xdr:col>
                    <xdr:colOff>28575</xdr:colOff>
                    <xdr:row>112</xdr:row>
                    <xdr:rowOff>38100</xdr:rowOff>
                  </from>
                  <to>
                    <xdr:col>1</xdr:col>
                    <xdr:colOff>1181100</xdr:colOff>
                    <xdr:row>112</xdr:row>
                    <xdr:rowOff>171450</xdr:rowOff>
                  </to>
                </anchor>
              </controlPr>
            </control>
          </mc:Choice>
        </mc:AlternateContent>
        <mc:AlternateContent xmlns:mc="http://schemas.openxmlformats.org/markup-compatibility/2006">
          <mc:Choice Requires="x14">
            <control shapeId="46092" r:id="rId15" name="Check Box 12">
              <controlPr defaultSize="0" autoFill="0" autoLine="0" autoPict="0" altText="VM">
                <anchor moveWithCells="1">
                  <from>
                    <xdr:col>1</xdr:col>
                    <xdr:colOff>28575</xdr:colOff>
                    <xdr:row>113</xdr:row>
                    <xdr:rowOff>38100</xdr:rowOff>
                  </from>
                  <to>
                    <xdr:col>1</xdr:col>
                    <xdr:colOff>1181100</xdr:colOff>
                    <xdr:row>113</xdr:row>
                    <xdr:rowOff>323850</xdr:rowOff>
                  </to>
                </anchor>
              </controlPr>
            </control>
          </mc:Choice>
        </mc:AlternateContent>
        <mc:AlternateContent xmlns:mc="http://schemas.openxmlformats.org/markup-compatibility/2006">
          <mc:Choice Requires="x14">
            <control shapeId="46093" r:id="rId16" name="Check Box 13">
              <controlPr defaultSize="0" autoFill="0" autoLine="0" autoPict="0" altText="WAF">
                <anchor moveWithCells="1">
                  <from>
                    <xdr:col>1</xdr:col>
                    <xdr:colOff>28575</xdr:colOff>
                    <xdr:row>125</xdr:row>
                    <xdr:rowOff>19050</xdr:rowOff>
                  </from>
                  <to>
                    <xdr:col>1</xdr:col>
                    <xdr:colOff>1181100</xdr:colOff>
                    <xdr:row>125</xdr:row>
                    <xdr:rowOff>142875</xdr:rowOff>
                  </to>
                </anchor>
              </controlPr>
            </control>
          </mc:Choice>
        </mc:AlternateContent>
        <mc:AlternateContent xmlns:mc="http://schemas.openxmlformats.org/markup-compatibility/2006">
          <mc:Choice Requires="x14">
            <control shapeId="46094" r:id="rId17" name="Check Box 14">
              <controlPr defaultSize="0" autoFill="0" autoLine="0" autoPict="0" altText="NTA">
                <anchor moveWithCells="1">
                  <from>
                    <xdr:col>1</xdr:col>
                    <xdr:colOff>28575</xdr:colOff>
                    <xdr:row>126</xdr:row>
                    <xdr:rowOff>38100</xdr:rowOff>
                  </from>
                  <to>
                    <xdr:col>1</xdr:col>
                    <xdr:colOff>1181100</xdr:colOff>
                    <xdr:row>126</xdr:row>
                    <xdr:rowOff>361950</xdr:rowOff>
                  </to>
                </anchor>
              </controlPr>
            </control>
          </mc:Choice>
        </mc:AlternateContent>
        <mc:AlternateContent xmlns:mc="http://schemas.openxmlformats.org/markup-compatibility/2006">
          <mc:Choice Requires="x14">
            <control shapeId="46095" r:id="rId18" name="Check Box 15">
              <controlPr defaultSize="0" autoFill="0" autoLine="0" autoPict="0" altText="">
                <anchor moveWithCells="1">
                  <from>
                    <xdr:col>1</xdr:col>
                    <xdr:colOff>28575</xdr:colOff>
                    <xdr:row>137</xdr:row>
                    <xdr:rowOff>38100</xdr:rowOff>
                  </from>
                  <to>
                    <xdr:col>1</xdr:col>
                    <xdr:colOff>1181100</xdr:colOff>
                    <xdr:row>137</xdr:row>
                    <xdr:rowOff>142875</xdr:rowOff>
                  </to>
                </anchor>
              </controlPr>
            </control>
          </mc:Choice>
        </mc:AlternateContent>
        <mc:AlternateContent xmlns:mc="http://schemas.openxmlformats.org/markup-compatibility/2006">
          <mc:Choice Requires="x14">
            <control shapeId="46096" r:id="rId19" name="Check Box 16">
              <controlPr defaultSize="0" autoFill="0" autoLine="0" autoPict="0" altText="">
                <anchor moveWithCells="1">
                  <from>
                    <xdr:col>1</xdr:col>
                    <xdr:colOff>28575</xdr:colOff>
                    <xdr:row>138</xdr:row>
                    <xdr:rowOff>38100</xdr:rowOff>
                  </from>
                  <to>
                    <xdr:col>1</xdr:col>
                    <xdr:colOff>1181100</xdr:colOff>
                    <xdr:row>138</xdr:row>
                    <xdr:rowOff>171450</xdr:rowOff>
                  </to>
                </anchor>
              </controlPr>
            </control>
          </mc:Choice>
        </mc:AlternateContent>
        <mc:AlternateContent xmlns:mc="http://schemas.openxmlformats.org/markup-compatibility/2006">
          <mc:Choice Requires="x14">
            <control shapeId="46097" r:id="rId20" name="Check Box 17">
              <controlPr defaultSize="0" autoFill="0" autoLine="0" autoPict="0" altText="">
                <anchor moveWithCells="1">
                  <from>
                    <xdr:col>1</xdr:col>
                    <xdr:colOff>28575</xdr:colOff>
                    <xdr:row>139</xdr:row>
                    <xdr:rowOff>38100</xdr:rowOff>
                  </from>
                  <to>
                    <xdr:col>1</xdr:col>
                    <xdr:colOff>1181100</xdr:colOff>
                    <xdr:row>139</xdr:row>
                    <xdr:rowOff>171450</xdr:rowOff>
                  </to>
                </anchor>
              </controlPr>
            </control>
          </mc:Choice>
        </mc:AlternateContent>
        <mc:AlternateContent xmlns:mc="http://schemas.openxmlformats.org/markup-compatibility/2006">
          <mc:Choice Requires="x14">
            <control shapeId="46098" r:id="rId21" name="Check Box 18">
              <controlPr defaultSize="0" autoFill="0" autoLine="0" autoPict="0" altText="">
                <anchor moveWithCells="1">
                  <from>
                    <xdr:col>1</xdr:col>
                    <xdr:colOff>28575</xdr:colOff>
                    <xdr:row>151</xdr:row>
                    <xdr:rowOff>38100</xdr:rowOff>
                  </from>
                  <to>
                    <xdr:col>1</xdr:col>
                    <xdr:colOff>1181100</xdr:colOff>
                    <xdr:row>151</xdr:row>
                    <xdr:rowOff>171450</xdr:rowOff>
                  </to>
                </anchor>
              </controlPr>
            </control>
          </mc:Choice>
        </mc:AlternateContent>
        <mc:AlternateContent xmlns:mc="http://schemas.openxmlformats.org/markup-compatibility/2006">
          <mc:Choice Requires="x14">
            <control shapeId="46099" r:id="rId22" name="Check Box 19">
              <controlPr defaultSize="0" autoFill="0" autoLine="0" autoPict="0" altText="">
                <anchor moveWithCells="1">
                  <from>
                    <xdr:col>1</xdr:col>
                    <xdr:colOff>28575</xdr:colOff>
                    <xdr:row>152</xdr:row>
                    <xdr:rowOff>38100</xdr:rowOff>
                  </from>
                  <to>
                    <xdr:col>1</xdr:col>
                    <xdr:colOff>1181100</xdr:colOff>
                    <xdr:row>152</xdr:row>
                    <xdr:rowOff>171450</xdr:rowOff>
                  </to>
                </anchor>
              </controlPr>
            </control>
          </mc:Choice>
        </mc:AlternateContent>
        <mc:AlternateContent xmlns:mc="http://schemas.openxmlformats.org/markup-compatibility/2006">
          <mc:Choice Requires="x14">
            <control shapeId="46100" r:id="rId23" name="Check Box 20">
              <controlPr defaultSize="0" autoFill="0" autoLine="0" autoPict="0" altText="">
                <anchor moveWithCells="1">
                  <from>
                    <xdr:col>1</xdr:col>
                    <xdr:colOff>28575</xdr:colOff>
                    <xdr:row>153</xdr:row>
                    <xdr:rowOff>38100</xdr:rowOff>
                  </from>
                  <to>
                    <xdr:col>1</xdr:col>
                    <xdr:colOff>1181100</xdr:colOff>
                    <xdr:row>153</xdr:row>
                    <xdr:rowOff>171450</xdr:rowOff>
                  </to>
                </anchor>
              </controlPr>
            </control>
          </mc:Choice>
        </mc:AlternateContent>
        <mc:AlternateContent xmlns:mc="http://schemas.openxmlformats.org/markup-compatibility/2006">
          <mc:Choice Requires="x14">
            <control shapeId="46101" r:id="rId24" name="Check Box 21">
              <controlPr defaultSize="0" autoFill="0" autoLine="0" autoPict="0" altText="">
                <anchor moveWithCells="1">
                  <from>
                    <xdr:col>1</xdr:col>
                    <xdr:colOff>28575</xdr:colOff>
                    <xdr:row>154</xdr:row>
                    <xdr:rowOff>38100</xdr:rowOff>
                  </from>
                  <to>
                    <xdr:col>1</xdr:col>
                    <xdr:colOff>1181100</xdr:colOff>
                    <xdr:row>154</xdr:row>
                    <xdr:rowOff>171450</xdr:rowOff>
                  </to>
                </anchor>
              </controlPr>
            </control>
          </mc:Choice>
        </mc:AlternateContent>
        <mc:AlternateContent xmlns:mc="http://schemas.openxmlformats.org/markup-compatibility/2006">
          <mc:Choice Requires="x14">
            <control shapeId="46102" r:id="rId25" name="Check Box 22">
              <controlPr defaultSize="0" autoFill="0" autoLine="0" autoPict="0" altText="">
                <anchor moveWithCells="1">
                  <from>
                    <xdr:col>1</xdr:col>
                    <xdr:colOff>28575</xdr:colOff>
                    <xdr:row>155</xdr:row>
                    <xdr:rowOff>38100</xdr:rowOff>
                  </from>
                  <to>
                    <xdr:col>1</xdr:col>
                    <xdr:colOff>1181100</xdr:colOff>
                    <xdr:row>155</xdr:row>
                    <xdr:rowOff>171450</xdr:rowOff>
                  </to>
                </anchor>
              </controlPr>
            </control>
          </mc:Choice>
        </mc:AlternateContent>
        <mc:AlternateContent xmlns:mc="http://schemas.openxmlformats.org/markup-compatibility/2006">
          <mc:Choice Requires="x14">
            <control shapeId="46103" r:id="rId26" name="Check Box 23">
              <controlPr defaultSize="0" autoFill="0" autoLine="0" autoPict="0" altText="">
                <anchor moveWithCells="1">
                  <from>
                    <xdr:col>1</xdr:col>
                    <xdr:colOff>28575</xdr:colOff>
                    <xdr:row>156</xdr:row>
                    <xdr:rowOff>38100</xdr:rowOff>
                  </from>
                  <to>
                    <xdr:col>1</xdr:col>
                    <xdr:colOff>1181100</xdr:colOff>
                    <xdr:row>156</xdr:row>
                    <xdr:rowOff>171450</xdr:rowOff>
                  </to>
                </anchor>
              </controlPr>
            </control>
          </mc:Choice>
        </mc:AlternateContent>
        <mc:AlternateContent xmlns:mc="http://schemas.openxmlformats.org/markup-compatibility/2006">
          <mc:Choice Requires="x14">
            <control shapeId="46104" r:id="rId27" name="Check Box 24">
              <controlPr defaultSize="0" autoFill="0" autoLine="0" autoPict="0" altText="">
                <anchor moveWithCells="1">
                  <from>
                    <xdr:col>1</xdr:col>
                    <xdr:colOff>28575</xdr:colOff>
                    <xdr:row>157</xdr:row>
                    <xdr:rowOff>38100</xdr:rowOff>
                  </from>
                  <to>
                    <xdr:col>1</xdr:col>
                    <xdr:colOff>1181100</xdr:colOff>
                    <xdr:row>157</xdr:row>
                    <xdr:rowOff>171450</xdr:rowOff>
                  </to>
                </anchor>
              </controlPr>
            </control>
          </mc:Choice>
        </mc:AlternateContent>
        <mc:AlternateContent xmlns:mc="http://schemas.openxmlformats.org/markup-compatibility/2006">
          <mc:Choice Requires="x14">
            <control shapeId="46105" r:id="rId28" name="Check Box 25">
              <controlPr defaultSize="0" autoFill="0" autoLine="0" autoPict="0" altText="">
                <anchor moveWithCells="1">
                  <from>
                    <xdr:col>1</xdr:col>
                    <xdr:colOff>28575</xdr:colOff>
                    <xdr:row>158</xdr:row>
                    <xdr:rowOff>38100</xdr:rowOff>
                  </from>
                  <to>
                    <xdr:col>1</xdr:col>
                    <xdr:colOff>1181100</xdr:colOff>
                    <xdr:row>158</xdr:row>
                    <xdr:rowOff>171450</xdr:rowOff>
                  </to>
                </anchor>
              </controlPr>
            </control>
          </mc:Choice>
        </mc:AlternateContent>
        <mc:AlternateContent xmlns:mc="http://schemas.openxmlformats.org/markup-compatibility/2006">
          <mc:Choice Requires="x14">
            <control shapeId="46106" r:id="rId29" name="Check Box 26">
              <controlPr defaultSize="0" autoFill="0" autoLine="0" autoPict="0" altText="">
                <anchor moveWithCells="1">
                  <from>
                    <xdr:col>1</xdr:col>
                    <xdr:colOff>28575</xdr:colOff>
                    <xdr:row>160</xdr:row>
                    <xdr:rowOff>38100</xdr:rowOff>
                  </from>
                  <to>
                    <xdr:col>1</xdr:col>
                    <xdr:colOff>1438275</xdr:colOff>
                    <xdr:row>160</xdr:row>
                    <xdr:rowOff>171450</xdr:rowOff>
                  </to>
                </anchor>
              </controlPr>
            </control>
          </mc:Choice>
        </mc:AlternateContent>
        <mc:AlternateContent xmlns:mc="http://schemas.openxmlformats.org/markup-compatibility/2006">
          <mc:Choice Requires="x14">
            <control shapeId="46107" r:id="rId30" name="Check Box 27">
              <controlPr defaultSize="0" autoFill="0" autoLine="0" autoPict="0">
                <anchor moveWithCells="1">
                  <from>
                    <xdr:col>1</xdr:col>
                    <xdr:colOff>28575</xdr:colOff>
                    <xdr:row>81</xdr:row>
                    <xdr:rowOff>66675</xdr:rowOff>
                  </from>
                  <to>
                    <xdr:col>1</xdr:col>
                    <xdr:colOff>1181100</xdr:colOff>
                    <xdr:row>81</xdr:row>
                    <xdr:rowOff>200025</xdr:rowOff>
                  </to>
                </anchor>
              </controlPr>
            </control>
          </mc:Choice>
        </mc:AlternateContent>
        <mc:AlternateContent xmlns:mc="http://schemas.openxmlformats.org/markup-compatibility/2006">
          <mc:Choice Requires="x14">
            <control shapeId="46108" r:id="rId31" name="Check Box 28">
              <controlPr defaultSize="0" autoFill="0" autoLine="0" autoPict="0" altText="">
                <anchor moveWithCells="1">
                  <from>
                    <xdr:col>1</xdr:col>
                    <xdr:colOff>28575</xdr:colOff>
                    <xdr:row>159</xdr:row>
                    <xdr:rowOff>38100</xdr:rowOff>
                  </from>
                  <to>
                    <xdr:col>1</xdr:col>
                    <xdr:colOff>1438275</xdr:colOff>
                    <xdr:row>159</xdr:row>
                    <xdr:rowOff>171450</xdr:rowOff>
                  </to>
                </anchor>
              </controlPr>
            </control>
          </mc:Choice>
        </mc:AlternateContent>
        <mc:AlternateContent xmlns:mc="http://schemas.openxmlformats.org/markup-compatibility/2006">
          <mc:Choice Requires="x14">
            <control shapeId="46109" r:id="rId32" name="Check Box 29">
              <controlPr defaultSize="0" autoFill="0" autoLine="0" autoPict="0" altText="">
                <anchor moveWithCells="1">
                  <from>
                    <xdr:col>1</xdr:col>
                    <xdr:colOff>28575</xdr:colOff>
                    <xdr:row>161</xdr:row>
                    <xdr:rowOff>38100</xdr:rowOff>
                  </from>
                  <to>
                    <xdr:col>1</xdr:col>
                    <xdr:colOff>1438275</xdr:colOff>
                    <xdr:row>161</xdr:row>
                    <xdr:rowOff>171450</xdr:rowOff>
                  </to>
                </anchor>
              </controlPr>
            </control>
          </mc:Choice>
        </mc:AlternateContent>
        <mc:AlternateContent xmlns:mc="http://schemas.openxmlformats.org/markup-compatibility/2006">
          <mc:Choice Requires="x14">
            <control shapeId="46110" r:id="rId33" name="Check Box 30">
              <controlPr defaultSize="0" autoFill="0" autoLine="0" autoPict="0" altText="">
                <anchor moveWithCells="1">
                  <from>
                    <xdr:col>1</xdr:col>
                    <xdr:colOff>28575</xdr:colOff>
                    <xdr:row>162</xdr:row>
                    <xdr:rowOff>38100</xdr:rowOff>
                  </from>
                  <to>
                    <xdr:col>1</xdr:col>
                    <xdr:colOff>1438275</xdr:colOff>
                    <xdr:row>162</xdr:row>
                    <xdr:rowOff>171450</xdr:rowOff>
                  </to>
                </anchor>
              </controlPr>
            </control>
          </mc:Choice>
        </mc:AlternateContent>
        <mc:AlternateContent xmlns:mc="http://schemas.openxmlformats.org/markup-compatibility/2006">
          <mc:Choice Requires="x14">
            <control shapeId="46111" r:id="rId34" name="Check Box 31">
              <controlPr defaultSize="0" autoFill="0" autoLine="0" autoPict="0" altText="">
                <anchor moveWithCells="1">
                  <from>
                    <xdr:col>1</xdr:col>
                    <xdr:colOff>28575</xdr:colOff>
                    <xdr:row>163</xdr:row>
                    <xdr:rowOff>38100</xdr:rowOff>
                  </from>
                  <to>
                    <xdr:col>1</xdr:col>
                    <xdr:colOff>1438275</xdr:colOff>
                    <xdr:row>163</xdr:row>
                    <xdr:rowOff>171450</xdr:rowOff>
                  </to>
                </anchor>
              </controlPr>
            </control>
          </mc:Choice>
        </mc:AlternateContent>
        <mc:AlternateContent xmlns:mc="http://schemas.openxmlformats.org/markup-compatibility/2006">
          <mc:Choice Requires="x14">
            <control shapeId="46112" r:id="rId35" name="Check Box 32">
              <controlPr defaultSize="0" autoFill="0" autoLine="0" autoPict="0" altText="">
                <anchor moveWithCells="1">
                  <from>
                    <xdr:col>1</xdr:col>
                    <xdr:colOff>28575</xdr:colOff>
                    <xdr:row>162</xdr:row>
                    <xdr:rowOff>38100</xdr:rowOff>
                  </from>
                  <to>
                    <xdr:col>1</xdr:col>
                    <xdr:colOff>1438275</xdr:colOff>
                    <xdr:row>162</xdr:row>
                    <xdr:rowOff>171450</xdr:rowOff>
                  </to>
                </anchor>
              </controlPr>
            </control>
          </mc:Choice>
        </mc:AlternateContent>
        <mc:AlternateContent xmlns:mc="http://schemas.openxmlformats.org/markup-compatibility/2006">
          <mc:Choice Requires="x14">
            <control shapeId="46113" r:id="rId36" name="Check Box 33">
              <controlPr defaultSize="0" autoFill="0" autoLine="0" autoPict="0" altText="">
                <anchor moveWithCells="1">
                  <from>
                    <xdr:col>1</xdr:col>
                    <xdr:colOff>28575</xdr:colOff>
                    <xdr:row>163</xdr:row>
                    <xdr:rowOff>38100</xdr:rowOff>
                  </from>
                  <to>
                    <xdr:col>1</xdr:col>
                    <xdr:colOff>1438275</xdr:colOff>
                    <xdr:row>163</xdr:row>
                    <xdr:rowOff>171450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97"/>
  <dimension ref="A1:R303"/>
  <sheetViews>
    <sheetView topLeftCell="A220" zoomScale="85" zoomScaleNormal="85" workbookViewId="0">
      <selection activeCell="D294" sqref="D294"/>
    </sheetView>
  </sheetViews>
  <sheetFormatPr defaultColWidth="9.140625" defaultRowHeight="12" outlineLevelRow="3" x14ac:dyDescent="0.2"/>
  <cols>
    <col min="1" max="1" width="10" style="1391" customWidth="1"/>
    <col min="2" max="2" width="9.5703125" style="1391" customWidth="1"/>
    <col min="3" max="3" width="59.140625" style="1391" customWidth="1"/>
    <col min="4" max="4" width="27.28515625" style="1391" customWidth="1"/>
    <col min="5" max="5" width="13.42578125" style="1391" customWidth="1"/>
    <col min="6" max="6" width="11.85546875" style="1391" customWidth="1"/>
    <col min="7" max="7" width="8.7109375" style="1391" customWidth="1"/>
    <col min="8" max="9" width="9.140625" style="1391" customWidth="1"/>
    <col min="10" max="10" width="9.140625" style="1391"/>
    <col min="11" max="11" width="9.140625" style="1391" customWidth="1"/>
    <col min="12" max="13" width="9.140625" style="1391"/>
    <col min="14" max="14" width="37.28515625" style="1391" customWidth="1"/>
    <col min="15" max="16" width="9.140625" style="1391"/>
    <col min="17" max="17" width="15.28515625" style="1391" customWidth="1"/>
    <col min="18" max="16384" width="9.140625" style="1391"/>
  </cols>
  <sheetData>
    <row r="1" spans="1:18" ht="49.5" thickBot="1" x14ac:dyDescent="0.3">
      <c r="A1" s="1390"/>
      <c r="C1" s="1392" t="s">
        <v>639</v>
      </c>
      <c r="D1" s="1393" t="s">
        <v>1587</v>
      </c>
      <c r="E1" s="1394"/>
      <c r="J1" s="1391" t="s">
        <v>1459</v>
      </c>
      <c r="L1" s="1270" t="s">
        <v>73</v>
      </c>
      <c r="M1" s="1395" t="s">
        <v>109</v>
      </c>
      <c r="N1" s="1396" t="s">
        <v>1661</v>
      </c>
      <c r="Q1" s="1582" t="s">
        <v>73</v>
      </c>
      <c r="R1" s="1582" t="s">
        <v>1226</v>
      </c>
    </row>
    <row r="2" spans="1:18" ht="61.5" thickBot="1" x14ac:dyDescent="0.3">
      <c r="A2" s="1397"/>
      <c r="C2" s="1392" t="s">
        <v>1373</v>
      </c>
      <c r="D2" s="1393" t="s">
        <v>1460</v>
      </c>
      <c r="E2" s="1398"/>
      <c r="N2" s="1396" t="s">
        <v>1662</v>
      </c>
      <c r="Q2" s="1582" t="s">
        <v>108</v>
      </c>
      <c r="R2" s="1582" t="s">
        <v>106</v>
      </c>
    </row>
    <row r="3" spans="1:18" ht="49.5" thickBot="1" x14ac:dyDescent="0.3">
      <c r="A3" s="1399"/>
      <c r="C3" s="1392" t="s">
        <v>637</v>
      </c>
      <c r="D3" s="1393" t="s">
        <v>1461</v>
      </c>
      <c r="J3" s="1393" t="s">
        <v>1462</v>
      </c>
      <c r="N3" s="1396" t="s">
        <v>1663</v>
      </c>
      <c r="Q3" s="1582" t="s">
        <v>109</v>
      </c>
      <c r="R3" s="1582" t="s">
        <v>107</v>
      </c>
    </row>
    <row r="4" spans="1:18" ht="16.899999999999999" customHeight="1" thickBot="1" x14ac:dyDescent="0.3">
      <c r="A4" s="1400"/>
      <c r="C4" s="1392" t="s">
        <v>1386</v>
      </c>
      <c r="Q4" s="1582" t="s">
        <v>80</v>
      </c>
    </row>
    <row r="5" spans="1:18" ht="18" customHeight="1" thickBot="1" x14ac:dyDescent="0.25">
      <c r="A5" s="1401"/>
      <c r="C5" s="1392" t="s">
        <v>1463</v>
      </c>
      <c r="F5" s="1402"/>
    </row>
    <row r="6" spans="1:18" ht="17.45" customHeight="1" thickBot="1" x14ac:dyDescent="0.25">
      <c r="A6" s="1403"/>
      <c r="C6" s="1392" t="s">
        <v>113</v>
      </c>
      <c r="F6" s="1402"/>
    </row>
    <row r="7" spans="1:18" ht="19.899999999999999" customHeight="1" thickBot="1" x14ac:dyDescent="0.25">
      <c r="A7" s="1404"/>
      <c r="C7" s="1392" t="s">
        <v>1464</v>
      </c>
      <c r="F7" s="1402"/>
    </row>
    <row r="8" spans="1:18" ht="36" x14ac:dyDescent="0.2">
      <c r="A8" s="1405" t="s">
        <v>1465</v>
      </c>
      <c r="B8" s="1405" t="s">
        <v>1466</v>
      </c>
      <c r="C8" s="1406" t="s">
        <v>1467</v>
      </c>
      <c r="D8" s="1406" t="s">
        <v>1468</v>
      </c>
      <c r="E8" s="1406" t="s">
        <v>69</v>
      </c>
      <c r="F8" s="1407" t="s">
        <v>1469</v>
      </c>
      <c r="G8" s="1408" t="s">
        <v>715</v>
      </c>
      <c r="H8" s="1408" t="s">
        <v>1470</v>
      </c>
      <c r="I8" s="1408" t="s">
        <v>1471</v>
      </c>
      <c r="J8" s="1407" t="s">
        <v>1472</v>
      </c>
      <c r="K8" s="1408" t="s">
        <v>715</v>
      </c>
      <c r="L8" s="1408" t="s">
        <v>1470</v>
      </c>
      <c r="M8" s="1408" t="s">
        <v>1471</v>
      </c>
      <c r="N8" s="1406" t="s">
        <v>272</v>
      </c>
    </row>
    <row r="9" spans="1:18" ht="21.75" hidden="1" thickBot="1" x14ac:dyDescent="0.4">
      <c r="A9" s="2082" t="s">
        <v>1473</v>
      </c>
      <c r="B9" s="2083"/>
      <c r="C9" s="2083"/>
      <c r="D9" s="2083"/>
      <c r="E9" s="2084"/>
      <c r="F9" s="1627">
        <f>SUM(G9:I9)</f>
        <v>149</v>
      </c>
      <c r="G9" s="1627">
        <f>G10+G25+G38+G42</f>
        <v>68</v>
      </c>
      <c r="H9" s="1627">
        <f>H10+H25+H38+H42</f>
        <v>59</v>
      </c>
      <c r="I9" s="1627">
        <f>I10+I25+I38+I42</f>
        <v>22</v>
      </c>
      <c r="J9" s="1627">
        <f>SUM(K9:M9)</f>
        <v>18.5</v>
      </c>
      <c r="K9" s="1627">
        <f>K10+K25+K38+K42</f>
        <v>8.4499999999999993</v>
      </c>
      <c r="L9" s="1627">
        <f>L10+L25+L38+L42</f>
        <v>7.3</v>
      </c>
      <c r="M9" s="1627">
        <f>M10+M25+M38+M42</f>
        <v>2.75</v>
      </c>
      <c r="N9" s="1628"/>
    </row>
    <row r="10" spans="1:18" ht="16.5" hidden="1" customHeight="1" outlineLevel="1" thickBot="1" x14ac:dyDescent="0.25">
      <c r="A10" s="2085"/>
      <c r="B10" s="2085"/>
      <c r="C10" s="2088" t="s">
        <v>1395</v>
      </c>
      <c r="D10" s="1585" t="s">
        <v>1392</v>
      </c>
      <c r="E10" s="1409">
        <v>20</v>
      </c>
      <c r="F10" s="2091">
        <f>SUM(G10:I12)</f>
        <v>0</v>
      </c>
      <c r="G10" s="2094">
        <f>SUM(G13:G24)</f>
        <v>0</v>
      </c>
      <c r="H10" s="2094">
        <f t="shared" ref="H10:I10" si="0">SUM(H13:H24)</f>
        <v>0</v>
      </c>
      <c r="I10" s="2094">
        <f t="shared" si="0"/>
        <v>0</v>
      </c>
      <c r="J10" s="2094">
        <f t="shared" ref="J10" si="1">ROUNDUP(SUM(J13:J24),2)</f>
        <v>0</v>
      </c>
      <c r="K10" s="2094">
        <f>ROUNDUP(SUM(K13:K24),2)</f>
        <v>0</v>
      </c>
      <c r="L10" s="2094">
        <f t="shared" ref="L10:M10" si="2">ROUNDUP(SUM(L13:L24),2)</f>
        <v>0</v>
      </c>
      <c r="M10" s="2094">
        <f t="shared" si="2"/>
        <v>0</v>
      </c>
      <c r="N10" s="2097"/>
    </row>
    <row r="11" spans="1:18" ht="30.75" hidden="1" customHeight="1" outlineLevel="1" thickBot="1" x14ac:dyDescent="0.25">
      <c r="A11" s="2086"/>
      <c r="B11" s="2086"/>
      <c r="C11" s="2089"/>
      <c r="D11" s="1586" t="s">
        <v>1393</v>
      </c>
      <c r="E11" s="1409">
        <v>20</v>
      </c>
      <c r="F11" s="2092"/>
      <c r="G11" s="2095"/>
      <c r="H11" s="2095"/>
      <c r="I11" s="2095"/>
      <c r="J11" s="2095"/>
      <c r="K11" s="2095"/>
      <c r="L11" s="2095"/>
      <c r="M11" s="2095"/>
      <c r="N11" s="2098"/>
    </row>
    <row r="12" spans="1:18" ht="16.5" hidden="1" customHeight="1" outlineLevel="1" thickBot="1" x14ac:dyDescent="0.25">
      <c r="A12" s="2087"/>
      <c r="B12" s="2087"/>
      <c r="C12" s="2090"/>
      <c r="D12" s="1586" t="s">
        <v>1394</v>
      </c>
      <c r="E12" s="1409">
        <v>3</v>
      </c>
      <c r="F12" s="2093"/>
      <c r="G12" s="2096"/>
      <c r="H12" s="2096"/>
      <c r="I12" s="2096"/>
      <c r="J12" s="2096"/>
      <c r="K12" s="2096"/>
      <c r="L12" s="2096"/>
      <c r="M12" s="2096"/>
      <c r="N12" s="2099"/>
    </row>
    <row r="13" spans="1:18" ht="15" hidden="1" customHeight="1" outlineLevel="2" x14ac:dyDescent="0.2">
      <c r="A13" s="1410">
        <v>0</v>
      </c>
      <c r="B13" s="1411">
        <v>0</v>
      </c>
      <c r="C13" s="1412" t="s">
        <v>1396</v>
      </c>
      <c r="D13" s="1413"/>
      <c r="E13" s="1414"/>
      <c r="F13" s="1415">
        <f t="shared" ref="F13:F24" si="3">SUM(G13:I13)</f>
        <v>0</v>
      </c>
      <c r="G13" s="1416">
        <f>IF($A13=1,IF($M$1="Простой",Категорирование!H4,IF($M$1="Обычный",Категорирование!H5,Категорирование!H6)),0)</f>
        <v>0</v>
      </c>
      <c r="H13" s="1416">
        <f>IF($A13=1,IF($M$1="Простой",Категорирование!I4,IF($M$1="Обычный",Категорирование!I5,Категорирование!I6)),0)</f>
        <v>0</v>
      </c>
      <c r="I13" s="1416">
        <f>IF($A13=1,IF($M$1="Простой",Категорирование!J4,IF($M$1="Обычный",Категорирование!J5,Категорирование!J6)),0)</f>
        <v>0</v>
      </c>
      <c r="J13" s="1415">
        <f t="shared" ref="J13:J24" si="4">SUM(K13:M13)</f>
        <v>0</v>
      </c>
      <c r="K13" s="1416">
        <f>(G13/8)</f>
        <v>0</v>
      </c>
      <c r="L13" s="1416">
        <f t="shared" ref="L13:M24" si="5">(H13/8)</f>
        <v>0</v>
      </c>
      <c r="M13" s="1416">
        <f t="shared" si="5"/>
        <v>0</v>
      </c>
      <c r="N13" s="1412" t="s">
        <v>1375</v>
      </c>
    </row>
    <row r="14" spans="1:18" ht="24" hidden="1" outlineLevel="2" x14ac:dyDescent="0.2">
      <c r="A14" s="1410">
        <v>0</v>
      </c>
      <c r="B14" s="1417">
        <v>1</v>
      </c>
      <c r="C14" s="1418" t="s">
        <v>1474</v>
      </c>
      <c r="D14" s="1413"/>
      <c r="E14" s="1413"/>
      <c r="F14" s="1415">
        <f t="shared" si="3"/>
        <v>0</v>
      </c>
      <c r="G14" s="1416">
        <f>IF($A14=1,IF($M$1="Простой",Категорирование!H7,IF($M$1="Обычный",Категорирование!H8,Категорирование!H9)),0)</f>
        <v>0</v>
      </c>
      <c r="H14" s="1416">
        <f>IF($A14=1,IF($M$1="Простой",Категорирование!I7,IF($M$1="Обычный",Категорирование!I8,Категорирование!I9)),0)</f>
        <v>0</v>
      </c>
      <c r="I14" s="1416">
        <f>IF($A14=1,IF($M$1="Простой",Категорирование!J7,IF($M$1="Обычный",Категорирование!J8,Категорирование!J9)),0)</f>
        <v>0</v>
      </c>
      <c r="J14" s="1415">
        <f t="shared" si="4"/>
        <v>0</v>
      </c>
      <c r="K14" s="1416">
        <f t="shared" ref="K14:K24" si="6">(G14/8)</f>
        <v>0</v>
      </c>
      <c r="L14" s="1416">
        <f t="shared" si="5"/>
        <v>0</v>
      </c>
      <c r="M14" s="1416">
        <f t="shared" si="5"/>
        <v>0</v>
      </c>
      <c r="N14" s="1418" t="s">
        <v>1475</v>
      </c>
    </row>
    <row r="15" spans="1:18" ht="48" hidden="1" outlineLevel="2" x14ac:dyDescent="0.2">
      <c r="A15" s="1410">
        <v>0</v>
      </c>
      <c r="B15" s="1417">
        <v>1</v>
      </c>
      <c r="C15" s="1418" t="s">
        <v>1398</v>
      </c>
      <c r="D15" s="1413"/>
      <c r="E15" s="1413"/>
      <c r="F15" s="1415">
        <f t="shared" si="3"/>
        <v>0</v>
      </c>
      <c r="G15" s="1416">
        <f>IF($A15=1,IF($M$1="Простой",Категорирование!H10,IF($M$1="Обычный",Категорирование!H11,Категорирование!H12)),0)</f>
        <v>0</v>
      </c>
      <c r="H15" s="1416">
        <f>IF($A15=1,IF($M$1="Простой",Категорирование!I10,IF($M$1="Обычный",Категорирование!I11,Категорирование!I12)),0)</f>
        <v>0</v>
      </c>
      <c r="I15" s="1416">
        <f>IF($A15=1,IF($M$1="Простой",Категорирование!J10,IF($M$1="Обычный",Категорирование!J11,Категорирование!J12)),0)</f>
        <v>0</v>
      </c>
      <c r="J15" s="1415">
        <f>SUM(K15:M15)</f>
        <v>0</v>
      </c>
      <c r="K15" s="1416">
        <f t="shared" si="6"/>
        <v>0</v>
      </c>
      <c r="L15" s="1416">
        <f t="shared" si="5"/>
        <v>0</v>
      </c>
      <c r="M15" s="1416">
        <f t="shared" si="5"/>
        <v>0</v>
      </c>
      <c r="N15" s="1418" t="s">
        <v>1399</v>
      </c>
    </row>
    <row r="16" spans="1:18" ht="15.75" hidden="1" outlineLevel="2" x14ac:dyDescent="0.2">
      <c r="A16" s="1410">
        <v>0</v>
      </c>
      <c r="B16" s="1417">
        <v>1</v>
      </c>
      <c r="C16" s="1418" t="s">
        <v>1400</v>
      </c>
      <c r="D16" s="1413"/>
      <c r="E16" s="1413"/>
      <c r="F16" s="1415">
        <f t="shared" si="3"/>
        <v>0</v>
      </c>
      <c r="G16" s="1416">
        <f>IF($A16=1,IF($M$1="Простой",Категорирование!H13,IF($M$1="Обычный",Категорирование!H14,Категорирование!H15)),0)</f>
        <v>0</v>
      </c>
      <c r="H16" s="1416">
        <f>IF($A16=1,IF($M$1="Простой",Категорирование!I13,IF($M$1="Обычный",Категорирование!I14,Категорирование!I15)),0)</f>
        <v>0</v>
      </c>
      <c r="I16" s="1416">
        <f>IF($A16=1,IF($M$1="Простой",Категорирование!J13,IF($M$1="Обычный",Категорирование!J14,Категорирование!J15)),0)</f>
        <v>0</v>
      </c>
      <c r="J16" s="1415">
        <f t="shared" si="4"/>
        <v>0</v>
      </c>
      <c r="K16" s="1416">
        <f t="shared" si="6"/>
        <v>0</v>
      </c>
      <c r="L16" s="1416">
        <f t="shared" si="5"/>
        <v>0</v>
      </c>
      <c r="M16" s="1416">
        <f t="shared" si="5"/>
        <v>0</v>
      </c>
      <c r="N16" s="1412"/>
    </row>
    <row r="17" spans="1:14" ht="15" hidden="1" customHeight="1" outlineLevel="2" x14ac:dyDescent="0.2">
      <c r="A17" s="1410">
        <v>0</v>
      </c>
      <c r="B17" s="1417">
        <v>1</v>
      </c>
      <c r="C17" s="1412" t="s">
        <v>1401</v>
      </c>
      <c r="D17" s="1413"/>
      <c r="E17" s="1413"/>
      <c r="F17" s="1415">
        <f t="shared" si="3"/>
        <v>0</v>
      </c>
      <c r="G17" s="1416">
        <f>IF($A17=1,IF($M$1="Простой",Категорирование!H16,IF($M$1="Обычный",Категорирование!H17,Категорирование!H18)),0)</f>
        <v>0</v>
      </c>
      <c r="H17" s="1416">
        <f>IF($A17=1,IF($M$1="Простой",Категорирование!I16,IF($M$1="Обычный",Категорирование!I17,Категорирование!I18)),0)</f>
        <v>0</v>
      </c>
      <c r="I17" s="1416">
        <f>IF($A17=1,IF($M$1="Простой",Категорирование!J16,IF($M$1="Обычный",Категорирование!J17,Категорирование!J18)),0)</f>
        <v>0</v>
      </c>
      <c r="J17" s="1415">
        <f t="shared" si="4"/>
        <v>0</v>
      </c>
      <c r="K17" s="1416">
        <f t="shared" si="6"/>
        <v>0</v>
      </c>
      <c r="L17" s="1416">
        <f t="shared" si="5"/>
        <v>0</v>
      </c>
      <c r="M17" s="1416">
        <f t="shared" si="5"/>
        <v>0</v>
      </c>
      <c r="N17" s="1412"/>
    </row>
    <row r="18" spans="1:14" ht="15" hidden="1" customHeight="1" outlineLevel="2" x14ac:dyDescent="0.2">
      <c r="A18" s="1410">
        <v>0</v>
      </c>
      <c r="B18" s="1417">
        <v>1</v>
      </c>
      <c r="C18" s="1412" t="s">
        <v>1402</v>
      </c>
      <c r="D18" s="1413"/>
      <c r="E18" s="1413"/>
      <c r="F18" s="1415">
        <f t="shared" si="3"/>
        <v>0</v>
      </c>
      <c r="G18" s="1416">
        <f>IF($A18=1,IF($M$1="Простой",Категорирование!H19,IF($M$1="Обычный",Категорирование!H20,Категорирование!H21)),0)</f>
        <v>0</v>
      </c>
      <c r="H18" s="1416">
        <f>IF($A18=1,IF($M$1="Простой",Категорирование!I19,IF($M$1="Обычный",Категорирование!I20,Категорирование!I21)),0)</f>
        <v>0</v>
      </c>
      <c r="I18" s="1416">
        <f>IF($A18=1,IF($M$1="Простой",Категорирование!J19,IF($M$1="Обычный",Категорирование!J20,Категорирование!J21)),0)</f>
        <v>0</v>
      </c>
      <c r="J18" s="1415">
        <f t="shared" si="4"/>
        <v>0</v>
      </c>
      <c r="K18" s="1416">
        <f t="shared" si="6"/>
        <v>0</v>
      </c>
      <c r="L18" s="1416">
        <f t="shared" si="5"/>
        <v>0</v>
      </c>
      <c r="M18" s="1416">
        <f t="shared" si="5"/>
        <v>0</v>
      </c>
      <c r="N18" s="1412"/>
    </row>
    <row r="19" spans="1:14" ht="15" hidden="1" customHeight="1" outlineLevel="2" x14ac:dyDescent="0.2">
      <c r="A19" s="1410">
        <v>0</v>
      </c>
      <c r="B19" s="1411">
        <v>0</v>
      </c>
      <c r="C19" s="1412" t="s">
        <v>1403</v>
      </c>
      <c r="D19" s="1413"/>
      <c r="E19" s="1413"/>
      <c r="F19" s="1415">
        <f t="shared" si="3"/>
        <v>0</v>
      </c>
      <c r="G19" s="1416">
        <f>IF($A19=1,IF($M$1="Простой",Категорирование!H22,IF($M$1="Обычный",Категорирование!H23,Категорирование!H24)),0)</f>
        <v>0</v>
      </c>
      <c r="H19" s="1416">
        <f>IF($A19=1,IF($M$1="Простой",Категорирование!I22,IF($M$1="Обычный",Категорирование!I23,Категорирование!I24)),0)</f>
        <v>0</v>
      </c>
      <c r="I19" s="1416">
        <f>IF($A19=1,IF($M$1="Простой",Категорирование!J22,IF($M$1="Обычный",Категорирование!J23,Категорирование!J24)),0)</f>
        <v>0</v>
      </c>
      <c r="J19" s="1415">
        <f t="shared" si="4"/>
        <v>0</v>
      </c>
      <c r="K19" s="1416">
        <f t="shared" si="6"/>
        <v>0</v>
      </c>
      <c r="L19" s="1416">
        <f t="shared" si="5"/>
        <v>0</v>
      </c>
      <c r="M19" s="1416">
        <f t="shared" si="5"/>
        <v>0</v>
      </c>
      <c r="N19" s="1412" t="s">
        <v>1375</v>
      </c>
    </row>
    <row r="20" spans="1:14" ht="24" hidden="1" outlineLevel="2" x14ac:dyDescent="0.2">
      <c r="A20" s="1410">
        <v>0</v>
      </c>
      <c r="B20" s="1417">
        <v>1</v>
      </c>
      <c r="C20" s="1412" t="s">
        <v>1404</v>
      </c>
      <c r="D20" s="1413"/>
      <c r="E20" s="1413"/>
      <c r="F20" s="1415">
        <f t="shared" si="3"/>
        <v>0</v>
      </c>
      <c r="G20" s="1416">
        <f>IF($A20=1,IF($M$1="Простой",Категорирование!H25,IF($M$1="Обычный",Категорирование!H26,Категорирование!H27)),0)</f>
        <v>0</v>
      </c>
      <c r="H20" s="1416">
        <f>IF($A20=1,IF($M$1="Простой",Категорирование!I25,IF($M$1="Обычный",Категорирование!I26,Категорирование!I27)),0)</f>
        <v>0</v>
      </c>
      <c r="I20" s="1416">
        <f>IF($A20=1,IF($M$1="Простой",Категорирование!J25,IF($M$1="Обычный",Категорирование!J26,Категорирование!J27)),0)</f>
        <v>0</v>
      </c>
      <c r="J20" s="1415">
        <f t="shared" si="4"/>
        <v>0</v>
      </c>
      <c r="K20" s="1416">
        <f t="shared" si="6"/>
        <v>0</v>
      </c>
      <c r="L20" s="1416">
        <f t="shared" si="5"/>
        <v>0</v>
      </c>
      <c r="M20" s="1416">
        <f t="shared" si="5"/>
        <v>0</v>
      </c>
      <c r="N20" s="1418" t="s">
        <v>1476</v>
      </c>
    </row>
    <row r="21" spans="1:14" ht="15" hidden="1" customHeight="1" outlineLevel="2" x14ac:dyDescent="0.2">
      <c r="A21" s="1410">
        <v>0</v>
      </c>
      <c r="B21" s="1417">
        <v>1</v>
      </c>
      <c r="C21" s="1412" t="s">
        <v>1405</v>
      </c>
      <c r="D21" s="1413"/>
      <c r="E21" s="1413"/>
      <c r="F21" s="1415">
        <f t="shared" si="3"/>
        <v>0</v>
      </c>
      <c r="G21" s="1416">
        <f>IF($A21=1,IF($M$1="Простой",Категорирование!H28,IF($M$1="Обычный",Категорирование!H29,Категорирование!H30)),0)</f>
        <v>0</v>
      </c>
      <c r="H21" s="1416">
        <f>IF($A21=1,IF($M$1="Простой",Категорирование!I28,IF($M$1="Обычный",Категорирование!I29,Категорирование!I30)),0)</f>
        <v>0</v>
      </c>
      <c r="I21" s="1416">
        <f>IF($A21=1,IF($M$1="Простой",Категорирование!J28,IF($M$1="Обычный",Категорирование!J29,Категорирование!J30)),0)</f>
        <v>0</v>
      </c>
      <c r="J21" s="1415">
        <f t="shared" si="4"/>
        <v>0</v>
      </c>
      <c r="K21" s="1416">
        <f t="shared" si="6"/>
        <v>0</v>
      </c>
      <c r="L21" s="1416">
        <f t="shared" si="5"/>
        <v>0</v>
      </c>
      <c r="M21" s="1416">
        <f t="shared" si="5"/>
        <v>0</v>
      </c>
      <c r="N21" s="1412"/>
    </row>
    <row r="22" spans="1:14" ht="15" hidden="1" customHeight="1" outlineLevel="2" x14ac:dyDescent="0.2">
      <c r="A22" s="1410">
        <v>0</v>
      </c>
      <c r="B22" s="1417">
        <v>1</v>
      </c>
      <c r="C22" s="1412" t="s">
        <v>1406</v>
      </c>
      <c r="D22" s="1413"/>
      <c r="E22" s="1413"/>
      <c r="F22" s="1415">
        <f t="shared" si="3"/>
        <v>0</v>
      </c>
      <c r="G22" s="1416">
        <f>IF($A22=1,IF($M$1="Простой",Категорирование!H31,IF($M$1="Обычный",Категорирование!H32,Категорирование!H33)),0)</f>
        <v>0</v>
      </c>
      <c r="H22" s="1416">
        <f>IF($A22=1,IF($M$1="Простой",Категорирование!I31,IF($M$1="Обычный",Категорирование!I32,Категорирование!I33)),0)</f>
        <v>0</v>
      </c>
      <c r="I22" s="1416">
        <f>IF($A22=1,IF($M$1="Простой",Категорирование!J31,IF($M$1="Обычный",Категорирование!J32,Категорирование!J33)),0)</f>
        <v>0</v>
      </c>
      <c r="J22" s="1415">
        <f t="shared" si="4"/>
        <v>0</v>
      </c>
      <c r="K22" s="1416">
        <f t="shared" si="6"/>
        <v>0</v>
      </c>
      <c r="L22" s="1416">
        <f t="shared" si="5"/>
        <v>0</v>
      </c>
      <c r="M22" s="1416">
        <f t="shared" si="5"/>
        <v>0</v>
      </c>
      <c r="N22" s="1412"/>
    </row>
    <row r="23" spans="1:14" ht="64.150000000000006" hidden="1" customHeight="1" outlineLevel="2" x14ac:dyDescent="0.2">
      <c r="A23" s="1410">
        <v>0</v>
      </c>
      <c r="B23" s="1417">
        <v>1</v>
      </c>
      <c r="C23" s="1418" t="s">
        <v>1407</v>
      </c>
      <c r="D23" s="1413"/>
      <c r="E23" s="1413"/>
      <c r="F23" s="1415">
        <f t="shared" si="3"/>
        <v>0</v>
      </c>
      <c r="G23" s="1416">
        <f>IF($A23=1,IF($M$1="Простой",Категорирование!H34,IF($M$1="Обычный",Категорирование!H35,Категорирование!H36)),0)</f>
        <v>0</v>
      </c>
      <c r="H23" s="1416">
        <f>IF($A23=1,IF($M$1="Простой",Категорирование!I34,IF($M$1="Обычный",Категорирование!I35,Категорирование!I36)),0)</f>
        <v>0</v>
      </c>
      <c r="I23" s="1416">
        <f>IF($A23=1,IF($M$1="Простой",Категорирование!J34,IF($M$1="Обычный",Категорирование!J35,Категорирование!J36)),0)</f>
        <v>0</v>
      </c>
      <c r="J23" s="1415">
        <f t="shared" si="4"/>
        <v>0</v>
      </c>
      <c r="K23" s="1416">
        <f t="shared" si="6"/>
        <v>0</v>
      </c>
      <c r="L23" s="1416">
        <f t="shared" si="5"/>
        <v>0</v>
      </c>
      <c r="M23" s="1416">
        <f t="shared" si="5"/>
        <v>0</v>
      </c>
      <c r="N23" s="1418" t="s">
        <v>1477</v>
      </c>
    </row>
    <row r="24" spans="1:14" ht="34.5" hidden="1" customHeight="1" outlineLevel="2" thickBot="1" x14ac:dyDescent="0.25">
      <c r="A24" s="1410">
        <v>0</v>
      </c>
      <c r="B24" s="1417">
        <v>1</v>
      </c>
      <c r="C24" s="1418" t="s">
        <v>1408</v>
      </c>
      <c r="D24" s="1413"/>
      <c r="E24" s="1419"/>
      <c r="F24" s="1415">
        <f t="shared" si="3"/>
        <v>0</v>
      </c>
      <c r="G24" s="1416">
        <f>IF($A24=1,IF($M$1="Простой",Категорирование!H37,IF($M$1="Обычный",Категорирование!H38,Категорирование!H39)),0)</f>
        <v>0</v>
      </c>
      <c r="H24" s="1416">
        <f>IF($A24=1,IF($M$1="Простой",Категорирование!I37,IF($M$1="Обычный",Категорирование!I38,Категорирование!I39)),0)</f>
        <v>0</v>
      </c>
      <c r="I24" s="1416">
        <f>IF($A24=1,IF($M$1="Простой",Категорирование!J37,IF($M$1="Обычный",Категорирование!J38,Категорирование!J39)),0)</f>
        <v>0</v>
      </c>
      <c r="J24" s="1415">
        <f t="shared" si="4"/>
        <v>0</v>
      </c>
      <c r="K24" s="1416">
        <f t="shared" si="6"/>
        <v>0</v>
      </c>
      <c r="L24" s="1416">
        <f t="shared" si="5"/>
        <v>0</v>
      </c>
      <c r="M24" s="1416">
        <f t="shared" si="5"/>
        <v>0</v>
      </c>
      <c r="N24" s="1412" t="s">
        <v>1478</v>
      </c>
    </row>
    <row r="25" spans="1:14" ht="16.5" hidden="1" customHeight="1" outlineLevel="1" thickBot="1" x14ac:dyDescent="0.25">
      <c r="A25" s="2085"/>
      <c r="B25" s="2085"/>
      <c r="C25" s="2088" t="s">
        <v>1479</v>
      </c>
      <c r="D25" s="1585" t="s">
        <v>876</v>
      </c>
      <c r="E25" s="1409">
        <v>1</v>
      </c>
      <c r="F25" s="2091">
        <f>SUM(G25:I27)</f>
        <v>149</v>
      </c>
      <c r="G25" s="2094">
        <f>ROUNDUP(G28+G31+G33+G35,0)</f>
        <v>68</v>
      </c>
      <c r="H25" s="2094">
        <f>ROUNDUP(H28+H31+H33+H35,0)</f>
        <v>59</v>
      </c>
      <c r="I25" s="2094">
        <f>ROUNDUP(I28+I31+I33+I35,0)</f>
        <v>22</v>
      </c>
      <c r="J25" s="2094">
        <f>ROUNDUP(SUM(K25:M27),2)</f>
        <v>18.5</v>
      </c>
      <c r="K25" s="2094">
        <f>ROUNDUP(SUM(K28,K31,K33,K35),2)</f>
        <v>8.4499999999999993</v>
      </c>
      <c r="L25" s="2094">
        <f>ROUNDUP(SUM(L28,L31,L33,L35),2)</f>
        <v>7.3</v>
      </c>
      <c r="M25" s="2094">
        <f>ROUNDUP(SUM(M28,M31,M33,M35),2)</f>
        <v>2.75</v>
      </c>
      <c r="N25" s="2100" t="s">
        <v>1480</v>
      </c>
    </row>
    <row r="26" spans="1:14" ht="16.5" hidden="1" customHeight="1" outlineLevel="1" thickBot="1" x14ac:dyDescent="0.25">
      <c r="A26" s="2086"/>
      <c r="B26" s="2086"/>
      <c r="C26" s="2089"/>
      <c r="D26" s="1587" t="s">
        <v>1358</v>
      </c>
      <c r="E26" s="1409">
        <v>20</v>
      </c>
      <c r="F26" s="2092"/>
      <c r="G26" s="2095"/>
      <c r="H26" s="2095"/>
      <c r="I26" s="2095"/>
      <c r="J26" s="2095"/>
      <c r="K26" s="2095"/>
      <c r="L26" s="2095"/>
      <c r="M26" s="2095"/>
      <c r="N26" s="2101"/>
    </row>
    <row r="27" spans="1:14" ht="27" hidden="1" customHeight="1" outlineLevel="1" thickBot="1" x14ac:dyDescent="0.25">
      <c r="A27" s="2087"/>
      <c r="B27" s="2087"/>
      <c r="C27" s="2090"/>
      <c r="D27" s="1588" t="s">
        <v>1481</v>
      </c>
      <c r="E27" s="1409" t="s">
        <v>106</v>
      </c>
      <c r="F27" s="2093"/>
      <c r="G27" s="2096"/>
      <c r="H27" s="2096"/>
      <c r="I27" s="2096"/>
      <c r="J27" s="2096"/>
      <c r="K27" s="2096"/>
      <c r="L27" s="2096"/>
      <c r="M27" s="2096"/>
      <c r="N27" s="2102"/>
    </row>
    <row r="28" spans="1:14" ht="31.5" hidden="1" outlineLevel="2" x14ac:dyDescent="0.2">
      <c r="A28" s="1420"/>
      <c r="B28" s="1420"/>
      <c r="C28" s="1589" t="s">
        <v>1352</v>
      </c>
      <c r="D28" s="1590"/>
      <c r="E28" s="1590"/>
      <c r="F28" s="1591">
        <f t="shared" ref="F28:F37" si="7">SUM(G28:I28)</f>
        <v>7.9999999999999991</v>
      </c>
      <c r="G28" s="1591">
        <f t="shared" ref="G28:M28" si="8">SUM(G29:G30)</f>
        <v>4.8</v>
      </c>
      <c r="H28" s="1591">
        <f t="shared" si="8"/>
        <v>2.4</v>
      </c>
      <c r="I28" s="1591">
        <f t="shared" si="8"/>
        <v>0.8</v>
      </c>
      <c r="J28" s="1591">
        <f>SUM(J29:J30)</f>
        <v>0.99999999999999989</v>
      </c>
      <c r="K28" s="1591">
        <f t="shared" si="8"/>
        <v>0.6</v>
      </c>
      <c r="L28" s="1591">
        <f t="shared" si="8"/>
        <v>0.3</v>
      </c>
      <c r="M28" s="1591">
        <f t="shared" si="8"/>
        <v>0.1</v>
      </c>
      <c r="N28" s="1592"/>
    </row>
    <row r="29" spans="1:14" ht="15.75" hidden="1" outlineLevel="3" x14ac:dyDescent="0.2">
      <c r="A29" s="1410">
        <v>0</v>
      </c>
      <c r="B29" s="1411">
        <v>0</v>
      </c>
      <c r="C29" s="1423" t="s">
        <v>1353</v>
      </c>
      <c r="D29" s="1413"/>
      <c r="E29" s="1413"/>
      <c r="F29" s="1415">
        <f t="shared" si="7"/>
        <v>0</v>
      </c>
      <c r="G29" s="1416">
        <f>IF($A29=1,IF($M$1="Простой",'Обследование и аудит КИИ'!H2,IF($M$1="Обычный",'Обследование и аудит КИИ'!H3,'Обследование и аудит КИИ'!H4)),0)</f>
        <v>0</v>
      </c>
      <c r="H29" s="1416">
        <f>IF($A29=1,IF($M$1="Простой",'Обследование и аудит КИИ'!I2,IF($M$1="Обычный",'Обследование и аудит КИИ'!I3,'Обследование и аудит КИИ'!I4)),0)</f>
        <v>0</v>
      </c>
      <c r="I29" s="1416">
        <f>IF($A29=1,IF($M$1="Простой",'Обследование и аудит КИИ'!J2,IF($M$1="Обычный",'Обследование и аудит КИИ'!J3,'Обследование и аудит КИИ'!J4)),0)</f>
        <v>0</v>
      </c>
      <c r="J29" s="1415">
        <f t="shared" ref="J29:J37" si="9">SUM(K29:M29)</f>
        <v>0</v>
      </c>
      <c r="K29" s="1416">
        <f>(G29/8)</f>
        <v>0</v>
      </c>
      <c r="L29" s="1416">
        <f t="shared" ref="L29:M37" si="10">(H29/8)</f>
        <v>0</v>
      </c>
      <c r="M29" s="1416">
        <f t="shared" si="10"/>
        <v>0</v>
      </c>
      <c r="N29" s="1412"/>
    </row>
    <row r="30" spans="1:14" ht="15.75" hidden="1" outlineLevel="3" x14ac:dyDescent="0.2">
      <c r="A30" s="1410">
        <v>1</v>
      </c>
      <c r="B30" s="1417">
        <v>1</v>
      </c>
      <c r="C30" s="1423" t="s">
        <v>1354</v>
      </c>
      <c r="D30" s="1413"/>
      <c r="E30" s="1413"/>
      <c r="F30" s="1415">
        <f t="shared" si="7"/>
        <v>7.9999999999999991</v>
      </c>
      <c r="G30" s="1416">
        <f>IF($A30=1,IF($M$1="Простой",'Обследование и аудит КИИ'!H5,IF($M$1="Обычный",'Обследование и аудит КИИ'!H6,'Обследование и аудит КИИ'!H7)),0)</f>
        <v>4.8</v>
      </c>
      <c r="H30" s="1416">
        <f>IF($A30=1,IF($M$1="Простой",'Обследование и аудит КИИ'!I5,IF($M$1="Обычный",'Обследование и аудит КИИ'!I6,'Обследование и аудит КИИ'!I7)),0)</f>
        <v>2.4</v>
      </c>
      <c r="I30" s="1416">
        <f>IF($A30=1,IF($M$1="Простой",'Обследование и аудит КИИ'!J5,IF($M$1="Обычный",'Обследование и аудит КИИ'!J6,'Обследование и аудит КИИ'!J7)),0)</f>
        <v>0.8</v>
      </c>
      <c r="J30" s="1415">
        <f t="shared" si="9"/>
        <v>0.99999999999999989</v>
      </c>
      <c r="K30" s="1416">
        <f t="shared" ref="K30:K37" si="11">(G30/8)</f>
        <v>0.6</v>
      </c>
      <c r="L30" s="1416">
        <f t="shared" si="10"/>
        <v>0.3</v>
      </c>
      <c r="M30" s="1416">
        <f t="shared" si="10"/>
        <v>0.1</v>
      </c>
      <c r="N30" s="1412"/>
    </row>
    <row r="31" spans="1:14" ht="24" hidden="1" outlineLevel="2" x14ac:dyDescent="0.2">
      <c r="A31" s="1420"/>
      <c r="B31" s="1420"/>
      <c r="C31" s="1589" t="s">
        <v>1588</v>
      </c>
      <c r="D31" s="1590"/>
      <c r="E31" s="1590"/>
      <c r="F31" s="1591">
        <f t="shared" si="7"/>
        <v>64</v>
      </c>
      <c r="G31" s="1591">
        <f>SUM(G32:G33)</f>
        <v>28.4</v>
      </c>
      <c r="H31" s="1591">
        <f t="shared" ref="H31:I31" si="12">SUM(H32:H33)</f>
        <v>25.6</v>
      </c>
      <c r="I31" s="1591">
        <f t="shared" si="12"/>
        <v>10</v>
      </c>
      <c r="J31" s="1591">
        <f>SUM(K31:L31:M31)</f>
        <v>8</v>
      </c>
      <c r="K31" s="1591">
        <f>SUM(K32+K33)</f>
        <v>3.55</v>
      </c>
      <c r="L31" s="1591">
        <f>SUM(L32+L33)</f>
        <v>3.2</v>
      </c>
      <c r="M31" s="1591">
        <f t="shared" ref="M31" si="13">SUM(M32+M33)</f>
        <v>1.25</v>
      </c>
      <c r="N31" s="1592" t="s">
        <v>1589</v>
      </c>
    </row>
    <row r="32" spans="1:14" ht="15.75" hidden="1" outlineLevel="3" x14ac:dyDescent="0.2">
      <c r="A32" s="1410">
        <v>1</v>
      </c>
      <c r="B32" s="1417">
        <v>1</v>
      </c>
      <c r="C32" s="1423" t="s">
        <v>1360</v>
      </c>
      <c r="D32" s="1413"/>
      <c r="E32" s="1413"/>
      <c r="F32" s="1415">
        <f t="shared" si="7"/>
        <v>52</v>
      </c>
      <c r="G32" s="1416">
        <f>IF($A32=1,IF($M$1="Простой",'Обследование и аудит КИИ'!H11,IF($M$1="Обычный",'Обследование и аудит КИИ'!H12,'Обследование и аудит КИИ'!H13)),0)</f>
        <v>26</v>
      </c>
      <c r="H32" s="1416">
        <f>IF($A32=1,IF($M$1="Простой",'Обследование и аудит КИИ'!I11,IF($M$1="Обычный",'Обследование и аудит КИИ'!I12,'Обследование и аудит КИИ'!I13)),0)</f>
        <v>20.8</v>
      </c>
      <c r="I32" s="1416">
        <f>IF($A32=1,IF($M$1="Простой",'Обследование и аудит КИИ'!J11,IF($M$1="Обычный",'Обследование и аудит КИИ'!J12,'Обследование и аудит КИИ'!J13)),0)</f>
        <v>5.2</v>
      </c>
      <c r="J32" s="1415">
        <f t="shared" si="9"/>
        <v>6.5</v>
      </c>
      <c r="K32" s="1416">
        <f t="shared" si="11"/>
        <v>3.25</v>
      </c>
      <c r="L32" s="1416">
        <f t="shared" si="10"/>
        <v>2.6</v>
      </c>
      <c r="M32" s="1416">
        <f t="shared" si="10"/>
        <v>0.65</v>
      </c>
      <c r="N32" s="1412"/>
    </row>
    <row r="33" spans="1:14" ht="36" hidden="1" outlineLevel="2" x14ac:dyDescent="0.2">
      <c r="A33" s="1420"/>
      <c r="B33" s="1420"/>
      <c r="C33" s="1593" t="s">
        <v>1362</v>
      </c>
      <c r="D33" s="1629"/>
      <c r="E33" s="1629"/>
      <c r="F33" s="1415">
        <f t="shared" si="7"/>
        <v>12.000000000000002</v>
      </c>
      <c r="G33" s="1415">
        <f>SUM(G34:G34)</f>
        <v>2.4000000000000004</v>
      </c>
      <c r="H33" s="1415">
        <f>SUM(H34:H34)</f>
        <v>4.8000000000000007</v>
      </c>
      <c r="I33" s="1415">
        <f>SUM(I34:I34)</f>
        <v>4.8000000000000007</v>
      </c>
      <c r="J33" s="1415">
        <f>SUM(J34)</f>
        <v>1.5000000000000002</v>
      </c>
      <c r="K33" s="1415">
        <f>SUM(K34)</f>
        <v>0.30000000000000004</v>
      </c>
      <c r="L33" s="1415">
        <f t="shared" ref="L33:M33" si="14">SUM(L34)</f>
        <v>0.60000000000000009</v>
      </c>
      <c r="M33" s="1415">
        <f t="shared" si="14"/>
        <v>0.60000000000000009</v>
      </c>
      <c r="N33" s="1422" t="s">
        <v>1590</v>
      </c>
    </row>
    <row r="34" spans="1:14" ht="24" hidden="1" outlineLevel="3" x14ac:dyDescent="0.2">
      <c r="A34" s="1410">
        <v>1</v>
      </c>
      <c r="B34" s="1417">
        <v>1</v>
      </c>
      <c r="C34" s="1425" t="s">
        <v>1364</v>
      </c>
      <c r="D34" s="1413"/>
      <c r="E34" s="1413"/>
      <c r="F34" s="1415">
        <f t="shared" si="7"/>
        <v>12.000000000000002</v>
      </c>
      <c r="G34" s="1416">
        <f>IF($A34=1,IF($M$1="Простой",'Обследование и аудит КИИ'!H17,IF($M$1="Обычный",'Обследование и аудит КИИ'!H18,'Обследование и аудит КИИ'!H19)),0)</f>
        <v>2.4000000000000004</v>
      </c>
      <c r="H34" s="1416">
        <f>IF($A34=1,IF($M$1="Простой",'Обследование и аудит КИИ'!I17,IF($M$1="Обычный",'Обследование и аудит КИИ'!I18,'Обследование и аудит КИИ'!I19)),0)</f>
        <v>4.8000000000000007</v>
      </c>
      <c r="I34" s="1416">
        <f>IF($A34=1,IF($M$1="Простой",'Обследование и аудит КИИ'!J17,IF($M$1="Обычный",'Обследование и аудит КИИ'!J18,'Обследование и аудит КИИ'!J19)),0)</f>
        <v>4.8000000000000007</v>
      </c>
      <c r="J34" s="1415">
        <f t="shared" si="9"/>
        <v>1.5000000000000002</v>
      </c>
      <c r="K34" s="1416">
        <f t="shared" si="11"/>
        <v>0.30000000000000004</v>
      </c>
      <c r="L34" s="1416">
        <f t="shared" si="10"/>
        <v>0.60000000000000009</v>
      </c>
      <c r="M34" s="1416">
        <f t="shared" si="10"/>
        <v>0.60000000000000009</v>
      </c>
      <c r="N34" s="1412"/>
    </row>
    <row r="35" spans="1:14" ht="51" hidden="1" customHeight="1" outlineLevel="2" x14ac:dyDescent="0.2">
      <c r="A35" s="1420"/>
      <c r="B35" s="1420"/>
      <c r="C35" s="1589" t="s">
        <v>1365</v>
      </c>
      <c r="D35" s="1590"/>
      <c r="E35" s="1590"/>
      <c r="F35" s="1591">
        <f t="shared" si="7"/>
        <v>64</v>
      </c>
      <c r="G35" s="1591">
        <f>SUM(G36:G37)</f>
        <v>32</v>
      </c>
      <c r="H35" s="1591">
        <f>SUM(H36:H37)</f>
        <v>25.6</v>
      </c>
      <c r="I35" s="1591">
        <f>SUM(I36:I37)</f>
        <v>6.4</v>
      </c>
      <c r="J35" s="1591">
        <f>SUM(K35:M35)</f>
        <v>8</v>
      </c>
      <c r="K35" s="1591">
        <f t="shared" ref="K35:L35" si="15">SUM(K36:K37)</f>
        <v>4</v>
      </c>
      <c r="L35" s="1591">
        <f t="shared" si="15"/>
        <v>3.2</v>
      </c>
      <c r="M35" s="1591">
        <f>SUM(M36:M37)</f>
        <v>0.8</v>
      </c>
      <c r="N35" s="1592" t="s">
        <v>1591</v>
      </c>
    </row>
    <row r="36" spans="1:14" ht="15.75" hidden="1" outlineLevel="3" x14ac:dyDescent="0.2">
      <c r="A36" s="1410">
        <v>1</v>
      </c>
      <c r="B36" s="1417">
        <v>1</v>
      </c>
      <c r="C36" s="1423" t="s">
        <v>1365</v>
      </c>
      <c r="D36" s="1413"/>
      <c r="E36" s="1413"/>
      <c r="F36" s="1415">
        <f t="shared" si="7"/>
        <v>64</v>
      </c>
      <c r="G36" s="1416">
        <f>IF($A36=1,IF($M$1="Простой",'Обследование и аудит КИИ'!H21,IF($M$1="Обычный",'Обследование и аудит КИИ'!H22,'Обследование и аудит КИИ'!H23)),0)</f>
        <v>32</v>
      </c>
      <c r="H36" s="1416">
        <f>IF($A36=1,IF($M$1="Простой",'Обследование и аудит КИИ'!I21,IF($M$1="Обычный",'Обследование и аудит КИИ'!I22,'Обследование и аудит КИИ'!I23)),0)</f>
        <v>25.6</v>
      </c>
      <c r="I36" s="1416">
        <f>IF($A36=1,IF($M$1="Простой",'Обследование и аудит КИИ'!J21,IF($M$1="Обычный",'Обследование и аудит КИИ'!J22,'Обследование и аудит КИИ'!J23)),0)</f>
        <v>6.4</v>
      </c>
      <c r="J36" s="1415">
        <f t="shared" si="9"/>
        <v>8</v>
      </c>
      <c r="K36" s="1416">
        <f t="shared" si="11"/>
        <v>4</v>
      </c>
      <c r="L36" s="1416">
        <f t="shared" si="10"/>
        <v>3.2</v>
      </c>
      <c r="M36" s="1416">
        <f t="shared" si="10"/>
        <v>0.8</v>
      </c>
      <c r="N36" s="1412"/>
    </row>
    <row r="37" spans="1:14" ht="60" hidden="1" customHeight="1" outlineLevel="3" thickBot="1" x14ac:dyDescent="0.25">
      <c r="A37" s="1410">
        <v>0</v>
      </c>
      <c r="B37" s="1411">
        <v>0</v>
      </c>
      <c r="C37" s="1425" t="s">
        <v>1368</v>
      </c>
      <c r="D37" s="1413"/>
      <c r="E37" s="1414"/>
      <c r="F37" s="1415">
        <f t="shared" si="7"/>
        <v>0</v>
      </c>
      <c r="G37" s="1416">
        <f>IF($A37=1,IF($M$1="Простой",'Обследование и аудит КИИ'!H27,IF($M$1="Обычный",'Обследование и аудит КИИ'!H28,'Обследование и аудит КИИ'!H29)),0)</f>
        <v>0</v>
      </c>
      <c r="H37" s="1416">
        <f>IF($A37=1,IF($M$1="Простой",'Обследование и аудит КИИ'!I27,IF($M$1="Обычный",'Обследование и аудит КИИ'!I28,'Обследование и аудит КИИ'!I29)),0)</f>
        <v>0</v>
      </c>
      <c r="I37" s="1416">
        <f>IF($A37=1,IF($M$1="Простой",'Обследование и аудит КИИ'!J27,IF($M$1="Обычный",'Обследование и аудит КИИ'!J28,'Обследование и аудит КИИ'!J29)),0)</f>
        <v>0</v>
      </c>
      <c r="J37" s="1415">
        <f t="shared" si="9"/>
        <v>0</v>
      </c>
      <c r="K37" s="1416">
        <f t="shared" si="11"/>
        <v>0</v>
      </c>
      <c r="L37" s="1416">
        <f t="shared" si="10"/>
        <v>0</v>
      </c>
      <c r="M37" s="1416">
        <f t="shared" si="10"/>
        <v>0</v>
      </c>
      <c r="N37" s="1418" t="s">
        <v>1482</v>
      </c>
    </row>
    <row r="38" spans="1:14" ht="12.75" hidden="1" customHeight="1" outlineLevel="1" thickBot="1" x14ac:dyDescent="0.25">
      <c r="A38" s="2085"/>
      <c r="B38" s="2085"/>
      <c r="C38" s="2088" t="s">
        <v>1483</v>
      </c>
      <c r="D38" s="1585" t="s">
        <v>1421</v>
      </c>
      <c r="E38" s="1409">
        <v>1</v>
      </c>
      <c r="F38" s="2091">
        <f>SUM(G38:I40)</f>
        <v>0</v>
      </c>
      <c r="G38" s="2094">
        <f>ROUNDUP(SUM(G41:G41),0)</f>
        <v>0</v>
      </c>
      <c r="H38" s="2094">
        <f t="shared" ref="H38:I38" si="16">ROUNDUP(SUM(H41:H41),0)</f>
        <v>0</v>
      </c>
      <c r="I38" s="2094">
        <f t="shared" si="16"/>
        <v>0</v>
      </c>
      <c r="J38" s="2091">
        <f>ROUNDUP(SUM(J41),2)</f>
        <v>0</v>
      </c>
      <c r="K38" s="2091">
        <f t="shared" ref="K38:M38" si="17">ROUNDUP(SUM(K41),2)</f>
        <v>0</v>
      </c>
      <c r="L38" s="2091">
        <f t="shared" si="17"/>
        <v>0</v>
      </c>
      <c r="M38" s="2091">
        <f t="shared" si="17"/>
        <v>0</v>
      </c>
      <c r="N38" s="2100" t="s">
        <v>1484</v>
      </c>
    </row>
    <row r="39" spans="1:14" ht="12.6" hidden="1" customHeight="1" outlineLevel="1" thickBot="1" x14ac:dyDescent="0.25">
      <c r="A39" s="2086"/>
      <c r="B39" s="2086"/>
      <c r="C39" s="2089"/>
      <c r="D39" s="1586" t="s">
        <v>1422</v>
      </c>
      <c r="E39" s="1409">
        <v>1</v>
      </c>
      <c r="F39" s="2092"/>
      <c r="G39" s="2095"/>
      <c r="H39" s="2095"/>
      <c r="I39" s="2095"/>
      <c r="J39" s="2092"/>
      <c r="K39" s="2092"/>
      <c r="L39" s="2092"/>
      <c r="M39" s="2092"/>
      <c r="N39" s="2101"/>
    </row>
    <row r="40" spans="1:14" ht="24.75" hidden="1" outlineLevel="1" thickBot="1" x14ac:dyDescent="0.25">
      <c r="A40" s="2087"/>
      <c r="B40" s="2087"/>
      <c r="C40" s="2090"/>
      <c r="D40" s="1586" t="s">
        <v>1423</v>
      </c>
      <c r="E40" s="1409" t="s">
        <v>106</v>
      </c>
      <c r="F40" s="2093"/>
      <c r="G40" s="2096"/>
      <c r="H40" s="2096"/>
      <c r="I40" s="2096"/>
      <c r="J40" s="2093"/>
      <c r="K40" s="2093"/>
      <c r="L40" s="2093"/>
      <c r="M40" s="2093"/>
      <c r="N40" s="2102"/>
    </row>
    <row r="41" spans="1:14" ht="16.5" hidden="1" outlineLevel="2" thickBot="1" x14ac:dyDescent="0.25">
      <c r="A41" s="1410">
        <v>0</v>
      </c>
      <c r="B41" s="1417">
        <v>1</v>
      </c>
      <c r="C41" s="1423" t="s">
        <v>1425</v>
      </c>
      <c r="D41" s="1413"/>
      <c r="E41" s="1414"/>
      <c r="F41" s="1415">
        <f>SUM(G41:I41)</f>
        <v>0</v>
      </c>
      <c r="G41" s="1416">
        <f>IF($A41=1,IF($M$1="Простой",'МУиН КИИ (АСУТП)'!H4,IF($M$1="Обычный",'МУиН КИИ (АСУТП)'!H5,'МУиН КИИ (АСУТП)'!H6)),0)</f>
        <v>0</v>
      </c>
      <c r="H41" s="1416">
        <f>IF($A41=1,IF($M$1="Простой",'МУиН КИИ (АСУТП)'!I4,IF($M$1="Обычный",'МУиН КИИ (АСУТП)'!I5,'МУиН КИИ (АСУТП)'!I6)),0)</f>
        <v>0</v>
      </c>
      <c r="I41" s="1416">
        <f>IF($A41=1,IF($M$1="Простой",'МУиН КИИ (АСУТП)'!J4,IF($M$1="Обычный",'МУиН КИИ (АСУТП)'!J5,'МУиН КИИ (АСУТП)'!J6)),0)</f>
        <v>0</v>
      </c>
      <c r="J41" s="1415">
        <f>SUM(K41:M41)</f>
        <v>0</v>
      </c>
      <c r="K41" s="1416">
        <f>(G41/8)</f>
        <v>0</v>
      </c>
      <c r="L41" s="1416">
        <f t="shared" ref="L41:M41" si="18">(H41/8)</f>
        <v>0</v>
      </c>
      <c r="M41" s="1416">
        <f t="shared" si="18"/>
        <v>0</v>
      </c>
      <c r="N41" s="1412"/>
    </row>
    <row r="42" spans="1:14" ht="24.6" hidden="1" customHeight="1" outlineLevel="1" thickBot="1" x14ac:dyDescent="0.25">
      <c r="A42" s="2085"/>
      <c r="B42" s="2085"/>
      <c r="C42" s="2088" t="s">
        <v>1485</v>
      </c>
      <c r="D42" s="1594" t="s">
        <v>1230</v>
      </c>
      <c r="E42" s="1409">
        <v>1</v>
      </c>
      <c r="F42" s="2091">
        <f>SUM(G42:I44)</f>
        <v>0</v>
      </c>
      <c r="G42" s="2094">
        <f>ROUNDUP(G45+G49+G85,0)</f>
        <v>0</v>
      </c>
      <c r="H42" s="2094">
        <f>ROUNDUP(H45+H49+H85,0)</f>
        <v>0</v>
      </c>
      <c r="I42" s="2094">
        <f t="shared" ref="I42" si="19">ROUNDUP(I45+I49+I85,0)</f>
        <v>0</v>
      </c>
      <c r="J42" s="2091">
        <f>ROUNDUP(SUM(J45,J49,J85),2)</f>
        <v>0</v>
      </c>
      <c r="K42" s="2091">
        <f>ROUNDUP(SUM(K45,K49,K85),2)</f>
        <v>0</v>
      </c>
      <c r="L42" s="2091">
        <f t="shared" ref="L42:M42" si="20">ROUNDUP(SUM(L45,L49,L85),2)</f>
        <v>0</v>
      </c>
      <c r="M42" s="2091">
        <f t="shared" si="20"/>
        <v>0</v>
      </c>
      <c r="N42" s="2100" t="s">
        <v>1486</v>
      </c>
    </row>
    <row r="43" spans="1:14" ht="12.6" hidden="1" customHeight="1" outlineLevel="1" thickBot="1" x14ac:dyDescent="0.25">
      <c r="A43" s="2086"/>
      <c r="B43" s="2086"/>
      <c r="C43" s="2089"/>
      <c r="D43" s="1595" t="s">
        <v>1231</v>
      </c>
      <c r="E43" s="1409" t="s">
        <v>106</v>
      </c>
      <c r="F43" s="2092"/>
      <c r="G43" s="2095"/>
      <c r="H43" s="2095"/>
      <c r="I43" s="2095"/>
      <c r="J43" s="2092"/>
      <c r="K43" s="2092"/>
      <c r="L43" s="2092"/>
      <c r="M43" s="2092"/>
      <c r="N43" s="2101"/>
    </row>
    <row r="44" spans="1:14" ht="24.75" hidden="1" outlineLevel="1" thickBot="1" x14ac:dyDescent="0.25">
      <c r="A44" s="2087"/>
      <c r="B44" s="2087"/>
      <c r="C44" s="2090"/>
      <c r="D44" s="1595" t="s">
        <v>1232</v>
      </c>
      <c r="E44" s="1409" t="s">
        <v>106</v>
      </c>
      <c r="F44" s="2093"/>
      <c r="G44" s="2096"/>
      <c r="H44" s="2096"/>
      <c r="I44" s="2096"/>
      <c r="J44" s="2093"/>
      <c r="K44" s="2093"/>
      <c r="L44" s="2093"/>
      <c r="M44" s="2093"/>
      <c r="N44" s="2102"/>
    </row>
    <row r="45" spans="1:14" ht="15.75" hidden="1" outlineLevel="2" x14ac:dyDescent="0.2">
      <c r="A45" s="1420"/>
      <c r="B45" s="1420"/>
      <c r="C45" s="1596" t="s">
        <v>1236</v>
      </c>
      <c r="D45" s="1629"/>
      <c r="E45" s="1629"/>
      <c r="F45" s="1415">
        <f t="shared" ref="F45:F87" si="21">SUM(G45:I45)</f>
        <v>0</v>
      </c>
      <c r="G45" s="1426">
        <f t="shared" ref="G45:M45" si="22">SUM(G46:G48)</f>
        <v>0</v>
      </c>
      <c r="H45" s="1426">
        <f>SUM(H46:H48)</f>
        <v>0</v>
      </c>
      <c r="I45" s="1426">
        <f t="shared" si="22"/>
        <v>0</v>
      </c>
      <c r="J45" s="1415">
        <f>SUM(J46:J48)</f>
        <v>0</v>
      </c>
      <c r="K45" s="1426">
        <f>SUM(K46:K48)</f>
        <v>0</v>
      </c>
      <c r="L45" s="1426">
        <f t="shared" si="22"/>
        <v>0</v>
      </c>
      <c r="M45" s="1426">
        <f t="shared" si="22"/>
        <v>0</v>
      </c>
      <c r="N45" s="1424"/>
    </row>
    <row r="46" spans="1:14" ht="12" hidden="1" customHeight="1" outlineLevel="3" x14ac:dyDescent="0.2">
      <c r="A46" s="1410">
        <v>0</v>
      </c>
      <c r="B46" s="1417">
        <v>1</v>
      </c>
      <c r="C46" s="1425" t="s">
        <v>1238</v>
      </c>
      <c r="D46" s="1413"/>
      <c r="E46" s="1413"/>
      <c r="F46" s="1415">
        <f t="shared" si="21"/>
        <v>0</v>
      </c>
      <c r="G46" s="1427">
        <f>IF($A46=1,IF($M$1="Простой",'ОРД КИИ'!H4,IF($M$1="Обычный",'ОРД КИИ'!H5,'ОРД КИИ'!H6)),0)</f>
        <v>0</v>
      </c>
      <c r="H46" s="1427">
        <f>IF($A46=1,IF($M$1="Простой",'ОРД КИИ'!I4,IF($M$1="Обычный",'ОРД КИИ'!I5,'ОРД КИИ'!I6)),0)</f>
        <v>0</v>
      </c>
      <c r="I46" s="1427">
        <f>IF($A46=1,IF($M$1="Простой",'ОРД КИИ'!J4,IF($M$1="Обычный",'ОРД КИИ'!J5,'ОРД КИИ'!J6)),0)</f>
        <v>0</v>
      </c>
      <c r="J46" s="1415">
        <f t="shared" ref="J46:J87" si="23">SUM(K46:M46)</f>
        <v>0</v>
      </c>
      <c r="K46" s="1416">
        <f>(G46/8)</f>
        <v>0</v>
      </c>
      <c r="L46" s="1416">
        <f t="shared" ref="L46:M48" si="24">(H46/8)</f>
        <v>0</v>
      </c>
      <c r="M46" s="1416">
        <f t="shared" si="24"/>
        <v>0</v>
      </c>
      <c r="N46" s="1412"/>
    </row>
    <row r="47" spans="1:14" ht="12" hidden="1" customHeight="1" outlineLevel="3" x14ac:dyDescent="0.2">
      <c r="A47" s="1410">
        <v>0</v>
      </c>
      <c r="B47" s="1417">
        <v>1</v>
      </c>
      <c r="C47" s="1425" t="s">
        <v>1239</v>
      </c>
      <c r="D47" s="1413"/>
      <c r="E47" s="1413"/>
      <c r="F47" s="1415">
        <f t="shared" si="21"/>
        <v>0</v>
      </c>
      <c r="G47" s="1427">
        <f>IF($A47=1,IF($M$1="Простой",'ОРД КИИ'!H7,IF($M$1="Обычный",'ОРД КИИ'!H8,'ОРД КИИ'!H9)),0)</f>
        <v>0</v>
      </c>
      <c r="H47" s="1427">
        <f>IF($A47=1,IF($M$1="Простой",'ОРД КИИ'!I7,IF($M$1="Обычный",'ОРД КИИ'!I8,'ОРД КИИ'!I9)),0)</f>
        <v>0</v>
      </c>
      <c r="I47" s="1427">
        <f>IF($A47=1,IF($M$1="Простой",'ОРД КИИ'!J7,IF($M$1="Обычный",'ОРД КИИ'!J8,'ОРД КИИ'!J9)),0)</f>
        <v>0</v>
      </c>
      <c r="J47" s="1415">
        <f t="shared" si="23"/>
        <v>0</v>
      </c>
      <c r="K47" s="1416">
        <f t="shared" ref="K47:K48" si="25">(G47/8)</f>
        <v>0</v>
      </c>
      <c r="L47" s="1416">
        <f t="shared" si="24"/>
        <v>0</v>
      </c>
      <c r="M47" s="1416">
        <f t="shared" si="24"/>
        <v>0</v>
      </c>
      <c r="N47" s="1412"/>
    </row>
    <row r="48" spans="1:14" ht="12" hidden="1" customHeight="1" outlineLevel="3" x14ac:dyDescent="0.2">
      <c r="A48" s="1410">
        <v>0</v>
      </c>
      <c r="B48" s="1417">
        <v>1</v>
      </c>
      <c r="C48" s="1425" t="s">
        <v>1240</v>
      </c>
      <c r="D48" s="1413"/>
      <c r="E48" s="1413"/>
      <c r="F48" s="1415">
        <f t="shared" si="21"/>
        <v>0</v>
      </c>
      <c r="G48" s="1427">
        <f>IF($A48=1,IF($M$1="Простой",'ОРД КИИ'!H10,IF($M$1="Обычный",'ОРД КИИ'!H11,'ОРД КИИ'!H12)),0)</f>
        <v>0</v>
      </c>
      <c r="H48" s="1427">
        <f>IF($A48=1,IF($M$1="Простой",'ОРД КИИ'!I10,IF($M$1="Обычный",'ОРД КИИ'!I11,'ОРД КИИ'!I12)),0)</f>
        <v>0</v>
      </c>
      <c r="I48" s="1427">
        <f>IF($A48=1,IF($M$1="Простой",'ОРД КИИ'!J10,IF($M$1="Обычный",'ОРД КИИ'!J11,'ОРД КИИ'!J12)),0)</f>
        <v>0</v>
      </c>
      <c r="J48" s="1415">
        <f t="shared" si="23"/>
        <v>0</v>
      </c>
      <c r="K48" s="1416">
        <f t="shared" si="25"/>
        <v>0</v>
      </c>
      <c r="L48" s="1416">
        <f t="shared" si="24"/>
        <v>0</v>
      </c>
      <c r="M48" s="1416">
        <f t="shared" si="24"/>
        <v>0</v>
      </c>
      <c r="N48" s="1412"/>
    </row>
    <row r="49" spans="1:14" ht="15.75" hidden="1" outlineLevel="2" x14ac:dyDescent="0.2">
      <c r="A49" s="1420"/>
      <c r="B49" s="1420"/>
      <c r="C49" s="1596" t="s">
        <v>1241</v>
      </c>
      <c r="D49" s="1629"/>
      <c r="E49" s="1629"/>
      <c r="F49" s="1415">
        <f t="shared" si="21"/>
        <v>0</v>
      </c>
      <c r="G49" s="1426">
        <f t="shared" ref="G49:M49" si="26">SUM(G50:G84)</f>
        <v>0</v>
      </c>
      <c r="H49" s="1426">
        <f t="shared" si="26"/>
        <v>0</v>
      </c>
      <c r="I49" s="1426">
        <f t="shared" si="26"/>
        <v>0</v>
      </c>
      <c r="J49" s="1415">
        <f>SUM(J50:J84)</f>
        <v>0</v>
      </c>
      <c r="K49" s="1426">
        <f>SUM(K50:K84)</f>
        <v>0</v>
      </c>
      <c r="L49" s="1426">
        <f t="shared" si="26"/>
        <v>0</v>
      </c>
      <c r="M49" s="1426">
        <f t="shared" si="26"/>
        <v>0</v>
      </c>
      <c r="N49" s="1424"/>
    </row>
    <row r="50" spans="1:14" ht="24" hidden="1" outlineLevel="3" x14ac:dyDescent="0.2">
      <c r="A50" s="1410">
        <v>0</v>
      </c>
      <c r="B50" s="1417">
        <v>1</v>
      </c>
      <c r="C50" s="1425" t="s">
        <v>1244</v>
      </c>
      <c r="D50" s="1413"/>
      <c r="E50" s="1413"/>
      <c r="F50" s="1415">
        <f t="shared" si="21"/>
        <v>0</v>
      </c>
      <c r="G50" s="1427">
        <f>IF($A50=1,IF($M$1="Простой",'ОРД КИИ'!H14,IF($M$1="Обычный",'ОРД КИИ'!H15,'ОРД КИИ'!H16)),0)</f>
        <v>0</v>
      </c>
      <c r="H50" s="1427">
        <f>IF($A50=1,IF($M$1="Простой",'ОРД КИИ'!I14,IF($M$1="Обычный",'ОРД КИИ'!I15,'ОРД КИИ'!I16)),0)</f>
        <v>0</v>
      </c>
      <c r="I50" s="1427">
        <f>IF($A50=1,IF($M$1="Простой",'ОРД КИИ'!J14,IF($M$1="Обычный",'ОРД КИИ'!J15,'ОРД КИИ'!J16)),0)</f>
        <v>0</v>
      </c>
      <c r="J50" s="1415">
        <f t="shared" si="23"/>
        <v>0</v>
      </c>
      <c r="K50" s="1416">
        <f>(G50/8)</f>
        <v>0</v>
      </c>
      <c r="L50" s="1416">
        <f t="shared" ref="L50:M65" si="27">(H50/8)</f>
        <v>0</v>
      </c>
      <c r="M50" s="1416">
        <f t="shared" si="27"/>
        <v>0</v>
      </c>
      <c r="N50" s="1412"/>
    </row>
    <row r="51" spans="1:14" ht="12" hidden="1" customHeight="1" outlineLevel="3" x14ac:dyDescent="0.2">
      <c r="A51" s="1410">
        <v>0</v>
      </c>
      <c r="B51" s="1417">
        <v>1</v>
      </c>
      <c r="C51" s="1425" t="s">
        <v>1245</v>
      </c>
      <c r="D51" s="1413"/>
      <c r="E51" s="1413"/>
      <c r="F51" s="1415">
        <f t="shared" si="21"/>
        <v>0</v>
      </c>
      <c r="G51" s="1427">
        <f>IF($A51=1,IF($M$1="Простой",'ОРД КИИ'!H17,IF($M$1="Обычный",'ОРД КИИ'!H18,'ОРД КИИ'!H19)),0)</f>
        <v>0</v>
      </c>
      <c r="H51" s="1427">
        <f>IF($A51=1,IF($M$1="Простой",'ОРД КИИ'!I17,IF($M$1="Обычный",'ОРД КИИ'!I18,'ОРД КИИ'!I19)),0)</f>
        <v>0</v>
      </c>
      <c r="I51" s="1427">
        <f>IF($A51=1,IF($M$1="Простой",'ОРД КИИ'!J17,IF($M$1="Обычный",'ОРД КИИ'!J18,'ОРД КИИ'!J19)),0)</f>
        <v>0</v>
      </c>
      <c r="J51" s="1415">
        <f t="shared" si="23"/>
        <v>0</v>
      </c>
      <c r="K51" s="1416">
        <f t="shared" ref="K51:M84" si="28">(G51/8)</f>
        <v>0</v>
      </c>
      <c r="L51" s="1416">
        <f t="shared" si="27"/>
        <v>0</v>
      </c>
      <c r="M51" s="1416">
        <f t="shared" si="27"/>
        <v>0</v>
      </c>
      <c r="N51" s="1412"/>
    </row>
    <row r="52" spans="1:14" ht="12" hidden="1" customHeight="1" outlineLevel="3" x14ac:dyDescent="0.2">
      <c r="A52" s="1410">
        <v>0</v>
      </c>
      <c r="B52" s="1417">
        <v>1</v>
      </c>
      <c r="C52" s="1425" t="s">
        <v>1246</v>
      </c>
      <c r="D52" s="1413"/>
      <c r="E52" s="1413"/>
      <c r="F52" s="1415">
        <f t="shared" si="21"/>
        <v>0</v>
      </c>
      <c r="G52" s="1427">
        <f>IF($A52=1,IF($M$1="Простой",'ОРД КИИ'!H20,IF($M$1="Обычный",'ОРД КИИ'!H21,'ОРД КИИ'!H22)),0)</f>
        <v>0</v>
      </c>
      <c r="H52" s="1427">
        <f>IF($A52=1,IF($M$1="Простой",'ОРД КИИ'!I20,IF($M$1="Обычный",'ОРД КИИ'!I21,'ОРД КИИ'!I22)),0)</f>
        <v>0</v>
      </c>
      <c r="I52" s="1427">
        <f>IF($A52=1,IF($M$1="Простой",'ОРД КИИ'!J20,IF($M$1="Обычный",'ОРД КИИ'!J21,'ОРД КИИ'!J22)),0)</f>
        <v>0</v>
      </c>
      <c r="J52" s="1415">
        <f t="shared" si="23"/>
        <v>0</v>
      </c>
      <c r="K52" s="1416">
        <f t="shared" si="28"/>
        <v>0</v>
      </c>
      <c r="L52" s="1416">
        <f t="shared" si="27"/>
        <v>0</v>
      </c>
      <c r="M52" s="1416">
        <f t="shared" si="27"/>
        <v>0</v>
      </c>
      <c r="N52" s="1412"/>
    </row>
    <row r="53" spans="1:14" ht="12" hidden="1" customHeight="1" outlineLevel="3" x14ac:dyDescent="0.2">
      <c r="A53" s="1410">
        <v>0</v>
      </c>
      <c r="B53" s="1417">
        <v>1</v>
      </c>
      <c r="C53" s="1425" t="s">
        <v>1247</v>
      </c>
      <c r="D53" s="1413"/>
      <c r="E53" s="1413"/>
      <c r="F53" s="1415">
        <f t="shared" si="21"/>
        <v>0</v>
      </c>
      <c r="G53" s="1427">
        <f>IF($A53=1,IF($M$1="Простой",'ОРД КИИ'!H23,IF($M$1="Обычный",'ОРД КИИ'!H24,'ОРД КИИ'!H25)),0)</f>
        <v>0</v>
      </c>
      <c r="H53" s="1427">
        <f>IF($A53=1,IF($M$1="Простой",'ОРД КИИ'!I23,IF($M$1="Обычный",'ОРД КИИ'!I24,'ОРД КИИ'!I25)),0)</f>
        <v>0</v>
      </c>
      <c r="I53" s="1427">
        <f>IF($A53=1,IF($M$1="Простой",'ОРД КИИ'!J23,IF($M$1="Обычный",'ОРД КИИ'!J24,'ОРД КИИ'!J25)),0)</f>
        <v>0</v>
      </c>
      <c r="J53" s="1415">
        <f t="shared" si="23"/>
        <v>0</v>
      </c>
      <c r="K53" s="1416">
        <f t="shared" si="28"/>
        <v>0</v>
      </c>
      <c r="L53" s="1416">
        <f t="shared" si="27"/>
        <v>0</v>
      </c>
      <c r="M53" s="1416">
        <f t="shared" si="27"/>
        <v>0</v>
      </c>
      <c r="N53" s="1412"/>
    </row>
    <row r="54" spans="1:14" ht="12" hidden="1" customHeight="1" outlineLevel="3" x14ac:dyDescent="0.2">
      <c r="A54" s="1410">
        <v>0</v>
      </c>
      <c r="B54" s="1417">
        <v>1</v>
      </c>
      <c r="C54" s="1425" t="s">
        <v>1248</v>
      </c>
      <c r="D54" s="1413"/>
      <c r="E54" s="1413"/>
      <c r="F54" s="1415">
        <f t="shared" si="21"/>
        <v>0</v>
      </c>
      <c r="G54" s="1427">
        <f>IF($A54=1,IF($M$1="Простой",'ОРД КИИ'!H26,IF($M$1="Обычный",'ОРД КИИ'!H27,'ОРД КИИ'!H28)),0)</f>
        <v>0</v>
      </c>
      <c r="H54" s="1427">
        <f>IF($A54=1,IF($M$1="Простой",'ОРД КИИ'!I26,IF($M$1="Обычный",'ОРД КИИ'!I27,'ОРД КИИ'!I28)),0)</f>
        <v>0</v>
      </c>
      <c r="I54" s="1427">
        <f>IF($A54=1,IF($M$1="Простой",'ОРД КИИ'!J26,IF($M$1="Обычный",'ОРД КИИ'!J27,'ОРД КИИ'!J28)),0)</f>
        <v>0</v>
      </c>
      <c r="J54" s="1415">
        <f t="shared" si="23"/>
        <v>0</v>
      </c>
      <c r="K54" s="1416">
        <f t="shared" si="28"/>
        <v>0</v>
      </c>
      <c r="L54" s="1416">
        <f t="shared" si="27"/>
        <v>0</v>
      </c>
      <c r="M54" s="1416">
        <f t="shared" si="27"/>
        <v>0</v>
      </c>
      <c r="N54" s="1412"/>
    </row>
    <row r="55" spans="1:14" ht="12" hidden="1" customHeight="1" outlineLevel="3" x14ac:dyDescent="0.2">
      <c r="A55" s="1410">
        <v>0</v>
      </c>
      <c r="B55" s="1417">
        <v>1</v>
      </c>
      <c r="C55" s="1425" t="s">
        <v>1249</v>
      </c>
      <c r="D55" s="1413"/>
      <c r="E55" s="1413"/>
      <c r="F55" s="1415">
        <f t="shared" si="21"/>
        <v>0</v>
      </c>
      <c r="G55" s="1427">
        <f>IF($A55=1,IF($M$1="Простой",'ОРД КИИ'!H29,IF($M$1="Обычный",'ОРД КИИ'!H30,'ОРД КИИ'!H31)),0)</f>
        <v>0</v>
      </c>
      <c r="H55" s="1427">
        <f>IF($A55=1,IF($M$1="Простой",'ОРД КИИ'!I29,IF($M$1="Обычный",'ОРД КИИ'!I30,'ОРД КИИ'!I31)),0)</f>
        <v>0</v>
      </c>
      <c r="I55" s="1427">
        <f>IF($A55=1,IF($M$1="Простой",'ОРД КИИ'!J29,IF($M$1="Обычный",'ОРД КИИ'!J30,'ОРД КИИ'!J31)),0)</f>
        <v>0</v>
      </c>
      <c r="J55" s="1415">
        <f t="shared" si="23"/>
        <v>0</v>
      </c>
      <c r="K55" s="1416">
        <f t="shared" si="28"/>
        <v>0</v>
      </c>
      <c r="L55" s="1416">
        <f t="shared" si="27"/>
        <v>0</v>
      </c>
      <c r="M55" s="1416">
        <f t="shared" si="27"/>
        <v>0</v>
      </c>
      <c r="N55" s="1412"/>
    </row>
    <row r="56" spans="1:14" ht="12" hidden="1" customHeight="1" outlineLevel="3" x14ac:dyDescent="0.2">
      <c r="A56" s="1410">
        <v>0</v>
      </c>
      <c r="B56" s="1417">
        <v>1</v>
      </c>
      <c r="C56" s="1425" t="s">
        <v>1250</v>
      </c>
      <c r="D56" s="1413"/>
      <c r="E56" s="1413"/>
      <c r="F56" s="1415">
        <f t="shared" si="21"/>
        <v>0</v>
      </c>
      <c r="G56" s="1427">
        <f>IF($A56=1,IF($M$1="Простой",'ОРД КИИ'!H32,IF($M$1="Обычный",'ОРД КИИ'!H33,'ОРД КИИ'!H34)),0)</f>
        <v>0</v>
      </c>
      <c r="H56" s="1427">
        <f>IF($A56=1,IF($M$1="Простой",'ОРД КИИ'!I32,IF($M$1="Обычный",'ОРД КИИ'!I33,'ОРД КИИ'!I34)),0)</f>
        <v>0</v>
      </c>
      <c r="I56" s="1427">
        <f>IF($A56=1,IF($M$1="Простой",'ОРД КИИ'!J32,IF($M$1="Обычный",'ОРД КИИ'!J33,'ОРД КИИ'!J34)),0)</f>
        <v>0</v>
      </c>
      <c r="J56" s="1415">
        <f t="shared" si="23"/>
        <v>0</v>
      </c>
      <c r="K56" s="1416">
        <f t="shared" si="28"/>
        <v>0</v>
      </c>
      <c r="L56" s="1416">
        <f t="shared" si="27"/>
        <v>0</v>
      </c>
      <c r="M56" s="1416">
        <f t="shared" si="27"/>
        <v>0</v>
      </c>
      <c r="N56" s="1412"/>
    </row>
    <row r="57" spans="1:14" ht="12" hidden="1" customHeight="1" outlineLevel="3" x14ac:dyDescent="0.2">
      <c r="A57" s="1410">
        <v>0</v>
      </c>
      <c r="B57" s="1417">
        <v>1</v>
      </c>
      <c r="C57" s="1425" t="s">
        <v>1251</v>
      </c>
      <c r="D57" s="1413"/>
      <c r="E57" s="1413"/>
      <c r="F57" s="1415">
        <f t="shared" si="21"/>
        <v>0</v>
      </c>
      <c r="G57" s="1427">
        <f>IF($A57=1,IF($M$1="Простой",'ОРД КИИ'!H35,IF($M$1="Обычный",'ОРД КИИ'!H36,'ОРД КИИ'!H37)),0)</f>
        <v>0</v>
      </c>
      <c r="H57" s="1427">
        <f>IF($A57=1,IF($M$1="Простой",'ОРД КИИ'!I35,IF($M$1="Обычный",'ОРД КИИ'!I36,'ОРД КИИ'!I37)),0)</f>
        <v>0</v>
      </c>
      <c r="I57" s="1427">
        <f>IF($A57=1,IF($M$1="Простой",'ОРД КИИ'!J35,IF($M$1="Обычный",'ОРД КИИ'!J36,'ОРД КИИ'!J37)),0)</f>
        <v>0</v>
      </c>
      <c r="J57" s="1415">
        <f t="shared" si="23"/>
        <v>0</v>
      </c>
      <c r="K57" s="1416">
        <f t="shared" si="28"/>
        <v>0</v>
      </c>
      <c r="L57" s="1416">
        <f t="shared" si="27"/>
        <v>0</v>
      </c>
      <c r="M57" s="1416">
        <f t="shared" si="27"/>
        <v>0</v>
      </c>
      <c r="N57" s="1412"/>
    </row>
    <row r="58" spans="1:14" ht="12" hidden="1" customHeight="1" outlineLevel="3" x14ac:dyDescent="0.2">
      <c r="A58" s="1410">
        <v>0</v>
      </c>
      <c r="B58" s="1417">
        <v>1</v>
      </c>
      <c r="C58" s="1425" t="s">
        <v>1252</v>
      </c>
      <c r="D58" s="1413"/>
      <c r="E58" s="1413"/>
      <c r="F58" s="1415">
        <f t="shared" si="21"/>
        <v>0</v>
      </c>
      <c r="G58" s="1427">
        <f>IF($A58=1,IF($M$1="Простой",'ОРД КИИ'!H38,IF($M$1="Обычный",'ОРД КИИ'!H39,'ОРД КИИ'!H40)),0)</f>
        <v>0</v>
      </c>
      <c r="H58" s="1427">
        <f>IF($A58=1,IF($M$1="Простой",'ОРД КИИ'!I38,IF($M$1="Обычный",'ОРД КИИ'!I39,'ОРД КИИ'!I40)),0)</f>
        <v>0</v>
      </c>
      <c r="I58" s="1427">
        <f>IF($A58=1,IF($M$1="Простой",'ОРД КИИ'!J38,IF($M$1="Обычный",'ОРД КИИ'!J39,'ОРД КИИ'!J40)),0)</f>
        <v>0</v>
      </c>
      <c r="J58" s="1415">
        <f t="shared" si="23"/>
        <v>0</v>
      </c>
      <c r="K58" s="1416">
        <f t="shared" si="28"/>
        <v>0</v>
      </c>
      <c r="L58" s="1416">
        <f t="shared" si="27"/>
        <v>0</v>
      </c>
      <c r="M58" s="1416">
        <f t="shared" si="27"/>
        <v>0</v>
      </c>
      <c r="N58" s="1412"/>
    </row>
    <row r="59" spans="1:14" ht="12" hidden="1" customHeight="1" outlineLevel="3" x14ac:dyDescent="0.2">
      <c r="A59" s="1410">
        <v>0</v>
      </c>
      <c r="B59" s="1417">
        <v>1</v>
      </c>
      <c r="C59" s="1425" t="s">
        <v>1253</v>
      </c>
      <c r="D59" s="1413"/>
      <c r="E59" s="1413"/>
      <c r="F59" s="1415">
        <f t="shared" si="21"/>
        <v>0</v>
      </c>
      <c r="G59" s="1427">
        <f>IF($A59=1,IF($M$1="Простой",'ОРД КИИ'!H41,IF($M$1="Обычный",'ОРД КИИ'!H42,'ОРД КИИ'!H43)),0)</f>
        <v>0</v>
      </c>
      <c r="H59" s="1427">
        <f>IF($A59=1,IF($M$1="Простой",'ОРД КИИ'!I41,IF($M$1="Обычный",'ОРД КИИ'!I42,'ОРД КИИ'!I43)),0)</f>
        <v>0</v>
      </c>
      <c r="I59" s="1427">
        <f>IF($A59=1,IF($M$1="Простой",'ОРД КИИ'!J41,IF($M$1="Обычный",'ОРД КИИ'!J42,'ОРД КИИ'!J43)),0)</f>
        <v>0</v>
      </c>
      <c r="J59" s="1415">
        <f t="shared" si="23"/>
        <v>0</v>
      </c>
      <c r="K59" s="1416">
        <f t="shared" si="28"/>
        <v>0</v>
      </c>
      <c r="L59" s="1416">
        <f t="shared" si="27"/>
        <v>0</v>
      </c>
      <c r="M59" s="1416">
        <f t="shared" si="27"/>
        <v>0</v>
      </c>
      <c r="N59" s="1412"/>
    </row>
    <row r="60" spans="1:14" ht="12" hidden="1" customHeight="1" outlineLevel="3" x14ac:dyDescent="0.2">
      <c r="A60" s="1410">
        <v>0</v>
      </c>
      <c r="B60" s="1417">
        <v>1</v>
      </c>
      <c r="C60" s="1425" t="s">
        <v>1254</v>
      </c>
      <c r="D60" s="1413"/>
      <c r="E60" s="1413"/>
      <c r="F60" s="1415">
        <f t="shared" si="21"/>
        <v>0</v>
      </c>
      <c r="G60" s="1427">
        <f>IF($A60=1,IF($M$1="Простой",'ОРД КИИ'!H44,IF($M$1="Обычный",'ОРД КИИ'!H45,'ОРД КИИ'!H46)),0)</f>
        <v>0</v>
      </c>
      <c r="H60" s="1427">
        <f>IF($A60=1,IF($M$1="Простой",'ОРД КИИ'!I44,IF($M$1="Обычный",'ОРД КИИ'!I45,'ОРД КИИ'!I46)),0)</f>
        <v>0</v>
      </c>
      <c r="I60" s="1427">
        <f>IF($A60=1,IF($M$1="Простой",'ОРД КИИ'!J44,IF($M$1="Обычный",'ОРД КИИ'!J45,'ОРД КИИ'!J46)),0)</f>
        <v>0</v>
      </c>
      <c r="J60" s="1415">
        <f t="shared" si="23"/>
        <v>0</v>
      </c>
      <c r="K60" s="1416">
        <f t="shared" si="28"/>
        <v>0</v>
      </c>
      <c r="L60" s="1416">
        <f t="shared" si="27"/>
        <v>0</v>
      </c>
      <c r="M60" s="1416">
        <f t="shared" si="27"/>
        <v>0</v>
      </c>
      <c r="N60" s="1412"/>
    </row>
    <row r="61" spans="1:14" ht="12" hidden="1" customHeight="1" outlineLevel="3" x14ac:dyDescent="0.2">
      <c r="A61" s="1410">
        <v>0</v>
      </c>
      <c r="B61" s="1417">
        <v>1</v>
      </c>
      <c r="C61" s="1425" t="s">
        <v>1255</v>
      </c>
      <c r="D61" s="1413"/>
      <c r="E61" s="1413"/>
      <c r="F61" s="1415">
        <f t="shared" si="21"/>
        <v>0</v>
      </c>
      <c r="G61" s="1427">
        <f>IF($A61=1,IF($M$1="Простой",'ОРД КИИ'!H47,IF($M$1="Обычный",'ОРД КИИ'!H48,'ОРД КИИ'!H49)),0)</f>
        <v>0</v>
      </c>
      <c r="H61" s="1427">
        <f>IF($A61=1,IF($M$1="Простой",'ОРД КИИ'!I47,IF($M$1="Обычный",'ОРД КИИ'!I48,'ОРД КИИ'!I49)),0)</f>
        <v>0</v>
      </c>
      <c r="I61" s="1427">
        <f>IF($A61=1,IF($M$1="Простой",'ОРД КИИ'!J47,IF($M$1="Обычный",'ОРД КИИ'!J48,'ОРД КИИ'!J49)),0)</f>
        <v>0</v>
      </c>
      <c r="J61" s="1415">
        <f t="shared" si="23"/>
        <v>0</v>
      </c>
      <c r="K61" s="1416">
        <f t="shared" si="28"/>
        <v>0</v>
      </c>
      <c r="L61" s="1416">
        <f t="shared" si="27"/>
        <v>0</v>
      </c>
      <c r="M61" s="1416">
        <f t="shared" si="27"/>
        <v>0</v>
      </c>
      <c r="N61" s="1412"/>
    </row>
    <row r="62" spans="1:14" ht="12" hidden="1" customHeight="1" outlineLevel="3" x14ac:dyDescent="0.2">
      <c r="A62" s="1410">
        <v>0</v>
      </c>
      <c r="B62" s="1417">
        <v>1</v>
      </c>
      <c r="C62" s="1425" t="s">
        <v>1256</v>
      </c>
      <c r="D62" s="1413"/>
      <c r="E62" s="1413"/>
      <c r="F62" s="1415">
        <f t="shared" si="21"/>
        <v>0</v>
      </c>
      <c r="G62" s="1427">
        <f>IF($A62=1,IF($M$1="Простой",'ОРД КИИ'!H50,IF($M$1="Обычный",'ОРД КИИ'!H51,'ОРД КИИ'!H52)),0)</f>
        <v>0</v>
      </c>
      <c r="H62" s="1427">
        <f>IF($A62=1,IF($M$1="Простой",'ОРД КИИ'!I50,IF($M$1="Обычный",'ОРД КИИ'!I51,'ОРД КИИ'!I52)),0)</f>
        <v>0</v>
      </c>
      <c r="I62" s="1427">
        <f>IF($A62=1,IF($M$1="Простой",'ОРД КИИ'!J50,IF($M$1="Обычный",'ОРД КИИ'!J51,'ОРД КИИ'!J52)),0)</f>
        <v>0</v>
      </c>
      <c r="J62" s="1415">
        <f t="shared" si="23"/>
        <v>0</v>
      </c>
      <c r="K62" s="1416">
        <f t="shared" si="28"/>
        <v>0</v>
      </c>
      <c r="L62" s="1416">
        <f t="shared" si="27"/>
        <v>0</v>
      </c>
      <c r="M62" s="1416">
        <f t="shared" si="27"/>
        <v>0</v>
      </c>
      <c r="N62" s="1412"/>
    </row>
    <row r="63" spans="1:14" ht="12.75" hidden="1" customHeight="1" outlineLevel="3" x14ac:dyDescent="0.2">
      <c r="A63" s="1410">
        <v>0</v>
      </c>
      <c r="B63" s="1417">
        <v>1</v>
      </c>
      <c r="C63" s="1425" t="s">
        <v>1257</v>
      </c>
      <c r="D63" s="1413"/>
      <c r="E63" s="1413"/>
      <c r="F63" s="1415">
        <f t="shared" si="21"/>
        <v>0</v>
      </c>
      <c r="G63" s="1427">
        <f>IF($A63=1,IF($M$1="Простой",'ОРД КИИ'!H53,IF($M$1="Обычный",'ОРД КИИ'!H54,'ОРД КИИ'!H55)),0)</f>
        <v>0</v>
      </c>
      <c r="H63" s="1427">
        <f>IF($A63=1,IF($M$1="Простой",'ОРД КИИ'!I53,IF($M$1="Обычный",'ОРД КИИ'!I54,'ОРД КИИ'!I55)),0)</f>
        <v>0</v>
      </c>
      <c r="I63" s="1427">
        <f>IF($A63=1,IF($M$1="Простой",'ОРД КИИ'!J53,IF($M$1="Обычный",'ОРД КИИ'!J54,'ОРД КИИ'!J55)),0)</f>
        <v>0</v>
      </c>
      <c r="J63" s="1415">
        <f t="shared" si="23"/>
        <v>0</v>
      </c>
      <c r="K63" s="1416">
        <f t="shared" si="28"/>
        <v>0</v>
      </c>
      <c r="L63" s="1416">
        <f t="shared" si="27"/>
        <v>0</v>
      </c>
      <c r="M63" s="1416">
        <f t="shared" si="27"/>
        <v>0</v>
      </c>
      <c r="N63" s="1412"/>
    </row>
    <row r="64" spans="1:14" ht="12" hidden="1" customHeight="1" outlineLevel="3" x14ac:dyDescent="0.2">
      <c r="A64" s="1410">
        <v>0</v>
      </c>
      <c r="B64" s="1417">
        <v>1</v>
      </c>
      <c r="C64" s="1425" t="s">
        <v>1258</v>
      </c>
      <c r="D64" s="1413"/>
      <c r="E64" s="1413"/>
      <c r="F64" s="1415">
        <f t="shared" si="21"/>
        <v>0</v>
      </c>
      <c r="G64" s="1427">
        <f>IF($A64=1,IF($M$1="Простой",'ОРД КИИ'!H56,IF($M$1="Обычный",'ОРД КИИ'!H57,'ОРД КИИ'!H58)),0)</f>
        <v>0</v>
      </c>
      <c r="H64" s="1427">
        <f>IF($A64=1,IF($M$1="Простой",'ОРД КИИ'!I56,IF($M$1="Обычный",'ОРД КИИ'!I57,'ОРД КИИ'!I58)),0)</f>
        <v>0</v>
      </c>
      <c r="I64" s="1427">
        <f>IF($A64=1,IF($M$1="Простой",'ОРД КИИ'!J56,IF($M$1="Обычный",'ОРД КИИ'!J57,'ОРД КИИ'!J58)),0)</f>
        <v>0</v>
      </c>
      <c r="J64" s="1415">
        <f t="shared" si="23"/>
        <v>0</v>
      </c>
      <c r="K64" s="1416">
        <f t="shared" si="28"/>
        <v>0</v>
      </c>
      <c r="L64" s="1416">
        <f t="shared" si="27"/>
        <v>0</v>
      </c>
      <c r="M64" s="1416">
        <f t="shared" si="27"/>
        <v>0</v>
      </c>
      <c r="N64" s="1412"/>
    </row>
    <row r="65" spans="1:14" ht="12" hidden="1" customHeight="1" outlineLevel="3" x14ac:dyDescent="0.2">
      <c r="A65" s="1410">
        <v>0</v>
      </c>
      <c r="B65" s="1417">
        <v>1</v>
      </c>
      <c r="C65" s="1425" t="s">
        <v>1259</v>
      </c>
      <c r="D65" s="1413"/>
      <c r="E65" s="1413"/>
      <c r="F65" s="1415">
        <f t="shared" si="21"/>
        <v>0</v>
      </c>
      <c r="G65" s="1427">
        <f>IF($A65=1,IF($M$1="Простой",'ОРД КИИ'!H59,IF($M$1="Обычный",'ОРД КИИ'!H60,'ОРД КИИ'!H61)),0)</f>
        <v>0</v>
      </c>
      <c r="H65" s="1427">
        <f>IF($A65=1,IF($M$1="Простой",'ОРД КИИ'!I59,IF($M$1="Обычный",'ОРД КИИ'!I60,'ОРД КИИ'!I61)),0)</f>
        <v>0</v>
      </c>
      <c r="I65" s="1427">
        <f>IF($A65=1,IF($M$1="Простой",'ОРД КИИ'!J59,IF($M$1="Обычный",'ОРД КИИ'!J60,'ОРД КИИ'!J61)),0)</f>
        <v>0</v>
      </c>
      <c r="J65" s="1415">
        <f t="shared" si="23"/>
        <v>0</v>
      </c>
      <c r="K65" s="1416">
        <f t="shared" si="28"/>
        <v>0</v>
      </c>
      <c r="L65" s="1416">
        <f t="shared" si="27"/>
        <v>0</v>
      </c>
      <c r="M65" s="1416">
        <f t="shared" si="27"/>
        <v>0</v>
      </c>
      <c r="N65" s="1412"/>
    </row>
    <row r="66" spans="1:14" ht="12" hidden="1" customHeight="1" outlineLevel="3" x14ac:dyDescent="0.2">
      <c r="A66" s="1410">
        <v>0</v>
      </c>
      <c r="B66" s="1417">
        <v>1</v>
      </c>
      <c r="C66" s="1425" t="s">
        <v>1260</v>
      </c>
      <c r="D66" s="1413"/>
      <c r="E66" s="1413"/>
      <c r="F66" s="1415">
        <f t="shared" si="21"/>
        <v>0</v>
      </c>
      <c r="G66" s="1427">
        <f>IF($A66=1,IF($M$1="Простой",'ОРД КИИ'!H62,IF($M$1="Обычный",'ОРД КИИ'!H63,'ОРД КИИ'!H64)),0)</f>
        <v>0</v>
      </c>
      <c r="H66" s="1427">
        <f>IF($A66=1,IF($M$1="Простой",'ОРД КИИ'!I62,IF($M$1="Обычный",'ОРД КИИ'!I63,'ОРД КИИ'!I64)),0)</f>
        <v>0</v>
      </c>
      <c r="I66" s="1427">
        <f>IF($A66=1,IF($M$1="Простой",'ОРД КИИ'!J62,IF($M$1="Обычный",'ОРД КИИ'!J63,'ОРД КИИ'!J64)),0)</f>
        <v>0</v>
      </c>
      <c r="J66" s="1415">
        <f t="shared" si="23"/>
        <v>0</v>
      </c>
      <c r="K66" s="1416">
        <f t="shared" si="28"/>
        <v>0</v>
      </c>
      <c r="L66" s="1416">
        <f t="shared" si="28"/>
        <v>0</v>
      </c>
      <c r="M66" s="1416">
        <f t="shared" si="28"/>
        <v>0</v>
      </c>
      <c r="N66" s="1412"/>
    </row>
    <row r="67" spans="1:14" ht="24" hidden="1" outlineLevel="3" x14ac:dyDescent="0.2">
      <c r="A67" s="1410">
        <v>0</v>
      </c>
      <c r="B67" s="1417">
        <v>1</v>
      </c>
      <c r="C67" s="1425" t="s">
        <v>1261</v>
      </c>
      <c r="D67" s="1413"/>
      <c r="E67" s="1413"/>
      <c r="F67" s="1415">
        <f t="shared" si="21"/>
        <v>0</v>
      </c>
      <c r="G67" s="1427">
        <f>IF($A67=1,IF($M$1="Простой",'ОРД КИИ'!H65,IF($M$1="Обычный",'ОРД КИИ'!H66,'ОРД КИИ'!H67)),0)</f>
        <v>0</v>
      </c>
      <c r="H67" s="1427">
        <f>IF($A67=1,IF($M$1="Простой",'ОРД КИИ'!I65,IF($M$1="Обычный",'ОРД КИИ'!I66,'ОРД КИИ'!I67)),0)</f>
        <v>0</v>
      </c>
      <c r="I67" s="1427">
        <f>IF($A67=1,IF($M$1="Простой",'ОРД КИИ'!J65,IF($M$1="Обычный",'ОРД КИИ'!J66,'ОРД КИИ'!J67)),0)</f>
        <v>0</v>
      </c>
      <c r="J67" s="1415">
        <f t="shared" si="23"/>
        <v>0</v>
      </c>
      <c r="K67" s="1416">
        <f t="shared" si="28"/>
        <v>0</v>
      </c>
      <c r="L67" s="1416">
        <f t="shared" si="28"/>
        <v>0</v>
      </c>
      <c r="M67" s="1416">
        <f t="shared" si="28"/>
        <v>0</v>
      </c>
      <c r="N67" s="1412"/>
    </row>
    <row r="68" spans="1:14" ht="24" hidden="1" outlineLevel="3" x14ac:dyDescent="0.2">
      <c r="A68" s="1410">
        <v>0</v>
      </c>
      <c r="B68" s="1417">
        <v>1</v>
      </c>
      <c r="C68" s="1425" t="s">
        <v>1262</v>
      </c>
      <c r="D68" s="1413"/>
      <c r="E68" s="1413"/>
      <c r="F68" s="1415">
        <f t="shared" si="21"/>
        <v>0</v>
      </c>
      <c r="G68" s="1427">
        <f>IF($A68=1,IF($M$1="Простой",'ОРД КИИ'!H68,IF($M$1="Обычный",'ОРД КИИ'!H69,'ОРД КИИ'!H70)),0)</f>
        <v>0</v>
      </c>
      <c r="H68" s="1427">
        <f>IF($A68=1,IF($M$1="Простой",'ОРД КИИ'!I68,IF($M$1="Обычный",'ОРД КИИ'!I69,'ОРД КИИ'!I70)),0)</f>
        <v>0</v>
      </c>
      <c r="I68" s="1427">
        <f>IF($A68=1,IF($M$1="Простой",'ОРД КИИ'!J68,IF($M$1="Обычный",'ОРД КИИ'!J69,'ОРД КИИ'!J70)),0)</f>
        <v>0</v>
      </c>
      <c r="J68" s="1415">
        <f t="shared" si="23"/>
        <v>0</v>
      </c>
      <c r="K68" s="1416">
        <f t="shared" si="28"/>
        <v>0</v>
      </c>
      <c r="L68" s="1416">
        <f t="shared" si="28"/>
        <v>0</v>
      </c>
      <c r="M68" s="1416">
        <f t="shared" si="28"/>
        <v>0</v>
      </c>
      <c r="N68" s="1412"/>
    </row>
    <row r="69" spans="1:14" ht="24" hidden="1" outlineLevel="3" x14ac:dyDescent="0.2">
      <c r="A69" s="1410">
        <v>0</v>
      </c>
      <c r="B69" s="1417">
        <v>1</v>
      </c>
      <c r="C69" s="1425" t="s">
        <v>1263</v>
      </c>
      <c r="D69" s="1413"/>
      <c r="E69" s="1413"/>
      <c r="F69" s="1415">
        <f t="shared" si="21"/>
        <v>0</v>
      </c>
      <c r="G69" s="1427">
        <f>IF($A69=1,IF($M$1="Простой",'ОРД КИИ'!H71,IF($M$1="Обычный",'ОРД КИИ'!H72,'ОРД КИИ'!H73)),0)</f>
        <v>0</v>
      </c>
      <c r="H69" s="1427">
        <f>IF($A69=1,IF($M$1="Простой",'ОРД КИИ'!I71,IF($M$1="Обычный",'ОРД КИИ'!I72,'ОРД КИИ'!I73)),0)</f>
        <v>0</v>
      </c>
      <c r="I69" s="1427">
        <f>IF($A69=1,IF($M$1="Простой",'ОРД КИИ'!J71,IF($M$1="Обычный",'ОРД КИИ'!J72,'ОРД КИИ'!J73)),0)</f>
        <v>0</v>
      </c>
      <c r="J69" s="1415">
        <f t="shared" si="23"/>
        <v>0</v>
      </c>
      <c r="K69" s="1416">
        <f t="shared" si="28"/>
        <v>0</v>
      </c>
      <c r="L69" s="1416">
        <f t="shared" si="28"/>
        <v>0</v>
      </c>
      <c r="M69" s="1416">
        <f t="shared" si="28"/>
        <v>0</v>
      </c>
      <c r="N69" s="1412"/>
    </row>
    <row r="70" spans="1:14" ht="12" hidden="1" customHeight="1" outlineLevel="3" x14ac:dyDescent="0.2">
      <c r="A70" s="1410">
        <v>0</v>
      </c>
      <c r="B70" s="1417">
        <v>1</v>
      </c>
      <c r="C70" s="1425" t="s">
        <v>1264</v>
      </c>
      <c r="D70" s="1413"/>
      <c r="E70" s="1413"/>
      <c r="F70" s="1415">
        <f t="shared" si="21"/>
        <v>0</v>
      </c>
      <c r="G70" s="1427">
        <f>IF($A70=1,IF($M$1="Простой",'ОРД КИИ'!H74,IF($M$1="Обычный",'ОРД КИИ'!H75,'ОРД КИИ'!H76)),0)</f>
        <v>0</v>
      </c>
      <c r="H70" s="1427">
        <f>IF($A70=1,IF($M$1="Простой",'ОРД КИИ'!I74,IF($M$1="Обычный",'ОРД КИИ'!I75,'ОРД КИИ'!I76)),0)</f>
        <v>0</v>
      </c>
      <c r="I70" s="1427">
        <f>IF($A70=1,IF($M$1="Простой",'ОРД КИИ'!J74,IF($M$1="Обычный",'ОРД КИИ'!J75,'ОРД КИИ'!J76)),0)</f>
        <v>0</v>
      </c>
      <c r="J70" s="1415">
        <f t="shared" si="23"/>
        <v>0</v>
      </c>
      <c r="K70" s="1416">
        <f t="shared" si="28"/>
        <v>0</v>
      </c>
      <c r="L70" s="1416">
        <f t="shared" si="28"/>
        <v>0</v>
      </c>
      <c r="M70" s="1416">
        <f t="shared" si="28"/>
        <v>0</v>
      </c>
      <c r="N70" s="1412"/>
    </row>
    <row r="71" spans="1:14" ht="12" hidden="1" customHeight="1" outlineLevel="3" x14ac:dyDescent="0.2">
      <c r="A71" s="1410">
        <v>0</v>
      </c>
      <c r="B71" s="1417">
        <v>1</v>
      </c>
      <c r="C71" s="1425" t="s">
        <v>1265</v>
      </c>
      <c r="D71" s="1413"/>
      <c r="E71" s="1413"/>
      <c r="F71" s="1415">
        <f t="shared" si="21"/>
        <v>0</v>
      </c>
      <c r="G71" s="1427">
        <f>IF($A71=1,IF($M$1="Простой",'ОРД КИИ'!H77,IF($M$1="Обычный",'ОРД КИИ'!H78,'ОРД КИИ'!H79)),0)</f>
        <v>0</v>
      </c>
      <c r="H71" s="1427">
        <f>IF($A71=1,IF($M$1="Простой",'ОРД КИИ'!I77,IF($M$1="Обычный",'ОРД КИИ'!I78,'ОРД КИИ'!I79)),0)</f>
        <v>0</v>
      </c>
      <c r="I71" s="1427">
        <f>IF($A71=1,IF($M$1="Простой",'ОРД КИИ'!J77,IF($M$1="Обычный",'ОРД КИИ'!J78,'ОРД КИИ'!J79)),0)</f>
        <v>0</v>
      </c>
      <c r="J71" s="1415">
        <f t="shared" si="23"/>
        <v>0</v>
      </c>
      <c r="K71" s="1416">
        <f t="shared" si="28"/>
        <v>0</v>
      </c>
      <c r="L71" s="1416">
        <f t="shared" si="28"/>
        <v>0</v>
      </c>
      <c r="M71" s="1416">
        <f t="shared" si="28"/>
        <v>0</v>
      </c>
      <c r="N71" s="1412"/>
    </row>
    <row r="72" spans="1:14" ht="24" hidden="1" outlineLevel="3" x14ac:dyDescent="0.2">
      <c r="A72" s="1410">
        <v>0</v>
      </c>
      <c r="B72" s="1417">
        <v>1</v>
      </c>
      <c r="C72" s="1425" t="s">
        <v>1266</v>
      </c>
      <c r="D72" s="1413"/>
      <c r="E72" s="1413"/>
      <c r="F72" s="1415">
        <f t="shared" si="21"/>
        <v>0</v>
      </c>
      <c r="G72" s="1427">
        <f>IF($A72=1,IF($M$1="Простой",'ОРД КИИ'!H80,IF($M$1="Обычный",'ОРД КИИ'!H81,'ОРД КИИ'!H82)),0)</f>
        <v>0</v>
      </c>
      <c r="H72" s="1427">
        <f>IF($A72=1,IF($M$1="Простой",'ОРД КИИ'!I80,IF($M$1="Обычный",'ОРД КИИ'!I81,'ОРД КИИ'!I82)),0)</f>
        <v>0</v>
      </c>
      <c r="I72" s="1427">
        <f>IF($A72=1,IF($M$1="Простой",'ОРД КИИ'!J80,IF($M$1="Обычный",'ОРД КИИ'!J81,'ОРД КИИ'!J82)),0)</f>
        <v>0</v>
      </c>
      <c r="J72" s="1415">
        <f t="shared" si="23"/>
        <v>0</v>
      </c>
      <c r="K72" s="1416">
        <f t="shared" si="28"/>
        <v>0</v>
      </c>
      <c r="L72" s="1416">
        <f t="shared" si="28"/>
        <v>0</v>
      </c>
      <c r="M72" s="1416">
        <f t="shared" si="28"/>
        <v>0</v>
      </c>
      <c r="N72" s="1412"/>
    </row>
    <row r="73" spans="1:14" ht="24" hidden="1" outlineLevel="3" x14ac:dyDescent="0.2">
      <c r="A73" s="1410">
        <v>0</v>
      </c>
      <c r="B73" s="1417">
        <v>1</v>
      </c>
      <c r="C73" s="1425" t="s">
        <v>1267</v>
      </c>
      <c r="D73" s="1413"/>
      <c r="E73" s="1413"/>
      <c r="F73" s="1415">
        <f t="shared" si="21"/>
        <v>0</v>
      </c>
      <c r="G73" s="1427">
        <f>IF($A73=1,IF($M$1="Простой",'ОРД КИИ'!H83,IF($M$1="Обычный",'ОРД КИИ'!H84,'ОРД КИИ'!H85)),0)</f>
        <v>0</v>
      </c>
      <c r="H73" s="1427">
        <f>IF($A73=1,IF($M$1="Простой",'ОРД КИИ'!I83,IF($M$1="Обычный",'ОРД КИИ'!I84,'ОРД КИИ'!I85)),0)</f>
        <v>0</v>
      </c>
      <c r="I73" s="1427">
        <f>IF($A73=1,IF($M$1="Простой",'ОРД КИИ'!J83,IF($M$1="Обычный",'ОРД КИИ'!J84,'ОРД КИИ'!J85)),0)</f>
        <v>0</v>
      </c>
      <c r="J73" s="1415">
        <f t="shared" si="23"/>
        <v>0</v>
      </c>
      <c r="K73" s="1416">
        <f t="shared" si="28"/>
        <v>0</v>
      </c>
      <c r="L73" s="1416">
        <f t="shared" si="28"/>
        <v>0</v>
      </c>
      <c r="M73" s="1416">
        <f t="shared" si="28"/>
        <v>0</v>
      </c>
      <c r="N73" s="1412"/>
    </row>
    <row r="74" spans="1:14" ht="24" hidden="1" outlineLevel="3" x14ac:dyDescent="0.2">
      <c r="A74" s="1410">
        <v>0</v>
      </c>
      <c r="B74" s="1417">
        <v>1</v>
      </c>
      <c r="C74" s="1425" t="s">
        <v>1268</v>
      </c>
      <c r="D74" s="1413"/>
      <c r="E74" s="1413"/>
      <c r="F74" s="1415">
        <f t="shared" si="21"/>
        <v>0</v>
      </c>
      <c r="G74" s="1427">
        <f>IF($A74=1,IF($M$1="Простой",'ОРД КИИ'!H86,IF($M$1="Обычный",'ОРД КИИ'!H87,'ОРД КИИ'!H88)),0)</f>
        <v>0</v>
      </c>
      <c r="H74" s="1427">
        <f>IF($A74=1,IF($M$1="Простой",'ОРД КИИ'!I86,IF($M$1="Обычный",'ОРД КИИ'!I87,'ОРД КИИ'!I88)),0)</f>
        <v>0</v>
      </c>
      <c r="I74" s="1427">
        <f>IF($A74=1,IF($M$1="Простой",'ОРД КИИ'!J86,IF($M$1="Обычный",'ОРД КИИ'!J87,'ОРД КИИ'!J88)),0)</f>
        <v>0</v>
      </c>
      <c r="J74" s="1415">
        <f t="shared" si="23"/>
        <v>0</v>
      </c>
      <c r="K74" s="1416">
        <f t="shared" si="28"/>
        <v>0</v>
      </c>
      <c r="L74" s="1416">
        <f t="shared" si="28"/>
        <v>0</v>
      </c>
      <c r="M74" s="1416">
        <f t="shared" si="28"/>
        <v>0</v>
      </c>
      <c r="N74" s="1412"/>
    </row>
    <row r="75" spans="1:14" ht="12" hidden="1" customHeight="1" outlineLevel="3" x14ac:dyDescent="0.2">
      <c r="A75" s="1410">
        <v>0</v>
      </c>
      <c r="B75" s="1417">
        <v>1</v>
      </c>
      <c r="C75" s="1425" t="s">
        <v>1269</v>
      </c>
      <c r="D75" s="1413"/>
      <c r="E75" s="1413"/>
      <c r="F75" s="1415">
        <f t="shared" si="21"/>
        <v>0</v>
      </c>
      <c r="G75" s="1427">
        <f>IF($A75=1,IF($M$1="Простой",'ОРД КИИ'!H89,IF($M$1="Обычный",'ОРД КИИ'!H90,'ОРД КИИ'!H91)),0)</f>
        <v>0</v>
      </c>
      <c r="H75" s="1427">
        <f>IF($A75=1,IF($M$1="Простой",'ОРД КИИ'!I89,IF($M$1="Обычный",'ОРД КИИ'!I90,'ОРД КИИ'!I91)),0)</f>
        <v>0</v>
      </c>
      <c r="I75" s="1427">
        <f>IF($A75=1,IF($M$1="Простой",'ОРД КИИ'!J89,IF($M$1="Обычный",'ОРД КИИ'!J90,'ОРД КИИ'!J91)),0)</f>
        <v>0</v>
      </c>
      <c r="J75" s="1415">
        <f t="shared" si="23"/>
        <v>0</v>
      </c>
      <c r="K75" s="1416">
        <f t="shared" si="28"/>
        <v>0</v>
      </c>
      <c r="L75" s="1416">
        <f t="shared" si="28"/>
        <v>0</v>
      </c>
      <c r="M75" s="1416">
        <f t="shared" si="28"/>
        <v>0</v>
      </c>
      <c r="N75" s="1412"/>
    </row>
    <row r="76" spans="1:14" ht="24" hidden="1" outlineLevel="3" x14ac:dyDescent="0.2">
      <c r="A76" s="1410">
        <v>0</v>
      </c>
      <c r="B76" s="1417">
        <v>1</v>
      </c>
      <c r="C76" s="1425" t="s">
        <v>1270</v>
      </c>
      <c r="D76" s="1413"/>
      <c r="E76" s="1413"/>
      <c r="F76" s="1415">
        <f t="shared" si="21"/>
        <v>0</v>
      </c>
      <c r="G76" s="1427">
        <f>IF($A76=1,IF($M$1="Простой",'ОРД КИИ'!H92,IF($M$1="Обычный",'ОРД КИИ'!H93,'ОРД КИИ'!H94)),0)</f>
        <v>0</v>
      </c>
      <c r="H76" s="1427">
        <f>IF($A76=1,IF($M$1="Простой",'ОРД КИИ'!I92,IF($M$1="Обычный",'ОРД КИИ'!I93,'ОРД КИИ'!I94)),0)</f>
        <v>0</v>
      </c>
      <c r="I76" s="1427">
        <f>IF($A76=1,IF($M$1="Простой",'ОРД КИИ'!J92,IF($M$1="Обычный",'ОРД КИИ'!J93,'ОРД КИИ'!J94)),0)</f>
        <v>0</v>
      </c>
      <c r="J76" s="1415">
        <f t="shared" si="23"/>
        <v>0</v>
      </c>
      <c r="K76" s="1416">
        <f t="shared" si="28"/>
        <v>0</v>
      </c>
      <c r="L76" s="1416">
        <f t="shared" si="28"/>
        <v>0</v>
      </c>
      <c r="M76" s="1416">
        <f t="shared" si="28"/>
        <v>0</v>
      </c>
      <c r="N76" s="1412"/>
    </row>
    <row r="77" spans="1:14" ht="12" hidden="1" customHeight="1" outlineLevel="3" x14ac:dyDescent="0.2">
      <c r="A77" s="1410">
        <v>0</v>
      </c>
      <c r="B77" s="1417">
        <v>1</v>
      </c>
      <c r="C77" s="1425" t="s">
        <v>1271</v>
      </c>
      <c r="D77" s="1413"/>
      <c r="E77" s="1413"/>
      <c r="F77" s="1415">
        <f t="shared" si="21"/>
        <v>0</v>
      </c>
      <c r="G77" s="1427">
        <f>IF($A77=1,IF($M$1="Простой",'ОРД КИИ'!H95,IF($M$1="Обычный",'ОРД КИИ'!H96,'ОРД КИИ'!H97)),0)</f>
        <v>0</v>
      </c>
      <c r="H77" s="1427">
        <f>IF($A77=1,IF($M$1="Простой",'ОРД КИИ'!I95,IF($M$1="Обычный",'ОРД КИИ'!I96,'ОРД КИИ'!I97)),0)</f>
        <v>0</v>
      </c>
      <c r="I77" s="1427">
        <f>IF($A77=1,IF($M$1="Простой",'ОРД КИИ'!J95,IF($M$1="Обычный",'ОРД КИИ'!J96,'ОРД КИИ'!J97)),0)</f>
        <v>0</v>
      </c>
      <c r="J77" s="1415">
        <f t="shared" si="23"/>
        <v>0</v>
      </c>
      <c r="K77" s="1416">
        <f t="shared" si="28"/>
        <v>0</v>
      </c>
      <c r="L77" s="1416">
        <f t="shared" si="28"/>
        <v>0</v>
      </c>
      <c r="M77" s="1416">
        <f t="shared" si="28"/>
        <v>0</v>
      </c>
      <c r="N77" s="1412"/>
    </row>
    <row r="78" spans="1:14" ht="12" hidden="1" customHeight="1" outlineLevel="3" x14ac:dyDescent="0.2">
      <c r="A78" s="1410">
        <v>0</v>
      </c>
      <c r="B78" s="1417">
        <v>1</v>
      </c>
      <c r="C78" s="1425" t="s">
        <v>1487</v>
      </c>
      <c r="D78" s="1413"/>
      <c r="E78" s="1413"/>
      <c r="F78" s="1415">
        <f t="shared" si="21"/>
        <v>0</v>
      </c>
      <c r="G78" s="1427">
        <f>IF($A78=1,IF($M$1="Простой",'ОРД КИИ'!H98,IF($M$1="Обычный",'ОРД КИИ'!H99,'ОРД КИИ'!H100)),0)</f>
        <v>0</v>
      </c>
      <c r="H78" s="1427">
        <f>IF($A78=1,IF($M$1="Простой",'ОРД КИИ'!I98,IF($M$1="Обычный",'ОРД КИИ'!I99,'ОРД КИИ'!I100)),0)</f>
        <v>0</v>
      </c>
      <c r="I78" s="1427">
        <f>IF($A78=1,IF($M$1="Простой",'ОРД КИИ'!J98,IF($M$1="Обычный",'ОРД КИИ'!J99,'ОРД КИИ'!J100)),0)</f>
        <v>0</v>
      </c>
      <c r="J78" s="1415">
        <f t="shared" si="23"/>
        <v>0</v>
      </c>
      <c r="K78" s="1416">
        <f t="shared" si="28"/>
        <v>0</v>
      </c>
      <c r="L78" s="1416">
        <f t="shared" si="28"/>
        <v>0</v>
      </c>
      <c r="M78" s="1416">
        <f t="shared" si="28"/>
        <v>0</v>
      </c>
      <c r="N78" s="1412"/>
    </row>
    <row r="79" spans="1:14" ht="24" hidden="1" outlineLevel="3" x14ac:dyDescent="0.2">
      <c r="A79" s="1410">
        <v>0</v>
      </c>
      <c r="B79" s="1417">
        <v>1</v>
      </c>
      <c r="C79" s="1425" t="s">
        <v>1273</v>
      </c>
      <c r="D79" s="1413"/>
      <c r="E79" s="1413"/>
      <c r="F79" s="1415">
        <f t="shared" si="21"/>
        <v>0</v>
      </c>
      <c r="G79" s="1427">
        <f>IF($A79=1,IF($M$1="Простой",'ОРД КИИ'!H101,IF($M$1="Обычный",'ОРД КИИ'!H102,'ОРД КИИ'!H103)),0)</f>
        <v>0</v>
      </c>
      <c r="H79" s="1427">
        <f>IF($A79=1,IF($M$1="Простой",'ОРД КИИ'!I101,IF($M$1="Обычный",'ОРД КИИ'!I102,'ОРД КИИ'!I103)),0)</f>
        <v>0</v>
      </c>
      <c r="I79" s="1427">
        <f>IF($A79=1,IF($M$1="Простой",'ОРД КИИ'!J101,IF($M$1="Обычный",'ОРД КИИ'!J102,'ОРД КИИ'!J103)),0)</f>
        <v>0</v>
      </c>
      <c r="J79" s="1415">
        <f t="shared" si="23"/>
        <v>0</v>
      </c>
      <c r="K79" s="1416">
        <f t="shared" si="28"/>
        <v>0</v>
      </c>
      <c r="L79" s="1416">
        <f t="shared" si="28"/>
        <v>0</v>
      </c>
      <c r="M79" s="1416">
        <f t="shared" si="28"/>
        <v>0</v>
      </c>
      <c r="N79" s="1412"/>
    </row>
    <row r="80" spans="1:14" ht="24" hidden="1" outlineLevel="3" x14ac:dyDescent="0.2">
      <c r="A80" s="1410">
        <v>0</v>
      </c>
      <c r="B80" s="1417">
        <v>1</v>
      </c>
      <c r="C80" s="1425" t="s">
        <v>1274</v>
      </c>
      <c r="D80" s="1413"/>
      <c r="E80" s="1413"/>
      <c r="F80" s="1415">
        <f t="shared" si="21"/>
        <v>0</v>
      </c>
      <c r="G80" s="1427">
        <f>IF($A80=1,IF($M$1="Простой",'ОРД КИИ'!H104,IF($M$1="Обычный",'ОРД КИИ'!H105,'ОРД КИИ'!H106)),0)</f>
        <v>0</v>
      </c>
      <c r="H80" s="1427">
        <f>IF($A80=1,IF($M$1="Простой",'ОРД КИИ'!I104,IF($M$1="Обычный",'ОРД КИИ'!I105,'ОРД КИИ'!I106)),0)</f>
        <v>0</v>
      </c>
      <c r="I80" s="1427">
        <f>IF($A80=1,IF($M$1="Простой",'ОРД КИИ'!J104,IF($M$1="Обычный",'ОРД КИИ'!J105,'ОРД КИИ'!J106)),0)</f>
        <v>0</v>
      </c>
      <c r="J80" s="1415">
        <f t="shared" si="23"/>
        <v>0</v>
      </c>
      <c r="K80" s="1416">
        <f t="shared" si="28"/>
        <v>0</v>
      </c>
      <c r="L80" s="1416">
        <f t="shared" si="28"/>
        <v>0</v>
      </c>
      <c r="M80" s="1416">
        <f t="shared" si="28"/>
        <v>0</v>
      </c>
      <c r="N80" s="1412"/>
    </row>
    <row r="81" spans="1:14" ht="12" hidden="1" customHeight="1" outlineLevel="3" x14ac:dyDescent="0.2">
      <c r="A81" s="1410">
        <v>0</v>
      </c>
      <c r="B81" s="1417">
        <v>1</v>
      </c>
      <c r="C81" s="1425" t="s">
        <v>1275</v>
      </c>
      <c r="D81" s="1413"/>
      <c r="E81" s="1413"/>
      <c r="F81" s="1415">
        <f t="shared" si="21"/>
        <v>0</v>
      </c>
      <c r="G81" s="1427">
        <f>IF($A81=1,IF($M$1="Простой",'ОРД КИИ'!H107,IF($M$1="Обычный",'ОРД КИИ'!H108,'ОРД КИИ'!H109)),0)</f>
        <v>0</v>
      </c>
      <c r="H81" s="1427">
        <f>IF($A81=1,IF($M$1="Простой",'ОРД КИИ'!I107,IF($M$1="Обычный",'ОРД КИИ'!I108,'ОРД КИИ'!I109)),0)</f>
        <v>0</v>
      </c>
      <c r="I81" s="1427">
        <f>IF($A81=1,IF($M$1="Простой",'ОРД КИИ'!J107,IF($M$1="Обычный",'ОРД КИИ'!J108,'ОРД КИИ'!J109)),0)</f>
        <v>0</v>
      </c>
      <c r="J81" s="1415">
        <f t="shared" si="23"/>
        <v>0</v>
      </c>
      <c r="K81" s="1416">
        <f t="shared" si="28"/>
        <v>0</v>
      </c>
      <c r="L81" s="1416">
        <f t="shared" si="28"/>
        <v>0</v>
      </c>
      <c r="M81" s="1416">
        <f t="shared" si="28"/>
        <v>0</v>
      </c>
      <c r="N81" s="1412"/>
    </row>
    <row r="82" spans="1:14" ht="24" hidden="1" outlineLevel="3" x14ac:dyDescent="0.2">
      <c r="A82" s="1410">
        <v>0</v>
      </c>
      <c r="B82" s="1417">
        <v>1</v>
      </c>
      <c r="C82" s="1425" t="s">
        <v>1276</v>
      </c>
      <c r="D82" s="1413"/>
      <c r="E82" s="1413"/>
      <c r="F82" s="1415">
        <f t="shared" si="21"/>
        <v>0</v>
      </c>
      <c r="G82" s="1427">
        <f>IF($A82=1,IF($M$1="Простой",'ОРД КИИ'!H110,IF($M$1="Обычный",'ОРД КИИ'!H111,'ОРД КИИ'!H112)),0)</f>
        <v>0</v>
      </c>
      <c r="H82" s="1427">
        <f>IF($A82=1,IF($M$1="Простой",'ОРД КИИ'!I110,IF($M$1="Обычный",'ОРД КИИ'!I111,'ОРД КИИ'!I112)),0)</f>
        <v>0</v>
      </c>
      <c r="I82" s="1427">
        <f>IF($A82=1,IF($M$1="Простой",'ОРД КИИ'!J110,IF($M$1="Обычный",'ОРД КИИ'!J111,'ОРД КИИ'!J112)),0)</f>
        <v>0</v>
      </c>
      <c r="J82" s="1415">
        <f t="shared" si="23"/>
        <v>0</v>
      </c>
      <c r="K82" s="1416">
        <f t="shared" si="28"/>
        <v>0</v>
      </c>
      <c r="L82" s="1416">
        <f t="shared" si="28"/>
        <v>0</v>
      </c>
      <c r="M82" s="1416">
        <f t="shared" si="28"/>
        <v>0</v>
      </c>
      <c r="N82" s="1412"/>
    </row>
    <row r="83" spans="1:14" ht="24" hidden="1" outlineLevel="3" x14ac:dyDescent="0.2">
      <c r="A83" s="1410">
        <v>0</v>
      </c>
      <c r="B83" s="1417">
        <v>1</v>
      </c>
      <c r="C83" s="1425" t="s">
        <v>1277</v>
      </c>
      <c r="D83" s="1413"/>
      <c r="E83" s="1413"/>
      <c r="F83" s="1415">
        <f t="shared" si="21"/>
        <v>0</v>
      </c>
      <c r="G83" s="1427">
        <f>IF($A83=1,IF($M$1="Простой",'ОРД КИИ'!H113,IF($M$1="Обычный",'ОРД КИИ'!H114,'ОРД КИИ'!H115)),0)</f>
        <v>0</v>
      </c>
      <c r="H83" s="1427">
        <f>IF($A83=1,IF($M$1="Простой",'ОРД КИИ'!I113,IF($M$1="Обычный",'ОРД КИИ'!I114,'ОРД КИИ'!I115)),0)</f>
        <v>0</v>
      </c>
      <c r="I83" s="1427">
        <f>IF($A83=1,IF($M$1="Простой",'ОРД КИИ'!J113,IF($M$1="Обычный",'ОРД КИИ'!J114,'ОРД КИИ'!J115)),0)</f>
        <v>0</v>
      </c>
      <c r="J83" s="1415">
        <f t="shared" si="23"/>
        <v>0</v>
      </c>
      <c r="K83" s="1416">
        <f t="shared" si="28"/>
        <v>0</v>
      </c>
      <c r="L83" s="1416">
        <f t="shared" si="28"/>
        <v>0</v>
      </c>
      <c r="M83" s="1416">
        <f t="shared" si="28"/>
        <v>0</v>
      </c>
      <c r="N83" s="1412"/>
    </row>
    <row r="84" spans="1:14" ht="36" hidden="1" outlineLevel="3" x14ac:dyDescent="0.2">
      <c r="A84" s="1410">
        <v>0</v>
      </c>
      <c r="B84" s="1417">
        <v>1</v>
      </c>
      <c r="C84" s="1425" t="s">
        <v>1488</v>
      </c>
      <c r="D84" s="1413"/>
      <c r="E84" s="1413"/>
      <c r="F84" s="1415">
        <f t="shared" si="21"/>
        <v>0</v>
      </c>
      <c r="G84" s="1427">
        <f>IF($A84=1,IF($M$1="Простой",'ОРД КИИ'!H116,IF($M$1="Обычный",'ОРД КИИ'!H117,'ОРД КИИ'!H118)),0)</f>
        <v>0</v>
      </c>
      <c r="H84" s="1427">
        <f>IF($A84=1,IF($M$1="Простой",'ОРД КИИ'!I116,IF($M$1="Обычный",'ОРД КИИ'!I117,'ОРД КИИ'!I118)),0)</f>
        <v>0</v>
      </c>
      <c r="I84" s="1427">
        <f>IF($A84=1,IF($M$1="Простой",'ОРД КИИ'!J116,IF($M$1="Обычный",'ОРД КИИ'!J117,'ОРД КИИ'!J118)),0)</f>
        <v>0</v>
      </c>
      <c r="J84" s="1415">
        <f t="shared" si="23"/>
        <v>0</v>
      </c>
      <c r="K84" s="1416">
        <f t="shared" si="28"/>
        <v>0</v>
      </c>
      <c r="L84" s="1416">
        <f t="shared" si="28"/>
        <v>0</v>
      </c>
      <c r="M84" s="1416">
        <f t="shared" si="28"/>
        <v>0</v>
      </c>
      <c r="N84" s="1412"/>
    </row>
    <row r="85" spans="1:14" ht="15.75" hidden="1" outlineLevel="2" x14ac:dyDescent="0.25">
      <c r="A85" s="1420"/>
      <c r="B85" s="1420"/>
      <c r="C85" s="1421" t="s">
        <v>1279</v>
      </c>
      <c r="D85" s="1629"/>
      <c r="E85" s="1629"/>
      <c r="F85" s="1415">
        <f t="shared" si="21"/>
        <v>0</v>
      </c>
      <c r="G85" s="1426">
        <f t="shared" ref="G85:M85" si="29">SUM(G86:G87)</f>
        <v>0</v>
      </c>
      <c r="H85" s="1426">
        <f t="shared" si="29"/>
        <v>0</v>
      </c>
      <c r="I85" s="1426">
        <f t="shared" si="29"/>
        <v>0</v>
      </c>
      <c r="J85" s="1415">
        <f t="shared" si="29"/>
        <v>0</v>
      </c>
      <c r="K85" s="1426">
        <f>SUM(K86:K87)</f>
        <v>0</v>
      </c>
      <c r="L85" s="1426">
        <f t="shared" si="29"/>
        <v>0</v>
      </c>
      <c r="M85" s="1426">
        <f t="shared" si="29"/>
        <v>0</v>
      </c>
      <c r="N85" s="1424"/>
    </row>
    <row r="86" spans="1:14" ht="12" hidden="1" customHeight="1" outlineLevel="3" x14ac:dyDescent="0.2">
      <c r="A86" s="1410">
        <v>0</v>
      </c>
      <c r="B86" s="1417">
        <v>1</v>
      </c>
      <c r="C86" s="1425" t="s">
        <v>1280</v>
      </c>
      <c r="D86" s="1413"/>
      <c r="E86" s="1413"/>
      <c r="F86" s="1415">
        <f t="shared" si="21"/>
        <v>0</v>
      </c>
      <c r="G86" s="1427">
        <f>IF($A86=1,IF($M$1="Простой",'ОРД КИИ'!H120,IF($M$1="Обычный",'ОРД КИИ'!H121,'ОРД КИИ'!H122)),0)</f>
        <v>0</v>
      </c>
      <c r="H86" s="1427">
        <f>IF($A86=1,IF($M$1="Простой",'ОРД КИИ'!I120,IF($M$1="Обычный",'ОРД КИИ'!I121,'ОРД КИИ'!I122)),0)</f>
        <v>0</v>
      </c>
      <c r="I86" s="1427">
        <f>IF($A86=1,IF($M$1="Простой",'ОРД КИИ'!J120,IF($M$1="Обычный",'ОРД КИИ'!J121,'ОРД КИИ'!J122)),0)</f>
        <v>0</v>
      </c>
      <c r="J86" s="1415">
        <f t="shared" si="23"/>
        <v>0</v>
      </c>
      <c r="K86" s="1416">
        <f>(G86/8)</f>
        <v>0</v>
      </c>
      <c r="L86" s="1416">
        <f t="shared" ref="L86:M87" si="30">(H86/8)</f>
        <v>0</v>
      </c>
      <c r="M86" s="1416">
        <f t="shared" si="30"/>
        <v>0</v>
      </c>
      <c r="N86" s="1412"/>
    </row>
    <row r="87" spans="1:14" ht="12" hidden="1" customHeight="1" outlineLevel="3" x14ac:dyDescent="0.2">
      <c r="A87" s="1410">
        <v>0</v>
      </c>
      <c r="B87" s="1417">
        <v>1</v>
      </c>
      <c r="C87" s="1425" t="s">
        <v>1281</v>
      </c>
      <c r="D87" s="1413"/>
      <c r="E87" s="1413"/>
      <c r="F87" s="1415">
        <f t="shared" si="21"/>
        <v>0</v>
      </c>
      <c r="G87" s="1427">
        <f>IF($A87=1,IF($M$1="Простой",'ОРД КИИ'!H123,IF($M$1="Обычный",'ОРД КИИ'!H124,'ОРД КИИ'!H125)),0)</f>
        <v>0</v>
      </c>
      <c r="H87" s="1427">
        <f>IF($A87=1,IF($M$1="Простой",'ОРД КИИ'!I123,IF($M$1="Обычный",'ОРД КИИ'!I124,'ОРД КИИ'!I125)),0)</f>
        <v>0</v>
      </c>
      <c r="I87" s="1427">
        <f>IF($A87=1,IF($M$1="Простой",'ОРД КИИ'!J123,IF($M$1="Обычный",'ОРД КИИ'!J124,'ОРД КИИ'!J125)),0)</f>
        <v>0</v>
      </c>
      <c r="J87" s="1415">
        <f t="shared" si="23"/>
        <v>0</v>
      </c>
      <c r="K87" s="1416">
        <f>(G87/8)</f>
        <v>0</v>
      </c>
      <c r="L87" s="1416">
        <f t="shared" si="30"/>
        <v>0</v>
      </c>
      <c r="M87" s="1416">
        <f t="shared" si="30"/>
        <v>0</v>
      </c>
      <c r="N87" s="1412"/>
    </row>
    <row r="88" spans="1:14" ht="21.75" hidden="1" collapsed="1" thickBot="1" x14ac:dyDescent="0.4">
      <c r="A88" s="2103" t="s">
        <v>1489</v>
      </c>
      <c r="B88" s="2104"/>
      <c r="C88" s="2104"/>
      <c r="D88" s="2104"/>
      <c r="E88" s="2105"/>
      <c r="F88" s="1428">
        <f t="shared" ref="F88" si="31">SUM(G88:I88)</f>
        <v>128</v>
      </c>
      <c r="G88" s="1428">
        <f>G89+G104+G107+G110</f>
        <v>54</v>
      </c>
      <c r="H88" s="1428">
        <f>H89+H104+H107+H110</f>
        <v>50</v>
      </c>
      <c r="I88" s="1428">
        <f>I89+I104+I107+I110</f>
        <v>24</v>
      </c>
      <c r="J88" s="1428">
        <f t="shared" ref="J88" si="32">SUM(K88:M88)</f>
        <v>15.86</v>
      </c>
      <c r="K88" s="1428">
        <f>K89+K104+K107+K110</f>
        <v>6.68</v>
      </c>
      <c r="L88" s="1428">
        <f>L89+L104+L107+L110</f>
        <v>6.24</v>
      </c>
      <c r="M88" s="1428">
        <f>M89+M104+M107+M110</f>
        <v>2.94</v>
      </c>
      <c r="N88" s="1429"/>
    </row>
    <row r="89" spans="1:14" ht="16.5" hidden="1" customHeight="1" outlineLevel="1" thickBot="1" x14ac:dyDescent="0.25">
      <c r="A89" s="2112"/>
      <c r="B89" s="2112"/>
      <c r="C89" s="2106" t="s">
        <v>1479</v>
      </c>
      <c r="D89" s="1430" t="s">
        <v>876</v>
      </c>
      <c r="E89" s="1409">
        <v>1</v>
      </c>
      <c r="F89" s="2106">
        <f>SUM(G89:I89)</f>
        <v>128</v>
      </c>
      <c r="G89" s="2106">
        <f>ROUNDUP(G92+G95+G97+G99+G101,0)</f>
        <v>54</v>
      </c>
      <c r="H89" s="2106">
        <f t="shared" ref="H89:I89" si="33">ROUNDUP(H92+H95+H97+H99+H101,0)</f>
        <v>50</v>
      </c>
      <c r="I89" s="2106">
        <f t="shared" si="33"/>
        <v>24</v>
      </c>
      <c r="J89" s="2106">
        <f>ROUNDUP(SUM(K89:M91),2)</f>
        <v>15.86</v>
      </c>
      <c r="K89" s="2106">
        <f t="shared" ref="K89:M89" si="34">ROUNDUP(SUM(K92,K95,K97,K99,K101),2)</f>
        <v>6.68</v>
      </c>
      <c r="L89" s="2106">
        <f t="shared" si="34"/>
        <v>6.24</v>
      </c>
      <c r="M89" s="2106">
        <f t="shared" si="34"/>
        <v>2.94</v>
      </c>
      <c r="N89" s="2109" t="s">
        <v>1480</v>
      </c>
    </row>
    <row r="90" spans="1:14" ht="16.5" hidden="1" customHeight="1" outlineLevel="1" thickBot="1" x14ac:dyDescent="0.25">
      <c r="A90" s="2114"/>
      <c r="B90" s="2114"/>
      <c r="C90" s="2107"/>
      <c r="D90" s="1431" t="s">
        <v>1282</v>
      </c>
      <c r="E90" s="1409">
        <v>10</v>
      </c>
      <c r="F90" s="2107"/>
      <c r="G90" s="2107"/>
      <c r="H90" s="2107"/>
      <c r="I90" s="2107"/>
      <c r="J90" s="2107"/>
      <c r="K90" s="2107"/>
      <c r="L90" s="2107"/>
      <c r="M90" s="2107"/>
      <c r="N90" s="2110"/>
    </row>
    <row r="91" spans="1:14" ht="24.75" hidden="1" outlineLevel="1" thickBot="1" x14ac:dyDescent="0.25">
      <c r="A91" s="2113"/>
      <c r="B91" s="2113"/>
      <c r="C91" s="2108"/>
      <c r="D91" s="1432" t="s">
        <v>1481</v>
      </c>
      <c r="E91" s="1409" t="s">
        <v>106</v>
      </c>
      <c r="F91" s="2108"/>
      <c r="G91" s="2108"/>
      <c r="H91" s="2108"/>
      <c r="I91" s="2108"/>
      <c r="J91" s="2108"/>
      <c r="K91" s="2108"/>
      <c r="L91" s="2108"/>
      <c r="M91" s="2108"/>
      <c r="N91" s="2111"/>
    </row>
    <row r="92" spans="1:14" ht="31.5" hidden="1" outlineLevel="2" x14ac:dyDescent="0.2">
      <c r="A92" s="1433"/>
      <c r="B92" s="1433"/>
      <c r="C92" s="1597" t="s">
        <v>1352</v>
      </c>
      <c r="D92" s="1630"/>
      <c r="E92" s="1630"/>
      <c r="F92" s="1435">
        <f t="shared" ref="F92:F103" si="35">SUM(G92:I92)</f>
        <v>7.9999999999999991</v>
      </c>
      <c r="G92" s="1435">
        <f t="shared" ref="G92:M92" si="36">SUM(G93:G94)</f>
        <v>4.8</v>
      </c>
      <c r="H92" s="1435">
        <f t="shared" si="36"/>
        <v>2.4</v>
      </c>
      <c r="I92" s="1435">
        <f t="shared" si="36"/>
        <v>0.8</v>
      </c>
      <c r="J92" s="1435">
        <f t="shared" si="36"/>
        <v>0.99999999999999989</v>
      </c>
      <c r="K92" s="1435">
        <f>SUM(K93:K94)</f>
        <v>0.6</v>
      </c>
      <c r="L92" s="1435">
        <f t="shared" si="36"/>
        <v>0.3</v>
      </c>
      <c r="M92" s="1435">
        <f t="shared" si="36"/>
        <v>0.1</v>
      </c>
      <c r="N92" s="1436"/>
    </row>
    <row r="93" spans="1:14" ht="15.75" hidden="1" outlineLevel="3" x14ac:dyDescent="0.2">
      <c r="A93" s="1437">
        <v>0</v>
      </c>
      <c r="B93" s="1580">
        <v>0</v>
      </c>
      <c r="C93" s="1438" t="s">
        <v>1353</v>
      </c>
      <c r="D93" s="1413"/>
      <c r="E93" s="1413"/>
      <c r="F93" s="1435">
        <f t="shared" si="35"/>
        <v>0</v>
      </c>
      <c r="G93" s="1439">
        <f>IF($A93=1,IF($M$1="Простой",'Обследование и аудит ИСПДн'!H2,IF($M$1="Обычный",'Обследование и аудит ИСПДн'!H3,'Обследование и аудит ИСПДн'!H4)),0)</f>
        <v>0</v>
      </c>
      <c r="H93" s="1439">
        <f>IF($A93=1,IF($M$1="Простой",'Обследование и аудит ИСПДн'!I2,IF($M$1="Обычный",'Обследование и аудит ИСПДн'!I3,'Обследование и аудит ИСПДн'!I4)),0)</f>
        <v>0</v>
      </c>
      <c r="I93" s="1439">
        <f>IF($A93=1,IF($M$1="Простой",'Обследование и аудит ИСПДн'!J2,IF($M$1="Обычный",'Обследование и аудит ИСПДн'!J3,'Обследование и аудит ИСПДн'!J4)),0)</f>
        <v>0</v>
      </c>
      <c r="J93" s="1435">
        <f t="shared" ref="J93:J103" si="37">SUM(K93:M93)</f>
        <v>0</v>
      </c>
      <c r="K93" s="1439">
        <f>(G93/8)</f>
        <v>0</v>
      </c>
      <c r="L93" s="1439">
        <f t="shared" ref="L93:M94" si="38">(H93/8)</f>
        <v>0</v>
      </c>
      <c r="M93" s="1439">
        <f t="shared" si="38"/>
        <v>0</v>
      </c>
      <c r="N93" s="1440"/>
    </row>
    <row r="94" spans="1:14" ht="15.75" hidden="1" outlineLevel="3" x14ac:dyDescent="0.2">
      <c r="A94" s="1437">
        <v>1</v>
      </c>
      <c r="B94" s="1417">
        <v>1</v>
      </c>
      <c r="C94" s="1438" t="s">
        <v>1354</v>
      </c>
      <c r="D94" s="1413"/>
      <c r="E94" s="1413"/>
      <c r="F94" s="1435">
        <f t="shared" si="35"/>
        <v>7.9999999999999991</v>
      </c>
      <c r="G94" s="1439">
        <f>IF($A94=1,IF($M$1="Простой",'Обследование и аудит ИСПДн'!H5,IF($M$1="Обычный",'Обследование и аудит ИСПДн'!H6,'Обследование и аудит ИСПДн'!H7)),0)</f>
        <v>4.8</v>
      </c>
      <c r="H94" s="1439">
        <f>IF($A94=1,IF($M$1="Простой",'Обследование и аудит ИСПДн'!I5,IF($M$1="Обычный",'Обследование и аудит ИСПДн'!I6,'Обследование и аудит ИСПДн'!I7)),0)</f>
        <v>2.4</v>
      </c>
      <c r="I94" s="1439">
        <f>IF($A94=1,IF($M$1="Простой",'Обследование и аудит ИСПДн'!J5,IF($M$1="Обычный",'Обследование и аудит ИСПДн'!J6,'Обследование и аудит ИСПДн'!J7)),0)</f>
        <v>0.8</v>
      </c>
      <c r="J94" s="1435">
        <f t="shared" si="37"/>
        <v>0.99999999999999989</v>
      </c>
      <c r="K94" s="1439">
        <f>(G94/8)</f>
        <v>0.6</v>
      </c>
      <c r="L94" s="1439">
        <f t="shared" si="38"/>
        <v>0.3</v>
      </c>
      <c r="M94" s="1439">
        <f t="shared" si="38"/>
        <v>0.1</v>
      </c>
      <c r="N94" s="1440"/>
    </row>
    <row r="95" spans="1:14" ht="15.75" hidden="1" outlineLevel="2" x14ac:dyDescent="0.2">
      <c r="A95" s="1433"/>
      <c r="B95" s="1433"/>
      <c r="C95" s="1597" t="s">
        <v>1381</v>
      </c>
      <c r="D95" s="1630"/>
      <c r="E95" s="1630"/>
      <c r="F95" s="1435">
        <f t="shared" si="35"/>
        <v>50.400000000000006</v>
      </c>
      <c r="G95" s="1435">
        <f>SUM(G96+G97+G99)</f>
        <v>19.8</v>
      </c>
      <c r="H95" s="1435">
        <f t="shared" ref="H95:I95" si="39">SUM(H96+H97+H99)</f>
        <v>20.160000000000004</v>
      </c>
      <c r="I95" s="1435">
        <f t="shared" si="39"/>
        <v>10.440000000000001</v>
      </c>
      <c r="J95" s="1435">
        <f>SUM(K95:M95)</f>
        <v>6.3000000000000007</v>
      </c>
      <c r="K95" s="1435">
        <f>SUM(K96+K97+K99)</f>
        <v>2.4750000000000001</v>
      </c>
      <c r="L95" s="1435">
        <f t="shared" ref="L95:M95" si="40">SUM(L96+L97+L99)</f>
        <v>2.5200000000000005</v>
      </c>
      <c r="M95" s="1435">
        <f t="shared" si="40"/>
        <v>1.3050000000000002</v>
      </c>
      <c r="N95" s="1441"/>
    </row>
    <row r="96" spans="1:14" ht="15.75" hidden="1" outlineLevel="3" x14ac:dyDescent="0.2">
      <c r="A96" s="1437">
        <v>1</v>
      </c>
      <c r="B96" s="1417">
        <v>1</v>
      </c>
      <c r="C96" s="1438" t="s">
        <v>1380</v>
      </c>
      <c r="D96" s="1413"/>
      <c r="E96" s="1413"/>
      <c r="F96" s="1435">
        <f t="shared" si="35"/>
        <v>32.4</v>
      </c>
      <c r="G96" s="1439">
        <f>IF($A96=1,IF($M$1="Простой",'Обследование и аудит ИСПДн'!H11,IF($M$1="Обычный",'Обследование и аудит ИСПДн'!H12,'Обследование и аудит ИСПДн'!H13)),0)</f>
        <v>16.2</v>
      </c>
      <c r="H96" s="1439">
        <f>IF($A96=1,IF($M$1="Простой",'Обследование и аудит ИСПДн'!I11,IF($M$1="Обычный",'Обследование и аудит ИСПДн'!I12,'Обследование и аудит ИСПДн'!I13)),0)</f>
        <v>12.96</v>
      </c>
      <c r="I96" s="1439">
        <f>IF($A96=1,IF($M$1="Простой",'Обследование и аудит ИСПДн'!J11,IF($M$1="Обычный",'Обследование и аудит ИСПДн'!J12,'Обследование и аудит ИСПДн'!J13)),0)</f>
        <v>3.24</v>
      </c>
      <c r="J96" s="1435">
        <f t="shared" si="37"/>
        <v>4.05</v>
      </c>
      <c r="K96" s="1439">
        <f>(G96/8)</f>
        <v>2.0249999999999999</v>
      </c>
      <c r="L96" s="1439">
        <f t="shared" ref="L96:M96" si="41">(H96/8)</f>
        <v>1.62</v>
      </c>
      <c r="M96" s="1439">
        <f t="shared" si="41"/>
        <v>0.40500000000000003</v>
      </c>
      <c r="N96" s="1440"/>
    </row>
    <row r="97" spans="1:14" ht="25.5" hidden="1" outlineLevel="2" x14ac:dyDescent="0.2">
      <c r="A97" s="1433"/>
      <c r="B97" s="1598"/>
      <c r="C97" s="1599" t="s">
        <v>1362</v>
      </c>
      <c r="D97" s="1600"/>
      <c r="E97" s="1600"/>
      <c r="F97" s="1601">
        <f t="shared" si="35"/>
        <v>12.000000000000002</v>
      </c>
      <c r="G97" s="1601">
        <f>SUM(G98:G98)</f>
        <v>2.4000000000000004</v>
      </c>
      <c r="H97" s="1601">
        <f>SUM(H98:H98)</f>
        <v>4.8000000000000007</v>
      </c>
      <c r="I97" s="1601">
        <f>SUM(I98:I98)</f>
        <v>4.8000000000000007</v>
      </c>
      <c r="J97" s="1601">
        <f>SUM(J98)</f>
        <v>1.5000000000000002</v>
      </c>
      <c r="K97" s="1601">
        <f>SUM(K98:K98)</f>
        <v>0.30000000000000004</v>
      </c>
      <c r="L97" s="1601">
        <f>SUM(L98:L98)</f>
        <v>0.60000000000000009</v>
      </c>
      <c r="M97" s="1601">
        <f>SUM(M98:M98)</f>
        <v>0.60000000000000009</v>
      </c>
      <c r="N97" s="1602" t="s">
        <v>1592</v>
      </c>
    </row>
    <row r="98" spans="1:14" ht="24.75" hidden="1" outlineLevel="3" thickBot="1" x14ac:dyDescent="0.25">
      <c r="A98" s="1437">
        <v>1</v>
      </c>
      <c r="B98" s="1417">
        <v>1</v>
      </c>
      <c r="C98" s="1442" t="s">
        <v>1364</v>
      </c>
      <c r="D98" s="1413"/>
      <c r="E98" s="1413"/>
      <c r="F98" s="1435">
        <f t="shared" si="35"/>
        <v>12.000000000000002</v>
      </c>
      <c r="G98" s="1439">
        <f>IF($A98=1,IF($M$1="Простой",'Обследование и аудит ИСПДн'!H17,IF($M$1="Обычный",'Обследование и аудит ИСПДн'!H18,'Обследование и аудит ИСПДн'!H19)),0)</f>
        <v>2.4000000000000004</v>
      </c>
      <c r="H98" s="1439">
        <f>IF($A98=1,IF($M$1="Простой",'Обследование и аудит ИСПДн'!I17,IF($M$1="Обычный",'Обследование и аудит ИСПДн'!I18,'Обследование и аудит ИСПДн'!I19)),0)</f>
        <v>4.8000000000000007</v>
      </c>
      <c r="I98" s="1439">
        <f>IF($A98=1,IF($M$1="Простой",'Обследование и аудит ИСПДн'!J17,IF($M$1="Обычный",'Обследование и аудит ИСПДн'!J18,'Обследование и аудит ИСПДн'!J19)),0)</f>
        <v>4.8000000000000007</v>
      </c>
      <c r="J98" s="1435">
        <f t="shared" si="37"/>
        <v>1.5000000000000002</v>
      </c>
      <c r="K98" s="1439">
        <f>(G98/8)</f>
        <v>0.30000000000000004</v>
      </c>
      <c r="L98" s="1439">
        <f t="shared" ref="L98:M98" si="42">(H98/8)</f>
        <v>0.60000000000000009</v>
      </c>
      <c r="M98" s="1439">
        <f t="shared" si="42"/>
        <v>0.60000000000000009</v>
      </c>
      <c r="N98" s="1440"/>
    </row>
    <row r="99" spans="1:14" ht="24.75" hidden="1" outlineLevel="2" thickBot="1" x14ac:dyDescent="0.25">
      <c r="A99" s="1433"/>
      <c r="B99" s="1598"/>
      <c r="C99" s="1599" t="s">
        <v>1379</v>
      </c>
      <c r="D99" s="1603" t="s">
        <v>1377</v>
      </c>
      <c r="E99" s="1409">
        <v>1</v>
      </c>
      <c r="F99" s="1601">
        <f t="shared" si="35"/>
        <v>6.0000000000000009</v>
      </c>
      <c r="G99" s="1601">
        <f>SUM(G100:G100)</f>
        <v>1.2000000000000002</v>
      </c>
      <c r="H99" s="1601">
        <f>SUM(H100:H100)</f>
        <v>2.4000000000000004</v>
      </c>
      <c r="I99" s="1601">
        <f>SUM(I100:I100)</f>
        <v>2.4000000000000004</v>
      </c>
      <c r="J99" s="1601">
        <f>SUM(K99:M99)</f>
        <v>0.75000000000000011</v>
      </c>
      <c r="K99" s="1601">
        <f>SUM(K100:K100)</f>
        <v>0.15000000000000002</v>
      </c>
      <c r="L99" s="1601">
        <f>SUM(L100:L100)</f>
        <v>0.30000000000000004</v>
      </c>
      <c r="M99" s="1601">
        <f>SUM(M100:M100)</f>
        <v>0.30000000000000004</v>
      </c>
      <c r="N99" s="1602" t="s">
        <v>1592</v>
      </c>
    </row>
    <row r="100" spans="1:14" ht="15.75" hidden="1" outlineLevel="3" x14ac:dyDescent="0.2">
      <c r="A100" s="1437">
        <v>1</v>
      </c>
      <c r="B100" s="1417">
        <v>1</v>
      </c>
      <c r="C100" s="1442" t="s">
        <v>1376</v>
      </c>
      <c r="D100" s="1413"/>
      <c r="E100" s="1413"/>
      <c r="F100" s="1435">
        <f t="shared" si="35"/>
        <v>6.0000000000000009</v>
      </c>
      <c r="G100" s="1439">
        <f>IF($A100=1,IF($M$1="Простой",'Обследование и аудит ИСПДн'!H23,IF($M$1="Обычный",'Обследование и аудит ИСПДн'!H24,'Обследование и аудит ИСПДн'!H25)),0)</f>
        <v>1.2000000000000002</v>
      </c>
      <c r="H100" s="1439">
        <f>IF($A100=1,IF($M$1="Простой",'Обследование и аудит ИСПДн'!I23,IF($M$1="Обычный",'Обследование и аудит ИСПДн'!I24,'Обследование и аудит ИСПДн'!I25)),0)</f>
        <v>2.4000000000000004</v>
      </c>
      <c r="I100" s="1439">
        <f>IF($A100=1,IF($M$1="Простой",'Обследование и аудит ИСПДн'!J23,IF($M$1="Обычный",'Обследование и аудит ИСПДн'!J24,'Обследование и аудит ИСПДн'!J25)),0)</f>
        <v>2.4000000000000004</v>
      </c>
      <c r="J100" s="1435">
        <f t="shared" si="37"/>
        <v>0.75000000000000011</v>
      </c>
      <c r="K100" s="1439">
        <f>(G100/8)</f>
        <v>0.15000000000000002</v>
      </c>
      <c r="L100" s="1439">
        <f t="shared" ref="L100:M100" si="43">(H100/8)</f>
        <v>0.30000000000000004</v>
      </c>
      <c r="M100" s="1439">
        <f t="shared" si="43"/>
        <v>0.30000000000000004</v>
      </c>
      <c r="N100" s="1440"/>
    </row>
    <row r="101" spans="1:14" ht="51" hidden="1" customHeight="1" outlineLevel="2" x14ac:dyDescent="0.2">
      <c r="A101" s="1433"/>
      <c r="B101" s="1433"/>
      <c r="C101" s="1597" t="s">
        <v>1365</v>
      </c>
      <c r="D101" s="1630"/>
      <c r="E101" s="1630"/>
      <c r="F101" s="1435">
        <f t="shared" si="35"/>
        <v>50.4</v>
      </c>
      <c r="G101" s="1435">
        <f t="shared" ref="G101:M101" si="44">SUM(G102:G103)</f>
        <v>25.2</v>
      </c>
      <c r="H101" s="1435">
        <f t="shared" si="44"/>
        <v>20.16</v>
      </c>
      <c r="I101" s="1435">
        <f t="shared" si="44"/>
        <v>5.04</v>
      </c>
      <c r="J101" s="1435">
        <f>SUM(K101:M101)</f>
        <v>6.3</v>
      </c>
      <c r="K101" s="1435">
        <f>SUM(K102:K103)</f>
        <v>3.15</v>
      </c>
      <c r="L101" s="1435">
        <f t="shared" si="44"/>
        <v>2.52</v>
      </c>
      <c r="M101" s="1435">
        <f t="shared" si="44"/>
        <v>0.63</v>
      </c>
      <c r="N101" s="1443" t="s">
        <v>1593</v>
      </c>
    </row>
    <row r="102" spans="1:14" ht="15.75" hidden="1" outlineLevel="3" x14ac:dyDescent="0.2">
      <c r="A102" s="1437">
        <v>1</v>
      </c>
      <c r="B102" s="1417">
        <v>1</v>
      </c>
      <c r="C102" s="1438" t="s">
        <v>1365</v>
      </c>
      <c r="D102" s="1413"/>
      <c r="E102" s="1413"/>
      <c r="F102" s="1435">
        <f t="shared" si="35"/>
        <v>50.4</v>
      </c>
      <c r="G102" s="1439">
        <f>IF($A102=1,IF($M$1="Простой",'Обследование и аудит ИСПДн'!H27,IF($M$1="Обычный",'Обследование и аудит ИСПДн'!H28,'Обследование и аудит ИСПДн'!H29)),0)</f>
        <v>25.2</v>
      </c>
      <c r="H102" s="1439">
        <f>IF($A102=1,IF($M$1="Простой",'Обследование и аудит ИСПДн'!I27,IF($M$1="Обычный",'Обследование и аудит ИСПДн'!I28,'Обследование и аудит ИСПДн'!I29)),0)</f>
        <v>20.16</v>
      </c>
      <c r="I102" s="1439">
        <f>IF($A102=1,IF($M$1="Простой",'Обследование и аудит ИСПДн'!J27,IF($M$1="Обычный",'Обследование и аудит ИСПДн'!J28,'Обследование и аудит ИСПДн'!J29)),0)</f>
        <v>5.04</v>
      </c>
      <c r="J102" s="1435">
        <f t="shared" si="37"/>
        <v>6.3</v>
      </c>
      <c r="K102" s="1439">
        <f>(G102/8)</f>
        <v>3.15</v>
      </c>
      <c r="L102" s="1439">
        <f t="shared" ref="L102:M103" si="45">(H102/8)</f>
        <v>2.52</v>
      </c>
      <c r="M102" s="1439">
        <f t="shared" si="45"/>
        <v>0.63</v>
      </c>
      <c r="N102" s="1440"/>
    </row>
    <row r="103" spans="1:14" ht="48.75" hidden="1" outlineLevel="3" thickBot="1" x14ac:dyDescent="0.25">
      <c r="A103" s="1437">
        <v>0</v>
      </c>
      <c r="B103" s="1580">
        <v>0</v>
      </c>
      <c r="C103" s="1442" t="s">
        <v>1368</v>
      </c>
      <c r="D103" s="1413"/>
      <c r="E103" s="1414"/>
      <c r="F103" s="1435">
        <f t="shared" si="35"/>
        <v>0</v>
      </c>
      <c r="G103" s="1439">
        <f>IF($A103=1,IF($M$1="Простой",'Обследование и аудит ИСПДн'!H33,IF($M$1="Обычный",'Обследование и аудит ИСПДн'!H34,'Обследование и аудит ИСПДн'!H35)),0)</f>
        <v>0</v>
      </c>
      <c r="H103" s="1439">
        <f>IF($A103=1,IF($M$1="Простой",'Обследование и аудит ИСПДн'!I33,IF($M$1="Обычный",'Обследование и аудит ИСПДн'!I34,'Обследование и аудит ИСПДн'!I35)),0)</f>
        <v>0</v>
      </c>
      <c r="I103" s="1439">
        <f>IF($A103=1,IF($M$1="Простой",'Обследование и аудит ИСПДн'!J33,IF($M$1="Обычный",'Обследование и аудит ИСПДн'!J34,'Обследование и аудит ИСПДн'!J35)),0)</f>
        <v>0</v>
      </c>
      <c r="J103" s="1435">
        <f t="shared" si="37"/>
        <v>0</v>
      </c>
      <c r="K103" s="1439">
        <f>(G103/8)</f>
        <v>0</v>
      </c>
      <c r="L103" s="1439">
        <f t="shared" si="45"/>
        <v>0</v>
      </c>
      <c r="M103" s="1439">
        <f t="shared" si="45"/>
        <v>0</v>
      </c>
      <c r="N103" s="1444" t="s">
        <v>1372</v>
      </c>
    </row>
    <row r="104" spans="1:14" ht="16.5" hidden="1" customHeight="1" outlineLevel="1" thickBot="1" x14ac:dyDescent="0.25">
      <c r="A104" s="2112"/>
      <c r="B104" s="2112"/>
      <c r="C104" s="2106" t="s">
        <v>1483</v>
      </c>
      <c r="D104" s="1430" t="s">
        <v>1421</v>
      </c>
      <c r="E104" s="1409">
        <v>1</v>
      </c>
      <c r="F104" s="2106">
        <f>SUM(G104:I105)</f>
        <v>0</v>
      </c>
      <c r="G104" s="2106">
        <f>ROUNDUP(SUM(G106:G106),0)</f>
        <v>0</v>
      </c>
      <c r="H104" s="2106">
        <f t="shared" ref="H104:I104" si="46">ROUNDUP(SUM(H106:H106),0)</f>
        <v>0</v>
      </c>
      <c r="I104" s="2106">
        <f t="shared" si="46"/>
        <v>0</v>
      </c>
      <c r="J104" s="2106">
        <f>ROUNDUP(SUM(J106),2)</f>
        <v>0</v>
      </c>
      <c r="K104" s="2106">
        <f>ROUNDUP(SUM(K106),2)</f>
        <v>0</v>
      </c>
      <c r="L104" s="2106">
        <f t="shared" ref="L104:M104" si="47">ROUNDUP(SUM(L106),2)</f>
        <v>0</v>
      </c>
      <c r="M104" s="2106">
        <f t="shared" si="47"/>
        <v>0</v>
      </c>
      <c r="N104" s="2115" t="s">
        <v>1490</v>
      </c>
    </row>
    <row r="105" spans="1:14" ht="16.5" hidden="1" customHeight="1" outlineLevel="1" thickBot="1" x14ac:dyDescent="0.25">
      <c r="A105" s="2113"/>
      <c r="B105" s="2113"/>
      <c r="C105" s="2108"/>
      <c r="D105" s="1445" t="s">
        <v>1422</v>
      </c>
      <c r="E105" s="1409">
        <v>1</v>
      </c>
      <c r="F105" s="2108"/>
      <c r="G105" s="2108"/>
      <c r="H105" s="2108"/>
      <c r="I105" s="2108"/>
      <c r="J105" s="2108"/>
      <c r="K105" s="2108"/>
      <c r="L105" s="2108"/>
      <c r="M105" s="2108"/>
      <c r="N105" s="2116"/>
    </row>
    <row r="106" spans="1:14" ht="16.5" hidden="1" outlineLevel="2" thickBot="1" x14ac:dyDescent="0.25">
      <c r="A106" s="1437">
        <v>0</v>
      </c>
      <c r="B106" s="1417">
        <v>1</v>
      </c>
      <c r="C106" s="1438" t="s">
        <v>1428</v>
      </c>
      <c r="D106" s="1413"/>
      <c r="E106" s="1414"/>
      <c r="F106" s="1435">
        <f>SUM(G106:I106)</f>
        <v>0</v>
      </c>
      <c r="G106" s="1439">
        <f>IF($A106=1,IF($M$1="Простой",'МУиН ИСПДн'!H4,IF($M$1="Обычный",'МУиН ИСПДн'!H5,'МУиН ИСПДн'!H6)),0)</f>
        <v>0</v>
      </c>
      <c r="H106" s="1439">
        <f>IF($A106=1,IF($M$1="Простой",'МУиН ИСПДн'!I4,IF($M$1="Обычный",'МУиН ИСПДн'!I5,'МУиН ИСПДн'!I6)),0)</f>
        <v>0</v>
      </c>
      <c r="I106" s="1439">
        <f>IF($A106=1,IF($M$1="Простой",'МУиН ИСПДн'!J4,IF($M$1="Обычный",'МУиН ИСПДн'!J5,'МУиН ИСПДн'!J6)),0)</f>
        <v>0</v>
      </c>
      <c r="J106" s="1435">
        <f>SUM(K106:M106)</f>
        <v>0</v>
      </c>
      <c r="K106" s="1439">
        <f>(G106/8)</f>
        <v>0</v>
      </c>
      <c r="L106" s="1439">
        <f>(H106/8)</f>
        <v>0</v>
      </c>
      <c r="M106" s="1439">
        <f>(I106/8)</f>
        <v>0</v>
      </c>
      <c r="N106" s="1440"/>
    </row>
    <row r="107" spans="1:14" ht="16.5" hidden="1" outlineLevel="1" thickBot="1" x14ac:dyDescent="0.25">
      <c r="A107" s="1446"/>
      <c r="B107" s="1446"/>
      <c r="C107" s="1447" t="s">
        <v>1411</v>
      </c>
      <c r="D107" s="1430" t="s">
        <v>1282</v>
      </c>
      <c r="E107" s="1409">
        <v>10</v>
      </c>
      <c r="F107" s="1447">
        <f>SUM(G107:I107)</f>
        <v>0</v>
      </c>
      <c r="G107" s="1447">
        <f>SUM(G108:G109)</f>
        <v>0</v>
      </c>
      <c r="H107" s="1447">
        <f t="shared" ref="H107:I107" si="48">SUM(H108:H109)</f>
        <v>0</v>
      </c>
      <c r="I107" s="1447">
        <f t="shared" si="48"/>
        <v>0</v>
      </c>
      <c r="J107" s="1447">
        <f>SUM(K107:M107)</f>
        <v>0</v>
      </c>
      <c r="K107" s="1447">
        <f>SUM(K108:K109)</f>
        <v>0</v>
      </c>
      <c r="L107" s="1447">
        <f t="shared" ref="L107" si="49">SUM(L108:L109)</f>
        <v>0</v>
      </c>
      <c r="M107" s="1447">
        <f>SUM(M108:M109)</f>
        <v>0</v>
      </c>
      <c r="N107" s="1448"/>
    </row>
    <row r="108" spans="1:14" ht="24" hidden="1" outlineLevel="2" x14ac:dyDescent="0.2">
      <c r="A108" s="1437">
        <v>0</v>
      </c>
      <c r="B108" s="1417">
        <v>1</v>
      </c>
      <c r="C108" s="1442" t="s">
        <v>1412</v>
      </c>
      <c r="D108" s="1413"/>
      <c r="E108" s="1414"/>
      <c r="F108" s="1435">
        <f>SUM(G108:I108)</f>
        <v>0</v>
      </c>
      <c r="G108" s="1439">
        <f>IF($A108=1,IF($M$1="Простой",Классификация!H4,IF($M$1="Обычный",Классификация!H5,Классификация!H6)),0)</f>
        <v>0</v>
      </c>
      <c r="H108" s="1439">
        <f>IF($A108=1,IF($M$1="Простой",Классификация!I4,IF($M$1="Обычный",Классификация!I5,Классификация!I6)),0)</f>
        <v>0</v>
      </c>
      <c r="I108" s="1439">
        <f>IF($A108=1,IF($M$1="Простой",Классификация!J4,IF($M$1="Обычный",Классификация!J5,Классификация!J6)),0)</f>
        <v>0</v>
      </c>
      <c r="J108" s="1435">
        <f>SUM(K108:M108)</f>
        <v>0</v>
      </c>
      <c r="K108" s="1439">
        <f>(G108/8)</f>
        <v>0</v>
      </c>
      <c r="L108" s="1439">
        <f t="shared" ref="L108:M109" si="50">(H108/8)</f>
        <v>0</v>
      </c>
      <c r="M108" s="1439">
        <f t="shared" si="50"/>
        <v>0</v>
      </c>
      <c r="N108" s="1440"/>
    </row>
    <row r="109" spans="1:14" ht="16.5" hidden="1" outlineLevel="2" thickBot="1" x14ac:dyDescent="0.25">
      <c r="A109" s="1437">
        <v>0</v>
      </c>
      <c r="B109" s="1417">
        <v>1</v>
      </c>
      <c r="C109" s="1438" t="s">
        <v>1414</v>
      </c>
      <c r="D109" s="1413"/>
      <c r="E109" s="1413"/>
      <c r="F109" s="1435">
        <f>SUM(G109:I109)</f>
        <v>0</v>
      </c>
      <c r="G109" s="1439">
        <f>IF($A109=1,IF($M$1="Простой",Классификация!H7,IF($M$1="Обычный",Классификация!H8,Классификация!H9)),0)</f>
        <v>0</v>
      </c>
      <c r="H109" s="1439">
        <f>IF($A109=1,IF($M$1="Простой",Классификация!I7,IF($M$1="Обычный",Классификация!I8,Классификация!I9)),0)</f>
        <v>0</v>
      </c>
      <c r="I109" s="1439">
        <f>IF($A109=1,IF($M$1="Простой",Классификация!J7,IF($M$1="Обычный",Классификация!J8,Классификация!J9)),0)</f>
        <v>0</v>
      </c>
      <c r="J109" s="1435">
        <f>SUM(K109:M109)</f>
        <v>0</v>
      </c>
      <c r="K109" s="1439">
        <f>(G109/8)</f>
        <v>0</v>
      </c>
      <c r="L109" s="1439">
        <f t="shared" si="50"/>
        <v>0</v>
      </c>
      <c r="M109" s="1439">
        <f t="shared" si="50"/>
        <v>0</v>
      </c>
      <c r="N109" s="1440"/>
    </row>
    <row r="110" spans="1:14" ht="16.5" hidden="1" customHeight="1" outlineLevel="1" thickBot="1" x14ac:dyDescent="0.25">
      <c r="A110" s="2112"/>
      <c r="B110" s="2112"/>
      <c r="C110" s="2106" t="s">
        <v>1491</v>
      </c>
      <c r="D110" s="1449" t="s">
        <v>1282</v>
      </c>
      <c r="E110" s="1409">
        <v>2</v>
      </c>
      <c r="F110" s="2106">
        <f>SUM(G110:I110)</f>
        <v>0</v>
      </c>
      <c r="G110" s="2106">
        <f>G113+G117+G145+G147+G149+G151+G153+G155+G158+G160</f>
        <v>0</v>
      </c>
      <c r="H110" s="2106">
        <f t="shared" ref="H110:I110" si="51">H113+H117+H145+H147+H149+H151+H153+H155+H158+H160</f>
        <v>0</v>
      </c>
      <c r="I110" s="2106">
        <f t="shared" si="51"/>
        <v>0</v>
      </c>
      <c r="J110" s="2106">
        <f>ROUNDUP(SUM(K110:M112),2)</f>
        <v>0</v>
      </c>
      <c r="K110" s="2106">
        <f>ROUNDUP(SUM(K113,K117,K145,K147,K149,K151,K153,K155,K158,K160),2)</f>
        <v>0</v>
      </c>
      <c r="L110" s="2106">
        <f t="shared" ref="L110:M110" si="52">ROUNDUP(SUM(L113,L117,L145,L147,L149,L151,L153,L155,L158,L160),2)</f>
        <v>0</v>
      </c>
      <c r="M110" s="2106">
        <f t="shared" si="52"/>
        <v>0</v>
      </c>
      <c r="N110" s="2109"/>
    </row>
    <row r="111" spans="1:14" ht="12.6" hidden="1" customHeight="1" outlineLevel="1" thickBot="1" x14ac:dyDescent="0.25">
      <c r="A111" s="2114"/>
      <c r="B111" s="2114"/>
      <c r="C111" s="2107"/>
      <c r="D111" s="1450" t="s">
        <v>1231</v>
      </c>
      <c r="E111" s="1409" t="s">
        <v>107</v>
      </c>
      <c r="F111" s="2107"/>
      <c r="G111" s="2107"/>
      <c r="H111" s="2107"/>
      <c r="I111" s="2107"/>
      <c r="J111" s="2107"/>
      <c r="K111" s="2107"/>
      <c r="L111" s="2107"/>
      <c r="M111" s="2107"/>
      <c r="N111" s="2110"/>
    </row>
    <row r="112" spans="1:14" ht="24.75" hidden="1" outlineLevel="1" thickBot="1" x14ac:dyDescent="0.25">
      <c r="A112" s="2113"/>
      <c r="B112" s="2113"/>
      <c r="C112" s="2108"/>
      <c r="D112" s="1450" t="s">
        <v>1232</v>
      </c>
      <c r="E112" s="1409" t="s">
        <v>107</v>
      </c>
      <c r="F112" s="2108"/>
      <c r="G112" s="2108"/>
      <c r="H112" s="2108"/>
      <c r="I112" s="2108"/>
      <c r="J112" s="2108"/>
      <c r="K112" s="2108"/>
      <c r="L112" s="2108"/>
      <c r="M112" s="2108"/>
      <c r="N112" s="2111"/>
    </row>
    <row r="113" spans="1:14" ht="15.75" hidden="1" outlineLevel="2" x14ac:dyDescent="0.25">
      <c r="A113" s="1433"/>
      <c r="B113" s="1433"/>
      <c r="C113" s="1434" t="s">
        <v>1236</v>
      </c>
      <c r="D113" s="1413"/>
      <c r="E113" s="1413"/>
      <c r="F113" s="1435">
        <f>SUM(G113:I113)</f>
        <v>0</v>
      </c>
      <c r="G113" s="1451">
        <f>SUM(G114:G116)</f>
        <v>0</v>
      </c>
      <c r="H113" s="1451">
        <f>SUM(H114:H116)</f>
        <v>0</v>
      </c>
      <c r="I113" s="1451">
        <f>SUM(I114:I116)</f>
        <v>0</v>
      </c>
      <c r="J113" s="1435">
        <f t="shared" ref="J113:J165" si="53">SUM(K113:M113)</f>
        <v>0</v>
      </c>
      <c r="K113" s="1451">
        <f>SUM(K114:K116)</f>
        <v>0</v>
      </c>
      <c r="L113" s="1451">
        <f>SUM(L114:L116)</f>
        <v>0</v>
      </c>
      <c r="M113" s="1451">
        <f>SUM(M114:M116)</f>
        <v>0</v>
      </c>
      <c r="N113" s="1441"/>
    </row>
    <row r="114" spans="1:14" ht="15.75" hidden="1" outlineLevel="3" x14ac:dyDescent="0.2">
      <c r="A114" s="1437">
        <v>0</v>
      </c>
      <c r="B114" s="1417">
        <v>1</v>
      </c>
      <c r="C114" s="1442" t="s">
        <v>1238</v>
      </c>
      <c r="D114" s="1413"/>
      <c r="E114" s="1413"/>
      <c r="F114" s="1435">
        <f t="shared" ref="F114:F165" si="54">SUM(G114:I114)</f>
        <v>0</v>
      </c>
      <c r="G114" s="1439">
        <f>IF($A114=1,IF($M$1="Простой",'ОРД ПДн'!H4,IF($M$1="Обычный",'ОРД ПДн'!H5,'ОРД ПДн'!H6)),0)</f>
        <v>0</v>
      </c>
      <c r="H114" s="1439">
        <f>IF($A114=1,IF($M$1="Простой",'ОРД ПДн'!I4,IF($M$1="Обычный",'ОРД ПДн'!I5,'ОРД ПДн'!I6)),0)</f>
        <v>0</v>
      </c>
      <c r="I114" s="1439">
        <f>IF($A114=1,IF($M$1="Простой",'ОРД ПДн'!J4,IF($M$1="Обычный",'ОРД ПДн'!J5,'ОРД ПДн'!J6)),0)</f>
        <v>0</v>
      </c>
      <c r="J114" s="1435">
        <f t="shared" si="53"/>
        <v>0</v>
      </c>
      <c r="K114" s="1439">
        <f>(G114/8)</f>
        <v>0</v>
      </c>
      <c r="L114" s="1439">
        <f t="shared" ref="L114:M116" si="55">(H114/8)</f>
        <v>0</v>
      </c>
      <c r="M114" s="1439">
        <f t="shared" si="55"/>
        <v>0</v>
      </c>
      <c r="N114" s="1440"/>
    </row>
    <row r="115" spans="1:14" ht="15.75" hidden="1" outlineLevel="3" x14ac:dyDescent="0.2">
      <c r="A115" s="1437">
        <v>0</v>
      </c>
      <c r="B115" s="1417">
        <v>1</v>
      </c>
      <c r="C115" s="1442" t="s">
        <v>1239</v>
      </c>
      <c r="D115" s="1413"/>
      <c r="E115" s="1413"/>
      <c r="F115" s="1435">
        <f t="shared" si="54"/>
        <v>0</v>
      </c>
      <c r="G115" s="1439">
        <f>IF($A115=1,IF($M$1="Простой",'ОРД ПДн'!H7,IF($M$1="Обычный",'ОРД ПДн'!H8,'ОРД ПДн'!H9)),0)</f>
        <v>0</v>
      </c>
      <c r="H115" s="1439">
        <f>IF($A115=1,IF($M$1="Простой",'ОРД ПДн'!I7,IF($M$1="Обычный",'ОРД ПДн'!I8,'ОРД ПДн'!I9)),0)</f>
        <v>0</v>
      </c>
      <c r="I115" s="1439">
        <f>IF($A115=1,IF($M$1="Простой",'ОРД ПДн'!J7,IF($M$1="Обычный",'ОРД ПДн'!J8,'ОРД ПДн'!J9)),0)</f>
        <v>0</v>
      </c>
      <c r="J115" s="1435">
        <f t="shared" si="53"/>
        <v>0</v>
      </c>
      <c r="K115" s="1439">
        <f t="shared" ref="K115:K116" si="56">(G115/8)</f>
        <v>0</v>
      </c>
      <c r="L115" s="1439">
        <f t="shared" si="55"/>
        <v>0</v>
      </c>
      <c r="M115" s="1439">
        <f t="shared" si="55"/>
        <v>0</v>
      </c>
      <c r="N115" s="1440"/>
    </row>
    <row r="116" spans="1:14" ht="15.75" hidden="1" outlineLevel="3" x14ac:dyDescent="0.2">
      <c r="A116" s="1437">
        <v>0</v>
      </c>
      <c r="B116" s="1417">
        <v>1</v>
      </c>
      <c r="C116" s="1442" t="s">
        <v>1240</v>
      </c>
      <c r="D116" s="1413"/>
      <c r="E116" s="1413"/>
      <c r="F116" s="1435">
        <f t="shared" si="54"/>
        <v>0</v>
      </c>
      <c r="G116" s="1439">
        <f>IF($A116=1,IF($M$1="Простой",'ОРД ПДн'!H10,IF($M$1="Обычный",'ОРД ПДн'!H11,'ОРД ПДн'!H12)),0)</f>
        <v>0</v>
      </c>
      <c r="H116" s="1439">
        <f>IF($A116=1,IF($M$1="Простой",'ОРД ПДн'!I10,IF($M$1="Обычный",'ОРД ПДн'!I11,'ОРД ПДн'!I12)),0)</f>
        <v>0</v>
      </c>
      <c r="I116" s="1439">
        <f>IF($A116=1,IF($M$1="Простой",'ОРД ПДн'!J10,IF($M$1="Обычный",'ОРД ПДн'!J11,'ОРД ПДн'!J12)),0)</f>
        <v>0</v>
      </c>
      <c r="J116" s="1435">
        <f t="shared" si="53"/>
        <v>0</v>
      </c>
      <c r="K116" s="1439">
        <f t="shared" si="56"/>
        <v>0</v>
      </c>
      <c r="L116" s="1439">
        <f t="shared" si="55"/>
        <v>0</v>
      </c>
      <c r="M116" s="1439">
        <f t="shared" si="55"/>
        <v>0</v>
      </c>
      <c r="N116" s="1440"/>
    </row>
    <row r="117" spans="1:14" ht="15.75" hidden="1" outlineLevel="2" x14ac:dyDescent="0.25">
      <c r="A117" s="1433"/>
      <c r="B117" s="1433"/>
      <c r="C117" s="1434" t="s">
        <v>1283</v>
      </c>
      <c r="D117" s="1630"/>
      <c r="E117" s="1630"/>
      <c r="F117" s="1435">
        <f t="shared" si="54"/>
        <v>0</v>
      </c>
      <c r="G117" s="1451">
        <f>SUM(G118:G144)</f>
        <v>0</v>
      </c>
      <c r="H117" s="1451">
        <f t="shared" ref="H117:I117" si="57">SUM(H118:H144)</f>
        <v>0</v>
      </c>
      <c r="I117" s="1451">
        <f t="shared" si="57"/>
        <v>0</v>
      </c>
      <c r="J117" s="1435">
        <f>SUM(J118:J144)</f>
        <v>0</v>
      </c>
      <c r="K117" s="1451">
        <f>SUM(K118:K144)</f>
        <v>0</v>
      </c>
      <c r="L117" s="1451">
        <f>SUM(L118:L144)</f>
        <v>0</v>
      </c>
      <c r="M117" s="1451">
        <f>SUM(M118:M144)</f>
        <v>0</v>
      </c>
      <c r="N117" s="1441"/>
    </row>
    <row r="118" spans="1:14" ht="15.75" hidden="1" outlineLevel="3" x14ac:dyDescent="0.2">
      <c r="A118" s="1437">
        <v>0</v>
      </c>
      <c r="B118" s="1417">
        <v>1</v>
      </c>
      <c r="C118" s="1442" t="s">
        <v>1594</v>
      </c>
      <c r="D118" s="1413"/>
      <c r="E118" s="1413"/>
      <c r="F118" s="1435">
        <f t="shared" si="54"/>
        <v>0</v>
      </c>
      <c r="G118" s="1439">
        <f>IF($A118=1,IF($M$1="Простой",'ОРД ПДн'!H14,IF($M$1="Обычный",'ОРД ПДн'!H15,'ОРД ПДн'!H16)),0)</f>
        <v>0</v>
      </c>
      <c r="H118" s="1439">
        <f>IF($A118=1,IF($M$1="Простой",'ОРД ПДн'!I14,IF($M$1="Обычный",'ОРД ПДн'!I15,'ОРД ПДн'!I16)),0)</f>
        <v>0</v>
      </c>
      <c r="I118" s="1439">
        <f>IF($A118=1,IF($M$1="Простой",'ОРД ПДн'!J14,IF($M$1="Обычный",'ОРД ПДн'!J15,'ОРД ПДн'!J16)),0)</f>
        <v>0</v>
      </c>
      <c r="J118" s="1435">
        <f t="shared" si="53"/>
        <v>0</v>
      </c>
      <c r="K118" s="1439">
        <f>G118/8</f>
        <v>0</v>
      </c>
      <c r="L118" s="1439">
        <f t="shared" ref="L118:M133" si="58">H118/8</f>
        <v>0</v>
      </c>
      <c r="M118" s="1439">
        <f t="shared" si="58"/>
        <v>0</v>
      </c>
      <c r="N118" s="1440"/>
    </row>
    <row r="119" spans="1:14" ht="12" hidden="1" customHeight="1" outlineLevel="3" x14ac:dyDescent="0.2">
      <c r="A119" s="1437">
        <v>0</v>
      </c>
      <c r="B119" s="1417">
        <v>1</v>
      </c>
      <c r="C119" s="1442" t="s">
        <v>1285</v>
      </c>
      <c r="D119" s="1413"/>
      <c r="E119" s="1413"/>
      <c r="F119" s="1435">
        <f t="shared" si="54"/>
        <v>0</v>
      </c>
      <c r="G119" s="1439">
        <f>IF($A119=1,IF($M$1="Простой",'ОРД ПДн'!H17,IF($M$1="Обычный",'ОРД ПДн'!H18,'ОРД ПДн'!H19)),0)</f>
        <v>0</v>
      </c>
      <c r="H119" s="1439">
        <f>IF($A119=1,IF($M$1="Простой",'ОРД ПДн'!I17,IF($M$1="Обычный",'ОРД ПДн'!I18,'ОРД ПДн'!I19)),0)</f>
        <v>0</v>
      </c>
      <c r="I119" s="1439">
        <f>IF($A119=1,IF($M$1="Простой",'ОРД ПДн'!J17,IF($M$1="Обычный",'ОРД ПДн'!J18,'ОРД ПДн'!J19)),0)</f>
        <v>0</v>
      </c>
      <c r="J119" s="1435">
        <f t="shared" si="53"/>
        <v>0</v>
      </c>
      <c r="K119" s="1439">
        <f t="shared" ref="K119:M144" si="59">G119/8</f>
        <v>0</v>
      </c>
      <c r="L119" s="1439">
        <f t="shared" si="58"/>
        <v>0</v>
      </c>
      <c r="M119" s="1439">
        <f t="shared" si="58"/>
        <v>0</v>
      </c>
      <c r="N119" s="1440"/>
    </row>
    <row r="120" spans="1:14" ht="24" hidden="1" outlineLevel="3" x14ac:dyDescent="0.2">
      <c r="A120" s="1437">
        <v>0</v>
      </c>
      <c r="B120" s="1417">
        <v>1</v>
      </c>
      <c r="C120" s="1442" t="s">
        <v>1286</v>
      </c>
      <c r="D120" s="1413"/>
      <c r="E120" s="1413"/>
      <c r="F120" s="1435">
        <f t="shared" si="54"/>
        <v>0</v>
      </c>
      <c r="G120" s="1439">
        <f>IF($A120=1,IF($M$1="Простой",'ОРД ПДн'!H20,IF($M$1="Обычный",'ОРД ПДн'!H21,'ОРД ПДн'!H22)),0)</f>
        <v>0</v>
      </c>
      <c r="H120" s="1439">
        <f>IF($A120=1,IF($M$1="Простой",'ОРД ПДн'!I20,IF($M$1="Обычный",'ОРД ПДн'!I21,'ОРД ПДн'!I22)),0)</f>
        <v>0</v>
      </c>
      <c r="I120" s="1439">
        <f>IF($A120=1,IF($M$1="Простой",'ОРД ПДн'!J20,IF($M$1="Обычный",'ОРД ПДн'!J21,'ОРД ПДн'!J22)),0)</f>
        <v>0</v>
      </c>
      <c r="J120" s="1435">
        <f t="shared" si="53"/>
        <v>0</v>
      </c>
      <c r="K120" s="1439">
        <f t="shared" si="59"/>
        <v>0</v>
      </c>
      <c r="L120" s="1439">
        <f t="shared" si="58"/>
        <v>0</v>
      </c>
      <c r="M120" s="1439">
        <f t="shared" si="58"/>
        <v>0</v>
      </c>
      <c r="N120" s="1440"/>
    </row>
    <row r="121" spans="1:14" ht="12" hidden="1" customHeight="1" outlineLevel="3" x14ac:dyDescent="0.2">
      <c r="A121" s="1437">
        <v>0</v>
      </c>
      <c r="B121" s="1417">
        <v>1</v>
      </c>
      <c r="C121" s="1442" t="s">
        <v>1287</v>
      </c>
      <c r="D121" s="1413"/>
      <c r="E121" s="1413"/>
      <c r="F121" s="1435">
        <f t="shared" si="54"/>
        <v>0</v>
      </c>
      <c r="G121" s="1439">
        <f>IF($A121=1,IF($M$1="Простой",'ОРД ПДн'!H23,IF($M$1="Обычный",'ОРД ПДн'!H24,'ОРД ПДн'!H25)),0)</f>
        <v>0</v>
      </c>
      <c r="H121" s="1439">
        <f>IF($A121=1,IF($M$1="Простой",'ОРД ПДн'!I23,IF($M$1="Обычный",'ОРД ПДн'!I24,'ОРД ПДн'!I25)),0)</f>
        <v>0</v>
      </c>
      <c r="I121" s="1439">
        <f>IF($A121=1,IF($M$1="Простой",'ОРД ПДн'!J23,IF($M$1="Обычный",'ОРД ПДн'!J24,'ОРД ПДн'!J25)),0)</f>
        <v>0</v>
      </c>
      <c r="J121" s="1435">
        <f t="shared" si="53"/>
        <v>0</v>
      </c>
      <c r="K121" s="1439">
        <f t="shared" si="59"/>
        <v>0</v>
      </c>
      <c r="L121" s="1439">
        <f t="shared" si="58"/>
        <v>0</v>
      </c>
      <c r="M121" s="1439">
        <f t="shared" si="58"/>
        <v>0</v>
      </c>
      <c r="N121" s="1440"/>
    </row>
    <row r="122" spans="1:14" ht="12" hidden="1" customHeight="1" outlineLevel="3" x14ac:dyDescent="0.2">
      <c r="A122" s="1437">
        <v>0</v>
      </c>
      <c r="B122" s="1417">
        <v>1</v>
      </c>
      <c r="C122" s="1442" t="s">
        <v>1288</v>
      </c>
      <c r="D122" s="1413"/>
      <c r="E122" s="1413"/>
      <c r="F122" s="1435">
        <f t="shared" si="54"/>
        <v>0</v>
      </c>
      <c r="G122" s="1439">
        <f>IF($A122=1,IF($M$1="Простой",'ОРД ПДн'!H26,IF($M$1="Обычный",'ОРД ПДн'!H27,'ОРД ПДн'!H28)),0)</f>
        <v>0</v>
      </c>
      <c r="H122" s="1439">
        <f>IF($A122=1,IF($M$1="Простой",'ОРД ПДн'!I26,IF($M$1="Обычный",'ОРД ПДн'!I27,'ОРД ПДн'!I28)),0)</f>
        <v>0</v>
      </c>
      <c r="I122" s="1439">
        <f>IF($A122=1,IF($M$1="Простой",'ОРД ПДн'!J26,IF($M$1="Обычный",'ОРД ПДн'!J27,'ОРД ПДн'!J28)),0)</f>
        <v>0</v>
      </c>
      <c r="J122" s="1435">
        <f t="shared" si="53"/>
        <v>0</v>
      </c>
      <c r="K122" s="1439">
        <f t="shared" si="59"/>
        <v>0</v>
      </c>
      <c r="L122" s="1439">
        <f t="shared" si="58"/>
        <v>0</v>
      </c>
      <c r="M122" s="1439">
        <f t="shared" si="58"/>
        <v>0</v>
      </c>
      <c r="N122" s="1440"/>
    </row>
    <row r="123" spans="1:14" ht="12" hidden="1" customHeight="1" outlineLevel="3" x14ac:dyDescent="0.2">
      <c r="A123" s="1437">
        <v>0</v>
      </c>
      <c r="B123" s="1417">
        <v>1</v>
      </c>
      <c r="C123" s="1442" t="s">
        <v>1289</v>
      </c>
      <c r="D123" s="1413"/>
      <c r="E123" s="1413"/>
      <c r="F123" s="1435">
        <f t="shared" si="54"/>
        <v>0</v>
      </c>
      <c r="G123" s="1439">
        <f>IF($A123=1,IF($M$1="Простой",'ОРД ПДн'!H29,IF($M$1="Обычный",'ОРД ПДн'!H30,'ОРД ПДн'!H31)),0)</f>
        <v>0</v>
      </c>
      <c r="H123" s="1439">
        <f>IF($A123=1,IF($M$1="Простой",'ОРД ПДн'!I29,IF($M$1="Обычный",'ОРД ПДн'!I30,'ОРД ПДн'!I31)),0)</f>
        <v>0</v>
      </c>
      <c r="I123" s="1439">
        <f>IF($A123=1,IF($M$1="Простой",'ОРД ПДн'!J29,IF($M$1="Обычный",'ОРД ПДн'!J30,'ОРД ПДн'!J31)),0)</f>
        <v>0</v>
      </c>
      <c r="J123" s="1435">
        <f t="shared" si="53"/>
        <v>0</v>
      </c>
      <c r="K123" s="1439">
        <f t="shared" si="59"/>
        <v>0</v>
      </c>
      <c r="L123" s="1439">
        <f t="shared" si="58"/>
        <v>0</v>
      </c>
      <c r="M123" s="1439">
        <f t="shared" si="58"/>
        <v>0</v>
      </c>
      <c r="N123" s="1440"/>
    </row>
    <row r="124" spans="1:14" ht="12" hidden="1" customHeight="1" outlineLevel="3" x14ac:dyDescent="0.2">
      <c r="A124" s="1437">
        <v>0</v>
      </c>
      <c r="B124" s="1417">
        <v>1</v>
      </c>
      <c r="C124" s="1442" t="s">
        <v>1290</v>
      </c>
      <c r="D124" s="1413"/>
      <c r="E124" s="1413"/>
      <c r="F124" s="1435">
        <f t="shared" si="54"/>
        <v>0</v>
      </c>
      <c r="G124" s="1439">
        <f>IF($A124=1,IF($M$1="Простой",'ОРД ПДн'!H32,IF($M$1="Обычный",'ОРД ПДн'!H33,'ОРД ПДн'!H34)),0)</f>
        <v>0</v>
      </c>
      <c r="H124" s="1439">
        <f>IF($A124=1,IF($M$1="Простой",'ОРД ПДн'!I32,IF($M$1="Обычный",'ОРД ПДн'!I33,'ОРД ПДн'!I34)),0)</f>
        <v>0</v>
      </c>
      <c r="I124" s="1439">
        <f>IF($A124=1,IF($M$1="Простой",'ОРД ПДн'!J32,IF($M$1="Обычный",'ОРД ПДн'!J33,'ОРД ПДн'!J34)),0)</f>
        <v>0</v>
      </c>
      <c r="J124" s="1435">
        <f t="shared" si="53"/>
        <v>0</v>
      </c>
      <c r="K124" s="1439">
        <f t="shared" si="59"/>
        <v>0</v>
      </c>
      <c r="L124" s="1439">
        <f t="shared" si="58"/>
        <v>0</v>
      </c>
      <c r="M124" s="1439">
        <f t="shared" si="58"/>
        <v>0</v>
      </c>
      <c r="N124" s="1440"/>
    </row>
    <row r="125" spans="1:14" ht="12" hidden="1" customHeight="1" outlineLevel="3" x14ac:dyDescent="0.2">
      <c r="A125" s="1437">
        <v>0</v>
      </c>
      <c r="B125" s="1417">
        <v>1</v>
      </c>
      <c r="C125" s="1442" t="s">
        <v>1573</v>
      </c>
      <c r="D125" s="1413"/>
      <c r="E125" s="1413"/>
      <c r="F125" s="1435">
        <f t="shared" si="54"/>
        <v>0</v>
      </c>
      <c r="G125" s="1439">
        <f>IF($A125=1,IF($M$1="Простой",'ОРД ПДн'!H35,IF($M$1="Обычный",'ОРД ПДн'!H36,'ОРД ПДн'!H37)),0)</f>
        <v>0</v>
      </c>
      <c r="H125" s="1439">
        <f>IF($A125=1,IF($M$1="Простой",'ОРД ПДн'!I35,IF($M$1="Обычный",'ОРД ПДн'!I36,'ОРД ПДн'!I37)),0)</f>
        <v>0</v>
      </c>
      <c r="I125" s="1439">
        <f>IF($A125=1,IF($M$1="Простой",'ОРД ПДн'!J35,IF($M$1="Обычный",'ОРД ПДн'!J36,'ОРД ПДн'!J37)),0)</f>
        <v>0</v>
      </c>
      <c r="J125" s="1435">
        <f t="shared" si="53"/>
        <v>0</v>
      </c>
      <c r="K125" s="1439">
        <f t="shared" si="59"/>
        <v>0</v>
      </c>
      <c r="L125" s="1439">
        <f t="shared" si="58"/>
        <v>0</v>
      </c>
      <c r="M125" s="1439">
        <f t="shared" si="58"/>
        <v>0</v>
      </c>
      <c r="N125" s="1440"/>
    </row>
    <row r="126" spans="1:14" ht="12" hidden="1" customHeight="1" outlineLevel="3" x14ac:dyDescent="0.2">
      <c r="A126" s="1437">
        <v>0</v>
      </c>
      <c r="B126" s="1417">
        <v>1</v>
      </c>
      <c r="C126" s="1442" t="s">
        <v>1291</v>
      </c>
      <c r="D126" s="1413"/>
      <c r="E126" s="1413"/>
      <c r="F126" s="1435">
        <f t="shared" si="54"/>
        <v>0</v>
      </c>
      <c r="G126" s="1439">
        <f>IF($A126=1,IF($M$1="Простой",'ОРД ПДн'!H38,IF($M$1="Обычный",'ОРД ПДн'!H39,'ОРД ПДн'!H40)),0)</f>
        <v>0</v>
      </c>
      <c r="H126" s="1439">
        <f>IF($A126=1,IF($M$1="Простой",'ОРД ПДн'!I38,IF($M$1="Обычный",'ОРД ПДн'!I39,'ОРД ПДн'!I40)),0)</f>
        <v>0</v>
      </c>
      <c r="I126" s="1439">
        <f>IF($A126=1,IF($M$1="Простой",'ОРД ПДн'!J38,IF($M$1="Обычный",'ОРД ПДн'!J39,'ОРД ПДн'!J40)),0)</f>
        <v>0</v>
      </c>
      <c r="J126" s="1435">
        <f t="shared" si="53"/>
        <v>0</v>
      </c>
      <c r="K126" s="1439">
        <f t="shared" si="59"/>
        <v>0</v>
      </c>
      <c r="L126" s="1439">
        <f t="shared" si="58"/>
        <v>0</v>
      </c>
      <c r="M126" s="1439">
        <f t="shared" si="58"/>
        <v>0</v>
      </c>
      <c r="N126" s="1440"/>
    </row>
    <row r="127" spans="1:14" ht="12" hidden="1" customHeight="1" outlineLevel="3" x14ac:dyDescent="0.2">
      <c r="A127" s="1437">
        <v>0</v>
      </c>
      <c r="B127" s="1417">
        <v>1</v>
      </c>
      <c r="C127" s="1442" t="s">
        <v>1292</v>
      </c>
      <c r="D127" s="1413"/>
      <c r="E127" s="1413"/>
      <c r="F127" s="1435">
        <f t="shared" si="54"/>
        <v>0</v>
      </c>
      <c r="G127" s="1439">
        <f>IF($A127=1,IF($M$1="Простой",'ОРД ПДн'!H41,IF($M$1="Обычный",'ОРД ПДн'!H42,'ОРД ПДн'!H43)),0)</f>
        <v>0</v>
      </c>
      <c r="H127" s="1439">
        <f>IF($A127=1,IF($M$1="Простой",'ОРД ПДн'!I41,IF($M$1="Обычный",'ОРД ПДн'!I42,'ОРД ПДн'!I43)),0)</f>
        <v>0</v>
      </c>
      <c r="I127" s="1439">
        <f>IF($A127=1,IF($M$1="Простой",'ОРД ПДн'!J41,IF($M$1="Обычный",'ОРД ПДн'!J42,'ОРД ПДн'!J43)),0)</f>
        <v>0</v>
      </c>
      <c r="J127" s="1435">
        <f t="shared" si="53"/>
        <v>0</v>
      </c>
      <c r="K127" s="1439">
        <f t="shared" si="59"/>
        <v>0</v>
      </c>
      <c r="L127" s="1439">
        <f t="shared" si="58"/>
        <v>0</v>
      </c>
      <c r="M127" s="1439">
        <f t="shared" si="58"/>
        <v>0</v>
      </c>
      <c r="N127" s="1440"/>
    </row>
    <row r="128" spans="1:14" ht="12" hidden="1" customHeight="1" outlineLevel="3" x14ac:dyDescent="0.2">
      <c r="A128" s="1437">
        <v>0</v>
      </c>
      <c r="B128" s="1417">
        <v>1</v>
      </c>
      <c r="C128" s="1442" t="s">
        <v>1574</v>
      </c>
      <c r="D128" s="1413"/>
      <c r="E128" s="1413"/>
      <c r="F128" s="1435">
        <f t="shared" si="54"/>
        <v>0</v>
      </c>
      <c r="G128" s="1439">
        <f>IF($A128=1,IF($M$1="Простой",'ОРД ПДн'!H44,IF($M$1="Обычный",'ОРД ПДн'!H45,'ОРД ПДн'!H46)),0)</f>
        <v>0</v>
      </c>
      <c r="H128" s="1439">
        <f>IF($A128=1,IF($M$1="Простой",'ОРД ПДн'!I44,IF($M$1="Обычный",'ОРД ПДн'!I45,'ОРД ПДн'!I46)),0)</f>
        <v>0</v>
      </c>
      <c r="I128" s="1439">
        <f>IF($A128=1,IF($M$1="Простой",'ОРД ПДн'!J44,IF($M$1="Обычный",'ОРД ПДн'!J45,'ОРД ПДн'!J46)),0)</f>
        <v>0</v>
      </c>
      <c r="J128" s="1435">
        <f t="shared" si="53"/>
        <v>0</v>
      </c>
      <c r="K128" s="1439">
        <f t="shared" si="59"/>
        <v>0</v>
      </c>
      <c r="L128" s="1439">
        <f t="shared" si="58"/>
        <v>0</v>
      </c>
      <c r="M128" s="1439">
        <f t="shared" si="58"/>
        <v>0</v>
      </c>
      <c r="N128" s="1440"/>
    </row>
    <row r="129" spans="1:14" ht="12" hidden="1" customHeight="1" outlineLevel="3" x14ac:dyDescent="0.2">
      <c r="A129" s="1437">
        <v>0</v>
      </c>
      <c r="B129" s="1417">
        <v>1</v>
      </c>
      <c r="C129" s="1442" t="s">
        <v>1293</v>
      </c>
      <c r="D129" s="1413"/>
      <c r="E129" s="1413"/>
      <c r="F129" s="1435">
        <f t="shared" si="54"/>
        <v>0</v>
      </c>
      <c r="G129" s="1439">
        <f>IF($A129=1,IF($M$1="Простой",'ОРД ПДн'!H47,IF($M$1="Обычный",'ОРД ПДн'!H48,'ОРД ПДн'!H49)),0)</f>
        <v>0</v>
      </c>
      <c r="H129" s="1439">
        <f>IF($A129=1,IF($M$1="Простой",'ОРД ПДн'!I47,IF($M$1="Обычный",'ОРД ПДн'!I48,'ОРД ПДн'!I49)),0)</f>
        <v>0</v>
      </c>
      <c r="I129" s="1439">
        <f>IF($A129=1,IF($M$1="Простой",'ОРД ПДн'!J47,IF($M$1="Обычный",'ОРД ПДн'!J48,'ОРД ПДн'!J49)),0)</f>
        <v>0</v>
      </c>
      <c r="J129" s="1435">
        <f t="shared" si="53"/>
        <v>0</v>
      </c>
      <c r="K129" s="1439">
        <f t="shared" si="59"/>
        <v>0</v>
      </c>
      <c r="L129" s="1439">
        <f t="shared" si="58"/>
        <v>0</v>
      </c>
      <c r="M129" s="1439">
        <f t="shared" si="58"/>
        <v>0</v>
      </c>
      <c r="N129" s="1440"/>
    </row>
    <row r="130" spans="1:14" ht="12" hidden="1" customHeight="1" outlineLevel="3" x14ac:dyDescent="0.2">
      <c r="A130" s="1437">
        <v>0</v>
      </c>
      <c r="B130" s="1417">
        <v>1</v>
      </c>
      <c r="C130" s="1442" t="s">
        <v>1294</v>
      </c>
      <c r="D130" s="1413"/>
      <c r="E130" s="1413"/>
      <c r="F130" s="1435">
        <f t="shared" si="54"/>
        <v>0</v>
      </c>
      <c r="G130" s="1439">
        <f>IF($A130=1,IF($M$1="Простой",'ОРД ПДн'!H50,IF($M$1="Обычный",'ОРД ПДн'!H51,'ОРД ПДн'!H52)),0)</f>
        <v>0</v>
      </c>
      <c r="H130" s="1439">
        <f>IF($A130=1,IF($M$1="Простой",'ОРД ПДн'!I50,IF($M$1="Обычный",'ОРД ПДн'!I51,'ОРД ПДн'!I52)),0)</f>
        <v>0</v>
      </c>
      <c r="I130" s="1439">
        <f>IF($A130=1,IF($M$1="Простой",'ОРД ПДн'!J50,IF($M$1="Обычный",'ОРД ПДн'!J51,'ОРД ПДн'!J52)),0)</f>
        <v>0</v>
      </c>
      <c r="J130" s="1435">
        <f t="shared" si="53"/>
        <v>0</v>
      </c>
      <c r="K130" s="1439">
        <f t="shared" si="59"/>
        <v>0</v>
      </c>
      <c r="L130" s="1439">
        <f t="shared" si="58"/>
        <v>0</v>
      </c>
      <c r="M130" s="1439">
        <f t="shared" si="58"/>
        <v>0</v>
      </c>
      <c r="N130" s="1440"/>
    </row>
    <row r="131" spans="1:14" ht="12" hidden="1" customHeight="1" outlineLevel="3" x14ac:dyDescent="0.2">
      <c r="A131" s="1437">
        <v>0</v>
      </c>
      <c r="B131" s="1417">
        <v>1</v>
      </c>
      <c r="C131" s="1442" t="s">
        <v>1295</v>
      </c>
      <c r="D131" s="1413"/>
      <c r="E131" s="1413"/>
      <c r="F131" s="1435">
        <f t="shared" si="54"/>
        <v>0</v>
      </c>
      <c r="G131" s="1439">
        <f>IF($A131=1,IF($M$1="Простой",'ОРД ПДн'!H53,IF($M$1="Обычный",'ОРД ПДн'!H54,'ОРД ПДн'!H55)),0)</f>
        <v>0</v>
      </c>
      <c r="H131" s="1439">
        <f>IF($A131=1,IF($M$1="Простой",'ОРД ПДн'!I53,IF($M$1="Обычный",'ОРД ПДн'!I54,'ОРД ПДн'!I55)),0)</f>
        <v>0</v>
      </c>
      <c r="I131" s="1439">
        <f>IF($A131=1,IF($M$1="Простой",'ОРД ПДн'!J53,IF($M$1="Обычный",'ОРД ПДн'!J54,'ОРД ПДн'!J55)),0)</f>
        <v>0</v>
      </c>
      <c r="J131" s="1435">
        <f t="shared" si="53"/>
        <v>0</v>
      </c>
      <c r="K131" s="1439">
        <f t="shared" si="59"/>
        <v>0</v>
      </c>
      <c r="L131" s="1439">
        <f t="shared" si="58"/>
        <v>0</v>
      </c>
      <c r="M131" s="1439">
        <f t="shared" si="58"/>
        <v>0</v>
      </c>
      <c r="N131" s="1440"/>
    </row>
    <row r="132" spans="1:14" ht="12" hidden="1" customHeight="1" outlineLevel="3" x14ac:dyDescent="0.2">
      <c r="A132" s="1437">
        <v>0</v>
      </c>
      <c r="B132" s="1417">
        <v>1</v>
      </c>
      <c r="C132" s="1442" t="s">
        <v>1296</v>
      </c>
      <c r="D132" s="1413"/>
      <c r="E132" s="1413"/>
      <c r="F132" s="1435">
        <f t="shared" si="54"/>
        <v>0</v>
      </c>
      <c r="G132" s="1439">
        <f>IF($A132=1,IF($M$1="Простой",'ОРД ПДн'!H56,IF($M$1="Обычный",'ОРД ПДн'!H57,'ОРД ПДн'!H58)),0)</f>
        <v>0</v>
      </c>
      <c r="H132" s="1439">
        <f>IF($A132=1,IF($M$1="Простой",'ОРД ПДн'!I56,IF($M$1="Обычный",'ОРД ПДн'!I57,'ОРД ПДн'!I58)),0)</f>
        <v>0</v>
      </c>
      <c r="I132" s="1439">
        <f>IF($A132=1,IF($M$1="Простой",'ОРД ПДн'!J56,IF($M$1="Обычный",'ОРД ПДн'!J57,'ОРД ПДн'!J58)),0)</f>
        <v>0</v>
      </c>
      <c r="J132" s="1435">
        <f t="shared" si="53"/>
        <v>0</v>
      </c>
      <c r="K132" s="1439">
        <f t="shared" si="59"/>
        <v>0</v>
      </c>
      <c r="L132" s="1439">
        <f t="shared" si="58"/>
        <v>0</v>
      </c>
      <c r="M132" s="1439">
        <f t="shared" si="58"/>
        <v>0</v>
      </c>
      <c r="N132" s="1440"/>
    </row>
    <row r="133" spans="1:14" ht="12" hidden="1" customHeight="1" outlineLevel="3" x14ac:dyDescent="0.2">
      <c r="A133" s="1437">
        <v>0</v>
      </c>
      <c r="B133" s="1417">
        <v>1</v>
      </c>
      <c r="C133" s="1442" t="s">
        <v>1297</v>
      </c>
      <c r="D133" s="1413"/>
      <c r="E133" s="1413"/>
      <c r="F133" s="1435">
        <f t="shared" si="54"/>
        <v>0</v>
      </c>
      <c r="G133" s="1439">
        <f>IF($A133=1,IF($M$1="Простой",'ОРД ПДн'!H59,IF($M$1="Обычный",'ОРД ПДн'!H60,'ОРД ПДн'!H61)),0)</f>
        <v>0</v>
      </c>
      <c r="H133" s="1439">
        <f>IF($A133=1,IF($M$1="Простой",'ОРД ПДн'!I59,IF($M$1="Обычный",'ОРД ПДн'!I60,'ОРД ПДн'!I61)),0)</f>
        <v>0</v>
      </c>
      <c r="I133" s="1439">
        <f>IF($A133=1,IF($M$1="Простой",'ОРД ПДн'!J59,IF($M$1="Обычный",'ОРД ПДн'!J60,'ОРД ПДн'!J61)),0)</f>
        <v>0</v>
      </c>
      <c r="J133" s="1435">
        <f t="shared" si="53"/>
        <v>0</v>
      </c>
      <c r="K133" s="1439">
        <f t="shared" si="59"/>
        <v>0</v>
      </c>
      <c r="L133" s="1439">
        <f t="shared" si="58"/>
        <v>0</v>
      </c>
      <c r="M133" s="1439">
        <f t="shared" si="58"/>
        <v>0</v>
      </c>
      <c r="N133" s="1440"/>
    </row>
    <row r="134" spans="1:14" ht="12" hidden="1" customHeight="1" outlineLevel="3" x14ac:dyDescent="0.2">
      <c r="A134" s="1437">
        <v>0</v>
      </c>
      <c r="B134" s="1417">
        <v>1</v>
      </c>
      <c r="C134" s="1442" t="s">
        <v>1575</v>
      </c>
      <c r="D134" s="1413"/>
      <c r="E134" s="1413"/>
      <c r="F134" s="1435">
        <f t="shared" si="54"/>
        <v>0</v>
      </c>
      <c r="G134" s="1439">
        <f>IF($A134=1,IF($M$1="Простой",'ОРД ПДн'!H62,IF($M$1="Обычный",'ОРД ПДн'!H63,'ОРД ПДн'!H64)),0)</f>
        <v>0</v>
      </c>
      <c r="H134" s="1439">
        <f>IF($A134=1,IF($M$1="Простой",'ОРД ПДн'!I62,IF($M$1="Обычный",'ОРД ПДн'!I63,'ОРД ПДн'!I64)),0)</f>
        <v>0</v>
      </c>
      <c r="I134" s="1439">
        <f>IF($A134=1,IF($M$1="Простой",'ОРД ПДн'!J62,IF($M$1="Обычный",'ОРД ПДн'!J63,'ОРД ПДн'!J64)),0)</f>
        <v>0</v>
      </c>
      <c r="J134" s="1435">
        <f t="shared" si="53"/>
        <v>0</v>
      </c>
      <c r="K134" s="1439">
        <f t="shared" si="59"/>
        <v>0</v>
      </c>
      <c r="L134" s="1439">
        <f t="shared" si="59"/>
        <v>0</v>
      </c>
      <c r="M134" s="1439">
        <f t="shared" si="59"/>
        <v>0</v>
      </c>
      <c r="N134" s="1440"/>
    </row>
    <row r="135" spans="1:14" ht="12" hidden="1" customHeight="1" outlineLevel="3" x14ac:dyDescent="0.2">
      <c r="A135" s="1437">
        <v>0</v>
      </c>
      <c r="B135" s="1417">
        <v>1</v>
      </c>
      <c r="C135" s="1442" t="s">
        <v>1576</v>
      </c>
      <c r="D135" s="1413"/>
      <c r="E135" s="1413"/>
      <c r="F135" s="1435">
        <f t="shared" si="54"/>
        <v>0</v>
      </c>
      <c r="G135" s="1439">
        <f>IF($A135=1,IF($M$1="Простой",'ОРД ПДн'!H65,IF($M$1="Обычный",'ОРД ПДн'!H66,'ОРД ПДн'!H67)),0)</f>
        <v>0</v>
      </c>
      <c r="H135" s="1439">
        <f>IF($A135=1,IF($M$1="Простой",'ОРД ПДн'!I65,IF($M$1="Обычный",'ОРД ПДн'!I66,'ОРД ПДн'!I67)),0)</f>
        <v>0</v>
      </c>
      <c r="I135" s="1439">
        <f>IF($A135=1,IF($M$1="Простой",'ОРД ПДн'!J65,IF($M$1="Обычный",'ОРД ПДн'!J66,'ОРД ПДн'!J67)),0)</f>
        <v>0</v>
      </c>
      <c r="J135" s="1435">
        <f t="shared" si="53"/>
        <v>0</v>
      </c>
      <c r="K135" s="1439">
        <f t="shared" si="59"/>
        <v>0</v>
      </c>
      <c r="L135" s="1439">
        <f t="shared" si="59"/>
        <v>0</v>
      </c>
      <c r="M135" s="1439">
        <f t="shared" si="59"/>
        <v>0</v>
      </c>
      <c r="N135" s="1440"/>
    </row>
    <row r="136" spans="1:14" ht="38.450000000000003" hidden="1" customHeight="1" outlineLevel="3" x14ac:dyDescent="0.2">
      <c r="A136" s="1437">
        <v>0</v>
      </c>
      <c r="B136" s="1417">
        <v>1</v>
      </c>
      <c r="C136" s="1442" t="s">
        <v>1577</v>
      </c>
      <c r="D136" s="1413"/>
      <c r="E136" s="1413"/>
      <c r="F136" s="1435">
        <f t="shared" si="54"/>
        <v>0</v>
      </c>
      <c r="G136" s="1439">
        <f>IF($A136=1,IF($M$1="Простой",'ОРД ПДн'!H68,IF($M$1="Обычный",'ОРД ПДн'!H69,'ОРД ПДн'!H70)),0)</f>
        <v>0</v>
      </c>
      <c r="H136" s="1439">
        <f>IF($A136=1,IF($M$1="Простой",'ОРД ПДн'!I68,IF($M$1="Обычный",'ОРД ПДн'!I69,'ОРД ПДн'!I70)),0)</f>
        <v>0</v>
      </c>
      <c r="I136" s="1439">
        <f>IF($A136=1,IF($M$1="Простой",'ОРД ПДн'!J68,IF($M$1="Обычный",'ОРД ПДн'!J69,'ОРД ПДн'!J70)),0)</f>
        <v>0</v>
      </c>
      <c r="J136" s="1435">
        <f t="shared" si="53"/>
        <v>0</v>
      </c>
      <c r="K136" s="1439">
        <f t="shared" si="59"/>
        <v>0</v>
      </c>
      <c r="L136" s="1439">
        <f t="shared" si="59"/>
        <v>0</v>
      </c>
      <c r="M136" s="1439">
        <f t="shared" si="59"/>
        <v>0</v>
      </c>
      <c r="N136" s="1440"/>
    </row>
    <row r="137" spans="1:14" ht="15.75" hidden="1" outlineLevel="3" x14ac:dyDescent="0.2">
      <c r="A137" s="1437">
        <v>0</v>
      </c>
      <c r="B137" s="1417">
        <v>1</v>
      </c>
      <c r="C137" s="1579" t="s">
        <v>1578</v>
      </c>
      <c r="D137" s="1413"/>
      <c r="E137" s="1413"/>
      <c r="F137" s="1435">
        <f t="shared" si="54"/>
        <v>0</v>
      </c>
      <c r="G137" s="1439">
        <f>IF($A137=1,IF($M$1="Простой",'ОРД ПДн'!H71,IF($M$1="Обычный",'ОРД ПДн'!H72,'ОРД ПДн'!H73)),0)</f>
        <v>0</v>
      </c>
      <c r="H137" s="1439">
        <f>IF($A137=1,IF($M$1="Простой",'ОРД ПДн'!I71,IF($M$1="Обычный",'ОРД ПДн'!I72,'ОРД ПДн'!I73)),0)</f>
        <v>0</v>
      </c>
      <c r="I137" s="1439">
        <f>IF($A137=1,IF($M$1="Простой",'ОРД ПДн'!J71,IF($M$1="Обычный",'ОРД ПДн'!J72,'ОРД ПДн'!J73)),0)</f>
        <v>0</v>
      </c>
      <c r="J137" s="1435">
        <f t="shared" si="53"/>
        <v>0</v>
      </c>
      <c r="K137" s="1439">
        <f t="shared" si="59"/>
        <v>0</v>
      </c>
      <c r="L137" s="1439">
        <f t="shared" si="59"/>
        <v>0</v>
      </c>
      <c r="M137" s="1439">
        <f t="shared" si="59"/>
        <v>0</v>
      </c>
      <c r="N137" s="1440"/>
    </row>
    <row r="138" spans="1:14" ht="36" hidden="1" outlineLevel="3" x14ac:dyDescent="0.2">
      <c r="A138" s="1437">
        <v>0</v>
      </c>
      <c r="B138" s="1417">
        <v>1</v>
      </c>
      <c r="C138" s="1579" t="s">
        <v>1298</v>
      </c>
      <c r="D138" s="1413"/>
      <c r="E138" s="1413"/>
      <c r="F138" s="1435">
        <f t="shared" si="54"/>
        <v>0</v>
      </c>
      <c r="G138" s="1439">
        <f>IF($A138=1,IF($M$1="Простой",'ОРД ПДн'!H74,IF($M$1="Обычный",'ОРД ПДн'!H75,'ОРД ПДн'!H76)),0)</f>
        <v>0</v>
      </c>
      <c r="H138" s="1439">
        <f>IF($A138=1,IF($M$1="Простой",'ОРД ПДн'!I74,IF($M$1="Обычный",'ОРД ПДн'!I75,'ОРД ПДн'!I76)),0)</f>
        <v>0</v>
      </c>
      <c r="I138" s="1439">
        <f>IF($A138=1,IF($M$1="Простой",'ОРД ПДн'!J74,IF($M$1="Обычный",'ОРД ПДн'!J75,'ОРД ПДн'!J76)),0)</f>
        <v>0</v>
      </c>
      <c r="J138" s="1435">
        <f t="shared" si="53"/>
        <v>0</v>
      </c>
      <c r="K138" s="1439">
        <f t="shared" si="59"/>
        <v>0</v>
      </c>
      <c r="L138" s="1439">
        <f t="shared" si="59"/>
        <v>0</v>
      </c>
      <c r="M138" s="1439">
        <f t="shared" si="59"/>
        <v>0</v>
      </c>
      <c r="N138" s="1440"/>
    </row>
    <row r="139" spans="1:14" ht="12" hidden="1" customHeight="1" outlineLevel="3" x14ac:dyDescent="0.2">
      <c r="A139" s="1437">
        <v>0</v>
      </c>
      <c r="B139" s="1417">
        <v>1</v>
      </c>
      <c r="C139" s="1442" t="s">
        <v>1579</v>
      </c>
      <c r="D139" s="1413"/>
      <c r="E139" s="1413"/>
      <c r="F139" s="1435">
        <f t="shared" si="54"/>
        <v>0</v>
      </c>
      <c r="G139" s="1439">
        <f>IF($A139=1,IF($M$1="Простой",'ОРД ПДн'!H77,IF($M$1="Обычный",'ОРД ПДн'!H78,'ОРД ПДн'!H79)),0)</f>
        <v>0</v>
      </c>
      <c r="H139" s="1439">
        <f>IF($A139=1,IF($M$1="Простой",'ОРД ПДн'!I77,IF($M$1="Обычный",'ОРД ПДн'!I78,'ОРД ПДн'!I79)),0)</f>
        <v>0</v>
      </c>
      <c r="I139" s="1439">
        <f>IF($A139=1,IF($M$1="Простой",'ОРД ПДн'!J77,IF($M$1="Обычный",'ОРД ПДн'!J78,'ОРД ПДн'!J79)),0)</f>
        <v>0</v>
      </c>
      <c r="J139" s="1435">
        <f t="shared" si="53"/>
        <v>0</v>
      </c>
      <c r="K139" s="1439">
        <f t="shared" si="59"/>
        <v>0</v>
      </c>
      <c r="L139" s="1439">
        <f t="shared" si="59"/>
        <v>0</v>
      </c>
      <c r="M139" s="1439">
        <f t="shared" si="59"/>
        <v>0</v>
      </c>
      <c r="N139" s="1440"/>
    </row>
    <row r="140" spans="1:14" ht="37.5" hidden="1" customHeight="1" outlineLevel="3" x14ac:dyDescent="0.2">
      <c r="A140" s="1437">
        <v>0</v>
      </c>
      <c r="B140" s="1417">
        <v>1</v>
      </c>
      <c r="C140" s="1442" t="s">
        <v>1580</v>
      </c>
      <c r="D140" s="1413"/>
      <c r="E140" s="1413"/>
      <c r="F140" s="1435">
        <f t="shared" si="54"/>
        <v>0</v>
      </c>
      <c r="G140" s="1439">
        <f>IF($A140=1,IF($M$1="Простой",'ОРД ПДн'!H80,IF($M$1="Обычный",'ОРД ПДн'!H81,'ОРД ПДн'!H82)),0)</f>
        <v>0</v>
      </c>
      <c r="H140" s="1439">
        <f>IF($A140=1,IF($M$1="Простой",'ОРД ПДн'!I80,IF($M$1="Обычный",'ОРД ПДн'!I81,'ОРД ПДн'!I82)),0)</f>
        <v>0</v>
      </c>
      <c r="I140" s="1439">
        <f>IF($A140=1,IF($M$1="Простой",'ОРД ПДн'!J80,IF($M$1="Обычный",'ОРД ПДн'!J81,'ОРД ПДн'!J82)),0)</f>
        <v>0</v>
      </c>
      <c r="J140" s="1435">
        <f t="shared" si="53"/>
        <v>0</v>
      </c>
      <c r="K140" s="1439">
        <f t="shared" si="59"/>
        <v>0</v>
      </c>
      <c r="L140" s="1439">
        <f t="shared" si="59"/>
        <v>0</v>
      </c>
      <c r="M140" s="1439">
        <f t="shared" si="59"/>
        <v>0</v>
      </c>
      <c r="N140" s="1440"/>
    </row>
    <row r="141" spans="1:14" ht="12" hidden="1" customHeight="1" outlineLevel="3" x14ac:dyDescent="0.2">
      <c r="A141" s="1437">
        <v>0</v>
      </c>
      <c r="B141" s="1417">
        <v>1</v>
      </c>
      <c r="C141" s="1442" t="s">
        <v>1581</v>
      </c>
      <c r="D141" s="1413"/>
      <c r="E141" s="1413"/>
      <c r="F141" s="1435">
        <f t="shared" si="54"/>
        <v>0</v>
      </c>
      <c r="G141" s="1439">
        <f>IF($A141=1,IF($M$1="Простой",'ОРД ПДн'!H83,IF($M$1="Обычный",'ОРД ПДн'!H84,'ОРД ПДн'!H85)),0)</f>
        <v>0</v>
      </c>
      <c r="H141" s="1439">
        <f>IF($A141=1,IF($M$1="Простой",'ОРД ПДн'!I83,IF($M$1="Обычный",'ОРД ПДн'!I84,'ОРД ПДн'!I85)),0)</f>
        <v>0</v>
      </c>
      <c r="I141" s="1439">
        <f>IF($A141=1,IF($M$1="Простой",'ОРД ПДн'!J83,IF($M$1="Обычный",'ОРД ПДн'!J84,'ОРД ПДн'!J85)),0)</f>
        <v>0</v>
      </c>
      <c r="J141" s="1435">
        <f t="shared" si="53"/>
        <v>0</v>
      </c>
      <c r="K141" s="1439">
        <f t="shared" si="59"/>
        <v>0</v>
      </c>
      <c r="L141" s="1439">
        <f t="shared" si="59"/>
        <v>0</v>
      </c>
      <c r="M141" s="1439">
        <f t="shared" si="59"/>
        <v>0</v>
      </c>
      <c r="N141" s="1440"/>
    </row>
    <row r="142" spans="1:14" ht="15.75" hidden="1" outlineLevel="2" x14ac:dyDescent="0.2">
      <c r="A142" s="1437">
        <v>0</v>
      </c>
      <c r="B142" s="1417">
        <v>1</v>
      </c>
      <c r="C142" s="1442" t="s">
        <v>1299</v>
      </c>
      <c r="D142" s="1413"/>
      <c r="E142" s="1413"/>
      <c r="F142" s="1435">
        <f t="shared" si="54"/>
        <v>0</v>
      </c>
      <c r="G142" s="1439">
        <f>IF($A142=1,IF($M$1="Простой",'ОРД ПДн'!H86,IF($M$1="Обычный",'ОРД ПДн'!H87,'ОРД ПДн'!H88)),0)</f>
        <v>0</v>
      </c>
      <c r="H142" s="1439">
        <f>IF($A142=1,IF($M$1="Простой",'ОРД ПДн'!I86,IF($M$1="Обычный",'ОРД ПДн'!I87,'ОРД ПДн'!I88)),0)</f>
        <v>0</v>
      </c>
      <c r="I142" s="1439">
        <f>IF($A142=1,IF($M$1="Простой",'ОРД ПДн'!J86,IF($M$1="Обычный",'ОРД ПДн'!J87,'ОРД ПДн'!J88)),0)</f>
        <v>0</v>
      </c>
      <c r="J142" s="1435">
        <f t="shared" si="53"/>
        <v>0</v>
      </c>
      <c r="K142" s="1439">
        <f t="shared" si="59"/>
        <v>0</v>
      </c>
      <c r="L142" s="1439">
        <f t="shared" si="59"/>
        <v>0</v>
      </c>
      <c r="M142" s="1439">
        <f t="shared" si="59"/>
        <v>0</v>
      </c>
      <c r="N142" s="1440"/>
    </row>
    <row r="143" spans="1:14" ht="12" hidden="1" customHeight="1" outlineLevel="3" x14ac:dyDescent="0.2">
      <c r="A143" s="1437">
        <v>0</v>
      </c>
      <c r="B143" s="1417">
        <v>1</v>
      </c>
      <c r="C143" s="1442" t="s">
        <v>1582</v>
      </c>
      <c r="D143" s="1413"/>
      <c r="E143" s="1413"/>
      <c r="F143" s="1435">
        <f t="shared" si="54"/>
        <v>0</v>
      </c>
      <c r="G143" s="1439">
        <f>IF($A143=1,IF($M$1="Простой",'ОРД ПДн'!H89,IF($M$1="Обычный",'ОРД ПДн'!H90,'ОРД ПДн'!H91)),0)</f>
        <v>0</v>
      </c>
      <c r="H143" s="1439">
        <f>IF($A143=1,IF($M$1="Простой",'ОРД ПДн'!I89,IF($M$1="Обычный",'ОРД ПДн'!I90,'ОРД ПДн'!I91)),0)</f>
        <v>0</v>
      </c>
      <c r="I143" s="1439">
        <f>IF($A143=1,IF($M$1="Простой",'ОРД ПДн'!J89,IF($M$1="Обычный",'ОРД ПДн'!J90,'ОРД ПДн'!J91)),0)</f>
        <v>0</v>
      </c>
      <c r="J143" s="1435">
        <f t="shared" si="53"/>
        <v>0</v>
      </c>
      <c r="K143" s="1439">
        <f t="shared" si="59"/>
        <v>0</v>
      </c>
      <c r="L143" s="1439">
        <f t="shared" si="59"/>
        <v>0</v>
      </c>
      <c r="M143" s="1439">
        <f t="shared" si="59"/>
        <v>0</v>
      </c>
      <c r="N143" s="1440"/>
    </row>
    <row r="144" spans="1:14" ht="24" hidden="1" outlineLevel="2" x14ac:dyDescent="0.2">
      <c r="A144" s="1437">
        <v>0</v>
      </c>
      <c r="B144" s="1417">
        <v>1</v>
      </c>
      <c r="C144" s="1442" t="s">
        <v>1319</v>
      </c>
      <c r="D144" s="1413"/>
      <c r="E144" s="1413"/>
      <c r="F144" s="1435">
        <f t="shared" si="54"/>
        <v>0</v>
      </c>
      <c r="G144" s="1439">
        <f>IF($A144=1,IF($M$1="Простой",'ОРД ПДн'!H92,IF($M$1="Обычный",'ОРД ПДн'!H93,'ОРД ПДн'!H94)),0)</f>
        <v>0</v>
      </c>
      <c r="H144" s="1439">
        <f>IF($A144=1,IF($M$1="Простой",'ОРД ПДн'!I92,IF($M$1="Обычный",'ОРД ПДн'!I93,'ОРД ПДн'!I94)),0)</f>
        <v>0</v>
      </c>
      <c r="I144" s="1439">
        <f>IF($A144=1,IF($M$1="Простой",'ОРД ПДн'!J92,IF($M$1="Обычный",'ОРД ПДн'!J93,'ОРД ПДн'!J94)),0)</f>
        <v>0</v>
      </c>
      <c r="J144" s="1435">
        <f t="shared" si="53"/>
        <v>0</v>
      </c>
      <c r="K144" s="1439">
        <f t="shared" si="59"/>
        <v>0</v>
      </c>
      <c r="L144" s="1439">
        <f t="shared" si="59"/>
        <v>0</v>
      </c>
      <c r="M144" s="1439">
        <f t="shared" si="59"/>
        <v>0</v>
      </c>
      <c r="N144" s="1440"/>
    </row>
    <row r="145" spans="1:14" ht="30" hidden="1" outlineLevel="3" x14ac:dyDescent="0.25">
      <c r="A145" s="1433"/>
      <c r="B145" s="1433"/>
      <c r="C145" s="1434" t="s">
        <v>1300</v>
      </c>
      <c r="D145" s="1630"/>
      <c r="E145" s="1630"/>
      <c r="F145" s="1435">
        <f t="shared" si="54"/>
        <v>0</v>
      </c>
      <c r="G145" s="1451">
        <f>G146</f>
        <v>0</v>
      </c>
      <c r="H145" s="1451">
        <f t="shared" ref="H145:I145" si="60">H146</f>
        <v>0</v>
      </c>
      <c r="I145" s="1451">
        <f t="shared" si="60"/>
        <v>0</v>
      </c>
      <c r="J145" s="1435">
        <f>SUM(J146)</f>
        <v>0</v>
      </c>
      <c r="K145" s="1435">
        <f t="shared" ref="K145:M145" si="61">SUM(K146)</f>
        <v>0</v>
      </c>
      <c r="L145" s="1435">
        <f t="shared" si="61"/>
        <v>0</v>
      </c>
      <c r="M145" s="1435">
        <f t="shared" si="61"/>
        <v>0</v>
      </c>
      <c r="N145" s="1441"/>
    </row>
    <row r="146" spans="1:14" ht="15.75" hidden="1" outlineLevel="2" x14ac:dyDescent="0.2">
      <c r="A146" s="1437">
        <v>0</v>
      </c>
      <c r="B146" s="1417">
        <v>1</v>
      </c>
      <c r="C146" s="1442" t="s">
        <v>1301</v>
      </c>
      <c r="D146" s="1413"/>
      <c r="E146" s="1413"/>
      <c r="F146" s="1435">
        <f t="shared" si="54"/>
        <v>0</v>
      </c>
      <c r="G146" s="1439">
        <f>IF($A146=1,IF($M$1="Простой",'ОРД ПДн'!H96,IF($M$1="Обычный",'ОРД ПДн'!H97,'ОРД ПДн'!H98)),0)</f>
        <v>0</v>
      </c>
      <c r="H146" s="1439">
        <f>IF($A146=1,IF($M$1="Простой",'ОРД ПДн'!I96,IF($M$1="Обычный",'ОРД ПДн'!I97,'ОРД ПДн'!I98)),0)</f>
        <v>0</v>
      </c>
      <c r="I146" s="1439">
        <f>IF($A146=1,IF($M$1="Простой",'ОРД ПДн'!J96,IF($M$1="Обычный",'ОРД ПДн'!J97,'ОРД ПДн'!J98)),0)</f>
        <v>0</v>
      </c>
      <c r="J146" s="1435">
        <f t="shared" si="53"/>
        <v>0</v>
      </c>
      <c r="K146" s="1439">
        <f>G146/8</f>
        <v>0</v>
      </c>
      <c r="L146" s="1439">
        <f t="shared" ref="L146:M146" si="62">H146/8</f>
        <v>0</v>
      </c>
      <c r="M146" s="1439">
        <f t="shared" si="62"/>
        <v>0</v>
      </c>
      <c r="N146" s="1440"/>
    </row>
    <row r="147" spans="1:14" ht="30" hidden="1" outlineLevel="3" x14ac:dyDescent="0.25">
      <c r="A147" s="1433"/>
      <c r="B147" s="1433"/>
      <c r="C147" s="1434" t="s">
        <v>1302</v>
      </c>
      <c r="D147" s="1630"/>
      <c r="E147" s="1630"/>
      <c r="F147" s="1435">
        <f t="shared" si="54"/>
        <v>0</v>
      </c>
      <c r="G147" s="1451">
        <f>G148</f>
        <v>0</v>
      </c>
      <c r="H147" s="1451">
        <f t="shared" ref="H147:I147" si="63">H148</f>
        <v>0</v>
      </c>
      <c r="I147" s="1451">
        <f t="shared" si="63"/>
        <v>0</v>
      </c>
      <c r="J147" s="1451">
        <f>SUM(J148)</f>
        <v>0</v>
      </c>
      <c r="K147" s="1451">
        <f t="shared" ref="K147:M147" si="64">SUM(K148)</f>
        <v>0</v>
      </c>
      <c r="L147" s="1451">
        <f t="shared" si="64"/>
        <v>0</v>
      </c>
      <c r="M147" s="1451">
        <f t="shared" si="64"/>
        <v>0</v>
      </c>
      <c r="N147" s="1441"/>
    </row>
    <row r="148" spans="1:14" ht="15.75" hidden="1" outlineLevel="2" x14ac:dyDescent="0.2">
      <c r="A148" s="1437">
        <v>0</v>
      </c>
      <c r="B148" s="1417">
        <v>1</v>
      </c>
      <c r="C148" s="1442" t="s">
        <v>1303</v>
      </c>
      <c r="D148" s="1413"/>
      <c r="E148" s="1413"/>
      <c r="F148" s="1435">
        <f t="shared" si="54"/>
        <v>0</v>
      </c>
      <c r="G148" s="1439">
        <f>IF($A148=1,IF($M$1="Простой",'ОРД ПДн'!H100,IF($M$1="Обычный",'ОРД ПДн'!H101,'ОРД ПДн'!H102)),0)</f>
        <v>0</v>
      </c>
      <c r="H148" s="1439">
        <f>IF($A148=1,IF($M$1="Простой",'ОРД ПДн'!I100,IF($M$1="Обычный",'ОРД ПДн'!I101,'ОРД ПДн'!I102)),0)</f>
        <v>0</v>
      </c>
      <c r="I148" s="1439">
        <f>IF($A148=1,IF($M$1="Простой",'ОРД ПДн'!J100,IF($M$1="Обычный",'ОРД ПДн'!J101,'ОРД ПДн'!J102)),0)</f>
        <v>0</v>
      </c>
      <c r="J148" s="1435">
        <f t="shared" si="53"/>
        <v>0</v>
      </c>
      <c r="K148" s="1439">
        <f>G148/8</f>
        <v>0</v>
      </c>
      <c r="L148" s="1439">
        <f t="shared" ref="L148:M148" si="65">H148/8</f>
        <v>0</v>
      </c>
      <c r="M148" s="1439">
        <f t="shared" si="65"/>
        <v>0</v>
      </c>
      <c r="N148" s="1440"/>
    </row>
    <row r="149" spans="1:14" ht="30" hidden="1" outlineLevel="3" x14ac:dyDescent="0.25">
      <c r="A149" s="1433"/>
      <c r="B149" s="1433"/>
      <c r="C149" s="1434" t="s">
        <v>1304</v>
      </c>
      <c r="D149" s="1630"/>
      <c r="E149" s="1630"/>
      <c r="F149" s="1435">
        <f t="shared" si="54"/>
        <v>0</v>
      </c>
      <c r="G149" s="1451">
        <f>G150</f>
        <v>0</v>
      </c>
      <c r="H149" s="1451">
        <f t="shared" ref="H149:I149" si="66">H150</f>
        <v>0</v>
      </c>
      <c r="I149" s="1451">
        <f t="shared" si="66"/>
        <v>0</v>
      </c>
      <c r="J149" s="1451">
        <f>SUM(J150)</f>
        <v>0</v>
      </c>
      <c r="K149" s="1451">
        <f t="shared" ref="K149:M149" si="67">SUM(K150)</f>
        <v>0</v>
      </c>
      <c r="L149" s="1451">
        <f t="shared" si="67"/>
        <v>0</v>
      </c>
      <c r="M149" s="1451">
        <f t="shared" si="67"/>
        <v>0</v>
      </c>
      <c r="N149" s="1441"/>
    </row>
    <row r="150" spans="1:14" ht="24" hidden="1" outlineLevel="2" x14ac:dyDescent="0.2">
      <c r="A150" s="1437">
        <v>0</v>
      </c>
      <c r="B150" s="1417">
        <v>1</v>
      </c>
      <c r="C150" s="1442" t="s">
        <v>1305</v>
      </c>
      <c r="D150" s="1413"/>
      <c r="E150" s="1413"/>
      <c r="F150" s="1435">
        <f t="shared" si="54"/>
        <v>0</v>
      </c>
      <c r="G150" s="1439">
        <f>IF($A150=1,IF($M$1="Простой",'ОРД ПДн'!H104,IF($M$1="Обычный",'ОРД ПДн'!H105,'ОРД ПДн'!H106)),0)</f>
        <v>0</v>
      </c>
      <c r="H150" s="1439">
        <f>IF($A150=1,IF($M$1="Простой",'ОРД ПДн'!I104,IF($M$1="Обычный",'ОРД ПДн'!I105,'ОРД ПДн'!I106)),0)</f>
        <v>0</v>
      </c>
      <c r="I150" s="1439">
        <f>IF($A150=1,IF($M$1="Простой",'ОРД ПДн'!J104,IF($M$1="Обычный",'ОРД ПДн'!J105,'ОРД ПДн'!J106)),0)</f>
        <v>0</v>
      </c>
      <c r="J150" s="1435">
        <f t="shared" si="53"/>
        <v>0</v>
      </c>
      <c r="K150" s="1439">
        <f>G150/8</f>
        <v>0</v>
      </c>
      <c r="L150" s="1439">
        <f t="shared" ref="L150:M150" si="68">H150/8</f>
        <v>0</v>
      </c>
      <c r="M150" s="1439">
        <f t="shared" si="68"/>
        <v>0</v>
      </c>
      <c r="N150" s="1440"/>
    </row>
    <row r="151" spans="1:14" ht="15.75" hidden="1" outlineLevel="3" x14ac:dyDescent="0.25">
      <c r="A151" s="1433"/>
      <c r="B151" s="1433"/>
      <c r="C151" s="1434" t="s">
        <v>1306</v>
      </c>
      <c r="D151" s="1630"/>
      <c r="E151" s="1630"/>
      <c r="F151" s="1435">
        <f t="shared" si="54"/>
        <v>0</v>
      </c>
      <c r="G151" s="1451">
        <f>G152</f>
        <v>0</v>
      </c>
      <c r="H151" s="1451">
        <f t="shared" ref="H151:I151" si="69">H152</f>
        <v>0</v>
      </c>
      <c r="I151" s="1451">
        <f t="shared" si="69"/>
        <v>0</v>
      </c>
      <c r="J151" s="1451">
        <f>SUM(J152)</f>
        <v>0</v>
      </c>
      <c r="K151" s="1451">
        <f t="shared" ref="K151:M151" si="70">SUM(K152)</f>
        <v>0</v>
      </c>
      <c r="L151" s="1451">
        <f t="shared" si="70"/>
        <v>0</v>
      </c>
      <c r="M151" s="1451">
        <f t="shared" si="70"/>
        <v>0</v>
      </c>
      <c r="N151" s="1441"/>
    </row>
    <row r="152" spans="1:14" ht="24" hidden="1" outlineLevel="2" x14ac:dyDescent="0.2">
      <c r="A152" s="1437">
        <v>0</v>
      </c>
      <c r="B152" s="1417">
        <v>1</v>
      </c>
      <c r="C152" s="1442" t="s">
        <v>1307</v>
      </c>
      <c r="D152" s="1413"/>
      <c r="E152" s="1413"/>
      <c r="F152" s="1435">
        <f t="shared" si="54"/>
        <v>0</v>
      </c>
      <c r="G152" s="1439">
        <f>IF($A152=1,IF($M$1="Простой",'ОРД ПДн'!H108,IF($M$1="Обычный",'ОРД ПДн'!H109,'ОРД ПДн'!H110)),0)</f>
        <v>0</v>
      </c>
      <c r="H152" s="1439">
        <f>IF($A152=1,IF($M$1="Простой",'ОРД ПДн'!I108,IF($M$1="Обычный",'ОРД ПДн'!I109,'ОРД ПДн'!I110)),0)</f>
        <v>0</v>
      </c>
      <c r="I152" s="1439">
        <f>IF($A152=1,IF($M$1="Простой",'ОРД ПДн'!J108,IF($M$1="Обычный",'ОРД ПДн'!J109,'ОРД ПДн'!J110)),0)</f>
        <v>0</v>
      </c>
      <c r="J152" s="1435">
        <f t="shared" si="53"/>
        <v>0</v>
      </c>
      <c r="K152" s="1439">
        <f>G152/8</f>
        <v>0</v>
      </c>
      <c r="L152" s="1439">
        <f t="shared" ref="L152:M152" si="71">H152/8</f>
        <v>0</v>
      </c>
      <c r="M152" s="1439">
        <f t="shared" si="71"/>
        <v>0</v>
      </c>
      <c r="N152" s="1440"/>
    </row>
    <row r="153" spans="1:14" ht="15.75" hidden="1" outlineLevel="3" x14ac:dyDescent="0.25">
      <c r="A153" s="1433"/>
      <c r="B153" s="1433"/>
      <c r="C153" s="1434" t="s">
        <v>1308</v>
      </c>
      <c r="D153" s="1630"/>
      <c r="E153" s="1630"/>
      <c r="F153" s="1435">
        <f t="shared" si="54"/>
        <v>0</v>
      </c>
      <c r="G153" s="1451">
        <f>G154</f>
        <v>0</v>
      </c>
      <c r="H153" s="1451">
        <f t="shared" ref="H153:I153" si="72">H154</f>
        <v>0</v>
      </c>
      <c r="I153" s="1451">
        <f t="shared" si="72"/>
        <v>0</v>
      </c>
      <c r="J153" s="1451">
        <f>SUM(J154)</f>
        <v>0</v>
      </c>
      <c r="K153" s="1451">
        <f t="shared" ref="K153:M153" si="73">SUM(K154)</f>
        <v>0</v>
      </c>
      <c r="L153" s="1451">
        <f t="shared" si="73"/>
        <v>0</v>
      </c>
      <c r="M153" s="1451">
        <f t="shared" si="73"/>
        <v>0</v>
      </c>
      <c r="N153" s="1441"/>
    </row>
    <row r="154" spans="1:14" ht="11.45" hidden="1" customHeight="1" outlineLevel="3" x14ac:dyDescent="0.2">
      <c r="A154" s="1437">
        <v>0</v>
      </c>
      <c r="B154" s="1417">
        <v>1</v>
      </c>
      <c r="C154" s="1442" t="s">
        <v>1583</v>
      </c>
      <c r="D154" s="1413"/>
      <c r="E154" s="1413"/>
      <c r="F154" s="1435">
        <f t="shared" si="54"/>
        <v>0</v>
      </c>
      <c r="G154" s="1439">
        <f>IF($A154=1,IF($M$1="Простой",'ОРД ПДн'!H112,IF($M$1="Обычный",'ОРД ПДн'!H113,'ОРД ПДн'!H114)),0)</f>
        <v>0</v>
      </c>
      <c r="H154" s="1439">
        <f>IF($A154=1,IF($M$1="Простой",'ОРД ПДн'!I112,IF($M$1="Обычный",'ОРД ПДн'!I113,'ОРД ПДн'!I114)),0)</f>
        <v>0</v>
      </c>
      <c r="I154" s="1439">
        <f>IF($A154=1,IF($M$1="Простой",'ОРД ПДн'!J112,IF($M$1="Обычный",'ОРД ПДн'!J113,'ОРД ПДн'!J114)),0)</f>
        <v>0</v>
      </c>
      <c r="J154" s="1435">
        <f t="shared" si="53"/>
        <v>0</v>
      </c>
      <c r="K154" s="1439">
        <f>G154/8</f>
        <v>0</v>
      </c>
      <c r="L154" s="1439">
        <f t="shared" ref="L154:M154" si="74">H154/8</f>
        <v>0</v>
      </c>
      <c r="M154" s="1439">
        <f t="shared" si="74"/>
        <v>0</v>
      </c>
      <c r="N154" s="1440"/>
    </row>
    <row r="155" spans="1:14" ht="15.75" hidden="1" outlineLevel="2" x14ac:dyDescent="0.25">
      <c r="A155" s="1433"/>
      <c r="B155" s="1433"/>
      <c r="C155" s="1434" t="s">
        <v>1309</v>
      </c>
      <c r="D155" s="1630"/>
      <c r="E155" s="1630"/>
      <c r="F155" s="1435">
        <f t="shared" si="54"/>
        <v>0</v>
      </c>
      <c r="G155" s="1451">
        <f>SUM(G156:G157)</f>
        <v>0</v>
      </c>
      <c r="H155" s="1451">
        <f t="shared" ref="H155:I155" si="75">SUM(H156:H157)</f>
        <v>0</v>
      </c>
      <c r="I155" s="1451">
        <f t="shared" si="75"/>
        <v>0</v>
      </c>
      <c r="J155" s="1451">
        <f>SUM(J156:J157)</f>
        <v>0</v>
      </c>
      <c r="K155" s="1451">
        <f>SUM(K156:K157)</f>
        <v>0</v>
      </c>
      <c r="L155" s="1451">
        <f>SUM(L156:L157)</f>
        <v>0</v>
      </c>
      <c r="M155" s="1451">
        <f>SUM(M156:M157)</f>
        <v>0</v>
      </c>
      <c r="N155" s="1441"/>
    </row>
    <row r="156" spans="1:14" ht="24" hidden="1" outlineLevel="3" x14ac:dyDescent="0.2">
      <c r="A156" s="1437">
        <v>0</v>
      </c>
      <c r="B156" s="1417">
        <v>1</v>
      </c>
      <c r="C156" s="1442" t="s">
        <v>1310</v>
      </c>
      <c r="D156" s="1413"/>
      <c r="E156" s="1413"/>
      <c r="F156" s="1435">
        <f t="shared" si="54"/>
        <v>0</v>
      </c>
      <c r="G156" s="1439">
        <f>IF($A156=1,IF($M$1="Простой",'ОРД ПДн'!H116,IF($M$1="Обычный",'ОРД ПДн'!H117,'ОРД ПДн'!H118)),0)</f>
        <v>0</v>
      </c>
      <c r="H156" s="1439">
        <f>IF($A156=1,IF($M$1="Простой",'ОРД ПДн'!I116,IF($M$1="Обычный",'ОРД ПДн'!I117,'ОРД ПДн'!I118)),0)</f>
        <v>0</v>
      </c>
      <c r="I156" s="1439">
        <f>IF($A156=1,IF($M$1="Простой",'ОРД ПДн'!J116,IF($M$1="Обычный",'ОРД ПДн'!J117,'ОРД ПДн'!J118)),0)</f>
        <v>0</v>
      </c>
      <c r="J156" s="1435">
        <f t="shared" si="53"/>
        <v>0</v>
      </c>
      <c r="K156" s="1439">
        <f>G156/8</f>
        <v>0</v>
      </c>
      <c r="L156" s="1439">
        <f t="shared" ref="L156:M157" si="76">H156/8</f>
        <v>0</v>
      </c>
      <c r="M156" s="1439">
        <f t="shared" si="76"/>
        <v>0</v>
      </c>
      <c r="N156" s="1440"/>
    </row>
    <row r="157" spans="1:14" ht="48" hidden="1" outlineLevel="3" x14ac:dyDescent="0.2">
      <c r="A157" s="1437">
        <v>0</v>
      </c>
      <c r="B157" s="1417">
        <v>1</v>
      </c>
      <c r="C157" s="1442" t="s">
        <v>1311</v>
      </c>
      <c r="D157" s="1413"/>
      <c r="E157" s="1413"/>
      <c r="F157" s="1435">
        <f t="shared" si="54"/>
        <v>0</v>
      </c>
      <c r="G157" s="1439">
        <f>IF($A157=1,IF($M$1="Простой",'ОРД ПДн'!H119,IF($M$1="Обычный",'ОРД ПДн'!H120,'ОРД ПДн'!H121)),0)</f>
        <v>0</v>
      </c>
      <c r="H157" s="1439">
        <f>IF($A157=1,IF($M$1="Простой",'ОРД ПДн'!I119,IF($M$1="Обычный",'ОРД ПДн'!I120,'ОРД ПДн'!I121)),0)</f>
        <v>0</v>
      </c>
      <c r="I157" s="1439">
        <f>IF($A157=1,IF($M$1="Простой",'ОРД ПДн'!J119,IF($M$1="Обычный",'ОРД ПДн'!J120,'ОРД ПДн'!J121)),0)</f>
        <v>0</v>
      </c>
      <c r="J157" s="1435">
        <f t="shared" si="53"/>
        <v>0</v>
      </c>
      <c r="K157" s="1439">
        <f>G157/8</f>
        <v>0</v>
      </c>
      <c r="L157" s="1439">
        <f t="shared" si="76"/>
        <v>0</v>
      </c>
      <c r="M157" s="1439">
        <f t="shared" si="76"/>
        <v>0</v>
      </c>
      <c r="N157" s="1440"/>
    </row>
    <row r="158" spans="1:14" ht="30" hidden="1" outlineLevel="3" x14ac:dyDescent="0.25">
      <c r="A158" s="1433"/>
      <c r="B158" s="1433"/>
      <c r="C158" s="1434" t="s">
        <v>1312</v>
      </c>
      <c r="D158" s="1630"/>
      <c r="E158" s="1630"/>
      <c r="F158" s="1435">
        <f t="shared" si="54"/>
        <v>0</v>
      </c>
      <c r="G158" s="1451">
        <f>SUM(G159:G159)</f>
        <v>0</v>
      </c>
      <c r="H158" s="1451">
        <f t="shared" ref="H158:I158" si="77">SUM(H159:H159)</f>
        <v>0</v>
      </c>
      <c r="I158" s="1451">
        <f t="shared" si="77"/>
        <v>0</v>
      </c>
      <c r="J158" s="1451">
        <f>SUM(J159:J159)</f>
        <v>0</v>
      </c>
      <c r="K158" s="1451">
        <f>SUM(K159:K159)</f>
        <v>0</v>
      </c>
      <c r="L158" s="1451">
        <f>SUM(L159:L159)</f>
        <v>0</v>
      </c>
      <c r="M158" s="1451">
        <f>SUM(M159:M159)</f>
        <v>0</v>
      </c>
      <c r="N158" s="1441"/>
    </row>
    <row r="159" spans="1:14" ht="24" hidden="1" outlineLevel="3" x14ac:dyDescent="0.2">
      <c r="A159" s="1437">
        <v>0</v>
      </c>
      <c r="B159" s="1417">
        <v>1</v>
      </c>
      <c r="C159" s="1442" t="s">
        <v>1584</v>
      </c>
      <c r="D159" s="1413"/>
      <c r="E159" s="1413"/>
      <c r="F159" s="1435">
        <f t="shared" si="54"/>
        <v>0</v>
      </c>
      <c r="G159" s="1439">
        <f>IF($A159=1,IF($M$1="Простой",'ОРД ПДн'!H123,IF($M$1="Обычный",'ОРД ПДн'!H124,'ОРД ПДн'!H125)),0)</f>
        <v>0</v>
      </c>
      <c r="H159" s="1439">
        <f>IF($A159=1,IF($M$1="Простой",'ОРД ПДн'!I123,IF($M$1="Обычный",'ОРД ПДн'!I124,'ОРД ПДн'!I125)),0)</f>
        <v>0</v>
      </c>
      <c r="I159" s="1439">
        <f>IF($A159=1,IF($M$1="Простой",'ОРД ПДн'!J123,IF($M$1="Обычный",'ОРД ПДн'!J124,'ОРД ПДн'!J125)),0)</f>
        <v>0</v>
      </c>
      <c r="J159" s="1435">
        <f t="shared" si="53"/>
        <v>0</v>
      </c>
      <c r="K159" s="1439">
        <f>G159/8</f>
        <v>0</v>
      </c>
      <c r="L159" s="1439">
        <f t="shared" ref="L159:M159" si="78">H159/8</f>
        <v>0</v>
      </c>
      <c r="M159" s="1439">
        <f t="shared" si="78"/>
        <v>0</v>
      </c>
      <c r="N159" s="1440"/>
    </row>
    <row r="160" spans="1:14" ht="45" hidden="1" outlineLevel="2" x14ac:dyDescent="0.25">
      <c r="A160" s="1433"/>
      <c r="B160" s="1433"/>
      <c r="C160" s="1434" t="s">
        <v>1313</v>
      </c>
      <c r="D160" s="1630"/>
      <c r="E160" s="1630"/>
      <c r="F160" s="1435">
        <f t="shared" si="54"/>
        <v>0</v>
      </c>
      <c r="G160" s="1451">
        <f>SUM(G161:G165)</f>
        <v>0</v>
      </c>
      <c r="H160" s="1451">
        <f t="shared" ref="H160:I160" si="79">SUM(H161:H165)</f>
        <v>0</v>
      </c>
      <c r="I160" s="1451">
        <f t="shared" si="79"/>
        <v>0</v>
      </c>
      <c r="J160" s="1451">
        <f>SUM(J161:J165)</f>
        <v>0</v>
      </c>
      <c r="K160" s="1451">
        <f>SUM(K161:K165)</f>
        <v>0</v>
      </c>
      <c r="L160" s="1451">
        <f>SUM(L161:L165)</f>
        <v>0</v>
      </c>
      <c r="M160" s="1451">
        <f>SUM(M161:M165)</f>
        <v>0</v>
      </c>
      <c r="N160" s="1441"/>
    </row>
    <row r="161" spans="1:14" ht="12" hidden="1" customHeight="1" outlineLevel="3" x14ac:dyDescent="0.2">
      <c r="A161" s="1437">
        <v>0</v>
      </c>
      <c r="B161" s="1580">
        <v>0</v>
      </c>
      <c r="C161" s="1442" t="s">
        <v>1314</v>
      </c>
      <c r="D161" s="1413"/>
      <c r="E161" s="1413"/>
      <c r="F161" s="1435">
        <f t="shared" si="54"/>
        <v>0</v>
      </c>
      <c r="G161" s="1439">
        <f>IF($A161=1,IF($M$1="Простой",'ОРД ПДн'!H127,IF($M$1="Обычный",'ОРД ПДн'!H128,'ОРД ПДн'!H129)),0)</f>
        <v>0</v>
      </c>
      <c r="H161" s="1439">
        <f>IF($A161=1,IF($M$1="Простой",'ОРД ПДн'!I127,IF($M$1="Обычный",'ОРД ПДн'!I128,'ОРД ПДн'!I129)),0)</f>
        <v>0</v>
      </c>
      <c r="I161" s="1439">
        <f>IF($A161=1,IF($M$1="Простой",'ОРД ПДн'!J127,IF($M$1="Обычный",'ОРД ПДн'!J128,'ОРД ПДн'!J129)),0)</f>
        <v>0</v>
      </c>
      <c r="J161" s="1435">
        <f t="shared" si="53"/>
        <v>0</v>
      </c>
      <c r="K161" s="1439">
        <f>G161/8</f>
        <v>0</v>
      </c>
      <c r="L161" s="1439">
        <f t="shared" ref="L161:M165" si="80">H161/8</f>
        <v>0</v>
      </c>
      <c r="M161" s="1439">
        <f t="shared" si="80"/>
        <v>0</v>
      </c>
      <c r="N161" s="1440"/>
    </row>
    <row r="162" spans="1:14" ht="24" hidden="1" outlineLevel="3" x14ac:dyDescent="0.2">
      <c r="A162" s="1437">
        <v>0</v>
      </c>
      <c r="B162" s="1580">
        <v>0</v>
      </c>
      <c r="C162" s="1442" t="s">
        <v>1315</v>
      </c>
      <c r="D162" s="1413"/>
      <c r="E162" s="1413"/>
      <c r="F162" s="1435">
        <f t="shared" si="54"/>
        <v>0</v>
      </c>
      <c r="G162" s="1439">
        <f>IF($A162=1,IF($M$1="Простой",'ОРД ПДн'!H130,IF($M$1="Обычный",'ОРД ПДн'!H131,'ОРД ПДн'!H132)),0)</f>
        <v>0</v>
      </c>
      <c r="H162" s="1439">
        <f>IF($A162=1,IF($M$1="Простой",'ОРД ПДн'!I130,IF($M$1="Обычный",'ОРД ПДн'!I131,'ОРД ПДн'!I132)),0)</f>
        <v>0</v>
      </c>
      <c r="I162" s="1439">
        <f>IF($A162=1,IF($M$1="Простой",'ОРД ПДн'!J130,IF($M$1="Обычный",'ОРД ПДн'!J131,'ОРД ПДн'!J132)),0)</f>
        <v>0</v>
      </c>
      <c r="J162" s="1435">
        <f t="shared" si="53"/>
        <v>0</v>
      </c>
      <c r="K162" s="1439">
        <f t="shared" ref="K162:K165" si="81">G162/8</f>
        <v>0</v>
      </c>
      <c r="L162" s="1439">
        <f t="shared" si="80"/>
        <v>0</v>
      </c>
      <c r="M162" s="1439">
        <f t="shared" si="80"/>
        <v>0</v>
      </c>
      <c r="N162" s="1440"/>
    </row>
    <row r="163" spans="1:14" ht="12" hidden="1" customHeight="1" outlineLevel="3" x14ac:dyDescent="0.2">
      <c r="A163" s="1437">
        <v>0</v>
      </c>
      <c r="B163" s="1580">
        <v>0</v>
      </c>
      <c r="C163" s="1442" t="s">
        <v>1316</v>
      </c>
      <c r="D163" s="1413"/>
      <c r="E163" s="1413"/>
      <c r="F163" s="1435">
        <f t="shared" si="54"/>
        <v>0</v>
      </c>
      <c r="G163" s="1439">
        <f>IF($A163=1,IF($M$1="Простой",'ОРД ПДн'!H133,IF($M$1="Обычный",'ОРД ПДн'!H134,'ОРД ПДн'!H135)),0)</f>
        <v>0</v>
      </c>
      <c r="H163" s="1439">
        <f>IF($A163=1,IF($M$1="Простой",'ОРД ПДн'!I133,IF($M$1="Обычный",'ОРД ПДн'!I134,'ОРД ПДн'!I135)),0)</f>
        <v>0</v>
      </c>
      <c r="I163" s="1439">
        <f>IF($A163=1,IF($M$1="Простой",'ОРД ПДн'!J133,IF($M$1="Обычный",'ОРД ПДн'!J134,'ОРД ПДн'!J135)),0)</f>
        <v>0</v>
      </c>
      <c r="J163" s="1435">
        <f t="shared" si="53"/>
        <v>0</v>
      </c>
      <c r="K163" s="1439">
        <f t="shared" si="81"/>
        <v>0</v>
      </c>
      <c r="L163" s="1439">
        <f t="shared" si="80"/>
        <v>0</v>
      </c>
      <c r="M163" s="1439">
        <f t="shared" si="80"/>
        <v>0</v>
      </c>
      <c r="N163" s="1440"/>
    </row>
    <row r="164" spans="1:14" ht="48" hidden="1" outlineLevel="3" x14ac:dyDescent="0.2">
      <c r="A164" s="1437">
        <v>0</v>
      </c>
      <c r="B164" s="1580">
        <v>0</v>
      </c>
      <c r="C164" s="1442" t="s">
        <v>1317</v>
      </c>
      <c r="D164" s="1413"/>
      <c r="E164" s="1413"/>
      <c r="F164" s="1435">
        <f t="shared" si="54"/>
        <v>0</v>
      </c>
      <c r="G164" s="1439">
        <f>IF($A164=1,IF($M$1="Простой",'ОРД ПДн'!H136,IF($M$1="Обычный",'ОРД ПДн'!H137,'ОРД ПДн'!H138)),0)</f>
        <v>0</v>
      </c>
      <c r="H164" s="1439">
        <f>IF($A164=1,IF($M$1="Простой",'ОРД ПДн'!I136,IF($M$1="Обычный",'ОРД ПДн'!I137,'ОРД ПДн'!I138)),0)</f>
        <v>0</v>
      </c>
      <c r="I164" s="1439">
        <f>IF($A164=1,IF($M$1="Простой",'ОРД ПДн'!J136,IF($M$1="Обычный",'ОРД ПДн'!J137,'ОРД ПДн'!J138)),0)</f>
        <v>0</v>
      </c>
      <c r="J164" s="1435">
        <f t="shared" si="53"/>
        <v>0</v>
      </c>
      <c r="K164" s="1439">
        <f t="shared" si="81"/>
        <v>0</v>
      </c>
      <c r="L164" s="1439">
        <f t="shared" si="80"/>
        <v>0</v>
      </c>
      <c r="M164" s="1439">
        <f t="shared" si="80"/>
        <v>0</v>
      </c>
      <c r="N164" s="1440"/>
    </row>
    <row r="165" spans="1:14" ht="48" hidden="1" outlineLevel="3" x14ac:dyDescent="0.2">
      <c r="A165" s="1437">
        <v>0</v>
      </c>
      <c r="B165" s="1580">
        <v>0</v>
      </c>
      <c r="C165" s="1442" t="s">
        <v>1318</v>
      </c>
      <c r="D165" s="1413"/>
      <c r="E165" s="1413"/>
      <c r="F165" s="1435">
        <f t="shared" si="54"/>
        <v>0</v>
      </c>
      <c r="G165" s="1439">
        <f>IF($A165=1,IF($M$1="Простой",'ОРД ПДн'!H139,IF($M$1="Обычный",'ОРД ПДн'!H140,'ОРД ПДн'!H141)),0)</f>
        <v>0</v>
      </c>
      <c r="H165" s="1439">
        <f>IF($A165=1,IF($M$1="Простой",'ОРД ПДн'!I139,IF($M$1="Обычный",'ОРД ПДн'!I140,'ОРД ПДн'!I141)),0)</f>
        <v>0</v>
      </c>
      <c r="I165" s="1439">
        <f>IF($A165=1,IF($M$1="Простой",'ОРД ПДн'!J139,IF($M$1="Обычный",'ОРД ПДн'!J140,'ОРД ПДн'!J141)),0)</f>
        <v>0</v>
      </c>
      <c r="J165" s="1435">
        <f t="shared" si="53"/>
        <v>0</v>
      </c>
      <c r="K165" s="1439">
        <f t="shared" si="81"/>
        <v>0</v>
      </c>
      <c r="L165" s="1439">
        <f t="shared" si="80"/>
        <v>0</v>
      </c>
      <c r="M165" s="1439">
        <f t="shared" si="80"/>
        <v>0</v>
      </c>
      <c r="N165" s="1440"/>
    </row>
    <row r="166" spans="1:14" ht="21.75" collapsed="1" thickBot="1" x14ac:dyDescent="0.4">
      <c r="A166" s="2120" t="s">
        <v>1492</v>
      </c>
      <c r="B166" s="2121"/>
      <c r="C166" s="2121"/>
      <c r="D166" s="2121"/>
      <c r="E166" s="2122"/>
      <c r="F166" s="1452">
        <f t="shared" ref="F166" si="82">SUM(G166:I166)</f>
        <v>346.4</v>
      </c>
      <c r="G166" s="1452">
        <f>G167+G182+G185+G188+G223</f>
        <v>161.32999999999998</v>
      </c>
      <c r="H166" s="1452">
        <f>H167+H182+H185+H188+H223</f>
        <v>122.5585</v>
      </c>
      <c r="I166" s="1452">
        <f>I167+I182+I185+I188+I223</f>
        <v>62.511500000000005</v>
      </c>
      <c r="J166" s="1452">
        <f t="shared" ref="J166" si="83">SUM(K166:M166)</f>
        <v>43.055000000000007</v>
      </c>
      <c r="K166" s="1452">
        <f>K167+K182+K185+K188+K223</f>
        <v>20.131250000000001</v>
      </c>
      <c r="L166" s="1452">
        <f>L167+L182+L185+L188+L223</f>
        <v>15.204812500000001</v>
      </c>
      <c r="M166" s="1452">
        <f>M167+M182+M185+M188+M223</f>
        <v>7.7189375</v>
      </c>
      <c r="N166" s="1453"/>
    </row>
    <row r="167" spans="1:14" ht="12.6" customHeight="1" outlineLevel="1" thickBot="1" x14ac:dyDescent="0.25">
      <c r="A167" s="2123"/>
      <c r="B167" s="2123"/>
      <c r="C167" s="2117" t="s">
        <v>1479</v>
      </c>
      <c r="D167" s="1454" t="s">
        <v>876</v>
      </c>
      <c r="E167" s="1409">
        <v>1</v>
      </c>
      <c r="F167" s="2117">
        <f>SUM(G167:I169)</f>
        <v>161</v>
      </c>
      <c r="G167" s="2117">
        <f>ROUNDUP(G170+G173+G175+G177+G179,0)</f>
        <v>67</v>
      </c>
      <c r="H167" s="2117">
        <f t="shared" ref="H167:I167" si="84">ROUNDUP(H170+H173+H175+H177+H179,0)</f>
        <v>63</v>
      </c>
      <c r="I167" s="2117">
        <f t="shared" si="84"/>
        <v>31</v>
      </c>
      <c r="J167" s="2117">
        <f>ROUNDUP(SUM(J170,J173,J175,J177,J179),2)</f>
        <v>19.87</v>
      </c>
      <c r="K167" s="2117">
        <f t="shared" ref="K167:M167" si="85">ROUNDUP(SUM(K170,K173,K175,K177,K179),2)</f>
        <v>8.34</v>
      </c>
      <c r="L167" s="2117">
        <f t="shared" si="85"/>
        <v>7.76</v>
      </c>
      <c r="M167" s="2117">
        <f t="shared" si="85"/>
        <v>3.78</v>
      </c>
      <c r="N167" s="2126" t="s">
        <v>1480</v>
      </c>
    </row>
    <row r="168" spans="1:14" ht="16.5" customHeight="1" outlineLevel="1" thickBot="1" x14ac:dyDescent="0.25">
      <c r="A168" s="2124"/>
      <c r="B168" s="2124"/>
      <c r="C168" s="2118"/>
      <c r="D168" s="1455" t="s">
        <v>1320</v>
      </c>
      <c r="E168" s="1409">
        <v>1</v>
      </c>
      <c r="F168" s="2118"/>
      <c r="G168" s="2118"/>
      <c r="H168" s="2118"/>
      <c r="I168" s="2118"/>
      <c r="J168" s="2118"/>
      <c r="K168" s="2118"/>
      <c r="L168" s="2118"/>
      <c r="M168" s="2118"/>
      <c r="N168" s="2127"/>
    </row>
    <row r="169" spans="1:14" ht="30" customHeight="1" outlineLevel="1" thickBot="1" x14ac:dyDescent="0.25">
      <c r="A169" s="2125"/>
      <c r="B169" s="2125"/>
      <c r="C169" s="2119"/>
      <c r="D169" s="1456" t="s">
        <v>1481</v>
      </c>
      <c r="E169" s="1409" t="s">
        <v>106</v>
      </c>
      <c r="F169" s="2119"/>
      <c r="G169" s="2119"/>
      <c r="H169" s="2119"/>
      <c r="I169" s="2119"/>
      <c r="J169" s="2119"/>
      <c r="K169" s="2119"/>
      <c r="L169" s="2119"/>
      <c r="M169" s="2119"/>
      <c r="N169" s="2128"/>
    </row>
    <row r="170" spans="1:14" ht="31.5" outlineLevel="2" x14ac:dyDescent="0.2">
      <c r="A170" s="1457"/>
      <c r="B170" s="1457"/>
      <c r="C170" s="1604" t="s">
        <v>1352</v>
      </c>
      <c r="D170" s="1631"/>
      <c r="E170" s="1631"/>
      <c r="F170" s="1459">
        <f t="shared" ref="F170:F181" si="86">SUM(G170:I170)</f>
        <v>12.8</v>
      </c>
      <c r="G170" s="1459">
        <f t="shared" ref="G170:M170" si="87">SUM(G171:G172)</f>
        <v>8</v>
      </c>
      <c r="H170" s="1459">
        <f t="shared" si="87"/>
        <v>3.5999999999999996</v>
      </c>
      <c r="I170" s="1459">
        <f t="shared" si="87"/>
        <v>1.2000000000000002</v>
      </c>
      <c r="J170" s="1459">
        <f t="shared" si="87"/>
        <v>1.6</v>
      </c>
      <c r="K170" s="1459">
        <f t="shared" si="87"/>
        <v>1</v>
      </c>
      <c r="L170" s="1459">
        <f t="shared" si="87"/>
        <v>0.44999999999999996</v>
      </c>
      <c r="M170" s="1459">
        <f t="shared" si="87"/>
        <v>0.15000000000000002</v>
      </c>
      <c r="N170" s="1460"/>
    </row>
    <row r="171" spans="1:14" ht="15.75" outlineLevel="3" x14ac:dyDescent="0.2">
      <c r="A171" s="1461">
        <v>0</v>
      </c>
      <c r="B171" s="1462">
        <v>0</v>
      </c>
      <c r="C171" s="1463" t="s">
        <v>1353</v>
      </c>
      <c r="D171" s="1413"/>
      <c r="E171" s="1413"/>
      <c r="F171" s="1459">
        <f t="shared" si="86"/>
        <v>0</v>
      </c>
      <c r="G171" s="1464">
        <f>IF($A171=1,IF($M$1="Простой",'Обследование и аудит ГИС'!H2,IF($M$1="Обычный",'Обследование и аудит ГИС'!H3,'Обследование и аудит ГИС'!H4)),0)</f>
        <v>0</v>
      </c>
      <c r="H171" s="1464">
        <f>IF($A171=1,IF($M$1="Простой",'Обследование и аудит ГИС'!I2,IF($M$1="Обычный",'Обследование и аудит ГИС'!I3,'Обследование и аудит ГИС'!I4)),0)</f>
        <v>0</v>
      </c>
      <c r="I171" s="1464">
        <f>IF($A171=1,IF($M$1="Простой",'ОРД ГИС'!H53,IF($M$1="Обычный",'ОРД ГИС'!H54,'ОРД ГИС'!H55)),0)</f>
        <v>0</v>
      </c>
      <c r="J171" s="1459">
        <f t="shared" ref="J171:J181" si="88">SUM(K171:M171)</f>
        <v>0</v>
      </c>
      <c r="K171" s="1464">
        <f>G171/8</f>
        <v>0</v>
      </c>
      <c r="L171" s="1464">
        <f t="shared" ref="L171:M181" si="89">H171/8</f>
        <v>0</v>
      </c>
      <c r="M171" s="1464">
        <f t="shared" si="89"/>
        <v>0</v>
      </c>
      <c r="N171" s="1465"/>
    </row>
    <row r="172" spans="1:14" ht="15.75" outlineLevel="3" x14ac:dyDescent="0.2">
      <c r="A172" s="1461">
        <v>1</v>
      </c>
      <c r="B172" s="1417">
        <v>1</v>
      </c>
      <c r="C172" s="1463" t="s">
        <v>1354</v>
      </c>
      <c r="D172" s="1413"/>
      <c r="E172" s="1413"/>
      <c r="F172" s="1459">
        <f t="shared" si="86"/>
        <v>12.8</v>
      </c>
      <c r="G172" s="1464">
        <f>IF($A172=1,IF($M$1="Простой",'Обследование и аудит ГИС'!H3,IF($M$1="Обычный",'Обследование и аудит ГИС'!H4,'Обследование и аудит ГИС'!H5)),0)</f>
        <v>8</v>
      </c>
      <c r="H172" s="1464">
        <f>IF($A172=1,IF($M$1="Простой",'Обследование и аудит ГИС'!I5,IF($M$1="Обычный",'Обследование и аудит ГИС'!I6,'Обследование и аудит ГИС'!I7)),0)</f>
        <v>3.5999999999999996</v>
      </c>
      <c r="I172" s="1464">
        <f>IF($A172=1,IF($M$1="Простой",'Обследование и аудит ГИС'!J5,IF($M$1="Обычный",'Обследование и аудит ГИС'!J6,'Обследование и аудит ГИС'!J7)),0)</f>
        <v>1.2000000000000002</v>
      </c>
      <c r="J172" s="1459">
        <f t="shared" si="88"/>
        <v>1.6</v>
      </c>
      <c r="K172" s="1464">
        <f t="shared" ref="K172:K181" si="90">G172/8</f>
        <v>1</v>
      </c>
      <c r="L172" s="1464">
        <f t="shared" si="89"/>
        <v>0.44999999999999996</v>
      </c>
      <c r="M172" s="1464">
        <f t="shared" si="89"/>
        <v>0.15000000000000002</v>
      </c>
      <c r="N172" s="1465"/>
    </row>
    <row r="173" spans="1:14" ht="15.75" outlineLevel="2" x14ac:dyDescent="0.2">
      <c r="A173" s="1457"/>
      <c r="B173" s="1457"/>
      <c r="C173" s="1604" t="s">
        <v>1493</v>
      </c>
      <c r="D173" s="1631"/>
      <c r="E173" s="1631"/>
      <c r="F173" s="1459">
        <f t="shared" si="86"/>
        <v>57.800000000000011</v>
      </c>
      <c r="G173" s="1459">
        <f>SUM(G174+G175+G177)</f>
        <v>21.700000000000003</v>
      </c>
      <c r="H173" s="1459">
        <f t="shared" ref="H173:I173" si="91">SUM(H174+H175+H177)</f>
        <v>23.120000000000005</v>
      </c>
      <c r="I173" s="1459">
        <f t="shared" si="91"/>
        <v>12.980000000000002</v>
      </c>
      <c r="J173" s="1459">
        <f>SUM(K173:M173)</f>
        <v>7.2250000000000014</v>
      </c>
      <c r="K173" s="1459">
        <f>SUM(K174+K175+K177)</f>
        <v>2.7125000000000004</v>
      </c>
      <c r="L173" s="1459">
        <f t="shared" ref="L173:M173" si="92">SUM(L174+L175+L177)</f>
        <v>2.8900000000000006</v>
      </c>
      <c r="M173" s="1459">
        <f t="shared" si="92"/>
        <v>1.6225000000000003</v>
      </c>
      <c r="N173" s="1466"/>
    </row>
    <row r="174" spans="1:14" ht="15.75" outlineLevel="3" x14ac:dyDescent="0.2">
      <c r="A174" s="1461">
        <v>1</v>
      </c>
      <c r="B174" s="1417">
        <v>1</v>
      </c>
      <c r="C174" s="1463" t="s">
        <v>1494</v>
      </c>
      <c r="D174" s="1413"/>
      <c r="E174" s="1413"/>
      <c r="F174" s="1459">
        <f t="shared" si="86"/>
        <v>33.800000000000004</v>
      </c>
      <c r="G174" s="1464">
        <f>IF($A174=1,IF($M$1="Простой",'Обследование и аудит ГИС'!H11,IF($M$1="Обычный",'Обследование и аудит ГИС'!H12,'Обследование и аудит ГИС'!H13)),0)</f>
        <v>16.900000000000002</v>
      </c>
      <c r="H174" s="1464">
        <f>IF($A174=1,IF($M$1="Простой",'Обследование и аудит ГИС'!I11,IF($M$1="Обычный",'Обследование и аудит ГИС'!I12,'Обследование и аудит ГИС'!I13)),0)</f>
        <v>13.520000000000003</v>
      </c>
      <c r="I174" s="1464">
        <f>IF($A174=1,IF($M$1="Простой",'Обследование и аудит ГИС'!J11,IF($M$1="Обычный",'Обследование и аудит ГИС'!J12,'Обследование и аудит ГИС'!J13)),0)</f>
        <v>3.3800000000000008</v>
      </c>
      <c r="J174" s="1459">
        <f t="shared" si="88"/>
        <v>4.2250000000000005</v>
      </c>
      <c r="K174" s="1464">
        <f t="shared" si="90"/>
        <v>2.1125000000000003</v>
      </c>
      <c r="L174" s="1464">
        <f t="shared" si="89"/>
        <v>1.6900000000000004</v>
      </c>
      <c r="M174" s="1464">
        <f t="shared" si="89"/>
        <v>0.4225000000000001</v>
      </c>
      <c r="N174" s="1465"/>
    </row>
    <row r="175" spans="1:14" ht="25.5" outlineLevel="2" x14ac:dyDescent="0.2">
      <c r="A175" s="1457"/>
      <c r="B175" s="1605"/>
      <c r="C175" s="1606" t="s">
        <v>1362</v>
      </c>
      <c r="D175" s="1632"/>
      <c r="E175" s="1632"/>
      <c r="F175" s="1607">
        <f t="shared" si="86"/>
        <v>24.000000000000004</v>
      </c>
      <c r="G175" s="1607">
        <f>SUM(G176:G176)</f>
        <v>4.8000000000000007</v>
      </c>
      <c r="H175" s="1607">
        <f>SUM(H176:H176)</f>
        <v>9.6000000000000014</v>
      </c>
      <c r="I175" s="1607">
        <f>SUM(I176:I176)</f>
        <v>9.6000000000000014</v>
      </c>
      <c r="J175" s="1607">
        <f>SUM(J176)</f>
        <v>3.0000000000000004</v>
      </c>
      <c r="K175" s="1607">
        <f t="shared" ref="K175:M175" si="93">SUM(K176)</f>
        <v>0.60000000000000009</v>
      </c>
      <c r="L175" s="1607">
        <f t="shared" si="93"/>
        <v>1.2000000000000002</v>
      </c>
      <c r="M175" s="1607">
        <f t="shared" si="93"/>
        <v>1.2000000000000002</v>
      </c>
      <c r="N175" s="1608"/>
    </row>
    <row r="176" spans="1:14" ht="24.75" outlineLevel="3" thickBot="1" x14ac:dyDescent="0.25">
      <c r="A176" s="1461">
        <v>1</v>
      </c>
      <c r="B176" s="1417">
        <v>1</v>
      </c>
      <c r="C176" s="1467" t="s">
        <v>1364</v>
      </c>
      <c r="D176" s="1413"/>
      <c r="E176" s="1413"/>
      <c r="F176" s="1459">
        <f t="shared" si="86"/>
        <v>24.000000000000004</v>
      </c>
      <c r="G176" s="1464">
        <f>IF($A176=1,IF($M$1="Простой",'Обследование и аудит ГИС'!H17,IF($M$1="Обычный",'Обследование и аудит ГИС'!H18,'Обследование и аудит ГИС'!H19)),0)</f>
        <v>4.8000000000000007</v>
      </c>
      <c r="H176" s="1464">
        <f>IF($A176=1,IF($M$1="Простой",'Обследование и аудит ГИС'!I17,IF($M$1="Обычный",'Обследование и аудит ГИС'!I18,'Обследование и аудит ГИС'!I19)),0)</f>
        <v>9.6000000000000014</v>
      </c>
      <c r="I176" s="1464">
        <f>IF($A176=1,IF($M$1="Простой",'Обследование и аудит ГИС'!J17,IF($M$1="Обычный",'Обследование и аудит ГИС'!J18,'Обследование и аудит ГИС'!J19)),0)</f>
        <v>9.6000000000000014</v>
      </c>
      <c r="J176" s="1459">
        <f t="shared" si="88"/>
        <v>3.0000000000000004</v>
      </c>
      <c r="K176" s="1464">
        <f t="shared" si="90"/>
        <v>0.60000000000000009</v>
      </c>
      <c r="L176" s="1464">
        <f t="shared" si="89"/>
        <v>1.2000000000000002</v>
      </c>
      <c r="M176" s="1464">
        <f t="shared" si="89"/>
        <v>1.2000000000000002</v>
      </c>
      <c r="N176" s="1465"/>
    </row>
    <row r="177" spans="1:14" ht="26.25" outlineLevel="2" thickBot="1" x14ac:dyDescent="0.25">
      <c r="A177" s="1457"/>
      <c r="B177" s="1605"/>
      <c r="C177" s="1606" t="s">
        <v>1495</v>
      </c>
      <c r="D177" s="1609" t="s">
        <v>1377</v>
      </c>
      <c r="E177" s="1409">
        <v>1</v>
      </c>
      <c r="F177" s="1607">
        <f t="shared" si="86"/>
        <v>0</v>
      </c>
      <c r="G177" s="1607">
        <f>SUM(G178:G178)</f>
        <v>0</v>
      </c>
      <c r="H177" s="1607">
        <f>SUM(H178:H178)</f>
        <v>0</v>
      </c>
      <c r="I177" s="1607">
        <f>SUM(I178:I178)</f>
        <v>0</v>
      </c>
      <c r="J177" s="1607">
        <f>SUM(J178)</f>
        <v>0</v>
      </c>
      <c r="K177" s="1607">
        <f>SUM(K178)</f>
        <v>0</v>
      </c>
      <c r="L177" s="1607">
        <f>SUM(L178)</f>
        <v>0</v>
      </c>
      <c r="M177" s="1607">
        <f t="shared" ref="M177" si="94">SUM(M178)</f>
        <v>0</v>
      </c>
      <c r="N177" s="1608"/>
    </row>
    <row r="178" spans="1:14" ht="15.75" outlineLevel="3" x14ac:dyDescent="0.2">
      <c r="A178" s="1461">
        <v>0</v>
      </c>
      <c r="B178" s="1462">
        <v>0</v>
      </c>
      <c r="C178" s="1467" t="s">
        <v>1376</v>
      </c>
      <c r="D178" s="1413"/>
      <c r="E178" s="1413"/>
      <c r="F178" s="1459">
        <f t="shared" si="86"/>
        <v>0</v>
      </c>
      <c r="G178" s="1464">
        <f>IF($A178=1,IF($M$1="Простой",'Обследование и аудит ГИС'!H23,IF($M$1="Обычный",'Обследование и аудит ГИС'!H24,'Обследование и аудит ГИС'!H25)),0)</f>
        <v>0</v>
      </c>
      <c r="H178" s="1464">
        <f>IF($A178=1,IF($M$1="Простой",'Обследование и аудит ГИС'!I23,IF($M$1="Обычный",'Обследование и аудит ГИС'!I24,'Обследование и аудит ГИС'!I25)),0)</f>
        <v>0</v>
      </c>
      <c r="I178" s="1464">
        <f>IF($A178=1,IF($M$1="Простой",'Обследование и аудит ГИС'!J23,IF($M$1="Обычный",'Обследование и аудит ГИС'!J24,'Обследование и аудит ГИС'!J25)),0)</f>
        <v>0</v>
      </c>
      <c r="J178" s="1459">
        <f t="shared" si="88"/>
        <v>0</v>
      </c>
      <c r="K178" s="1464">
        <f t="shared" si="90"/>
        <v>0</v>
      </c>
      <c r="L178" s="1464">
        <f t="shared" si="89"/>
        <v>0</v>
      </c>
      <c r="M178" s="1464">
        <f t="shared" si="89"/>
        <v>0</v>
      </c>
      <c r="N178" s="1465"/>
    </row>
    <row r="179" spans="1:14" ht="15.75" outlineLevel="2" x14ac:dyDescent="0.2">
      <c r="A179" s="1457"/>
      <c r="B179" s="1457"/>
      <c r="C179" s="1604" t="s">
        <v>1365</v>
      </c>
      <c r="D179" s="1631"/>
      <c r="E179" s="1631"/>
      <c r="F179" s="1459">
        <f t="shared" si="86"/>
        <v>64.300000000000011</v>
      </c>
      <c r="G179" s="1459">
        <f>SUM(G180:G181)</f>
        <v>32.150000000000006</v>
      </c>
      <c r="H179" s="1459">
        <f>SUM(H180:H181)</f>
        <v>25.720000000000006</v>
      </c>
      <c r="I179" s="1459">
        <f>SUM(I180:I181)</f>
        <v>6.4300000000000015</v>
      </c>
      <c r="J179" s="1459">
        <f>SUM(J180:J181)</f>
        <v>8.0375000000000014</v>
      </c>
      <c r="K179" s="1459">
        <f>SUM(K180:K181)</f>
        <v>4.0187500000000007</v>
      </c>
      <c r="L179" s="1459">
        <f t="shared" ref="L179:M179" si="95">SUM(L180:L181)</f>
        <v>3.2150000000000007</v>
      </c>
      <c r="M179" s="1459">
        <f t="shared" si="95"/>
        <v>0.80375000000000019</v>
      </c>
      <c r="N179" s="1466"/>
    </row>
    <row r="180" spans="1:14" ht="15.75" outlineLevel="3" x14ac:dyDescent="0.2">
      <c r="A180" s="1461">
        <v>1</v>
      </c>
      <c r="B180" s="1417">
        <v>1</v>
      </c>
      <c r="C180" s="1463" t="s">
        <v>1365</v>
      </c>
      <c r="D180" s="1413"/>
      <c r="E180" s="1413"/>
      <c r="F180" s="1459">
        <f t="shared" si="86"/>
        <v>64.300000000000011</v>
      </c>
      <c r="G180" s="1464">
        <f>IF($A180=1,IF($M$1="Простой",'Обследование и аудит ГИС'!H27,IF($M$1="Обычный",'Обследование и аудит ГИС'!H28,'Обследование и аудит ГИС'!H29)),0)</f>
        <v>32.150000000000006</v>
      </c>
      <c r="H180" s="1464">
        <f>IF($A180=1,IF($M$1="Простой",'Обследование и аудит ГИС'!I27,IF($M$1="Обычный",'Обследование и аудит ГИС'!I28,'Обследование и аудит ГИС'!I29)),0)</f>
        <v>25.720000000000006</v>
      </c>
      <c r="I180" s="1464">
        <f>IF($A180=1,IF($M$1="Простой",'Обследование и аудит ГИС'!J27,IF($M$1="Обычный",'Обследование и аудит ГИС'!J28,'Обследование и аудит ГИС'!J29)),0)</f>
        <v>6.4300000000000015</v>
      </c>
      <c r="J180" s="1459">
        <f t="shared" si="88"/>
        <v>8.0375000000000014</v>
      </c>
      <c r="K180" s="1464">
        <f t="shared" si="90"/>
        <v>4.0187500000000007</v>
      </c>
      <c r="L180" s="1464">
        <f t="shared" si="89"/>
        <v>3.2150000000000007</v>
      </c>
      <c r="M180" s="1464">
        <f t="shared" si="89"/>
        <v>0.80375000000000019</v>
      </c>
      <c r="N180" s="1465"/>
    </row>
    <row r="181" spans="1:14" ht="48.75" outlineLevel="3" thickBot="1" x14ac:dyDescent="0.25">
      <c r="A181" s="1461">
        <v>0</v>
      </c>
      <c r="B181" s="1462">
        <v>0</v>
      </c>
      <c r="C181" s="1467" t="s">
        <v>1368</v>
      </c>
      <c r="D181" s="1413"/>
      <c r="E181" s="1414"/>
      <c r="F181" s="1459">
        <f t="shared" si="86"/>
        <v>0</v>
      </c>
      <c r="G181" s="1464">
        <f>IF($A181=1,IF($M$1="Простой",'Обследование и аудит ГИС'!H33,IF($M$1="Обычный",'Обследование и аудит ГИС'!H34,'Обследование и аудит ГИС'!H35)),0)</f>
        <v>0</v>
      </c>
      <c r="H181" s="1464">
        <f>IF($A181=1,IF($M$1="Простой",'Обследование и аудит ГИС'!I33,IF($M$1="Обычный",'Обследование и аудит ГИС'!I34,'Обследование и аудит ГИС'!I35)),0)</f>
        <v>0</v>
      </c>
      <c r="I181" s="1464">
        <f>IF($A181=1,IF($M$1="Простой",'Обследование и аудит ГИС'!J33,IF($M$1="Обычный",'Обследование и аудит ГИС'!J34,'Обследование и аудит ГИС'!J35)),0)</f>
        <v>0</v>
      </c>
      <c r="J181" s="1459">
        <f t="shared" si="88"/>
        <v>0</v>
      </c>
      <c r="K181" s="1464">
        <f t="shared" si="90"/>
        <v>0</v>
      </c>
      <c r="L181" s="1464">
        <f t="shared" si="89"/>
        <v>0</v>
      </c>
      <c r="M181" s="1464">
        <f t="shared" si="89"/>
        <v>0</v>
      </c>
      <c r="N181" s="1468" t="s">
        <v>1496</v>
      </c>
    </row>
    <row r="182" spans="1:14" ht="12.6" customHeight="1" outlineLevel="1" thickBot="1" x14ac:dyDescent="0.25">
      <c r="A182" s="2123"/>
      <c r="B182" s="2123"/>
      <c r="C182" s="2117" t="s">
        <v>1483</v>
      </c>
      <c r="D182" s="1454" t="s">
        <v>1421</v>
      </c>
      <c r="E182" s="1409">
        <v>1</v>
      </c>
      <c r="F182" s="2117">
        <f>SUM(G182:I183)</f>
        <v>64</v>
      </c>
      <c r="G182" s="2117">
        <f>SUM(G184:G184)</f>
        <v>19.2</v>
      </c>
      <c r="H182" s="2117">
        <f>SUM(H184:H184)</f>
        <v>25.6</v>
      </c>
      <c r="I182" s="2117">
        <f>SUM(I184:I184)</f>
        <v>19.2</v>
      </c>
      <c r="J182" s="2117">
        <f>SUM(J184)</f>
        <v>8</v>
      </c>
      <c r="K182" s="2117">
        <f>SUM(K184)</f>
        <v>2.4</v>
      </c>
      <c r="L182" s="2117">
        <f>SUM(L184)</f>
        <v>3.2</v>
      </c>
      <c r="M182" s="2117">
        <f>SUM(M184)</f>
        <v>2.4</v>
      </c>
      <c r="N182" s="2126" t="s">
        <v>1497</v>
      </c>
    </row>
    <row r="183" spans="1:14" ht="12.6" customHeight="1" outlineLevel="1" thickBot="1" x14ac:dyDescent="0.25">
      <c r="A183" s="2125"/>
      <c r="B183" s="2125"/>
      <c r="C183" s="2119"/>
      <c r="D183" s="1469" t="s">
        <v>1422</v>
      </c>
      <c r="E183" s="1409">
        <v>1</v>
      </c>
      <c r="F183" s="2119"/>
      <c r="G183" s="2119"/>
      <c r="H183" s="2119"/>
      <c r="I183" s="2119"/>
      <c r="J183" s="2119"/>
      <c r="K183" s="2119"/>
      <c r="L183" s="2119"/>
      <c r="M183" s="2119"/>
      <c r="N183" s="2128"/>
    </row>
    <row r="184" spans="1:14" ht="16.5" outlineLevel="2" thickBot="1" x14ac:dyDescent="0.25">
      <c r="A184" s="1461">
        <v>1</v>
      </c>
      <c r="B184" s="1417">
        <v>1</v>
      </c>
      <c r="C184" s="1463" t="s">
        <v>1430</v>
      </c>
      <c r="D184" s="1413"/>
      <c r="E184" s="1414"/>
      <c r="F184" s="1459">
        <f>SUM(G184:I184)</f>
        <v>64</v>
      </c>
      <c r="G184" s="1464">
        <f>IF($A184=1,IF($M$1="Простой",'МУиН ГИС'!H4,IF($M$1="Обычный",'МУиН ГИС'!H5,'МУиН ГИС'!H6)),0)</f>
        <v>19.2</v>
      </c>
      <c r="H184" s="1464">
        <f>IF($A184=1,IF($M$1="Простой",'МУиН ГИС'!I4,IF($M$1="Обычный",'МУиН ГИС'!I5,'МУиН ГИС'!I6)),0)</f>
        <v>25.6</v>
      </c>
      <c r="I184" s="1464">
        <f>IF($A184=1,IF($M$1="Простой",'МУиН ГИС'!J4,IF($M$1="Обычный",'МУиН ГИС'!J5,'МУиН ГИС'!J6)),0)</f>
        <v>19.2</v>
      </c>
      <c r="J184" s="1459">
        <f>SUM(K184:M184)</f>
        <v>8</v>
      </c>
      <c r="K184" s="1464">
        <f>G184/8</f>
        <v>2.4</v>
      </c>
      <c r="L184" s="1464">
        <f t="shared" ref="L184:M184" si="96">H184/8</f>
        <v>3.2</v>
      </c>
      <c r="M184" s="1464">
        <f t="shared" si="96"/>
        <v>2.4</v>
      </c>
      <c r="N184" s="1465"/>
    </row>
    <row r="185" spans="1:14" ht="21.6" customHeight="1" outlineLevel="1" thickBot="1" x14ac:dyDescent="0.25">
      <c r="A185" s="1470"/>
      <c r="B185" s="1584"/>
      <c r="C185" s="1583" t="s">
        <v>1415</v>
      </c>
      <c r="D185" s="1455" t="s">
        <v>1320</v>
      </c>
      <c r="E185" s="1409">
        <v>1</v>
      </c>
      <c r="F185" s="1583">
        <f>SUM(G185:I185)</f>
        <v>2.7499999999999996</v>
      </c>
      <c r="G185" s="1583">
        <f>SUM(G186:G187)</f>
        <v>1.0499999999999998</v>
      </c>
      <c r="H185" s="1583">
        <f t="shared" ref="H185:I185" si="97">SUM(H186:H187)</f>
        <v>0.98750000000000004</v>
      </c>
      <c r="I185" s="1583">
        <f t="shared" si="97"/>
        <v>0.71249999999999991</v>
      </c>
      <c r="J185" s="1583">
        <f>SUM(K185:M185)</f>
        <v>0.34374999999999994</v>
      </c>
      <c r="K185" s="1583">
        <f>SUM(K186:K187)</f>
        <v>0.13124999999999998</v>
      </c>
      <c r="L185" s="1583">
        <f t="shared" ref="L185:M185" si="98">SUM(L186:L187)</f>
        <v>0.12343750000000001</v>
      </c>
      <c r="M185" s="1583">
        <f t="shared" si="98"/>
        <v>8.9062499999999989E-2</v>
      </c>
      <c r="N185" s="1471"/>
    </row>
    <row r="186" spans="1:14" ht="15.75" outlineLevel="2" x14ac:dyDescent="0.2">
      <c r="A186" s="1461">
        <v>1</v>
      </c>
      <c r="B186" s="1417">
        <v>1</v>
      </c>
      <c r="C186" s="1467" t="s">
        <v>1416</v>
      </c>
      <c r="D186" s="1413"/>
      <c r="E186" s="1414"/>
      <c r="F186" s="1459">
        <f>SUM(G186:I186)</f>
        <v>2</v>
      </c>
      <c r="G186" s="1464">
        <f>IF($A186=1,IF($M$1="Простой",Классификация!H11,IF($M$1="Обычный",Классификация!H12,Классификация!H13)),0)</f>
        <v>0.6</v>
      </c>
      <c r="H186" s="1464">
        <f>IF($A186=1,IF($M$1="Простой",Классификация!I11,IF($M$1="Обычный",Классификация!I12,Классификация!I13)),0)</f>
        <v>0.8</v>
      </c>
      <c r="I186" s="1464">
        <f>IF($A186=1,IF($M$1="Простой",Классификация!J11,IF($M$1="Обычный",Классификация!J12,Классификация!J13)),0)</f>
        <v>0.6</v>
      </c>
      <c r="J186" s="1459">
        <f>SUM(K186:M186)</f>
        <v>0.25</v>
      </c>
      <c r="K186" s="1464">
        <f>G186/8</f>
        <v>7.4999999999999997E-2</v>
      </c>
      <c r="L186" s="1464">
        <f t="shared" ref="L186:M187" si="99">H186/8</f>
        <v>0.1</v>
      </c>
      <c r="M186" s="1464">
        <f t="shared" si="99"/>
        <v>7.4999999999999997E-2</v>
      </c>
      <c r="N186" s="1465"/>
    </row>
    <row r="187" spans="1:14" ht="16.5" outlineLevel="2" thickBot="1" x14ac:dyDescent="0.25">
      <c r="A187" s="1461">
        <v>1</v>
      </c>
      <c r="B187" s="1417">
        <v>1</v>
      </c>
      <c r="C187" s="1463" t="s">
        <v>1417</v>
      </c>
      <c r="D187" s="1413"/>
      <c r="E187" s="1413"/>
      <c r="F187" s="1459">
        <f>SUM(G187:I187)</f>
        <v>0.75</v>
      </c>
      <c r="G187" s="1464">
        <f>IF($A187=1,IF($M$1="Простой",Классификация!H14,IF($M$1="Обычный",Классификация!H15,Классификация!H16)),0)</f>
        <v>0.44999999999999996</v>
      </c>
      <c r="H187" s="1464">
        <f>IF($A187=1,IF($M$1="Простой",Классификация!I14,IF($M$1="Обычный",Классификация!I15,Классификация!I16)),0)</f>
        <v>0.1875</v>
      </c>
      <c r="I187" s="1464">
        <f>IF($A187=1,IF($M$1="Простой",Классификация!J14,IF($M$1="Обычный",Классификация!J15,Классификация!J16)),0)</f>
        <v>0.11249999999999999</v>
      </c>
      <c r="J187" s="1459">
        <f>SUM(K187:M187)</f>
        <v>9.375E-2</v>
      </c>
      <c r="K187" s="1464">
        <f>G187/8</f>
        <v>5.6249999999999994E-2</v>
      </c>
      <c r="L187" s="1464">
        <f t="shared" si="99"/>
        <v>2.34375E-2</v>
      </c>
      <c r="M187" s="1464">
        <f t="shared" si="99"/>
        <v>1.4062499999999999E-2</v>
      </c>
      <c r="N187" s="1465"/>
    </row>
    <row r="188" spans="1:14" ht="16.5" customHeight="1" outlineLevel="1" thickBot="1" x14ac:dyDescent="0.25">
      <c r="A188" s="2123"/>
      <c r="B188" s="2123"/>
      <c r="C188" s="2117" t="s">
        <v>1498</v>
      </c>
      <c r="D188" s="1472" t="s">
        <v>1320</v>
      </c>
      <c r="E188" s="1409">
        <v>1</v>
      </c>
      <c r="F188" s="2117">
        <f>SUM(G188:I190)</f>
        <v>118.65</v>
      </c>
      <c r="G188" s="2117">
        <f>G191+G195+G220</f>
        <v>74.08</v>
      </c>
      <c r="H188" s="2117">
        <f>H191+H195+H220</f>
        <v>32.971000000000004</v>
      </c>
      <c r="I188" s="2117">
        <f>I191+I195+I220</f>
        <v>11.599000000000002</v>
      </c>
      <c r="J188" s="2117">
        <f>SUM(K188:M190)</f>
        <v>14.831250000000001</v>
      </c>
      <c r="K188" s="2117">
        <f t="shared" ref="K188:L188" si="100">SUM(K191+K195+K220)</f>
        <v>9.26</v>
      </c>
      <c r="L188" s="2117">
        <f t="shared" si="100"/>
        <v>4.1213750000000005</v>
      </c>
      <c r="M188" s="2117">
        <f>SUM(M191+M195+M220)</f>
        <v>1.4498750000000002</v>
      </c>
      <c r="N188" s="2126"/>
    </row>
    <row r="189" spans="1:14" ht="12.6" customHeight="1" outlineLevel="1" thickBot="1" x14ac:dyDescent="0.25">
      <c r="A189" s="2124"/>
      <c r="B189" s="2124"/>
      <c r="C189" s="2118"/>
      <c r="D189" s="1473" t="s">
        <v>1231</v>
      </c>
      <c r="E189" s="1409" t="s">
        <v>106</v>
      </c>
      <c r="F189" s="2118"/>
      <c r="G189" s="2118"/>
      <c r="H189" s="2118"/>
      <c r="I189" s="2118"/>
      <c r="J189" s="2118"/>
      <c r="K189" s="2118"/>
      <c r="L189" s="2118"/>
      <c r="M189" s="2118"/>
      <c r="N189" s="2127"/>
    </row>
    <row r="190" spans="1:14" ht="24.75" outlineLevel="1" thickBot="1" x14ac:dyDescent="0.25">
      <c r="A190" s="2125"/>
      <c r="B190" s="2125"/>
      <c r="C190" s="2119"/>
      <c r="D190" s="1473" t="s">
        <v>1232</v>
      </c>
      <c r="E190" s="1409" t="s">
        <v>106</v>
      </c>
      <c r="F190" s="2119"/>
      <c r="G190" s="2119"/>
      <c r="H190" s="2119"/>
      <c r="I190" s="2119"/>
      <c r="J190" s="2119"/>
      <c r="K190" s="2119"/>
      <c r="L190" s="2119"/>
      <c r="M190" s="2119"/>
      <c r="N190" s="2128"/>
    </row>
    <row r="191" spans="1:14" ht="15.75" outlineLevel="2" x14ac:dyDescent="0.25">
      <c r="A191" s="1457"/>
      <c r="B191" s="1457"/>
      <c r="C191" s="1458" t="s">
        <v>1236</v>
      </c>
      <c r="D191" s="1631"/>
      <c r="E191" s="1631"/>
      <c r="F191" s="1459">
        <f t="shared" ref="F191:F222" si="101">SUM(G191:I191)</f>
        <v>9.58</v>
      </c>
      <c r="G191" s="1474">
        <f t="shared" ref="G191:M191" si="102">SUM(G192:G194)</f>
        <v>5.4979999999999993</v>
      </c>
      <c r="H191" s="1474">
        <f t="shared" si="102"/>
        <v>3.1240000000000001</v>
      </c>
      <c r="I191" s="1474">
        <f t="shared" si="102"/>
        <v>0.95800000000000007</v>
      </c>
      <c r="J191" s="1474">
        <f t="shared" si="102"/>
        <v>1.1975</v>
      </c>
      <c r="K191" s="1474">
        <f t="shared" si="102"/>
        <v>0.68724999999999992</v>
      </c>
      <c r="L191" s="1474">
        <f t="shared" si="102"/>
        <v>0.39050000000000001</v>
      </c>
      <c r="M191" s="1474">
        <f t="shared" si="102"/>
        <v>0.11975000000000001</v>
      </c>
      <c r="N191" s="1466"/>
    </row>
    <row r="192" spans="1:14" ht="15.75" outlineLevel="3" x14ac:dyDescent="0.2">
      <c r="A192" s="1461">
        <v>1</v>
      </c>
      <c r="B192" s="1417">
        <v>1</v>
      </c>
      <c r="C192" s="1467" t="s">
        <v>1238</v>
      </c>
      <c r="D192" s="1413"/>
      <c r="E192" s="1413"/>
      <c r="F192" s="1459">
        <f t="shared" si="101"/>
        <v>1.5</v>
      </c>
      <c r="G192" s="1464">
        <f>IF($A192=1,IF($M$1="Простой",'ОРД ГИС'!H4,IF($M$1="Обычный",'ОРД ГИС'!H5,'ОРД ГИС'!H6)),0)</f>
        <v>1.0499999999999998</v>
      </c>
      <c r="H192" s="1464">
        <f>IF($A192=1,IF($M$1="Простой",'ОРД ГИС'!I4,IF($M$1="Обычный",'ОРД ГИС'!I5,'ОРД ГИС'!I6)),0)</f>
        <v>0.30000000000000004</v>
      </c>
      <c r="I192" s="1464">
        <f>IF($A192=1,IF($M$1="Простой",'ОРД ГИС'!J4,IF($M$1="Обычный",'ОРД ГИС'!J5,'ОРД ГИС'!J6)),0)</f>
        <v>0.15000000000000002</v>
      </c>
      <c r="J192" s="1459">
        <f t="shared" ref="J192:J222" si="103">SUM(K192:M192)</f>
        <v>0.1875</v>
      </c>
      <c r="K192" s="1464">
        <f>G192/8</f>
        <v>0.13124999999999998</v>
      </c>
      <c r="L192" s="1464">
        <f t="shared" ref="L192:M194" si="104">H192/8</f>
        <v>3.7500000000000006E-2</v>
      </c>
      <c r="M192" s="1464">
        <f t="shared" si="104"/>
        <v>1.8750000000000003E-2</v>
      </c>
      <c r="N192" s="1465"/>
    </row>
    <row r="193" spans="1:14" ht="15.75" outlineLevel="3" x14ac:dyDescent="0.2">
      <c r="A193" s="1461">
        <v>1</v>
      </c>
      <c r="B193" s="1417">
        <v>1</v>
      </c>
      <c r="C193" s="1467" t="s">
        <v>1239</v>
      </c>
      <c r="D193" s="1413"/>
      <c r="E193" s="1413"/>
      <c r="F193" s="1459">
        <f t="shared" si="101"/>
        <v>4.08</v>
      </c>
      <c r="G193" s="1464">
        <f>IF($A193=1,IF($M$1="Простой",'ОРД ГИС'!H7,IF($M$1="Обычный",'ОРД ГИС'!H8,'ОРД ГИС'!H9)),0)</f>
        <v>2.448</v>
      </c>
      <c r="H193" s="1464">
        <f>IF($A193=1,IF($M$1="Простой",'ОРД ГИС'!I7,IF($M$1="Обычный",'ОРД ГИС'!I8,'ОРД ГИС'!I9)),0)</f>
        <v>1.224</v>
      </c>
      <c r="I193" s="1464">
        <f>IF($A193=1,IF($M$1="Простой",'ОРД ГИС'!J7,IF($M$1="Обычный",'ОРД ГИС'!J8,'ОРД ГИС'!J9)),0)</f>
        <v>0.40800000000000003</v>
      </c>
      <c r="J193" s="1459">
        <f t="shared" si="103"/>
        <v>0.51</v>
      </c>
      <c r="K193" s="1464">
        <f t="shared" ref="K193:K194" si="105">G193/8</f>
        <v>0.30599999999999999</v>
      </c>
      <c r="L193" s="1464">
        <f t="shared" si="104"/>
        <v>0.153</v>
      </c>
      <c r="M193" s="1464">
        <f t="shared" si="104"/>
        <v>5.1000000000000004E-2</v>
      </c>
      <c r="N193" s="1465"/>
    </row>
    <row r="194" spans="1:14" ht="15.75" outlineLevel="3" x14ac:dyDescent="0.2">
      <c r="A194" s="1461">
        <v>1</v>
      </c>
      <c r="B194" s="1417">
        <v>1</v>
      </c>
      <c r="C194" s="1467" t="s">
        <v>1240</v>
      </c>
      <c r="D194" s="1413"/>
      <c r="E194" s="1413"/>
      <c r="F194" s="1459">
        <f t="shared" si="101"/>
        <v>4</v>
      </c>
      <c r="G194" s="1464">
        <f>IF($A194=1,IF($M$1="Простой",'ОРД ГИС'!H10,IF($M$1="Обычный",'ОРД ГИС'!H11,'ОРД ГИС'!H12)),0)</f>
        <v>2</v>
      </c>
      <c r="H194" s="1464">
        <f>IF($A194=1,IF($M$1="Простой",'ОРД ГИС'!I10,IF($M$1="Обычный",'ОРД ГИС'!I11,'ОРД ГИС'!I12)),0)</f>
        <v>1.6</v>
      </c>
      <c r="I194" s="1464">
        <f>IF($A194=1,IF($M$1="Простой",'ОРД ГИС'!J10,IF($M$1="Обычный",'ОРД ГИС'!J11,'ОРД ГИС'!J12)),0)</f>
        <v>0.4</v>
      </c>
      <c r="J194" s="1459">
        <f t="shared" si="103"/>
        <v>0.5</v>
      </c>
      <c r="K194" s="1464">
        <f t="shared" si="105"/>
        <v>0.25</v>
      </c>
      <c r="L194" s="1464">
        <f t="shared" si="104"/>
        <v>0.2</v>
      </c>
      <c r="M194" s="1464">
        <f t="shared" si="104"/>
        <v>0.05</v>
      </c>
      <c r="N194" s="1465"/>
    </row>
    <row r="195" spans="1:14" ht="15.75" outlineLevel="2" x14ac:dyDescent="0.25">
      <c r="A195" s="1457"/>
      <c r="B195" s="1457"/>
      <c r="C195" s="1458" t="s">
        <v>1321</v>
      </c>
      <c r="D195" s="1631"/>
      <c r="E195" s="1631"/>
      <c r="F195" s="1459">
        <f t="shared" si="101"/>
        <v>100.51</v>
      </c>
      <c r="G195" s="1474">
        <f t="shared" ref="G195:M195" si="106">SUM(G196:G219)</f>
        <v>63.446000000000005</v>
      </c>
      <c r="H195" s="1474">
        <f t="shared" si="106"/>
        <v>27.279000000000003</v>
      </c>
      <c r="I195" s="1474">
        <f t="shared" si="106"/>
        <v>9.7850000000000019</v>
      </c>
      <c r="J195" s="1474">
        <f t="shared" si="106"/>
        <v>12.563750000000001</v>
      </c>
      <c r="K195" s="1474">
        <f t="shared" si="106"/>
        <v>7.9307500000000006</v>
      </c>
      <c r="L195" s="1474">
        <f t="shared" si="106"/>
        <v>3.4098750000000004</v>
      </c>
      <c r="M195" s="1474">
        <f t="shared" si="106"/>
        <v>1.2231250000000002</v>
      </c>
      <c r="N195" s="1466"/>
    </row>
    <row r="196" spans="1:14" ht="12" customHeight="1" outlineLevel="3" x14ac:dyDescent="0.2">
      <c r="A196" s="1461">
        <v>1</v>
      </c>
      <c r="B196" s="1417">
        <v>1</v>
      </c>
      <c r="C196" s="1467" t="s">
        <v>1322</v>
      </c>
      <c r="D196" s="1413"/>
      <c r="E196" s="1413"/>
      <c r="F196" s="1459">
        <f t="shared" si="101"/>
        <v>2.66</v>
      </c>
      <c r="G196" s="1464">
        <f>IF($A196=1,IF($M$1="Простой",'ОРД ГИС'!H14,IF($M$1="Обычный",'ОРД ГИС'!H15,'ОРД ГИС'!H16)),0)</f>
        <v>2.1280000000000001</v>
      </c>
      <c r="H196" s="1464">
        <f>IF($A196=1,IF($M$1="Простой",'ОРД ГИС'!I14,IF($M$1="Обычный",'ОРД ГИС'!I15,'ОРД ГИС'!I16)),0)</f>
        <v>0.53200000000000003</v>
      </c>
      <c r="I196" s="1464">
        <f>IF($A196=1,IF($M$1="Простой",'ОРД ГИС'!J14,IF($M$1="Обычный",'ОРД ГИС'!J15,'ОРД ГИС'!J16)),0)</f>
        <v>0</v>
      </c>
      <c r="J196" s="1459">
        <f t="shared" si="103"/>
        <v>0.33250000000000002</v>
      </c>
      <c r="K196" s="1464">
        <f>G196/8</f>
        <v>0.26600000000000001</v>
      </c>
      <c r="L196" s="1464">
        <f t="shared" ref="L196:M211" si="107">H196/8</f>
        <v>6.6500000000000004E-2</v>
      </c>
      <c r="M196" s="1464">
        <f t="shared" si="107"/>
        <v>0</v>
      </c>
      <c r="N196" s="1465"/>
    </row>
    <row r="197" spans="1:14" ht="12" customHeight="1" outlineLevel="3" x14ac:dyDescent="0.2">
      <c r="A197" s="1461">
        <v>1</v>
      </c>
      <c r="B197" s="1417">
        <v>1</v>
      </c>
      <c r="C197" s="1467" t="s">
        <v>1323</v>
      </c>
      <c r="D197" s="1417"/>
      <c r="E197" s="1417"/>
      <c r="F197" s="1459">
        <f t="shared" si="101"/>
        <v>4.41</v>
      </c>
      <c r="G197" s="1464">
        <f>IF($A197=1,IF($M$1="Простой",'ОРД ГИС'!H17,IF($M$1="Обычный",'ОРД ГИС'!H18,'ОРД ГИС'!H19)),0)</f>
        <v>3.0869999999999997</v>
      </c>
      <c r="H197" s="1464">
        <f>IF($A197=1,IF($M$1="Простой",'ОРД ГИС'!I17,IF($M$1="Обычный",'ОРД ГИС'!I18,'ОРД ГИС'!I19)),0)</f>
        <v>0.88200000000000012</v>
      </c>
      <c r="I197" s="1464">
        <f>IF($A197=1,IF($M$1="Простой",'ОРД ГИС'!J17,IF($M$1="Обычный",'ОРД ГИС'!J18,'ОРД ГИС'!J19)),0)</f>
        <v>0.44100000000000006</v>
      </c>
      <c r="J197" s="1459">
        <f t="shared" si="103"/>
        <v>0.55125000000000002</v>
      </c>
      <c r="K197" s="1464">
        <f t="shared" ref="K197:M219" si="108">G197/8</f>
        <v>0.38587499999999997</v>
      </c>
      <c r="L197" s="1464">
        <f t="shared" si="107"/>
        <v>0.11025000000000001</v>
      </c>
      <c r="M197" s="1464">
        <f t="shared" si="107"/>
        <v>5.5125000000000007E-2</v>
      </c>
      <c r="N197" s="1465"/>
    </row>
    <row r="198" spans="1:14" ht="12" customHeight="1" outlineLevel="3" x14ac:dyDescent="0.2">
      <c r="A198" s="1461">
        <v>1</v>
      </c>
      <c r="B198" s="1417">
        <v>1</v>
      </c>
      <c r="C198" s="1467" t="s">
        <v>1245</v>
      </c>
      <c r="D198" s="1417"/>
      <c r="E198" s="1417"/>
      <c r="F198" s="1459">
        <f t="shared" si="101"/>
        <v>4.28</v>
      </c>
      <c r="G198" s="1464">
        <f>IF($A198=1,IF($M$1="Простой",'ОРД ГИС'!H20,IF($M$1="Обычный",'ОРД ГИС'!H21,'ОРД ГИС'!H22)),0)</f>
        <v>2.5680000000000001</v>
      </c>
      <c r="H198" s="1464">
        <f>IF($A198=1,IF($M$1="Простой",'ОРД ГИС'!I20,IF($M$1="Обычный",'ОРД ГИС'!I21,'ОРД ГИС'!I22)),0)</f>
        <v>1.284</v>
      </c>
      <c r="I198" s="1464">
        <f>IF($A198=1,IF($M$1="Простой",'ОРД ГИС'!J20,IF($M$1="Обычный",'ОРД ГИС'!J21,'ОРД ГИС'!J22)),0)</f>
        <v>0.42800000000000005</v>
      </c>
      <c r="J198" s="1459">
        <f t="shared" si="103"/>
        <v>0.53500000000000003</v>
      </c>
      <c r="K198" s="1464">
        <f t="shared" si="108"/>
        <v>0.32100000000000001</v>
      </c>
      <c r="L198" s="1464">
        <f t="shared" si="107"/>
        <v>0.1605</v>
      </c>
      <c r="M198" s="1464">
        <f t="shared" si="107"/>
        <v>5.3500000000000006E-2</v>
      </c>
      <c r="N198" s="1465"/>
    </row>
    <row r="199" spans="1:14" ht="12" customHeight="1" outlineLevel="3" x14ac:dyDescent="0.2">
      <c r="A199" s="1461">
        <v>1</v>
      </c>
      <c r="B199" s="1417">
        <v>1</v>
      </c>
      <c r="C199" s="1467" t="s">
        <v>1246</v>
      </c>
      <c r="D199" s="1417"/>
      <c r="E199" s="1417"/>
      <c r="F199" s="1459">
        <f t="shared" si="101"/>
        <v>4.28</v>
      </c>
      <c r="G199" s="1464">
        <f>IF($A199=1,IF($M$1="Простой",'ОРД ГИС'!H23,IF($M$1="Обычный",'ОРД ГИС'!H24,'ОРД ГИС'!H25)),0)</f>
        <v>2.5680000000000001</v>
      </c>
      <c r="H199" s="1464">
        <f>IF($A199=1,IF($M$1="Простой",'ОРД ГИС'!I23,IF($M$1="Обычный",'ОРД ГИС'!I24,'ОРД ГИС'!I25)),0)</f>
        <v>1.284</v>
      </c>
      <c r="I199" s="1464">
        <f>IF($A199=1,IF($M$1="Простой",'ОРД ГИС'!J23,IF($M$1="Обычный",'ОРД ГИС'!J24,'ОРД ГИС'!J25)),0)</f>
        <v>0.42800000000000005</v>
      </c>
      <c r="J199" s="1459">
        <f t="shared" si="103"/>
        <v>0.53500000000000003</v>
      </c>
      <c r="K199" s="1464">
        <f t="shared" si="108"/>
        <v>0.32100000000000001</v>
      </c>
      <c r="L199" s="1464">
        <f t="shared" si="107"/>
        <v>0.1605</v>
      </c>
      <c r="M199" s="1464">
        <f t="shared" si="107"/>
        <v>5.3500000000000006E-2</v>
      </c>
      <c r="N199" s="1465"/>
    </row>
    <row r="200" spans="1:14" ht="12" customHeight="1" outlineLevel="3" x14ac:dyDescent="0.2">
      <c r="A200" s="1461">
        <v>1</v>
      </c>
      <c r="B200" s="1417">
        <v>1</v>
      </c>
      <c r="C200" s="1467" t="s">
        <v>1280</v>
      </c>
      <c r="D200" s="1417"/>
      <c r="E200" s="1417"/>
      <c r="F200" s="1459">
        <f t="shared" si="101"/>
        <v>4.28</v>
      </c>
      <c r="G200" s="1464">
        <f>IF($A200=1,IF($M$1="Простой",'ОРД ГИС'!H26,IF($M$1="Обычный",'ОРД ГИС'!H27,'ОРД ГИС'!H28)),0)</f>
        <v>2.5680000000000001</v>
      </c>
      <c r="H200" s="1464">
        <f>IF($A200=1,IF($M$1="Простой",'ОРД ГИС'!I26,IF($M$1="Обычный",'ОРД ГИС'!I27,'ОРД ГИС'!I28)),0)</f>
        <v>1.284</v>
      </c>
      <c r="I200" s="1464">
        <f>IF($A200=1,IF($M$1="Простой",'ОРД ГИС'!J26,IF($M$1="Обычный",'ОРД ГИС'!J27,'ОРД ГИС'!J28)),0)</f>
        <v>0.42800000000000005</v>
      </c>
      <c r="J200" s="1459">
        <f t="shared" si="103"/>
        <v>0.53500000000000003</v>
      </c>
      <c r="K200" s="1464">
        <f t="shared" si="108"/>
        <v>0.32100000000000001</v>
      </c>
      <c r="L200" s="1464">
        <f t="shared" si="107"/>
        <v>0.1605</v>
      </c>
      <c r="M200" s="1464">
        <f t="shared" si="107"/>
        <v>5.3500000000000006E-2</v>
      </c>
      <c r="N200" s="1465"/>
    </row>
    <row r="201" spans="1:14" ht="12" customHeight="1" outlineLevel="3" x14ac:dyDescent="0.2">
      <c r="A201" s="1461">
        <v>1</v>
      </c>
      <c r="B201" s="1417">
        <v>1</v>
      </c>
      <c r="C201" s="1467" t="s">
        <v>1247</v>
      </c>
      <c r="D201" s="1417"/>
      <c r="E201" s="1417"/>
      <c r="F201" s="1459">
        <f t="shared" si="101"/>
        <v>4.28</v>
      </c>
      <c r="G201" s="1464">
        <f>IF($A201=1,IF($M$1="Простой",'ОРД ГИС'!H29,IF($M$1="Обычный",'ОРД ГИС'!H30,'ОРД ГИС'!H31)),0)</f>
        <v>2.5680000000000001</v>
      </c>
      <c r="H201" s="1464">
        <f>IF($A201=1,IF($M$1="Простой",'ОРД ГИС'!I29,IF($M$1="Обычный",'ОРД ГИС'!I30,'ОРД ГИС'!I31)),0)</f>
        <v>1.284</v>
      </c>
      <c r="I201" s="1464">
        <f>IF($A201=1,IF($M$1="Простой",'ОРД ГИС'!J29,IF($M$1="Обычный",'ОРД ГИС'!J30,'ОРД ГИС'!J31)),0)</f>
        <v>0.42800000000000005</v>
      </c>
      <c r="J201" s="1459">
        <f t="shared" si="103"/>
        <v>0.53500000000000003</v>
      </c>
      <c r="K201" s="1464">
        <f t="shared" si="108"/>
        <v>0.32100000000000001</v>
      </c>
      <c r="L201" s="1464">
        <f t="shared" si="107"/>
        <v>0.1605</v>
      </c>
      <c r="M201" s="1464">
        <f t="shared" si="107"/>
        <v>5.3500000000000006E-2</v>
      </c>
      <c r="N201" s="1465"/>
    </row>
    <row r="202" spans="1:14" ht="12" customHeight="1" outlineLevel="3" x14ac:dyDescent="0.2">
      <c r="A202" s="1461">
        <v>1</v>
      </c>
      <c r="B202" s="1417">
        <v>1</v>
      </c>
      <c r="C202" s="1467" t="s">
        <v>1324</v>
      </c>
      <c r="D202" s="1417"/>
      <c r="E202" s="1417"/>
      <c r="F202" s="1459">
        <f t="shared" si="101"/>
        <v>4.28</v>
      </c>
      <c r="G202" s="1464">
        <f>IF($A202=1,IF($M$1="Простой",'ОРД ГИС'!H32,IF($M$1="Обычный",'ОРД ГИС'!H33,'ОРД ГИС'!H34)),0)</f>
        <v>2.5680000000000001</v>
      </c>
      <c r="H202" s="1464">
        <f>IF($A202=1,IF($M$1="Простой",'ОРД ГИС'!I32,IF($M$1="Обычный",'ОРД ГИС'!I33,'ОРД ГИС'!I34)),0)</f>
        <v>1.284</v>
      </c>
      <c r="I202" s="1464">
        <f>IF($A202=1,IF($M$1="Простой",'ОРД ГИС'!J32,IF($M$1="Обычный",'ОРД ГИС'!J33,'ОРД ГИС'!J34)),0)</f>
        <v>0.42800000000000005</v>
      </c>
      <c r="J202" s="1459">
        <f>SUM(K202:M202)</f>
        <v>0.53500000000000003</v>
      </c>
      <c r="K202" s="1464">
        <f t="shared" si="108"/>
        <v>0.32100000000000001</v>
      </c>
      <c r="L202" s="1464">
        <f t="shared" si="107"/>
        <v>0.1605</v>
      </c>
      <c r="M202" s="1464">
        <f t="shared" si="107"/>
        <v>5.3500000000000006E-2</v>
      </c>
      <c r="N202" s="1465"/>
    </row>
    <row r="203" spans="1:14" ht="12" customHeight="1" outlineLevel="3" x14ac:dyDescent="0.2">
      <c r="A203" s="1461">
        <v>1</v>
      </c>
      <c r="B203" s="1417">
        <v>1</v>
      </c>
      <c r="C203" s="1467" t="s">
        <v>1249</v>
      </c>
      <c r="D203" s="1417"/>
      <c r="E203" s="1417"/>
      <c r="F203" s="1459">
        <f t="shared" si="101"/>
        <v>4.28</v>
      </c>
      <c r="G203" s="1464">
        <f>IF($A203=1,IF($M$1="Простой",'ОРД ГИС'!H35,IF($M$1="Обычный",'ОРД ГИС'!H36,'ОРД ГИС'!H37)),0)</f>
        <v>2.5680000000000001</v>
      </c>
      <c r="H203" s="1464">
        <f>IF($A203=1,IF($M$1="Простой",'ОРД ГИС'!I35,IF($M$1="Обычный",'ОРД ГИС'!I36,'ОРД ГИС'!I37)),0)</f>
        <v>1.284</v>
      </c>
      <c r="I203" s="1464">
        <f>IF($A203=1,IF($M$1="Простой",'ОРД ГИС'!J35,IF($M$1="Обычный",'ОРД ГИС'!J36,'ОРД ГИС'!J37)),0)</f>
        <v>0.42800000000000005</v>
      </c>
      <c r="J203" s="1459">
        <f t="shared" si="103"/>
        <v>0.53500000000000003</v>
      </c>
      <c r="K203" s="1464">
        <f t="shared" si="108"/>
        <v>0.32100000000000001</v>
      </c>
      <c r="L203" s="1464">
        <f t="shared" si="107"/>
        <v>0.1605</v>
      </c>
      <c r="M203" s="1464">
        <f t="shared" si="107"/>
        <v>5.3500000000000006E-2</v>
      </c>
      <c r="N203" s="1465"/>
    </row>
    <row r="204" spans="1:14" ht="12" customHeight="1" outlineLevel="3" x14ac:dyDescent="0.2">
      <c r="A204" s="1461">
        <v>1</v>
      </c>
      <c r="B204" s="1417">
        <v>1</v>
      </c>
      <c r="C204" s="1467" t="s">
        <v>1325</v>
      </c>
      <c r="D204" s="1417"/>
      <c r="E204" s="1417"/>
      <c r="F204" s="1459">
        <f t="shared" si="101"/>
        <v>4.28</v>
      </c>
      <c r="G204" s="1464">
        <f>IF($A204=1,IF($M$1="Простой",'ОРД ГИС'!H38,IF($M$1="Обычный",'ОРД ГИС'!H39,'ОРД ГИС'!H40)),0)</f>
        <v>2.5680000000000001</v>
      </c>
      <c r="H204" s="1464">
        <f>IF($A204=1,IF($M$1="Простой",'ОРД ГИС'!I38,IF($M$1="Обычный",'ОРД ГИС'!I39,'ОРД ГИС'!I40)),0)</f>
        <v>1.284</v>
      </c>
      <c r="I204" s="1464">
        <f>IF($A204=1,IF($M$1="Простой",'ОРД ГИС'!J38,IF($M$1="Обычный",'ОРД ГИС'!J39,'ОРД ГИС'!J40)),0)</f>
        <v>0.42800000000000005</v>
      </c>
      <c r="J204" s="1459">
        <f t="shared" si="103"/>
        <v>0.53500000000000003</v>
      </c>
      <c r="K204" s="1464">
        <f t="shared" si="108"/>
        <v>0.32100000000000001</v>
      </c>
      <c r="L204" s="1464">
        <f t="shared" si="107"/>
        <v>0.1605</v>
      </c>
      <c r="M204" s="1464">
        <f t="shared" si="107"/>
        <v>5.3500000000000006E-2</v>
      </c>
      <c r="N204" s="1465"/>
    </row>
    <row r="205" spans="1:14" ht="24" outlineLevel="3" x14ac:dyDescent="0.2">
      <c r="A205" s="1461">
        <v>1</v>
      </c>
      <c r="B205" s="1417">
        <v>1</v>
      </c>
      <c r="C205" s="1467" t="s">
        <v>1326</v>
      </c>
      <c r="D205" s="1417"/>
      <c r="E205" s="1417"/>
      <c r="F205" s="1459">
        <f t="shared" si="101"/>
        <v>4.28</v>
      </c>
      <c r="G205" s="1464">
        <f>IF($A205=1,IF($M$1="Простой",'ОРД ГИС'!H41,IF($M$1="Обычный",'ОРД ГИС'!H42,'ОРД ГИС'!H43)),0)</f>
        <v>2.5680000000000001</v>
      </c>
      <c r="H205" s="1464">
        <f>IF($A205=1,IF($M$1="Простой",'ОРД ГИС'!I41,IF($M$1="Обычный",'ОРД ГИС'!I42,'ОРД ГИС'!I43)),0)</f>
        <v>1.284</v>
      </c>
      <c r="I205" s="1464">
        <f>IF($A205=1,IF($M$1="Простой",'ОРД ГИС'!J41,IF($M$1="Обычный",'ОРД ГИС'!J42,'ОРД ГИС'!J43)),0)</f>
        <v>0.42800000000000005</v>
      </c>
      <c r="J205" s="1459">
        <f t="shared" si="103"/>
        <v>0.53500000000000003</v>
      </c>
      <c r="K205" s="1464">
        <f t="shared" si="108"/>
        <v>0.32100000000000001</v>
      </c>
      <c r="L205" s="1464">
        <f t="shared" si="107"/>
        <v>0.1605</v>
      </c>
      <c r="M205" s="1464">
        <f t="shared" si="107"/>
        <v>5.3500000000000006E-2</v>
      </c>
      <c r="N205" s="1465"/>
    </row>
    <row r="206" spans="1:14" ht="12" customHeight="1" outlineLevel="3" x14ac:dyDescent="0.2">
      <c r="A206" s="1461">
        <v>1</v>
      </c>
      <c r="B206" s="1417">
        <v>1</v>
      </c>
      <c r="C206" s="1467" t="s">
        <v>1327</v>
      </c>
      <c r="D206" s="1417"/>
      <c r="E206" s="1417"/>
      <c r="F206" s="1459">
        <f t="shared" si="101"/>
        <v>4.28</v>
      </c>
      <c r="G206" s="1464">
        <f>IF($A206=1,IF($M$1="Простой",'ОРД ГИС'!H44,IF($M$1="Обычный",'ОРД ГИС'!H45,'ОРД ГИС'!H46)),0)</f>
        <v>2.5680000000000001</v>
      </c>
      <c r="H206" s="1464">
        <f>IF($A206=1,IF($M$1="Простой",'ОРД ГИС'!I44,IF($M$1="Обычный",'ОРД ГИС'!I45,'ОРД ГИС'!I46)),0)</f>
        <v>1.284</v>
      </c>
      <c r="I206" s="1464">
        <f>IF($A206=1,IF($M$1="Простой",'ОРД ГИС'!J44,IF($M$1="Обычный",'ОРД ГИС'!J45,'ОРД ГИС'!J46)),0)</f>
        <v>0.42800000000000005</v>
      </c>
      <c r="J206" s="1459">
        <f t="shared" si="103"/>
        <v>0.53500000000000003</v>
      </c>
      <c r="K206" s="1464">
        <f t="shared" si="108"/>
        <v>0.32100000000000001</v>
      </c>
      <c r="L206" s="1464">
        <f t="shared" si="107"/>
        <v>0.1605</v>
      </c>
      <c r="M206" s="1464">
        <f t="shared" si="107"/>
        <v>5.3500000000000006E-2</v>
      </c>
      <c r="N206" s="1465"/>
    </row>
    <row r="207" spans="1:14" ht="12" customHeight="1" outlineLevel="3" x14ac:dyDescent="0.2">
      <c r="A207" s="1461">
        <v>1</v>
      </c>
      <c r="B207" s="1417">
        <v>1</v>
      </c>
      <c r="C207" s="1467" t="s">
        <v>1328</v>
      </c>
      <c r="D207" s="1417"/>
      <c r="E207" s="1417"/>
      <c r="F207" s="1459">
        <f t="shared" si="101"/>
        <v>4.28</v>
      </c>
      <c r="G207" s="1464">
        <f>IF($A207=1,IF($M$1="Простой",'ОРД ГИС'!H47,IF($M$1="Обычный",'ОРД ГИС'!H48,'ОРД ГИС'!H49)),0)</f>
        <v>2.5680000000000001</v>
      </c>
      <c r="H207" s="1464">
        <f>IF($A207=1,IF($M$1="Простой",'ОРД ГИС'!I47,IF($M$1="Обычный",'ОРД ГИС'!I48,'ОРД ГИС'!I49)),0)</f>
        <v>1.284</v>
      </c>
      <c r="I207" s="1464">
        <f>IF($A207=1,IF($M$1="Простой",'ОРД ГИС'!J47,IF($M$1="Обычный",'ОРД ГИС'!J48,'ОРД ГИС'!J49)),0)</f>
        <v>0.42800000000000005</v>
      </c>
      <c r="J207" s="1459">
        <f t="shared" si="103"/>
        <v>0.53500000000000003</v>
      </c>
      <c r="K207" s="1464">
        <f t="shared" si="108"/>
        <v>0.32100000000000001</v>
      </c>
      <c r="L207" s="1464">
        <f t="shared" si="107"/>
        <v>0.1605</v>
      </c>
      <c r="M207" s="1464">
        <f t="shared" si="107"/>
        <v>5.3500000000000006E-2</v>
      </c>
      <c r="N207" s="1465"/>
    </row>
    <row r="208" spans="1:14" ht="12" customHeight="1" outlineLevel="3" x14ac:dyDescent="0.2">
      <c r="A208" s="1461">
        <v>1</v>
      </c>
      <c r="B208" s="1417">
        <v>1</v>
      </c>
      <c r="C208" s="1467" t="s">
        <v>1329</v>
      </c>
      <c r="D208" s="1417"/>
      <c r="E208" s="1417"/>
      <c r="F208" s="1459">
        <f t="shared" si="101"/>
        <v>4.28</v>
      </c>
      <c r="G208" s="1464">
        <f>IF($A208=1,IF($M$1="Простой",'ОРД ГИС'!H50,IF($M$1="Обычный",'ОРД ГИС'!H51,'ОРД ГИС'!H52)),0)</f>
        <v>2.5680000000000001</v>
      </c>
      <c r="H208" s="1464">
        <f>IF($A208=1,IF($M$1="Простой",'ОРД ГИС'!I50,IF($M$1="Обычный",'ОРД ГИС'!I51,'ОРД ГИС'!I52)),0)</f>
        <v>1.284</v>
      </c>
      <c r="I208" s="1464">
        <f>IF($A208=1,IF($M$1="Простой",'ОРД ГИС'!J50,IF($M$1="Обычный",'ОРД ГИС'!J51,'ОРД ГИС'!J52)),0)</f>
        <v>0.42800000000000005</v>
      </c>
      <c r="J208" s="1459">
        <f t="shared" si="103"/>
        <v>0.53500000000000003</v>
      </c>
      <c r="K208" s="1464">
        <f t="shared" si="108"/>
        <v>0.32100000000000001</v>
      </c>
      <c r="L208" s="1464">
        <f t="shared" si="107"/>
        <v>0.1605</v>
      </c>
      <c r="M208" s="1464">
        <f t="shared" si="107"/>
        <v>5.3500000000000006E-2</v>
      </c>
      <c r="N208" s="1465"/>
    </row>
    <row r="209" spans="1:14" ht="12" customHeight="1" outlineLevel="3" x14ac:dyDescent="0.2">
      <c r="A209" s="1461">
        <v>1</v>
      </c>
      <c r="B209" s="1417">
        <v>1</v>
      </c>
      <c r="C209" s="1467" t="s">
        <v>1254</v>
      </c>
      <c r="D209" s="1417"/>
      <c r="E209" s="1417"/>
      <c r="F209" s="1459">
        <f t="shared" si="101"/>
        <v>4.28</v>
      </c>
      <c r="G209" s="1464">
        <f>IF($A209=1,IF($M$1="Простой",'ОРД ГИС'!H53,IF($M$1="Обычный",'ОРД ГИС'!H54,'ОРД ГИС'!H55)),0)</f>
        <v>2.5680000000000001</v>
      </c>
      <c r="H209" s="1464">
        <f>IF($A209=1,IF($M$1="Простой",'ОРД ГИС'!I53,IF($M$1="Обычный",'ОРД ГИС'!I54,'ОРД ГИС'!I55)),0)</f>
        <v>1.284</v>
      </c>
      <c r="I209" s="1464">
        <f>IF($A209=1,IF($M$1="Простой",'ОРД ГИС'!J53,IF($M$1="Обычный",'ОРД ГИС'!J54,'ОРД ГИС'!J55)),0)</f>
        <v>0.42800000000000005</v>
      </c>
      <c r="J209" s="1459">
        <f t="shared" si="103"/>
        <v>0.53500000000000003</v>
      </c>
      <c r="K209" s="1464">
        <f t="shared" si="108"/>
        <v>0.32100000000000001</v>
      </c>
      <c r="L209" s="1464">
        <f t="shared" si="107"/>
        <v>0.1605</v>
      </c>
      <c r="M209" s="1464">
        <f t="shared" si="107"/>
        <v>5.3500000000000006E-2</v>
      </c>
      <c r="N209" s="1465"/>
    </row>
    <row r="210" spans="1:14" ht="12" customHeight="1" outlineLevel="3" x14ac:dyDescent="0.2">
      <c r="A210" s="1461">
        <v>1</v>
      </c>
      <c r="B210" s="1417">
        <v>1</v>
      </c>
      <c r="C210" s="1467" t="s">
        <v>1330</v>
      </c>
      <c r="D210" s="1417"/>
      <c r="E210" s="1417"/>
      <c r="F210" s="1459">
        <f t="shared" si="101"/>
        <v>4.41</v>
      </c>
      <c r="G210" s="1464">
        <f>IF($A210=1,IF($M$1="Простой",'ОРД ГИС'!H56,IF($M$1="Обычный",'ОРД ГИС'!H57,'ОРД ГИС'!H58)),0)</f>
        <v>2.6459999999999999</v>
      </c>
      <c r="H210" s="1464">
        <f>IF($A210=1,IF($M$1="Простой",'ОРД ГИС'!I56,IF($M$1="Обычный",'ОРД ГИС'!I57,'ОРД ГИС'!I58)),0)</f>
        <v>1.323</v>
      </c>
      <c r="I210" s="1464">
        <f>IF($A210=1,IF($M$1="Простой",'ОРД ГИС'!J56,IF($M$1="Обычный",'ОРД ГИС'!J57,'ОРД ГИС'!J58)),0)</f>
        <v>0.44100000000000006</v>
      </c>
      <c r="J210" s="1459">
        <f t="shared" si="103"/>
        <v>0.55125000000000002</v>
      </c>
      <c r="K210" s="1464">
        <f t="shared" si="108"/>
        <v>0.33074999999999999</v>
      </c>
      <c r="L210" s="1464">
        <f t="shared" si="107"/>
        <v>0.16537499999999999</v>
      </c>
      <c r="M210" s="1464">
        <f t="shared" si="107"/>
        <v>5.5125000000000007E-2</v>
      </c>
      <c r="N210" s="1465"/>
    </row>
    <row r="211" spans="1:14" ht="12" customHeight="1" outlineLevel="3" x14ac:dyDescent="0.2">
      <c r="A211" s="1461">
        <v>1</v>
      </c>
      <c r="B211" s="1417">
        <v>1</v>
      </c>
      <c r="C211" s="1467" t="s">
        <v>1331</v>
      </c>
      <c r="D211" s="1417"/>
      <c r="E211" s="1417"/>
      <c r="F211" s="1459">
        <f t="shared" si="101"/>
        <v>4.28</v>
      </c>
      <c r="G211" s="1464">
        <f>IF($A211=1,IF($M$1="Простой",'ОРД ГИС'!H59,IF($M$1="Обычный",'ОРД ГИС'!H60,'ОРД ГИС'!H61)),0)</f>
        <v>2.5680000000000001</v>
      </c>
      <c r="H211" s="1464">
        <f>IF($A211=1,IF($M$1="Простой",'ОРД ГИС'!I59,IF($M$1="Обычный",'ОРД ГИС'!I60,'ОРД ГИС'!I61)),0)</f>
        <v>1.284</v>
      </c>
      <c r="I211" s="1464">
        <f>IF($A211=1,IF($M$1="Простой",'ОРД ГИС'!J59,IF($M$1="Обычный",'ОРД ГИС'!J60,'ОРД ГИС'!J61)),0)</f>
        <v>0.42800000000000005</v>
      </c>
      <c r="J211" s="1459">
        <f t="shared" si="103"/>
        <v>0.53500000000000003</v>
      </c>
      <c r="K211" s="1464">
        <f t="shared" si="108"/>
        <v>0.32100000000000001</v>
      </c>
      <c r="L211" s="1464">
        <f t="shared" si="107"/>
        <v>0.1605</v>
      </c>
      <c r="M211" s="1464">
        <f t="shared" si="107"/>
        <v>5.3500000000000006E-2</v>
      </c>
      <c r="N211" s="1465"/>
    </row>
    <row r="212" spans="1:14" ht="12" customHeight="1" outlineLevel="3" x14ac:dyDescent="0.2">
      <c r="A212" s="1461">
        <v>1</v>
      </c>
      <c r="B212" s="1417">
        <v>1</v>
      </c>
      <c r="C212" s="1467" t="s">
        <v>1332</v>
      </c>
      <c r="D212" s="1417"/>
      <c r="E212" s="1417"/>
      <c r="F212" s="1459">
        <f t="shared" si="101"/>
        <v>5.91</v>
      </c>
      <c r="G212" s="1464">
        <f>IF($A212=1,IF($M$1="Простой",'ОРД ГИС'!H62,IF($M$1="Обычный",'ОРД ГИС'!H63,'ОРД ГИС'!H64)),0)</f>
        <v>4.1369999999999996</v>
      </c>
      <c r="H212" s="1464">
        <f>IF($A212=1,IF($M$1="Простой",'ОРД ГИС'!I62,IF($M$1="Обычный",'ОРД ГИС'!I63,'ОРД ГИС'!I64)),0)</f>
        <v>1.1820000000000002</v>
      </c>
      <c r="I212" s="1464">
        <f>IF($A212=1,IF($M$1="Простой",'ОРД ГИС'!J62,IF($M$1="Обычный",'ОРД ГИС'!J63,'ОРД ГИС'!J64)),0)</f>
        <v>0.59100000000000008</v>
      </c>
      <c r="J212" s="1459">
        <f t="shared" si="103"/>
        <v>0.73875000000000002</v>
      </c>
      <c r="K212" s="1464">
        <f t="shared" si="108"/>
        <v>0.51712499999999995</v>
      </c>
      <c r="L212" s="1464">
        <f t="shared" si="108"/>
        <v>0.14775000000000002</v>
      </c>
      <c r="M212" s="1464">
        <f t="shared" si="108"/>
        <v>7.387500000000001E-2</v>
      </c>
      <c r="N212" s="1465"/>
    </row>
    <row r="213" spans="1:14" ht="12" customHeight="1" outlineLevel="3" x14ac:dyDescent="0.2">
      <c r="A213" s="1461">
        <v>1</v>
      </c>
      <c r="B213" s="1417">
        <v>1</v>
      </c>
      <c r="C213" s="1467" t="s">
        <v>1333</v>
      </c>
      <c r="D213" s="1417"/>
      <c r="E213" s="1417"/>
      <c r="F213" s="1459">
        <f t="shared" si="101"/>
        <v>4.66</v>
      </c>
      <c r="G213" s="1464">
        <f>IF($A213=1,IF($M$1="Простой",'ОРД ГИС'!H65,IF($M$1="Обычный",'ОРД ГИС'!H66,'ОРД ГИС'!H67)),0)</f>
        <v>3.262</v>
      </c>
      <c r="H213" s="1464">
        <f>IF($A213=1,IF($M$1="Простой",'ОРД ГИС'!I65,IF($M$1="Обычный",'ОРД ГИС'!I66,'ОРД ГИС'!I67)),0)</f>
        <v>0.93200000000000005</v>
      </c>
      <c r="I213" s="1464">
        <f>IF($A213=1,IF($M$1="Простой",'ОРД ГИС'!J65,IF($M$1="Обычный",'ОРД ГИС'!J66,'ОРД ГИС'!J67)),0)</f>
        <v>0.46600000000000003</v>
      </c>
      <c r="J213" s="1459">
        <f t="shared" si="103"/>
        <v>0.58250000000000002</v>
      </c>
      <c r="K213" s="1464">
        <f t="shared" si="108"/>
        <v>0.40775</v>
      </c>
      <c r="L213" s="1464">
        <f t="shared" si="108"/>
        <v>0.11650000000000001</v>
      </c>
      <c r="M213" s="1464">
        <f t="shared" si="108"/>
        <v>5.8250000000000003E-2</v>
      </c>
      <c r="N213" s="1465"/>
    </row>
    <row r="214" spans="1:14" ht="12" customHeight="1" outlineLevel="3" x14ac:dyDescent="0.2">
      <c r="A214" s="1461">
        <v>1</v>
      </c>
      <c r="B214" s="1417">
        <v>1</v>
      </c>
      <c r="C214" s="1467" t="s">
        <v>1295</v>
      </c>
      <c r="D214" s="1417"/>
      <c r="E214" s="1417"/>
      <c r="F214" s="1459">
        <f t="shared" si="101"/>
        <v>4.16</v>
      </c>
      <c r="G214" s="1464">
        <f>IF($A214=1,IF($M$1="Простой",'ОРД ГИС'!H68,IF($M$1="Обычный",'ОРД ГИС'!H69,'ОРД ГИС'!H70)),0)</f>
        <v>2.9119999999999999</v>
      </c>
      <c r="H214" s="1464">
        <f>IF($A214=1,IF($M$1="Простой",'ОРД ГИС'!I68,IF($M$1="Обычный",'ОРД ГИС'!I69,'ОРД ГИС'!I70)),0)</f>
        <v>0.83200000000000007</v>
      </c>
      <c r="I214" s="1464">
        <f>IF($A214=1,IF($M$1="Простой",'ОРД ГИС'!J68,IF($M$1="Обычный",'ОРД ГИС'!J69,'ОРД ГИС'!J70)),0)</f>
        <v>0.41600000000000004</v>
      </c>
      <c r="J214" s="1459">
        <f t="shared" si="103"/>
        <v>0.52</v>
      </c>
      <c r="K214" s="1464">
        <f t="shared" si="108"/>
        <v>0.36399999999999999</v>
      </c>
      <c r="L214" s="1464">
        <f t="shared" si="108"/>
        <v>0.10400000000000001</v>
      </c>
      <c r="M214" s="1464">
        <f t="shared" si="108"/>
        <v>5.2000000000000005E-2</v>
      </c>
      <c r="N214" s="1465"/>
    </row>
    <row r="215" spans="1:14" ht="12" customHeight="1" outlineLevel="3" x14ac:dyDescent="0.2">
      <c r="A215" s="1461">
        <v>1</v>
      </c>
      <c r="B215" s="1417">
        <v>1</v>
      </c>
      <c r="C215" s="1467" t="s">
        <v>1334</v>
      </c>
      <c r="D215" s="1417"/>
      <c r="E215" s="1417"/>
      <c r="F215" s="1459">
        <f t="shared" si="101"/>
        <v>4.16</v>
      </c>
      <c r="G215" s="1464">
        <f>IF($A215=1,IF($M$1="Простой",'ОРД ГИС'!H71,IF($M$1="Обычный",'ОРД ГИС'!H72,'ОРД ГИС'!H73)),0)</f>
        <v>2.9119999999999999</v>
      </c>
      <c r="H215" s="1464">
        <f>IF($A215=1,IF($M$1="Простой",'ОРД ГИС'!I71,IF($M$1="Обычный",'ОРД ГИС'!I72,'ОРД ГИС'!I73)),0)</f>
        <v>0.83200000000000007</v>
      </c>
      <c r="I215" s="1464">
        <f>IF($A215=1,IF($M$1="Простой",'ОРД ГИС'!J71,IF($M$1="Обычный",'ОРД ГИС'!J72,'ОРД ГИС'!J73)),0)</f>
        <v>0.41600000000000004</v>
      </c>
      <c r="J215" s="1459">
        <f t="shared" si="103"/>
        <v>0.52</v>
      </c>
      <c r="K215" s="1464">
        <f t="shared" si="108"/>
        <v>0.36399999999999999</v>
      </c>
      <c r="L215" s="1464">
        <f t="shared" si="108"/>
        <v>0.10400000000000001</v>
      </c>
      <c r="M215" s="1464">
        <f t="shared" si="108"/>
        <v>5.2000000000000005E-2</v>
      </c>
      <c r="N215" s="1465"/>
    </row>
    <row r="216" spans="1:14" ht="12" customHeight="1" outlineLevel="3" x14ac:dyDescent="0.2">
      <c r="A216" s="1461">
        <v>1</v>
      </c>
      <c r="B216" s="1417">
        <v>1</v>
      </c>
      <c r="C216" s="1467" t="s">
        <v>1275</v>
      </c>
      <c r="D216" s="1417"/>
      <c r="E216" s="1417"/>
      <c r="F216" s="1459">
        <f t="shared" si="101"/>
        <v>4.16</v>
      </c>
      <c r="G216" s="1464">
        <f>IF($A216=1,IF($M$1="Простой",'ОРД ГИС'!H74,IF($M$1="Обычный",'ОРД ГИС'!H75,'ОРД ГИС'!H76)),0)</f>
        <v>2.496</v>
      </c>
      <c r="H216" s="1464">
        <f>IF($A216=1,IF($M$1="Простой",'ОРД ГИС'!I74,IF($M$1="Обычный",'ОРД ГИС'!I75,'ОРД ГИС'!I76)),0)</f>
        <v>1.248</v>
      </c>
      <c r="I216" s="1464">
        <f>IF($A216=1,IF($M$1="Простой",'ОРД ГИС'!J74,IF($M$1="Обычный",'ОРД ГИС'!J75,'ОРД ГИС'!J76)),0)</f>
        <v>0.41600000000000004</v>
      </c>
      <c r="J216" s="1459">
        <f t="shared" si="103"/>
        <v>0.52</v>
      </c>
      <c r="K216" s="1464">
        <f t="shared" si="108"/>
        <v>0.312</v>
      </c>
      <c r="L216" s="1464">
        <f t="shared" si="108"/>
        <v>0.156</v>
      </c>
      <c r="M216" s="1464">
        <f t="shared" si="108"/>
        <v>5.2000000000000005E-2</v>
      </c>
      <c r="N216" s="1465"/>
    </row>
    <row r="217" spans="1:14" ht="12" customHeight="1" outlineLevel="3" x14ac:dyDescent="0.2">
      <c r="A217" s="1461">
        <v>1</v>
      </c>
      <c r="B217" s="1417">
        <v>1</v>
      </c>
      <c r="C217" s="1467" t="s">
        <v>1335</v>
      </c>
      <c r="D217" s="1417"/>
      <c r="E217" s="1417"/>
      <c r="F217" s="1459">
        <f t="shared" si="101"/>
        <v>3.53</v>
      </c>
      <c r="G217" s="1464">
        <f>IF($A217=1,IF($M$1="Простой",'ОРД ГИС'!H77,IF($M$1="Обычный",'ОРД ГИС'!H78,'ОРД ГИС'!H79)),0)</f>
        <v>2.1179999999999999</v>
      </c>
      <c r="H217" s="1464">
        <f>IF($A217=1,IF($M$1="Простой",'ОРД ГИС'!I77,IF($M$1="Обычный",'ОРД ГИС'!I78,'ОРД ГИС'!I79)),0)</f>
        <v>1.0589999999999999</v>
      </c>
      <c r="I217" s="1464">
        <f>IF($A217=1,IF($M$1="Простой",'ОРД ГИС'!J77,IF($M$1="Обычный",'ОРД ГИС'!J78,'ОРД ГИС'!J79)),0)</f>
        <v>0.35300000000000004</v>
      </c>
      <c r="J217" s="1459">
        <f t="shared" si="103"/>
        <v>0.44124999999999998</v>
      </c>
      <c r="K217" s="1464">
        <f t="shared" si="108"/>
        <v>0.26474999999999999</v>
      </c>
      <c r="L217" s="1464">
        <f t="shared" si="108"/>
        <v>0.13237499999999999</v>
      </c>
      <c r="M217" s="1464">
        <f t="shared" si="108"/>
        <v>4.4125000000000004E-2</v>
      </c>
      <c r="N217" s="1465"/>
    </row>
    <row r="218" spans="1:14" ht="36" outlineLevel="3" x14ac:dyDescent="0.2">
      <c r="A218" s="1461">
        <v>1</v>
      </c>
      <c r="B218" s="1417">
        <v>1</v>
      </c>
      <c r="C218" s="1467" t="s">
        <v>1336</v>
      </c>
      <c r="D218" s="1417"/>
      <c r="E218" s="1417"/>
      <c r="F218" s="1459">
        <f t="shared" si="101"/>
        <v>4.03</v>
      </c>
      <c r="G218" s="1464">
        <f>IF($A218=1,IF($M$1="Простой",'ОРД ГИС'!H80,IF($M$1="Обычный",'ОРД ГИС'!H81,'ОРД ГИС'!H82)),0)</f>
        <v>2.4180000000000001</v>
      </c>
      <c r="H218" s="1464">
        <f>IF($A218=1,IF($M$1="Простой",'ОРД ГИС'!I80,IF($M$1="Обычный",'ОРД ГИС'!I81,'ОРД ГИС'!I82)),0)</f>
        <v>1.2090000000000001</v>
      </c>
      <c r="I218" s="1464">
        <f>IF($A218=1,IF($M$1="Простой",'ОРД ГИС'!J80,IF($M$1="Обычный",'ОРД ГИС'!J81,'ОРД ГИС'!J82)),0)</f>
        <v>0.40300000000000002</v>
      </c>
      <c r="J218" s="1459">
        <f t="shared" si="103"/>
        <v>0.50375000000000003</v>
      </c>
      <c r="K218" s="1464">
        <f t="shared" si="108"/>
        <v>0.30225000000000002</v>
      </c>
      <c r="L218" s="1464">
        <f t="shared" si="108"/>
        <v>0.15112500000000001</v>
      </c>
      <c r="M218" s="1464">
        <f t="shared" si="108"/>
        <v>5.0375000000000003E-2</v>
      </c>
      <c r="N218" s="1465"/>
    </row>
    <row r="219" spans="1:14" ht="12" customHeight="1" outlineLevel="3" x14ac:dyDescent="0.2">
      <c r="A219" s="1461">
        <v>1</v>
      </c>
      <c r="B219" s="1417">
        <v>1</v>
      </c>
      <c r="C219" s="1467" t="s">
        <v>1337</v>
      </c>
      <c r="D219" s="1417"/>
      <c r="E219" s="1417"/>
      <c r="F219" s="1459">
        <f t="shared" si="101"/>
        <v>2.78</v>
      </c>
      <c r="G219" s="1464">
        <f>IF($A219=1,IF($M$1="Простой",'ОРД ГИС'!H83,IF($M$1="Обычный",'ОРД ГИС'!H84,'ОРД ГИС'!H85)),0)</f>
        <v>1.946</v>
      </c>
      <c r="H219" s="1464">
        <f>IF($A219=1,IF($M$1="Простой",'ОРД ГИС'!I83,IF($M$1="Обычный",'ОРД ГИС'!I84,'ОРД ГИС'!I85)),0)</f>
        <v>0.55600000000000005</v>
      </c>
      <c r="I219" s="1464">
        <f>IF($A219=1,IF($M$1="Простой",'ОРД ГИС'!J83,IF($M$1="Обычный",'ОРД ГИС'!J84,'ОРД ГИС'!J85)),0)</f>
        <v>0.27800000000000002</v>
      </c>
      <c r="J219" s="1459">
        <f t="shared" si="103"/>
        <v>0.34749999999999998</v>
      </c>
      <c r="K219" s="1464">
        <f t="shared" si="108"/>
        <v>0.24324999999999999</v>
      </c>
      <c r="L219" s="1464">
        <f t="shared" si="108"/>
        <v>6.9500000000000006E-2</v>
      </c>
      <c r="M219" s="1464">
        <f t="shared" si="108"/>
        <v>3.4750000000000003E-2</v>
      </c>
      <c r="N219" s="1465"/>
    </row>
    <row r="220" spans="1:14" ht="12" customHeight="1" outlineLevel="2" x14ac:dyDescent="0.25">
      <c r="A220" s="1457"/>
      <c r="B220" s="1457"/>
      <c r="C220" s="1458" t="s">
        <v>1338</v>
      </c>
      <c r="D220" s="1457"/>
      <c r="E220" s="1457"/>
      <c r="F220" s="1459">
        <f t="shared" si="101"/>
        <v>8.56</v>
      </c>
      <c r="G220" s="1474">
        <f>SUM(G221:G222)</f>
        <v>5.1360000000000001</v>
      </c>
      <c r="H220" s="1474">
        <f>SUM(H221:H222)</f>
        <v>2.5680000000000001</v>
      </c>
      <c r="I220" s="1474">
        <f>SUM(I221:I222)</f>
        <v>0.85600000000000009</v>
      </c>
      <c r="J220" s="1459">
        <f t="shared" si="103"/>
        <v>1.07</v>
      </c>
      <c r="K220" s="1474">
        <f>SUM(K221:K222)</f>
        <v>0.64200000000000002</v>
      </c>
      <c r="L220" s="1474">
        <f>SUM(L221:L222)</f>
        <v>0.32100000000000001</v>
      </c>
      <c r="M220" s="1474">
        <f>SUM(M221:M222)</f>
        <v>0.10700000000000001</v>
      </c>
      <c r="N220" s="1466"/>
    </row>
    <row r="221" spans="1:14" ht="12" customHeight="1" outlineLevel="3" x14ac:dyDescent="0.2">
      <c r="A221" s="1461">
        <v>1</v>
      </c>
      <c r="B221" s="1417">
        <v>1</v>
      </c>
      <c r="C221" s="1467" t="s">
        <v>1339</v>
      </c>
      <c r="D221" s="1417"/>
      <c r="E221" s="1417"/>
      <c r="F221" s="1459">
        <f t="shared" si="101"/>
        <v>4.28</v>
      </c>
      <c r="G221" s="1464">
        <f>IF($A221=1,IF($M$1="Простой",'ОРД ГИС'!H87,IF($M$1="Обычный",'ОРД ГИС'!H88,'ОРД ГИС'!H89)),0)</f>
        <v>2.5680000000000001</v>
      </c>
      <c r="H221" s="1464">
        <f>IF($A221=1,IF($M$1="Простой",'ОРД ГИС'!I87,IF($M$1="Обычный",'ОРД ГИС'!I88,'ОРД ГИС'!I89)),0)</f>
        <v>1.284</v>
      </c>
      <c r="I221" s="1464">
        <f>IF($A221=1,IF($M$1="Простой",'ОРД ГИС'!J87,IF($M$1="Обычный",'ОРД ГИС'!J88,'ОРД ГИС'!J89)),0)</f>
        <v>0.42800000000000005</v>
      </c>
      <c r="J221" s="1459">
        <f t="shared" si="103"/>
        <v>0.53500000000000003</v>
      </c>
      <c r="K221" s="1464">
        <f>G221/8</f>
        <v>0.32100000000000001</v>
      </c>
      <c r="L221" s="1464">
        <f t="shared" ref="L221:M222" si="109">H221/8</f>
        <v>0.1605</v>
      </c>
      <c r="M221" s="1464">
        <f t="shared" si="109"/>
        <v>5.3500000000000006E-2</v>
      </c>
      <c r="N221" s="1465"/>
    </row>
    <row r="222" spans="1:14" ht="12" customHeight="1" outlineLevel="3" thickBot="1" x14ac:dyDescent="0.25">
      <c r="A222" s="1461">
        <v>1</v>
      </c>
      <c r="B222" s="1417">
        <v>1</v>
      </c>
      <c r="C222" s="1467" t="s">
        <v>1251</v>
      </c>
      <c r="D222" s="1417"/>
      <c r="E222" s="1417"/>
      <c r="F222" s="1459">
        <f t="shared" si="101"/>
        <v>4.28</v>
      </c>
      <c r="G222" s="1464">
        <f>IF($A222=1,IF($M$1="Простой",'ОРД ГИС'!H90,IF($M$1="Обычный",'ОРД ГИС'!H91,'ОРД ГИС'!H92)),0)</f>
        <v>2.5680000000000001</v>
      </c>
      <c r="H222" s="1464">
        <f>IF($A222=1,IF($M$1="Простой",'ОРД ГИС'!I90,IF($M$1="Обычный",'ОРД ГИС'!I91,'ОРД ГИС'!I92)),0)</f>
        <v>1.284</v>
      </c>
      <c r="I222" s="1464">
        <f>IF($A222=1,IF($M$1="Простой",'ОРД ГИС'!J90,IF($M$1="Обычный",'ОРД ГИС'!J91,'ОРД ГИС'!J92)),0)</f>
        <v>0.42800000000000005</v>
      </c>
      <c r="J222" s="1459">
        <f t="shared" si="103"/>
        <v>0.53500000000000003</v>
      </c>
      <c r="K222" s="1464">
        <f>G222/8</f>
        <v>0.32100000000000001</v>
      </c>
      <c r="L222" s="1464">
        <f t="shared" si="109"/>
        <v>0.1605</v>
      </c>
      <c r="M222" s="1464">
        <f t="shared" si="109"/>
        <v>5.3500000000000006E-2</v>
      </c>
      <c r="N222" s="1465"/>
    </row>
    <row r="223" spans="1:14" ht="12.6" customHeight="1" outlineLevel="1" thickBot="1" x14ac:dyDescent="0.25">
      <c r="A223" s="2123"/>
      <c r="B223" s="2123"/>
      <c r="C223" s="2117" t="s">
        <v>1442</v>
      </c>
      <c r="D223" s="1472" t="s">
        <v>1421</v>
      </c>
      <c r="E223" s="1409">
        <v>1</v>
      </c>
      <c r="F223" s="2117">
        <f>SUM(G223:I224)</f>
        <v>0</v>
      </c>
      <c r="G223" s="2117">
        <f>SUM(G225:G236)</f>
        <v>0</v>
      </c>
      <c r="H223" s="2117">
        <f t="shared" ref="H223:I223" si="110">SUM(H225:H236)</f>
        <v>0</v>
      </c>
      <c r="I223" s="2117">
        <f t="shared" si="110"/>
        <v>0</v>
      </c>
      <c r="J223" s="2117">
        <f>SUM(K223:M224)</f>
        <v>0</v>
      </c>
      <c r="K223" s="2117">
        <f>SUM(K225:K236)</f>
        <v>0</v>
      </c>
      <c r="L223" s="2117">
        <f t="shared" ref="L223:M223" si="111">SUM(L225:L236)</f>
        <v>0</v>
      </c>
      <c r="M223" s="2117">
        <f t="shared" si="111"/>
        <v>0</v>
      </c>
      <c r="N223" s="2126"/>
    </row>
    <row r="224" spans="1:14" ht="16.5" customHeight="1" outlineLevel="1" thickBot="1" x14ac:dyDescent="0.25">
      <c r="A224" s="2125"/>
      <c r="B224" s="2125"/>
      <c r="C224" s="2119"/>
      <c r="D224" s="1472" t="s">
        <v>1441</v>
      </c>
      <c r="E224" s="1409" t="s">
        <v>106</v>
      </c>
      <c r="F224" s="2119"/>
      <c r="G224" s="2119"/>
      <c r="H224" s="2119"/>
      <c r="I224" s="2119"/>
      <c r="J224" s="2119"/>
      <c r="K224" s="2119"/>
      <c r="L224" s="2119"/>
      <c r="M224" s="2119"/>
      <c r="N224" s="2128"/>
    </row>
    <row r="225" spans="1:14" ht="12" customHeight="1" outlineLevel="2" x14ac:dyDescent="0.2">
      <c r="A225" s="1461">
        <v>0</v>
      </c>
      <c r="B225" s="1417">
        <v>1</v>
      </c>
      <c r="C225" s="1467" t="s">
        <v>1443</v>
      </c>
      <c r="D225" s="1413"/>
      <c r="E225" s="1414"/>
      <c r="F225" s="1459">
        <f t="shared" ref="F225:F236" si="112">SUM(G225:I225)</f>
        <v>0</v>
      </c>
      <c r="G225" s="1464">
        <f>IF($A225=1,IF($M$1="Простой",Аттестация!H4,IF($M$1="Обычный",Аттестация!H5,Аттестация!H6)),0)</f>
        <v>0</v>
      </c>
      <c r="H225" s="1464">
        <f>IF($A225=1,IF($M$1="Простой",Аттестация!I4,IF($M$1="Обычный",Аттестация!I5,Аттестация!I6)),0)</f>
        <v>0</v>
      </c>
      <c r="I225" s="1464">
        <f>IF($A225=1,IF($M$1="Простой",Аттестация!J4,IF($M$1="Обычный",Аттестация!J5,Аттестация!J6)),0)</f>
        <v>0</v>
      </c>
      <c r="J225" s="1459">
        <f>SUM(K225:M225)</f>
        <v>0</v>
      </c>
      <c r="K225" s="1464">
        <f>(G225/8)</f>
        <v>0</v>
      </c>
      <c r="L225" s="1464">
        <f t="shared" ref="L225:M236" si="113">(H225/8)</f>
        <v>0</v>
      </c>
      <c r="M225" s="1464">
        <f t="shared" si="113"/>
        <v>0</v>
      </c>
      <c r="N225" s="1465"/>
    </row>
    <row r="226" spans="1:14" ht="12" customHeight="1" outlineLevel="2" x14ac:dyDescent="0.2">
      <c r="A226" s="1461">
        <v>0</v>
      </c>
      <c r="B226" s="1417">
        <v>1</v>
      </c>
      <c r="C226" s="1467" t="s">
        <v>1444</v>
      </c>
      <c r="D226" s="1413"/>
      <c r="E226" s="1414"/>
      <c r="F226" s="1459">
        <f t="shared" si="112"/>
        <v>0</v>
      </c>
      <c r="G226" s="1464">
        <f>IF($A226=1,IF($M$1="Простой",Аттестация!H7,IF($M$1="Обычный",Аттестация!H8,Аттестация!H9)),0)</f>
        <v>0</v>
      </c>
      <c r="H226" s="1464">
        <f>IF($A226=1,IF($M$1="Простой",Аттестация!I7,IF($M$1="Обычный",Аттестация!I8,Аттестация!I9)),0)</f>
        <v>0</v>
      </c>
      <c r="I226" s="1464">
        <f>IF($A226=1,IF($M$1="Простой",Аттестация!J7,IF($M$1="Обычный",Аттестация!J8,Аттестация!J9)),0)</f>
        <v>0</v>
      </c>
      <c r="J226" s="1459">
        <f t="shared" ref="J226:J236" si="114">SUM(K226:M226)</f>
        <v>0</v>
      </c>
      <c r="K226" s="1464">
        <f t="shared" ref="K226:K236" si="115">(G226/8)</f>
        <v>0</v>
      </c>
      <c r="L226" s="1464">
        <f t="shared" si="113"/>
        <v>0</v>
      </c>
      <c r="M226" s="1464">
        <f t="shared" si="113"/>
        <v>0</v>
      </c>
      <c r="N226" s="1465"/>
    </row>
    <row r="227" spans="1:14" ht="36" outlineLevel="2" x14ac:dyDescent="0.2">
      <c r="A227" s="1461">
        <v>0</v>
      </c>
      <c r="B227" s="1417">
        <v>1</v>
      </c>
      <c r="C227" s="1467" t="s">
        <v>1446</v>
      </c>
      <c r="D227" s="1413"/>
      <c r="E227" s="1414"/>
      <c r="F227" s="1459">
        <f t="shared" si="112"/>
        <v>0</v>
      </c>
      <c r="G227" s="1464">
        <f>IF($A227=1,IF($M$1="Простой",Аттестация!H10,IF($M$1="Обычный",Аттестация!H11,Аттестация!H12)),0)</f>
        <v>0</v>
      </c>
      <c r="H227" s="1464">
        <f>IF($A227=1,IF($M$1="Простой",Аттестация!I10,IF($M$1="Обычный",Аттестация!I11,Аттестация!I12)),0)</f>
        <v>0</v>
      </c>
      <c r="I227" s="1464">
        <f>IF($A227=1,IF($M$1="Простой",Аттестация!J10,IF($M$1="Обычный",Аттестация!J11,Аттестация!J12)),0)</f>
        <v>0</v>
      </c>
      <c r="J227" s="1459">
        <f t="shared" si="114"/>
        <v>0</v>
      </c>
      <c r="K227" s="1464">
        <f t="shared" si="115"/>
        <v>0</v>
      </c>
      <c r="L227" s="1464">
        <f t="shared" si="113"/>
        <v>0</v>
      </c>
      <c r="M227" s="1464">
        <f t="shared" si="113"/>
        <v>0</v>
      </c>
      <c r="N227" s="1465"/>
    </row>
    <row r="228" spans="1:14" ht="36" outlineLevel="2" x14ac:dyDescent="0.2">
      <c r="A228" s="1461">
        <v>0</v>
      </c>
      <c r="B228" s="1417">
        <v>1</v>
      </c>
      <c r="C228" s="1467" t="s">
        <v>1447</v>
      </c>
      <c r="D228" s="1413"/>
      <c r="E228" s="1414"/>
      <c r="F228" s="1459">
        <f t="shared" si="112"/>
        <v>0</v>
      </c>
      <c r="G228" s="1464">
        <f>IF($A228=1,IF($M$1="Простой",Аттестация!H13,IF($M$1="Обычный",Аттестация!H14,Аттестация!H15)),0)</f>
        <v>0</v>
      </c>
      <c r="H228" s="1464">
        <f>IF($A228=1,IF($M$1="Простой",Аттестация!I13,IF($M$1="Обычный",Аттестация!I14,Аттестация!I15)),0)</f>
        <v>0</v>
      </c>
      <c r="I228" s="1464">
        <f>IF($A228=1,IF($M$1="Простой",Аттестация!J13,IF($M$1="Обычный",Аттестация!J14,Аттестация!J15)),0)</f>
        <v>0</v>
      </c>
      <c r="J228" s="1459">
        <f t="shared" si="114"/>
        <v>0</v>
      </c>
      <c r="K228" s="1464">
        <f t="shared" si="115"/>
        <v>0</v>
      </c>
      <c r="L228" s="1464">
        <f t="shared" si="113"/>
        <v>0</v>
      </c>
      <c r="M228" s="1464">
        <f t="shared" si="113"/>
        <v>0</v>
      </c>
      <c r="N228" s="1465"/>
    </row>
    <row r="229" spans="1:14" ht="36" outlineLevel="2" x14ac:dyDescent="0.2">
      <c r="A229" s="1461">
        <v>0</v>
      </c>
      <c r="B229" s="1417">
        <v>1</v>
      </c>
      <c r="C229" s="1467" t="s">
        <v>1448</v>
      </c>
      <c r="D229" s="1413"/>
      <c r="E229" s="1414"/>
      <c r="F229" s="1459">
        <f t="shared" si="112"/>
        <v>0</v>
      </c>
      <c r="G229" s="1464">
        <f>IF($A229=1,IF($M$1="Простой",Аттестация!H16,IF($M$1="Обычный",Аттестация!H17,Аттестация!H18)),0)</f>
        <v>0</v>
      </c>
      <c r="H229" s="1464">
        <f>IF($A229=1,IF($M$1="Простой",Аттестация!I16,IF($M$1="Обычный",Аттестация!I17,Аттестация!I18)),0)</f>
        <v>0</v>
      </c>
      <c r="I229" s="1464">
        <f>IF($A229=1,IF($M$1="Простой",Аттестация!J16,IF($M$1="Обычный",Аттестация!J17,Аттестация!J18)),0)</f>
        <v>0</v>
      </c>
      <c r="J229" s="1459">
        <f t="shared" si="114"/>
        <v>0</v>
      </c>
      <c r="K229" s="1464">
        <f t="shared" si="115"/>
        <v>0</v>
      </c>
      <c r="L229" s="1464">
        <f t="shared" si="113"/>
        <v>0</v>
      </c>
      <c r="M229" s="1464">
        <f t="shared" si="113"/>
        <v>0</v>
      </c>
      <c r="N229" s="1465"/>
    </row>
    <row r="230" spans="1:14" ht="48" outlineLevel="2" x14ac:dyDescent="0.2">
      <c r="A230" s="1461">
        <v>0</v>
      </c>
      <c r="B230" s="1417">
        <v>1</v>
      </c>
      <c r="C230" s="1467" t="s">
        <v>1449</v>
      </c>
      <c r="D230" s="1413"/>
      <c r="E230" s="1414"/>
      <c r="F230" s="1459">
        <f t="shared" si="112"/>
        <v>0</v>
      </c>
      <c r="G230" s="1464">
        <f>IF($A230=1,IF($M$1="Простой",Аттестация!H19,IF($M$1="Обычный",Аттестация!H20,Аттестация!H21)),0)</f>
        <v>0</v>
      </c>
      <c r="H230" s="1464">
        <f>IF($A230=1,IF($M$1="Простой",Аттестация!I19,IF($M$1="Обычный",Аттестация!I20,Аттестация!I21)),0)</f>
        <v>0</v>
      </c>
      <c r="I230" s="1464">
        <f>IF($A230=1,IF($M$1="Простой",Аттестация!J19,IF($M$1="Обычный",Аттестация!J20,Аттестация!J21)),0)</f>
        <v>0</v>
      </c>
      <c r="J230" s="1459">
        <f t="shared" si="114"/>
        <v>0</v>
      </c>
      <c r="K230" s="1464">
        <f t="shared" si="115"/>
        <v>0</v>
      </c>
      <c r="L230" s="1464">
        <f t="shared" si="113"/>
        <v>0</v>
      </c>
      <c r="M230" s="1464">
        <f t="shared" si="113"/>
        <v>0</v>
      </c>
      <c r="N230" s="1465"/>
    </row>
    <row r="231" spans="1:14" ht="36" outlineLevel="2" x14ac:dyDescent="0.2">
      <c r="A231" s="1461">
        <v>0</v>
      </c>
      <c r="B231" s="1417">
        <v>1</v>
      </c>
      <c r="C231" s="1467" t="s">
        <v>1450</v>
      </c>
      <c r="D231" s="1413"/>
      <c r="E231" s="1414"/>
      <c r="F231" s="1459">
        <f t="shared" si="112"/>
        <v>0</v>
      </c>
      <c r="G231" s="1464">
        <f>IF($A231=1,IF($M$1="Простой",Аттестация!H22,IF($M$1="Обычный",Аттестация!H23,Аттестация!H24)),0)</f>
        <v>0</v>
      </c>
      <c r="H231" s="1464">
        <f>IF($A231=1,IF($M$1="Простой",Аттестация!I22,IF($M$1="Обычный",Аттестация!I23,Аттестация!I24)),0)</f>
        <v>0</v>
      </c>
      <c r="I231" s="1464">
        <f>IF($A231=1,IF($M$1="Простой",Аттестация!J22,IF($M$1="Обычный",Аттестация!J23,Аттестация!J24)),0)</f>
        <v>0</v>
      </c>
      <c r="J231" s="1459">
        <f t="shared" si="114"/>
        <v>0</v>
      </c>
      <c r="K231" s="1464">
        <f t="shared" si="115"/>
        <v>0</v>
      </c>
      <c r="L231" s="1464">
        <f t="shared" si="113"/>
        <v>0</v>
      </c>
      <c r="M231" s="1464">
        <f t="shared" si="113"/>
        <v>0</v>
      </c>
      <c r="N231" s="1465"/>
    </row>
    <row r="232" spans="1:14" ht="36" outlineLevel="2" x14ac:dyDescent="0.2">
      <c r="A232" s="1461">
        <v>0</v>
      </c>
      <c r="B232" s="1417">
        <v>1</v>
      </c>
      <c r="C232" s="1467" t="s">
        <v>1451</v>
      </c>
      <c r="D232" s="1413"/>
      <c r="E232" s="1414"/>
      <c r="F232" s="1459">
        <f t="shared" si="112"/>
        <v>0</v>
      </c>
      <c r="G232" s="1464">
        <f>IF($A232=1,IF($M$1="Простой",Аттестация!H25,IF($M$1="Обычный",Аттестация!H26,Аттестация!H27)),0)</f>
        <v>0</v>
      </c>
      <c r="H232" s="1464">
        <f>IF($A232=1,IF($M$1="Простой",Аттестация!I25,IF($M$1="Обычный",Аттестация!I26,Аттестация!I27)),0)</f>
        <v>0</v>
      </c>
      <c r="I232" s="1464">
        <f>IF($A232=1,IF($M$1="Простой",Аттестация!J25,IF($M$1="Обычный",Аттестация!J26,Аттестация!J27)),0)</f>
        <v>0</v>
      </c>
      <c r="J232" s="1459">
        <f t="shared" si="114"/>
        <v>0</v>
      </c>
      <c r="K232" s="1464">
        <f t="shared" si="115"/>
        <v>0</v>
      </c>
      <c r="L232" s="1464">
        <f t="shared" si="113"/>
        <v>0</v>
      </c>
      <c r="M232" s="1464">
        <f t="shared" si="113"/>
        <v>0</v>
      </c>
      <c r="N232" s="1465"/>
    </row>
    <row r="233" spans="1:14" ht="15.75" outlineLevel="2" x14ac:dyDescent="0.2">
      <c r="A233" s="1461">
        <v>0</v>
      </c>
      <c r="B233" s="1417">
        <v>1</v>
      </c>
      <c r="C233" s="1467" t="s">
        <v>1453</v>
      </c>
      <c r="D233" s="1413"/>
      <c r="E233" s="1414"/>
      <c r="F233" s="1459">
        <f t="shared" si="112"/>
        <v>0</v>
      </c>
      <c r="G233" s="1464">
        <f>IF($A233=1,IF($M$1="Простой",Аттестация!H28,IF($M$1="Обычный",Аттестация!H29,Аттестация!H30)),0)</f>
        <v>0</v>
      </c>
      <c r="H233" s="1464">
        <f>IF($A233=1,IF($M$1="Простой",Аттестация!I28,IF($M$1="Обычный",Аттестация!I29,Аттестация!I30)),0)</f>
        <v>0</v>
      </c>
      <c r="I233" s="1464">
        <f>IF($A233=1,IF($M$1="Простой",Аттестация!J28,IF($M$1="Обычный",Аттестация!J29,Аттестация!J30)),0)</f>
        <v>0</v>
      </c>
      <c r="J233" s="1459">
        <f t="shared" si="114"/>
        <v>0</v>
      </c>
      <c r="K233" s="1464">
        <f t="shared" si="115"/>
        <v>0</v>
      </c>
      <c r="L233" s="1464">
        <f t="shared" si="113"/>
        <v>0</v>
      </c>
      <c r="M233" s="1464">
        <f t="shared" si="113"/>
        <v>0</v>
      </c>
      <c r="N233" s="1465"/>
    </row>
    <row r="234" spans="1:14" ht="12" customHeight="1" outlineLevel="2" x14ac:dyDescent="0.2">
      <c r="A234" s="1461">
        <v>0</v>
      </c>
      <c r="B234" s="1417">
        <v>1</v>
      </c>
      <c r="C234" s="1467" t="s">
        <v>1455</v>
      </c>
      <c r="D234" s="1413"/>
      <c r="E234" s="1414"/>
      <c r="F234" s="1459">
        <f t="shared" si="112"/>
        <v>0</v>
      </c>
      <c r="G234" s="1464">
        <f>IF($A234=1,IF($M$1="Простой",Аттестация!H31,IF($M$1="Обычный",Аттестация!H32,Аттестация!H33)),0)</f>
        <v>0</v>
      </c>
      <c r="H234" s="1464">
        <f>IF($A234=1,IF($M$1="Простой",Аттестация!I31,IF($M$1="Обычный",Аттестация!I32,Аттестация!I33)),0)</f>
        <v>0</v>
      </c>
      <c r="I234" s="1464">
        <f>IF($A234=1,IF($M$1="Простой",Аттестация!J31,IF($M$1="Обычный",Аттестация!J32,Аттестация!J33)),0)</f>
        <v>0</v>
      </c>
      <c r="J234" s="1459">
        <f t="shared" si="114"/>
        <v>0</v>
      </c>
      <c r="K234" s="1464">
        <f t="shared" si="115"/>
        <v>0</v>
      </c>
      <c r="L234" s="1464">
        <f t="shared" si="113"/>
        <v>0</v>
      </c>
      <c r="M234" s="1464">
        <f t="shared" si="113"/>
        <v>0</v>
      </c>
      <c r="N234" s="1465"/>
    </row>
    <row r="235" spans="1:14" ht="12" customHeight="1" outlineLevel="2" x14ac:dyDescent="0.2">
      <c r="A235" s="1461">
        <v>0</v>
      </c>
      <c r="B235" s="1417">
        <v>1</v>
      </c>
      <c r="C235" s="1467" t="s">
        <v>1457</v>
      </c>
      <c r="D235" s="1413"/>
      <c r="E235" s="1414"/>
      <c r="F235" s="1459">
        <f t="shared" si="112"/>
        <v>0</v>
      </c>
      <c r="G235" s="1464">
        <f>IF($A235=1,IF($M$1="Простой",Аттестация!H34,IF($M$1="Обычный",Аттестация!H35,Аттестация!H36)),0)</f>
        <v>0</v>
      </c>
      <c r="H235" s="1464">
        <f>IF($A235=1,IF($M$1="Простой",Аттестация!I34,IF($M$1="Обычный",Аттестация!I35,Аттестация!I36)),0)</f>
        <v>0</v>
      </c>
      <c r="I235" s="1464">
        <f>IF($A235=1,IF($M$1="Простой",Аттестация!J34,IF($M$1="Обычный",Аттестация!J35,Аттестация!J36)),0)</f>
        <v>0</v>
      </c>
      <c r="J235" s="1459">
        <f t="shared" si="114"/>
        <v>0</v>
      </c>
      <c r="K235" s="1464">
        <f t="shared" si="115"/>
        <v>0</v>
      </c>
      <c r="L235" s="1464">
        <f t="shared" si="113"/>
        <v>0</v>
      </c>
      <c r="M235" s="1464">
        <f t="shared" si="113"/>
        <v>0</v>
      </c>
      <c r="N235" s="1465"/>
    </row>
    <row r="236" spans="1:14" ht="24" outlineLevel="2" x14ac:dyDescent="0.2">
      <c r="A236" s="1461">
        <v>0</v>
      </c>
      <c r="B236" s="1417">
        <v>1</v>
      </c>
      <c r="C236" s="1467" t="s">
        <v>1458</v>
      </c>
      <c r="D236" s="1413"/>
      <c r="E236" s="1414"/>
      <c r="F236" s="1459">
        <f t="shared" si="112"/>
        <v>0</v>
      </c>
      <c r="G236" s="1464">
        <f>IF($A236=1,IF($M$1="Простой",Аттестация!H37,IF($M$1="Обычный",Аттестация!H38,Аттестация!H39)),0)</f>
        <v>0</v>
      </c>
      <c r="H236" s="1464">
        <f>IF($A236=1,IF($M$1="Простой",Аттестация!I37,IF($M$1="Обычный",Аттестация!I38,Аттестация!I39)),0)</f>
        <v>0</v>
      </c>
      <c r="I236" s="1464">
        <f>IF($A236=1,IF($M$1="Простой",Аттестация!J37,IF($M$1="Обычный",Аттестация!J38,Аттестация!J39)),0)</f>
        <v>0</v>
      </c>
      <c r="J236" s="1459">
        <f t="shared" si="114"/>
        <v>0</v>
      </c>
      <c r="K236" s="1464">
        <f t="shared" si="115"/>
        <v>0</v>
      </c>
      <c r="L236" s="1464">
        <f t="shared" si="113"/>
        <v>0</v>
      </c>
      <c r="M236" s="1464">
        <f t="shared" si="113"/>
        <v>0</v>
      </c>
      <c r="N236" s="1465"/>
    </row>
    <row r="237" spans="1:14" ht="21.75" hidden="1" thickBot="1" x14ac:dyDescent="0.4">
      <c r="A237" s="2129" t="s">
        <v>1499</v>
      </c>
      <c r="B237" s="2130"/>
      <c r="C237" s="2130"/>
      <c r="D237" s="2130"/>
      <c r="E237" s="2131"/>
      <c r="F237" s="915">
        <f t="shared" ref="F237" si="116">SUM(G237:I237)</f>
        <v>67</v>
      </c>
      <c r="G237" s="915">
        <f>G238+G256</f>
        <v>25</v>
      </c>
      <c r="H237" s="915">
        <f>H238+H256</f>
        <v>26</v>
      </c>
      <c r="I237" s="915">
        <f>I238+I256</f>
        <v>16</v>
      </c>
      <c r="J237" s="915">
        <f t="shared" ref="J237" si="117">SUM(K237:M237)</f>
        <v>8.1999999999999993</v>
      </c>
      <c r="K237" s="915">
        <f>K238+K256</f>
        <v>3.03</v>
      </c>
      <c r="L237" s="915">
        <f>L238+L256</f>
        <v>3.18</v>
      </c>
      <c r="M237" s="915">
        <f>M238+M256</f>
        <v>1.99</v>
      </c>
      <c r="N237" s="1475"/>
    </row>
    <row r="238" spans="1:14" ht="12.6" hidden="1" customHeight="1" outlineLevel="1" thickBot="1" x14ac:dyDescent="0.25">
      <c r="A238" s="2138"/>
      <c r="B238" s="2138"/>
      <c r="C238" s="2132" t="s">
        <v>1479</v>
      </c>
      <c r="D238" s="1476" t="s">
        <v>876</v>
      </c>
      <c r="E238" s="1409">
        <v>1</v>
      </c>
      <c r="F238" s="2132">
        <f>SUM(G238:I240)</f>
        <v>67</v>
      </c>
      <c r="G238" s="2132">
        <f>ROUNDUP(G241+G244+G246+G248+G250,0)</f>
        <v>25</v>
      </c>
      <c r="H238" s="2132">
        <f>ROUNDUP(H241+H244+H246+H248+H250,0)</f>
        <v>26</v>
      </c>
      <c r="I238" s="2132">
        <f>ROUNDUP(I241+I244+I246+I248+I250,0)</f>
        <v>16</v>
      </c>
      <c r="J238" s="2132">
        <f>ROUNDUP(SUM(K238:M240),2)</f>
        <v>8.1999999999999993</v>
      </c>
      <c r="K238" s="2132">
        <f>ROUNDUP(SUM(K241,K244,K246,K248,K250),2)</f>
        <v>3.03</v>
      </c>
      <c r="L238" s="2132">
        <f>ROUNDUP(SUM(L241,L244,L246,L248,L250),2)</f>
        <v>3.18</v>
      </c>
      <c r="M238" s="2132">
        <f>ROUNDUP(SUM(M241,M244,M246,M248,M250),2)</f>
        <v>1.99</v>
      </c>
      <c r="N238" s="2135" t="s">
        <v>1480</v>
      </c>
    </row>
    <row r="239" spans="1:14" ht="24.75" hidden="1" outlineLevel="1" thickBot="1" x14ac:dyDescent="0.25">
      <c r="A239" s="2140"/>
      <c r="B239" s="2140"/>
      <c r="C239" s="2133"/>
      <c r="D239" s="1477" t="s">
        <v>1500</v>
      </c>
      <c r="E239" s="1409">
        <v>1</v>
      </c>
      <c r="F239" s="2133"/>
      <c r="G239" s="2133"/>
      <c r="H239" s="2133"/>
      <c r="I239" s="2133"/>
      <c r="J239" s="2133"/>
      <c r="K239" s="2133"/>
      <c r="L239" s="2133"/>
      <c r="M239" s="2133"/>
      <c r="N239" s="2136"/>
    </row>
    <row r="240" spans="1:14" ht="24.75" hidden="1" outlineLevel="1" thickBot="1" x14ac:dyDescent="0.25">
      <c r="A240" s="2139"/>
      <c r="B240" s="2139"/>
      <c r="C240" s="2134"/>
      <c r="D240" s="1478" t="s">
        <v>1481</v>
      </c>
      <c r="E240" s="1409" t="s">
        <v>106</v>
      </c>
      <c r="F240" s="2134"/>
      <c r="G240" s="2134"/>
      <c r="H240" s="2134"/>
      <c r="I240" s="2134"/>
      <c r="J240" s="2134"/>
      <c r="K240" s="2134"/>
      <c r="L240" s="2134"/>
      <c r="M240" s="2134"/>
      <c r="N240" s="2137"/>
    </row>
    <row r="241" spans="1:14" ht="31.5" hidden="1" outlineLevel="2" x14ac:dyDescent="0.2">
      <c r="A241" s="1479"/>
      <c r="B241" s="1479"/>
      <c r="C241" s="1610" t="s">
        <v>1352</v>
      </c>
      <c r="D241" s="1618"/>
      <c r="E241" s="1618"/>
      <c r="F241" s="1480">
        <f t="shared" ref="F241:F252" si="118">SUM(G241:I241)</f>
        <v>7.9999999999999991</v>
      </c>
      <c r="G241" s="1480">
        <f>SUM(G242:G243)</f>
        <v>4.8</v>
      </c>
      <c r="H241" s="1480">
        <f>SUM(H242:H243)</f>
        <v>2.4</v>
      </c>
      <c r="I241" s="1480">
        <f>SUM(I242:I243)</f>
        <v>0.8</v>
      </c>
      <c r="J241" s="1480">
        <f t="shared" ref="J241:J252" si="119">SUM(K241:M241)</f>
        <v>0.99999999999999989</v>
      </c>
      <c r="K241" s="1480">
        <f>SUM(K242:K243)</f>
        <v>0.6</v>
      </c>
      <c r="L241" s="1480">
        <f>SUM(L242:L243)</f>
        <v>0.3</v>
      </c>
      <c r="M241" s="1480">
        <f>SUM(M242:M243)</f>
        <v>0.1</v>
      </c>
      <c r="N241" s="1481"/>
    </row>
    <row r="242" spans="1:14" ht="15.75" hidden="1" outlineLevel="3" x14ac:dyDescent="0.2">
      <c r="A242" s="1482">
        <v>0</v>
      </c>
      <c r="B242" s="1462">
        <v>0</v>
      </c>
      <c r="C242" s="1483" t="s">
        <v>1353</v>
      </c>
      <c r="D242" s="1413"/>
      <c r="E242" s="1413"/>
      <c r="F242" s="1480">
        <f t="shared" si="118"/>
        <v>0</v>
      </c>
      <c r="G242" s="1484">
        <f>IF($A242=1,IF($M$1="Простой",'Обследование и аудит КТ'!H2,IF($M$1="Обычный",'Обследование и аудит КТ'!H3,'Обследование и аудит КТ'!H4)),0)</f>
        <v>0</v>
      </c>
      <c r="H242" s="1484">
        <f>IF($A242=1,IF($M$1="Простой",'Обследование и аудит КТ'!I2,IF($M$1="Обычный",'Обследование и аудит КТ'!I3,'Обследование и аудит КТ'!I4)),0)</f>
        <v>0</v>
      </c>
      <c r="I242" s="1484">
        <f>IF($A242=1,IF($M$1="Простой",'Обследование и аудит КТ'!J2,IF($M$1="Обычный",'Обследование и аудит КТ'!J3,'Обследование и аудит КТ'!J4)),0)</f>
        <v>0</v>
      </c>
      <c r="J242" s="1480">
        <f t="shared" si="119"/>
        <v>0</v>
      </c>
      <c r="K242" s="1484">
        <f>(G242/8)</f>
        <v>0</v>
      </c>
      <c r="L242" s="1484">
        <f t="shared" ref="L242:M243" si="120">(H242/8)</f>
        <v>0</v>
      </c>
      <c r="M242" s="1484">
        <f t="shared" si="120"/>
        <v>0</v>
      </c>
      <c r="N242" s="1485"/>
    </row>
    <row r="243" spans="1:14" ht="15.75" hidden="1" outlineLevel="3" x14ac:dyDescent="0.2">
      <c r="A243" s="1482">
        <v>1</v>
      </c>
      <c r="B243" s="1417">
        <v>1</v>
      </c>
      <c r="C243" s="1483" t="s">
        <v>1354</v>
      </c>
      <c r="D243" s="1413"/>
      <c r="E243" s="1413"/>
      <c r="F243" s="1480">
        <f t="shared" si="118"/>
        <v>7.9999999999999991</v>
      </c>
      <c r="G243" s="1484">
        <f>IF($A243=1,IF($M$1="Простой",'Обследование и аудит КТ'!H5,IF($M$1="Обычный",'Обследование и аудит КТ'!H6,'Обследование и аудит КТ'!H7)),0)</f>
        <v>4.8</v>
      </c>
      <c r="H243" s="1484">
        <f>IF($A243=1,IF($M$1="Простой",'Обследование и аудит КТ'!I5,IF($M$1="Обычный",'Обследование и аудит КТ'!I6,'Обследование и аудит КТ'!I7)),0)</f>
        <v>2.4</v>
      </c>
      <c r="I243" s="1484">
        <f>IF($A243=1,IF($M$1="Простой",'Обследование и аудит КТ'!J5,IF($M$1="Обычный",'Обследование и аудит КТ'!J6,'Обследование и аудит КТ'!J7)),0)</f>
        <v>0.8</v>
      </c>
      <c r="J243" s="1480">
        <f t="shared" si="119"/>
        <v>0.99999999999999989</v>
      </c>
      <c r="K243" s="1484">
        <f>(G243/8)</f>
        <v>0.6</v>
      </c>
      <c r="L243" s="1484">
        <f t="shared" si="120"/>
        <v>0.3</v>
      </c>
      <c r="M243" s="1484">
        <f t="shared" si="120"/>
        <v>0.1</v>
      </c>
      <c r="N243" s="1485"/>
    </row>
    <row r="244" spans="1:14" ht="15.75" hidden="1" outlineLevel="2" x14ac:dyDescent="0.2">
      <c r="A244" s="1479"/>
      <c r="B244" s="1479"/>
      <c r="C244" s="1610" t="s">
        <v>1383</v>
      </c>
      <c r="D244" s="1618"/>
      <c r="E244" s="1618"/>
      <c r="F244" s="1480">
        <f t="shared" si="118"/>
        <v>21</v>
      </c>
      <c r="G244" s="1480">
        <f>SUM(G245+G246+G248)</f>
        <v>5.8199999999999994</v>
      </c>
      <c r="H244" s="1480">
        <f t="shared" ref="H244:I244" si="121">SUM(H245+H246+H248)</f>
        <v>8.4</v>
      </c>
      <c r="I244" s="1480">
        <f t="shared" si="121"/>
        <v>6.7800000000000011</v>
      </c>
      <c r="J244" s="1480">
        <f>SUM(K244:M244)</f>
        <v>2.625</v>
      </c>
      <c r="K244" s="1480">
        <f>SUM(K245+K246+K248)</f>
        <v>0.72749999999999992</v>
      </c>
      <c r="L244" s="1480">
        <f t="shared" ref="L244:M244" si="122">SUM(L245+L246+L248)</f>
        <v>1.05</v>
      </c>
      <c r="M244" s="1480">
        <f t="shared" si="122"/>
        <v>0.84750000000000014</v>
      </c>
      <c r="N244" s="1486"/>
    </row>
    <row r="245" spans="1:14" ht="15.75" hidden="1" outlineLevel="3" x14ac:dyDescent="0.2">
      <c r="A245" s="1482">
        <v>1</v>
      </c>
      <c r="B245" s="1417">
        <v>1</v>
      </c>
      <c r="C245" s="1483" t="s">
        <v>1385</v>
      </c>
      <c r="D245" s="1413"/>
      <c r="E245" s="1413"/>
      <c r="F245" s="1480">
        <f t="shared" si="118"/>
        <v>5.3999999999999995</v>
      </c>
      <c r="G245" s="1484">
        <f>IF($A245=1,IF($M$1="Простой",'Обследование и аудит КТ'!H11,IF($M$1="Обычный",'Обследование и аудит КТ'!H12,'Обследование и аудит КТ'!H13)),0)</f>
        <v>2.6999999999999997</v>
      </c>
      <c r="H245" s="1484">
        <f>IF($A245=1,IF($M$1="Простой",'Обследование и аудит КТ'!I11,IF($M$1="Обычный",'Обследование и аудит КТ'!I12,'Обследование и аудит КТ'!I13)),0)</f>
        <v>2.1599999999999997</v>
      </c>
      <c r="I245" s="1484">
        <f>IF($A245=1,IF($M$1="Простой",'Обследование и аудит КТ'!J11,IF($M$1="Обычный",'Обследование и аудит КТ'!J12,'Обследование и аудит КТ'!J13)),0)</f>
        <v>0.53999999999999992</v>
      </c>
      <c r="J245" s="1480">
        <f t="shared" si="119"/>
        <v>0.67499999999999993</v>
      </c>
      <c r="K245" s="1484">
        <f>(G245/8)</f>
        <v>0.33749999999999997</v>
      </c>
      <c r="L245" s="1484">
        <f t="shared" ref="L245:M245" si="123">(H245/8)</f>
        <v>0.26999999999999996</v>
      </c>
      <c r="M245" s="1484">
        <f t="shared" si="123"/>
        <v>6.7499999999999991E-2</v>
      </c>
      <c r="N245" s="1485"/>
    </row>
    <row r="246" spans="1:14" ht="25.5" hidden="1" outlineLevel="2" x14ac:dyDescent="0.2">
      <c r="A246" s="1479"/>
      <c r="B246" s="1611"/>
      <c r="C246" s="1612" t="s">
        <v>1362</v>
      </c>
      <c r="D246" s="1633"/>
      <c r="E246" s="1633"/>
      <c r="F246" s="1613">
        <f t="shared" si="118"/>
        <v>12.000000000000002</v>
      </c>
      <c r="G246" s="1613">
        <f t="shared" ref="G246:M246" si="124">SUM(G247:G247)</f>
        <v>2.4000000000000004</v>
      </c>
      <c r="H246" s="1613">
        <f t="shared" si="124"/>
        <v>4.8000000000000007</v>
      </c>
      <c r="I246" s="1613">
        <f t="shared" si="124"/>
        <v>4.8000000000000007</v>
      </c>
      <c r="J246" s="1613">
        <f t="shared" si="124"/>
        <v>1.5000000000000002</v>
      </c>
      <c r="K246" s="1613">
        <f>SUM(K247:K247)</f>
        <v>0.30000000000000004</v>
      </c>
      <c r="L246" s="1613">
        <f t="shared" si="124"/>
        <v>0.60000000000000009</v>
      </c>
      <c r="M246" s="1613">
        <f t="shared" si="124"/>
        <v>0.60000000000000009</v>
      </c>
      <c r="N246" s="1614" t="s">
        <v>1592</v>
      </c>
    </row>
    <row r="247" spans="1:14" ht="24.75" hidden="1" outlineLevel="3" thickBot="1" x14ac:dyDescent="0.25">
      <c r="A247" s="1482">
        <v>1</v>
      </c>
      <c r="B247" s="1417">
        <v>1</v>
      </c>
      <c r="C247" s="1487" t="s">
        <v>1364</v>
      </c>
      <c r="D247" s="1413"/>
      <c r="E247" s="1413"/>
      <c r="F247" s="1480">
        <f t="shared" si="118"/>
        <v>12.000000000000002</v>
      </c>
      <c r="G247" s="1484">
        <f>IF($A247=1,IF($M$1="Простой",'Обследование и аудит КТ'!H17,IF($M$1="Обычный",'Обследование и аудит КТ'!H18,'Обследование и аудит КТ'!H19)),0)</f>
        <v>2.4000000000000004</v>
      </c>
      <c r="H247" s="1484">
        <f>IF($A247=1,IF($M$1="Простой",'Обследование и аудит КТ'!I17,IF($M$1="Обычный",'Обследование и аудит КТ'!I18,'Обследование и аудит КТ'!I19)),0)</f>
        <v>4.8000000000000007</v>
      </c>
      <c r="I247" s="1484">
        <f>IF($A247=1,IF($M$1="Простой",'Обследование и аудит КТ'!J17,IF($M$1="Обычный",'Обследование и аудит КТ'!J18,'Обследование и аудит КТ'!J19)),0)</f>
        <v>4.8000000000000007</v>
      </c>
      <c r="J247" s="1480">
        <f t="shared" si="119"/>
        <v>1.5000000000000002</v>
      </c>
      <c r="K247" s="1484">
        <f>(G247/8)</f>
        <v>0.30000000000000004</v>
      </c>
      <c r="L247" s="1484">
        <f t="shared" ref="L247:M247" si="125">(H247/8)</f>
        <v>0.60000000000000009</v>
      </c>
      <c r="M247" s="1484">
        <f t="shared" si="125"/>
        <v>0.60000000000000009</v>
      </c>
      <c r="N247" s="1488"/>
    </row>
    <row r="248" spans="1:14" ht="24.75" hidden="1" outlineLevel="2" thickBot="1" x14ac:dyDescent="0.25">
      <c r="A248" s="1479"/>
      <c r="B248" s="1611"/>
      <c r="C248" s="1612" t="s">
        <v>1387</v>
      </c>
      <c r="D248" s="1615" t="s">
        <v>1377</v>
      </c>
      <c r="E248" s="1409">
        <v>1</v>
      </c>
      <c r="F248" s="1613">
        <f t="shared" si="118"/>
        <v>3.6</v>
      </c>
      <c r="G248" s="1613">
        <f t="shared" ref="G248:M248" si="126">SUM(G249:G249)</f>
        <v>0.72</v>
      </c>
      <c r="H248" s="1613">
        <f t="shared" si="126"/>
        <v>1.44</v>
      </c>
      <c r="I248" s="1613">
        <f t="shared" si="126"/>
        <v>1.44</v>
      </c>
      <c r="J248" s="1613">
        <f t="shared" si="126"/>
        <v>0.45</v>
      </c>
      <c r="K248" s="1613">
        <f t="shared" si="126"/>
        <v>0.09</v>
      </c>
      <c r="L248" s="1613">
        <f t="shared" si="126"/>
        <v>0.18</v>
      </c>
      <c r="M248" s="1613">
        <f t="shared" si="126"/>
        <v>0.18</v>
      </c>
      <c r="N248" s="1614" t="s">
        <v>1592</v>
      </c>
    </row>
    <row r="249" spans="1:14" ht="15.75" hidden="1" outlineLevel="3" x14ac:dyDescent="0.2">
      <c r="A249" s="1482">
        <v>1</v>
      </c>
      <c r="B249" s="1417">
        <v>1</v>
      </c>
      <c r="C249" s="1487" t="s">
        <v>1388</v>
      </c>
      <c r="D249" s="1413"/>
      <c r="E249" s="1413"/>
      <c r="F249" s="1480">
        <f t="shared" si="118"/>
        <v>3.6</v>
      </c>
      <c r="G249" s="1484">
        <f>IF($A249=1,IF($M$1="Простой",'Обследование и аудит КТ'!H23,IF($M$1="Обычный",'Обследование и аудит КТ'!H24,'Обследование и аудит КТ'!H25)),0)</f>
        <v>0.72</v>
      </c>
      <c r="H249" s="1484">
        <f>IF($A249=1,IF($M$1="Простой",'Обследование и аудит КТ'!I23,IF($M$1="Обычный",'Обследование и аудит КТ'!I24,'Обследование и аудит КТ'!I25)),0)</f>
        <v>1.44</v>
      </c>
      <c r="I249" s="1484">
        <f>IF($A249=1,IF($M$1="Простой",'Обследование и аудит КТ'!J23,IF($M$1="Обычный",'Обследование и аудит КТ'!J24,'Обследование и аудит КТ'!J25)),0)</f>
        <v>1.44</v>
      </c>
      <c r="J249" s="1480">
        <f t="shared" si="119"/>
        <v>0.45</v>
      </c>
      <c r="K249" s="1484">
        <f>(G249/8)</f>
        <v>0.09</v>
      </c>
      <c r="L249" s="1484">
        <f t="shared" ref="L249:M249" si="127">(H249/8)</f>
        <v>0.18</v>
      </c>
      <c r="M249" s="1484">
        <f t="shared" si="127"/>
        <v>0.18</v>
      </c>
      <c r="N249" s="1485"/>
    </row>
    <row r="250" spans="1:14" ht="15.75" hidden="1" outlineLevel="2" x14ac:dyDescent="0.2">
      <c r="A250" s="1479"/>
      <c r="B250" s="1479"/>
      <c r="C250" s="1610" t="s">
        <v>1365</v>
      </c>
      <c r="D250" s="1618"/>
      <c r="E250" s="1618"/>
      <c r="F250" s="1480">
        <f t="shared" si="118"/>
        <v>21</v>
      </c>
      <c r="G250" s="1480">
        <f t="shared" ref="G250:M250" si="128">SUM(G251:G252)</f>
        <v>10.5</v>
      </c>
      <c r="H250" s="1480">
        <f t="shared" si="128"/>
        <v>8.4</v>
      </c>
      <c r="I250" s="1480">
        <f t="shared" si="128"/>
        <v>2.1</v>
      </c>
      <c r="J250" s="1480">
        <f>SUM(K250:M250)</f>
        <v>2.625</v>
      </c>
      <c r="K250" s="1480">
        <f t="shared" si="128"/>
        <v>1.3125</v>
      </c>
      <c r="L250" s="1480">
        <f t="shared" si="128"/>
        <v>1.05</v>
      </c>
      <c r="M250" s="1480">
        <f t="shared" si="128"/>
        <v>0.26250000000000001</v>
      </c>
      <c r="N250" s="1486"/>
    </row>
    <row r="251" spans="1:14" ht="15.75" hidden="1" outlineLevel="3" x14ac:dyDescent="0.2">
      <c r="A251" s="1482">
        <v>1</v>
      </c>
      <c r="B251" s="1417">
        <v>1</v>
      </c>
      <c r="C251" s="1483" t="s">
        <v>1365</v>
      </c>
      <c r="D251" s="1413"/>
      <c r="E251" s="1413"/>
      <c r="F251" s="1480">
        <f t="shared" si="118"/>
        <v>21</v>
      </c>
      <c r="G251" s="1484">
        <f>IF($A251=1,IF($M$1="Простой",'Обследование и аудит КТ'!H27,IF($M$1="Обычный",'Обследование и аудит КТ'!H28,'Обследование и аудит КТ'!H29)),0)</f>
        <v>10.5</v>
      </c>
      <c r="H251" s="1484">
        <f>IF($A251=1,IF($M$1="Простой",'Обследование и аудит КТ'!I27,IF($M$1="Обычный",'Обследование и аудит КТ'!I28,'Обследование и аудит КТ'!I29)),0)</f>
        <v>8.4</v>
      </c>
      <c r="I251" s="1484">
        <f>IF($A251=1,IF($M$1="Простой",'Обследование и аудит КТ'!J27,IF($M$1="Обычный",'Обследование и аудит КТ'!J28,'Обследование и аудит КТ'!J29)),0)</f>
        <v>2.1</v>
      </c>
      <c r="J251" s="1480">
        <f t="shared" si="119"/>
        <v>2.625</v>
      </c>
      <c r="K251" s="1484">
        <f>(G251/8)</f>
        <v>1.3125</v>
      </c>
      <c r="L251" s="1484">
        <f t="shared" ref="L251:M252" si="129">(H251/8)</f>
        <v>1.05</v>
      </c>
      <c r="M251" s="1484">
        <f t="shared" si="129"/>
        <v>0.26250000000000001</v>
      </c>
      <c r="N251" s="1485"/>
    </row>
    <row r="252" spans="1:14" ht="48.75" hidden="1" outlineLevel="3" thickBot="1" x14ac:dyDescent="0.25">
      <c r="A252" s="1482">
        <v>0</v>
      </c>
      <c r="B252" s="1580">
        <v>0</v>
      </c>
      <c r="C252" s="1487" t="s">
        <v>1368</v>
      </c>
      <c r="D252" s="1413"/>
      <c r="E252" s="1414"/>
      <c r="F252" s="1480">
        <f t="shared" si="118"/>
        <v>0</v>
      </c>
      <c r="G252" s="1484">
        <f>IF($A252=1,IF($M$1="Простой",'Обследование и аудит КТ'!H33,IF($M$1="Обычный",'Обследование и аудит КТ'!H34,'Обследование и аудит КТ'!H35)),0)</f>
        <v>0</v>
      </c>
      <c r="H252" s="1484">
        <f>IF($A252=1,IF($M$1="Простой",'Обследование и аудит КТ'!I33,IF($M$1="Обычный",'Обследование и аудит КТ'!I34,'Обследование и аудит КТ'!I35)),0)</f>
        <v>0</v>
      </c>
      <c r="I252" s="1484">
        <f>IF($A252=1,IF($M$1="Простой",'Обследование и аудит КТ'!J33,IF($M$1="Обычный",'Обследование и аудит КТ'!J34,'Обследование и аудит КТ'!J35)),0)</f>
        <v>0</v>
      </c>
      <c r="J252" s="1480">
        <f t="shared" si="119"/>
        <v>0</v>
      </c>
      <c r="K252" s="1484">
        <f>(G252/8)</f>
        <v>0</v>
      </c>
      <c r="L252" s="1484">
        <f t="shared" si="129"/>
        <v>0</v>
      </c>
      <c r="M252" s="1484">
        <f t="shared" si="129"/>
        <v>0</v>
      </c>
      <c r="N252" s="1488" t="s">
        <v>1390</v>
      </c>
    </row>
    <row r="253" spans="1:14" ht="16.5" hidden="1" customHeight="1" outlineLevel="1" thickBot="1" x14ac:dyDescent="0.25">
      <c r="A253" s="2138"/>
      <c r="B253" s="2138"/>
      <c r="C253" s="2132" t="s">
        <v>1483</v>
      </c>
      <c r="D253" s="1489" t="s">
        <v>1421</v>
      </c>
      <c r="E253" s="1409">
        <v>2</v>
      </c>
      <c r="F253" s="2132">
        <f>SUM(G253:I254)</f>
        <v>0</v>
      </c>
      <c r="G253" s="2132">
        <f>ROUNDUP(SUM(G255:G255),0)</f>
        <v>0</v>
      </c>
      <c r="H253" s="2132">
        <f t="shared" ref="H253:I253" si="130">ROUNDUP(SUM(H255:H255),0)</f>
        <v>0</v>
      </c>
      <c r="I253" s="2132">
        <f t="shared" si="130"/>
        <v>0</v>
      </c>
      <c r="J253" s="2132">
        <f>ROUNDUP(SUM(J255),2)</f>
        <v>0</v>
      </c>
      <c r="K253" s="2132">
        <f t="shared" ref="K253:M253" si="131">ROUNDUP(SUM(K255),2)</f>
        <v>0</v>
      </c>
      <c r="L253" s="2132">
        <f t="shared" si="131"/>
        <v>0</v>
      </c>
      <c r="M253" s="2132">
        <f t="shared" si="131"/>
        <v>0</v>
      </c>
      <c r="N253" s="2135" t="s">
        <v>1501</v>
      </c>
    </row>
    <row r="254" spans="1:14" ht="18" hidden="1" customHeight="1" outlineLevel="1" thickBot="1" x14ac:dyDescent="0.25">
      <c r="A254" s="2139"/>
      <c r="B254" s="2139"/>
      <c r="C254" s="2134"/>
      <c r="D254" s="1490" t="s">
        <v>1422</v>
      </c>
      <c r="E254" s="1409">
        <v>2</v>
      </c>
      <c r="F254" s="2134"/>
      <c r="G254" s="2134"/>
      <c r="H254" s="2134"/>
      <c r="I254" s="2134"/>
      <c r="J254" s="2134"/>
      <c r="K254" s="2134"/>
      <c r="L254" s="2134"/>
      <c r="M254" s="2134"/>
      <c r="N254" s="2136"/>
    </row>
    <row r="255" spans="1:14" ht="16.5" hidden="1" outlineLevel="2" thickBot="1" x14ac:dyDescent="0.25">
      <c r="A255" s="1482">
        <v>0</v>
      </c>
      <c r="B255" s="1580">
        <v>0</v>
      </c>
      <c r="C255" s="1487" t="s">
        <v>1502</v>
      </c>
      <c r="D255" s="1413"/>
      <c r="E255" s="1414"/>
      <c r="F255" s="1480">
        <f>SUM(G255:I255)</f>
        <v>0</v>
      </c>
      <c r="G255" s="1484">
        <f>IF($A255=1,IF($M$1="Простой",'МУиН КТ'!H4,IF($M$1="Обычный",'МУиН КТ'!H5,'МУиН КТ'!H6)),0)</f>
        <v>0</v>
      </c>
      <c r="H255" s="1484">
        <f>IF($A255=1,IF($M$1="Простой",'МУиН КТ'!I4,IF($M$1="Обычный",'МУиН КТ'!I5,'МУиН КТ'!I6)),0)</f>
        <v>0</v>
      </c>
      <c r="I255" s="1484">
        <f>IF($A255=1,IF($M$1="Простой",'МУиН КТ'!J4,IF($M$1="Обычный",'МУиН КТ'!J5,'МУиН КТ'!J6)),0)</f>
        <v>0</v>
      </c>
      <c r="J255" s="1480">
        <f>SUM(K255:M255)</f>
        <v>0</v>
      </c>
      <c r="K255" s="1484">
        <f>(G255/8)</f>
        <v>0</v>
      </c>
      <c r="L255" s="1484">
        <f t="shared" ref="L255:M255" si="132">(H255/8)</f>
        <v>0</v>
      </c>
      <c r="M255" s="1484">
        <f t="shared" si="132"/>
        <v>0</v>
      </c>
      <c r="N255" s="1485"/>
    </row>
    <row r="256" spans="1:14" ht="16.5" hidden="1" customHeight="1" outlineLevel="1" thickBot="1" x14ac:dyDescent="0.25">
      <c r="A256" s="2138"/>
      <c r="B256" s="2138"/>
      <c r="C256" s="2132" t="s">
        <v>1503</v>
      </c>
      <c r="D256" s="1489" t="s">
        <v>1340</v>
      </c>
      <c r="E256" s="1409">
        <v>1</v>
      </c>
      <c r="F256" s="2132">
        <f>SUM(G256:I258)</f>
        <v>0</v>
      </c>
      <c r="G256" s="2132">
        <f>ROUNDUP(G259+G263,0)</f>
        <v>0</v>
      </c>
      <c r="H256" s="2132">
        <f t="shared" ref="H256:I256" si="133">ROUNDUP(H259+H263,0)</f>
        <v>0</v>
      </c>
      <c r="I256" s="2132">
        <f t="shared" si="133"/>
        <v>0</v>
      </c>
      <c r="J256" s="2132">
        <f>ROUNDUP(SUM(J259,J263),2)</f>
        <v>0</v>
      </c>
      <c r="K256" s="2132">
        <f t="shared" ref="K256:L256" si="134">ROUNDUP(SUM(K259,K263),2)</f>
        <v>0</v>
      </c>
      <c r="L256" s="2132">
        <f t="shared" si="134"/>
        <v>0</v>
      </c>
      <c r="M256" s="2132">
        <f>ROUNDUP(SUM(M259,M263),2)</f>
        <v>0</v>
      </c>
      <c r="N256" s="2135"/>
    </row>
    <row r="257" spans="1:14" ht="12.6" hidden="1" customHeight="1" outlineLevel="1" thickBot="1" x14ac:dyDescent="0.25">
      <c r="A257" s="2140"/>
      <c r="B257" s="2140"/>
      <c r="C257" s="2133"/>
      <c r="D257" s="1490" t="s">
        <v>1231</v>
      </c>
      <c r="E257" s="1409" t="s">
        <v>106</v>
      </c>
      <c r="F257" s="2133"/>
      <c r="G257" s="2133"/>
      <c r="H257" s="2133"/>
      <c r="I257" s="2133"/>
      <c r="J257" s="2133"/>
      <c r="K257" s="2133"/>
      <c r="L257" s="2133"/>
      <c r="M257" s="2133"/>
      <c r="N257" s="2136"/>
    </row>
    <row r="258" spans="1:14" ht="24.75" hidden="1" outlineLevel="1" thickBot="1" x14ac:dyDescent="0.25">
      <c r="A258" s="2139"/>
      <c r="B258" s="2139"/>
      <c r="C258" s="2134"/>
      <c r="D258" s="1490" t="s">
        <v>1232</v>
      </c>
      <c r="E258" s="1409" t="s">
        <v>106</v>
      </c>
      <c r="F258" s="2134"/>
      <c r="G258" s="2134"/>
      <c r="H258" s="2134"/>
      <c r="I258" s="2134"/>
      <c r="J258" s="2134"/>
      <c r="K258" s="2134"/>
      <c r="L258" s="2134"/>
      <c r="M258" s="2134"/>
      <c r="N258" s="2137"/>
    </row>
    <row r="259" spans="1:14" ht="15.75" hidden="1" outlineLevel="2" x14ac:dyDescent="0.2">
      <c r="A259" s="1479"/>
      <c r="B259" s="1479"/>
      <c r="C259" s="1610" t="s">
        <v>1236</v>
      </c>
      <c r="D259" s="1618"/>
      <c r="E259" s="1618"/>
      <c r="F259" s="1480">
        <f t="shared" ref="F259:F274" si="135">SUM(G259:I259)</f>
        <v>0</v>
      </c>
      <c r="G259" s="1491">
        <f>SUM(G260:G262)</f>
        <v>0</v>
      </c>
      <c r="H259" s="1491">
        <f>SUM(H260:H262)</f>
        <v>0</v>
      </c>
      <c r="I259" s="1491">
        <f>SUM(I260:I262)</f>
        <v>0</v>
      </c>
      <c r="J259" s="1480">
        <f t="shared" ref="J259:J274" si="136">SUM(K259:M259)</f>
        <v>0</v>
      </c>
      <c r="K259" s="1491">
        <f>SUM(K260:K262)</f>
        <v>0</v>
      </c>
      <c r="L259" s="1491">
        <f>SUM(L260:L262)</f>
        <v>0</v>
      </c>
      <c r="M259" s="1491">
        <f>SUM(M260:M262)</f>
        <v>0</v>
      </c>
      <c r="N259" s="1486"/>
    </row>
    <row r="260" spans="1:14" ht="15.75" hidden="1" outlineLevel="3" x14ac:dyDescent="0.2">
      <c r="A260" s="1482">
        <v>0</v>
      </c>
      <c r="B260" s="1417">
        <v>1</v>
      </c>
      <c r="C260" s="1487" t="s">
        <v>1238</v>
      </c>
      <c r="D260" s="1413"/>
      <c r="E260" s="1413"/>
      <c r="F260" s="1480">
        <f t="shared" si="135"/>
        <v>0</v>
      </c>
      <c r="G260" s="1484">
        <f>IF($A260=1,IF($M$1="Простой",'ОРД КТ'!H4,IF($M$1="Обычный",'ОРД КТ'!H5,'ОРД КТ'!H6)),0)</f>
        <v>0</v>
      </c>
      <c r="H260" s="1484">
        <f>IF($A260=1,IF($M$1="Простой",'ОРД КТ'!I4,IF($M$1="Обычный",'ОРД КТ'!I5,'ОРД КТ'!I6)),0)</f>
        <v>0</v>
      </c>
      <c r="I260" s="1484">
        <f>IF($A260=1,IF($M$1="Простой",'ОРД КТ'!J4,IF($M$1="Обычный",'ОРД КТ'!J5,'ОРД КТ'!J6)),0)</f>
        <v>0</v>
      </c>
      <c r="J260" s="1480">
        <f t="shared" si="136"/>
        <v>0</v>
      </c>
      <c r="K260" s="1484">
        <f>(G260/8)</f>
        <v>0</v>
      </c>
      <c r="L260" s="1484">
        <f t="shared" ref="L260:M262" si="137">(H260/8)</f>
        <v>0</v>
      </c>
      <c r="M260" s="1484">
        <f t="shared" si="137"/>
        <v>0</v>
      </c>
      <c r="N260" s="1485"/>
    </row>
    <row r="261" spans="1:14" ht="15.75" hidden="1" outlineLevel="3" x14ac:dyDescent="0.2">
      <c r="A261" s="1482">
        <v>0</v>
      </c>
      <c r="B261" s="1417">
        <v>1</v>
      </c>
      <c r="C261" s="1487" t="s">
        <v>1239</v>
      </c>
      <c r="D261" s="1413"/>
      <c r="E261" s="1413"/>
      <c r="F261" s="1480">
        <f t="shared" si="135"/>
        <v>0</v>
      </c>
      <c r="G261" s="1484">
        <f>IF($A261=1,IF($M$1="Простой",'ОРД КТ'!H7,IF($M$1="Обычный",'ОРД КТ'!H8,'ОРД КТ'!H9)),0)</f>
        <v>0</v>
      </c>
      <c r="H261" s="1484">
        <f>IF($A261=1,IF($M$1="Простой",'ОРД КТ'!I7,IF($M$1="Обычный",'ОРД КТ'!I8,'ОРД КТ'!I9)),0)</f>
        <v>0</v>
      </c>
      <c r="I261" s="1484">
        <f>IF($A261=1,IF($M$1="Простой",'ОРД КТ'!J7,IF($M$1="Обычный",'ОРД КТ'!J8,'ОРД КТ'!J9)),0)</f>
        <v>0</v>
      </c>
      <c r="J261" s="1480">
        <f t="shared" si="136"/>
        <v>0</v>
      </c>
      <c r="K261" s="1484">
        <f t="shared" ref="K261:K262" si="138">(G261/8)</f>
        <v>0</v>
      </c>
      <c r="L261" s="1484">
        <f t="shared" si="137"/>
        <v>0</v>
      </c>
      <c r="M261" s="1484">
        <f t="shared" si="137"/>
        <v>0</v>
      </c>
      <c r="N261" s="1485"/>
    </row>
    <row r="262" spans="1:14" ht="15.75" hidden="1" outlineLevel="3" x14ac:dyDescent="0.2">
      <c r="A262" s="1482">
        <v>0</v>
      </c>
      <c r="B262" s="1417">
        <v>1</v>
      </c>
      <c r="C262" s="1487" t="s">
        <v>1240</v>
      </c>
      <c r="D262" s="1413"/>
      <c r="E262" s="1413"/>
      <c r="F262" s="1480">
        <f t="shared" si="135"/>
        <v>0</v>
      </c>
      <c r="G262" s="1484">
        <f>IF($A262=1,IF($M$1="Простой",'ОРД КТ'!H10,IF($M$1="Обычный",'ОРД КТ'!H11,'ОРД КТ'!H12)),0)</f>
        <v>0</v>
      </c>
      <c r="H262" s="1484">
        <f>IF($A262=1,IF($M$1="Простой",'ОРД КТ'!I10,IF($M$1="Обычный",'ОРД КТ'!I11,'ОРД КТ'!I12)),0)</f>
        <v>0</v>
      </c>
      <c r="I262" s="1484">
        <f>IF($A262=1,IF($M$1="Простой",'ОРД КТ'!J10,IF($M$1="Обычный",'ОРД КТ'!J11,'ОРД КТ'!J12)),0)</f>
        <v>0</v>
      </c>
      <c r="J262" s="1480">
        <f t="shared" si="136"/>
        <v>0</v>
      </c>
      <c r="K262" s="1484">
        <f t="shared" si="138"/>
        <v>0</v>
      </c>
      <c r="L262" s="1484">
        <f t="shared" si="137"/>
        <v>0</v>
      </c>
      <c r="M262" s="1484">
        <f t="shared" si="137"/>
        <v>0</v>
      </c>
      <c r="N262" s="1485"/>
    </row>
    <row r="263" spans="1:14" ht="15.75" hidden="1" outlineLevel="2" x14ac:dyDescent="0.2">
      <c r="A263" s="1479"/>
      <c r="B263" s="1616"/>
      <c r="C263" s="1617" t="s">
        <v>1283</v>
      </c>
      <c r="D263" s="1618"/>
      <c r="E263" s="1618"/>
      <c r="F263" s="1619">
        <f t="shared" si="135"/>
        <v>0</v>
      </c>
      <c r="G263" s="1620">
        <f>SUM(G264:G274)</f>
        <v>0</v>
      </c>
      <c r="H263" s="1620">
        <f>SUM(H264:H274)</f>
        <v>0</v>
      </c>
      <c r="I263" s="1620">
        <f>SUM(I264:I274)</f>
        <v>0</v>
      </c>
      <c r="J263" s="1619">
        <f t="shared" si="136"/>
        <v>0</v>
      </c>
      <c r="K263" s="1620">
        <f>SUM(K264:K274)</f>
        <v>0</v>
      </c>
      <c r="L263" s="1620">
        <f>SUM(L264:L274)</f>
        <v>0</v>
      </c>
      <c r="M263" s="1620">
        <f>SUM(M264:M274)</f>
        <v>0</v>
      </c>
      <c r="N263" s="1621"/>
    </row>
    <row r="264" spans="1:14" ht="12" hidden="1" customHeight="1" outlineLevel="3" x14ac:dyDescent="0.2">
      <c r="A264" s="1482">
        <v>0</v>
      </c>
      <c r="B264" s="1417">
        <v>1</v>
      </c>
      <c r="C264" s="1487" t="s">
        <v>1341</v>
      </c>
      <c r="D264" s="1413"/>
      <c r="E264" s="1413"/>
      <c r="F264" s="1480">
        <f t="shared" si="135"/>
        <v>0</v>
      </c>
      <c r="G264" s="1484">
        <f>IF($A264=1,IF($M$1="Простой",'ОРД КТ'!H14,IF($M$1="Обычный",'ОРД КТ'!H15,'ОРД КТ'!H16)),0)</f>
        <v>0</v>
      </c>
      <c r="H264" s="1484">
        <f>IF($A264=1,IF($M$1="Простой",'ОРД КТ'!I14,IF($M$1="Обычный",'ОРД КТ'!I15,'ОРД КТ'!I16)),0)</f>
        <v>0</v>
      </c>
      <c r="I264" s="1484">
        <f>IF($A264=1,IF($M$1="Простой",'ОРД КТ'!J14,IF($M$1="Обычный",'ОРД КТ'!J15,'ОРД КТ'!J16)),0)</f>
        <v>0</v>
      </c>
      <c r="J264" s="1480">
        <f t="shared" si="136"/>
        <v>0</v>
      </c>
      <c r="K264" s="1484">
        <f>(G264/8)</f>
        <v>0</v>
      </c>
      <c r="L264" s="1484">
        <f t="shared" ref="L264:M274" si="139">(H264/8)</f>
        <v>0</v>
      </c>
      <c r="M264" s="1484">
        <f t="shared" si="139"/>
        <v>0</v>
      </c>
      <c r="N264" s="1485"/>
    </row>
    <row r="265" spans="1:14" ht="12" hidden="1" customHeight="1" outlineLevel="3" x14ac:dyDescent="0.2">
      <c r="A265" s="1482">
        <v>0</v>
      </c>
      <c r="B265" s="1417">
        <v>1</v>
      </c>
      <c r="C265" s="1487" t="s">
        <v>1342</v>
      </c>
      <c r="D265" s="1413"/>
      <c r="E265" s="1413"/>
      <c r="F265" s="1480">
        <f t="shared" si="135"/>
        <v>0</v>
      </c>
      <c r="G265" s="1484">
        <f>IF($A265=1,IF($M$1="Простой",'ОРД КТ'!H17,IF($M$1="Обычный",'ОРД КТ'!H18,'ОРД КТ'!H19)),0)</f>
        <v>0</v>
      </c>
      <c r="H265" s="1484">
        <f>IF($A265=1,IF($M$1="Простой",'ОРД КТ'!I17,IF($M$1="Обычный",'ОРД КТ'!I18,'ОРД КТ'!I19)),0)</f>
        <v>0</v>
      </c>
      <c r="I265" s="1484">
        <f>IF($A265=1,IF($M$1="Простой",'ОРД КТ'!J17,IF($M$1="Обычный",'ОРД КТ'!J18,'ОРД КТ'!J19)),0)</f>
        <v>0</v>
      </c>
      <c r="J265" s="1480">
        <f t="shared" si="136"/>
        <v>0</v>
      </c>
      <c r="K265" s="1484">
        <f t="shared" ref="K265:K274" si="140">(G265/8)</f>
        <v>0</v>
      </c>
      <c r="L265" s="1484">
        <f t="shared" si="139"/>
        <v>0</v>
      </c>
      <c r="M265" s="1484">
        <f t="shared" si="139"/>
        <v>0</v>
      </c>
      <c r="N265" s="1485"/>
    </row>
    <row r="266" spans="1:14" ht="12" hidden="1" customHeight="1" outlineLevel="3" x14ac:dyDescent="0.2">
      <c r="A266" s="1482">
        <v>0</v>
      </c>
      <c r="B266" s="1417">
        <v>1</v>
      </c>
      <c r="C266" s="1487" t="s">
        <v>1343</v>
      </c>
      <c r="D266" s="1413"/>
      <c r="E266" s="1413"/>
      <c r="F266" s="1480">
        <f t="shared" si="135"/>
        <v>0</v>
      </c>
      <c r="G266" s="1484">
        <f>IF($A266=1,IF($M$1="Простой",'ОРД КТ'!H20,IF($M$1="Обычный",'ОРД КТ'!H21,'ОРД КТ'!H22)),0)</f>
        <v>0</v>
      </c>
      <c r="H266" s="1484">
        <f>IF($A266=1,IF($M$1="Простой",'ОРД КТ'!I20,IF($M$1="Обычный",'ОРД КТ'!I21,'ОРД КТ'!I22)),0)</f>
        <v>0</v>
      </c>
      <c r="I266" s="1484">
        <f>IF($A266=1,IF($M$1="Простой",'ОРД КТ'!J20,IF($M$1="Обычный",'ОРД КТ'!J21,'ОРД КТ'!J22)),0)</f>
        <v>0</v>
      </c>
      <c r="J266" s="1480">
        <f t="shared" si="136"/>
        <v>0</v>
      </c>
      <c r="K266" s="1484">
        <f t="shared" si="140"/>
        <v>0</v>
      </c>
      <c r="L266" s="1484">
        <f t="shared" si="139"/>
        <v>0</v>
      </c>
      <c r="M266" s="1484">
        <f t="shared" si="139"/>
        <v>0</v>
      </c>
      <c r="N266" s="1485"/>
    </row>
    <row r="267" spans="1:14" ht="12" hidden="1" customHeight="1" outlineLevel="3" x14ac:dyDescent="0.2">
      <c r="A267" s="1482">
        <v>0</v>
      </c>
      <c r="B267" s="1417">
        <v>1</v>
      </c>
      <c r="C267" s="1487" t="s">
        <v>1344</v>
      </c>
      <c r="D267" s="1413"/>
      <c r="E267" s="1413"/>
      <c r="F267" s="1480">
        <f t="shared" si="135"/>
        <v>0</v>
      </c>
      <c r="G267" s="1484">
        <f>IF($A267=1,IF($M$1="Простой",'ОРД КТ'!H23,IF($M$1="Обычный",'ОРД КТ'!H24,'ОРД КТ'!H25)),0)</f>
        <v>0</v>
      </c>
      <c r="H267" s="1484">
        <f>IF($A267=1,IF($M$1="Простой",'ОРД КТ'!I23,IF($M$1="Обычный",'ОРД КТ'!I24,'ОРД КТ'!I25)),0)</f>
        <v>0</v>
      </c>
      <c r="I267" s="1484">
        <f>IF($A267=1,IF($M$1="Простой",'ОРД КТ'!J23,IF($M$1="Обычный",'ОРД КТ'!J24,'ОРД КТ'!J25)),0)</f>
        <v>0</v>
      </c>
      <c r="J267" s="1480">
        <f t="shared" si="136"/>
        <v>0</v>
      </c>
      <c r="K267" s="1484">
        <f t="shared" si="140"/>
        <v>0</v>
      </c>
      <c r="L267" s="1484">
        <f t="shared" si="139"/>
        <v>0</v>
      </c>
      <c r="M267" s="1484">
        <f t="shared" si="139"/>
        <v>0</v>
      </c>
      <c r="N267" s="1485"/>
    </row>
    <row r="268" spans="1:14" ht="12" hidden="1" customHeight="1" outlineLevel="3" x14ac:dyDescent="0.2">
      <c r="A268" s="1482">
        <v>0</v>
      </c>
      <c r="B268" s="1417">
        <v>1</v>
      </c>
      <c r="C268" s="1487" t="s">
        <v>1345</v>
      </c>
      <c r="D268" s="1413"/>
      <c r="E268" s="1413"/>
      <c r="F268" s="1480">
        <f t="shared" si="135"/>
        <v>0</v>
      </c>
      <c r="G268" s="1484">
        <f>IF($A268=1,IF($M$1="Простой",'ОРД КТ'!H26,IF($M$1="Обычный",'ОРД КТ'!H27,'ОРД КТ'!H28)),0)</f>
        <v>0</v>
      </c>
      <c r="H268" s="1484">
        <f>IF($A268=1,IF($M$1="Простой",'ОРД КТ'!I26,IF($M$1="Обычный",'ОРД КТ'!I27,'ОРД КТ'!I28)),0)</f>
        <v>0</v>
      </c>
      <c r="I268" s="1484">
        <f>IF($A268=1,IF($M$1="Простой",'ОРД КТ'!J26,IF($M$1="Обычный",'ОРД КТ'!J27,'ОРД КТ'!J28)),0)</f>
        <v>0</v>
      </c>
      <c r="J268" s="1480">
        <f t="shared" si="136"/>
        <v>0</v>
      </c>
      <c r="K268" s="1484">
        <f t="shared" si="140"/>
        <v>0</v>
      </c>
      <c r="L268" s="1484">
        <f t="shared" si="139"/>
        <v>0</v>
      </c>
      <c r="M268" s="1484">
        <f t="shared" si="139"/>
        <v>0</v>
      </c>
      <c r="N268" s="1485"/>
    </row>
    <row r="269" spans="1:14" ht="12" hidden="1" customHeight="1" outlineLevel="3" x14ac:dyDescent="0.2">
      <c r="A269" s="1482">
        <v>0</v>
      </c>
      <c r="B269" s="1417">
        <v>1</v>
      </c>
      <c r="C269" s="1487" t="s">
        <v>1346</v>
      </c>
      <c r="D269" s="1413"/>
      <c r="E269" s="1413"/>
      <c r="F269" s="1480">
        <f t="shared" si="135"/>
        <v>0</v>
      </c>
      <c r="G269" s="1484">
        <f>IF($A269=1,IF($M$1="Простой",'ОРД КТ'!H29,IF($M$1="Обычный",'ОРД КТ'!H30,'ОРД КТ'!H31)),0)</f>
        <v>0</v>
      </c>
      <c r="H269" s="1484">
        <f>IF($A269=1,IF($M$1="Простой",'ОРД КТ'!I29,IF($M$1="Обычный",'ОРД КТ'!I30,'ОРД КТ'!I31)),0)</f>
        <v>0</v>
      </c>
      <c r="I269" s="1484">
        <f>IF($A269=1,IF($M$1="Простой",'ОРД КТ'!J29,IF($M$1="Обычный",'ОРД КТ'!J30,'ОРД КТ'!J31)),0)</f>
        <v>0</v>
      </c>
      <c r="J269" s="1480">
        <f t="shared" si="136"/>
        <v>0</v>
      </c>
      <c r="K269" s="1484">
        <f t="shared" si="140"/>
        <v>0</v>
      </c>
      <c r="L269" s="1484">
        <f t="shared" si="139"/>
        <v>0</v>
      </c>
      <c r="M269" s="1484">
        <f t="shared" si="139"/>
        <v>0</v>
      </c>
      <c r="N269" s="1485"/>
    </row>
    <row r="270" spans="1:14" ht="12" hidden="1" customHeight="1" outlineLevel="3" x14ac:dyDescent="0.2">
      <c r="A270" s="1482">
        <v>0</v>
      </c>
      <c r="B270" s="1417">
        <v>1</v>
      </c>
      <c r="C270" s="1487" t="s">
        <v>1347</v>
      </c>
      <c r="D270" s="1413"/>
      <c r="E270" s="1413"/>
      <c r="F270" s="1480">
        <f t="shared" si="135"/>
        <v>0</v>
      </c>
      <c r="G270" s="1484">
        <f>IF($A270=1,IF($M$1="Простой",'ОРД КТ'!H32,IF($M$1="Обычный",'ОРД КТ'!H33,'ОРД КТ'!H34)),0)</f>
        <v>0</v>
      </c>
      <c r="H270" s="1484">
        <f>IF($A270=1,IF($M$1="Простой",'ОРД КТ'!I32,IF($M$1="Обычный",'ОРД КТ'!I33,'ОРД КТ'!I34)),0)</f>
        <v>0</v>
      </c>
      <c r="I270" s="1484">
        <f>IF($A270=1,IF($M$1="Простой",'ОРД КТ'!J32,IF($M$1="Обычный",'ОРД КТ'!J33,'ОРД КТ'!J34)),0)</f>
        <v>0</v>
      </c>
      <c r="J270" s="1480">
        <f t="shared" si="136"/>
        <v>0</v>
      </c>
      <c r="K270" s="1484">
        <f t="shared" si="140"/>
        <v>0</v>
      </c>
      <c r="L270" s="1484">
        <f t="shared" si="139"/>
        <v>0</v>
      </c>
      <c r="M270" s="1484">
        <f t="shared" si="139"/>
        <v>0</v>
      </c>
      <c r="N270" s="1485"/>
    </row>
    <row r="271" spans="1:14" ht="12" hidden="1" customHeight="1" outlineLevel="3" x14ac:dyDescent="0.2">
      <c r="A271" s="1482">
        <v>0</v>
      </c>
      <c r="B271" s="1417">
        <v>1</v>
      </c>
      <c r="C271" s="1487" t="s">
        <v>1348</v>
      </c>
      <c r="D271" s="1413"/>
      <c r="E271" s="1413"/>
      <c r="F271" s="1480">
        <f t="shared" si="135"/>
        <v>0</v>
      </c>
      <c r="G271" s="1484">
        <f>IF($A271=1,IF($M$1="Простой",'ОРД КТ'!H35,IF($M$1="Обычный",'ОРД КТ'!H36,'ОРД КТ'!H37)),0)</f>
        <v>0</v>
      </c>
      <c r="H271" s="1484">
        <f>IF($A271=1,IF($M$1="Простой",'ОРД КТ'!I35,IF($M$1="Обычный",'ОРД КТ'!I36,'ОРД КТ'!I37)),0)</f>
        <v>0</v>
      </c>
      <c r="I271" s="1484">
        <f>IF($A271=1,IF($M$1="Простой",'ОРД КТ'!J35,IF($M$1="Обычный",'ОРД КТ'!J36,'ОРД КТ'!J37)),0)</f>
        <v>0</v>
      </c>
      <c r="J271" s="1480">
        <f t="shared" si="136"/>
        <v>0</v>
      </c>
      <c r="K271" s="1484">
        <f t="shared" si="140"/>
        <v>0</v>
      </c>
      <c r="L271" s="1484">
        <f t="shared" si="139"/>
        <v>0</v>
      </c>
      <c r="M271" s="1484">
        <f t="shared" si="139"/>
        <v>0</v>
      </c>
      <c r="N271" s="1485"/>
    </row>
    <row r="272" spans="1:14" ht="12" hidden="1" customHeight="1" outlineLevel="3" x14ac:dyDescent="0.2">
      <c r="A272" s="1482">
        <v>0</v>
      </c>
      <c r="B272" s="1417">
        <v>1</v>
      </c>
      <c r="C272" s="1487" t="s">
        <v>1349</v>
      </c>
      <c r="D272" s="1413"/>
      <c r="E272" s="1413"/>
      <c r="F272" s="1480">
        <f t="shared" si="135"/>
        <v>0</v>
      </c>
      <c r="G272" s="1484">
        <f>IF($A272=1,IF($M$1="Простой",'ОРД КТ'!H38,IF($M$1="Обычный",'ОРД КТ'!H39,'ОРД КТ'!H40)),0)</f>
        <v>0</v>
      </c>
      <c r="H272" s="1484">
        <f>IF($A272=1,IF($M$1="Простой",'ОРД КТ'!I38,IF($M$1="Обычный",'ОРД КТ'!I39,'ОРД КТ'!I40)),0)</f>
        <v>0</v>
      </c>
      <c r="I272" s="1484">
        <f>IF($A272=1,IF($M$1="Простой",'ОРД КТ'!J38,IF($M$1="Обычный",'ОРД КТ'!J39,'ОРД КТ'!J40)),0)</f>
        <v>0</v>
      </c>
      <c r="J272" s="1480">
        <f t="shared" si="136"/>
        <v>0</v>
      </c>
      <c r="K272" s="1484">
        <f t="shared" si="140"/>
        <v>0</v>
      </c>
      <c r="L272" s="1484">
        <f t="shared" si="139"/>
        <v>0</v>
      </c>
      <c r="M272" s="1484">
        <f t="shared" si="139"/>
        <v>0</v>
      </c>
      <c r="N272" s="1485"/>
    </row>
    <row r="273" spans="1:14" ht="12" hidden="1" customHeight="1" outlineLevel="3" x14ac:dyDescent="0.2">
      <c r="A273" s="1482">
        <v>0</v>
      </c>
      <c r="B273" s="1417">
        <v>1</v>
      </c>
      <c r="C273" s="1487" t="s">
        <v>1350</v>
      </c>
      <c r="D273" s="1413"/>
      <c r="E273" s="1413"/>
      <c r="F273" s="1480">
        <f t="shared" si="135"/>
        <v>0</v>
      </c>
      <c r="G273" s="1484">
        <f>IF($A273=1,IF($M$1="Простой",'ОРД КТ'!H41,IF($M$1="Обычный",'ОРД КТ'!H42,'ОРД КТ'!H43)),0)</f>
        <v>0</v>
      </c>
      <c r="H273" s="1484">
        <f>IF($A273=1,IF($M$1="Простой",'ОРД КТ'!I41,IF($M$1="Обычный",'ОРД КТ'!I42,'ОРД КТ'!I43)),0)</f>
        <v>0</v>
      </c>
      <c r="I273" s="1484">
        <f>IF($A273=1,IF($M$1="Простой",'ОРД КТ'!J41,IF($M$1="Обычный",'ОРД КТ'!J42,'ОРД КТ'!J43)),0)</f>
        <v>0</v>
      </c>
      <c r="J273" s="1480">
        <f t="shared" si="136"/>
        <v>0</v>
      </c>
      <c r="K273" s="1484">
        <f t="shared" si="140"/>
        <v>0</v>
      </c>
      <c r="L273" s="1484">
        <f t="shared" si="139"/>
        <v>0</v>
      </c>
      <c r="M273" s="1484">
        <f t="shared" si="139"/>
        <v>0</v>
      </c>
      <c r="N273" s="1485"/>
    </row>
    <row r="274" spans="1:14" ht="12" hidden="1" customHeight="1" outlineLevel="3" x14ac:dyDescent="0.2">
      <c r="A274" s="1482">
        <v>0</v>
      </c>
      <c r="B274" s="1417">
        <v>1</v>
      </c>
      <c r="C274" s="1487" t="s">
        <v>1351</v>
      </c>
      <c r="D274" s="1413"/>
      <c r="E274" s="1413"/>
      <c r="F274" s="1480">
        <f t="shared" si="135"/>
        <v>0</v>
      </c>
      <c r="G274" s="1484">
        <f>IF($A274=1,IF($M$1="Простой",'ОРД КТ'!H44,IF($M$1="Обычный",'ОРД КТ'!H45,'ОРД КТ'!H46)),0)</f>
        <v>0</v>
      </c>
      <c r="H274" s="1484">
        <f>IF($A274=1,IF($M$1="Простой",'ОРД КТ'!I44,IF($M$1="Обычный",'ОРД КТ'!I45,'ОРД КТ'!I46)),0)</f>
        <v>0</v>
      </c>
      <c r="I274" s="1484">
        <f>IF($A274=1,IF($M$1="Простой",'ОРД КТ'!J44,IF($M$1="Обычный",'ОРД КТ'!J45,'ОРД КТ'!J46)),0)</f>
        <v>0</v>
      </c>
      <c r="J274" s="1480">
        <f t="shared" si="136"/>
        <v>0</v>
      </c>
      <c r="K274" s="1484">
        <f t="shared" si="140"/>
        <v>0</v>
      </c>
      <c r="L274" s="1484">
        <f t="shared" si="139"/>
        <v>0</v>
      </c>
      <c r="M274" s="1484">
        <f t="shared" si="139"/>
        <v>0</v>
      </c>
      <c r="N274" s="1485"/>
    </row>
    <row r="275" spans="1:14" ht="21.75" hidden="1" collapsed="1" thickBot="1" x14ac:dyDescent="0.4">
      <c r="A275" s="2141" t="s">
        <v>1463</v>
      </c>
      <c r="B275" s="2142"/>
      <c r="C275" s="2142"/>
      <c r="D275" s="2142"/>
      <c r="E275" s="2143"/>
      <c r="F275" s="1492">
        <f>SUM(G275:I275)</f>
        <v>0</v>
      </c>
      <c r="G275" s="1492">
        <f>G276</f>
        <v>0</v>
      </c>
      <c r="H275" s="1492">
        <f>H276</f>
        <v>0</v>
      </c>
      <c r="I275" s="1492">
        <f>I276</f>
        <v>0</v>
      </c>
      <c r="J275" s="1492">
        <f t="shared" ref="J275" si="141">SUM(K275:M275)</f>
        <v>0</v>
      </c>
      <c r="K275" s="1492">
        <f>K276</f>
        <v>0</v>
      </c>
      <c r="L275" s="1492">
        <f>L276</f>
        <v>0</v>
      </c>
      <c r="M275" s="1492">
        <f>M276</f>
        <v>0</v>
      </c>
      <c r="N275" s="1493"/>
    </row>
    <row r="276" spans="1:14" ht="24.75" hidden="1" outlineLevel="1" thickBot="1" x14ac:dyDescent="0.25">
      <c r="A276" s="1494"/>
      <c r="B276" s="1494"/>
      <c r="C276" s="1495" t="s">
        <v>1418</v>
      </c>
      <c r="D276" s="1496" t="s">
        <v>1410</v>
      </c>
      <c r="E276" s="1409">
        <v>1</v>
      </c>
      <c r="F276" s="1495">
        <f t="shared" ref="F276:F278" si="142">SUM(G276:I276)</f>
        <v>0</v>
      </c>
      <c r="G276" s="1495">
        <f>ROUNDUP(SUM(G277:G278),0)</f>
        <v>0</v>
      </c>
      <c r="H276" s="1495">
        <f t="shared" ref="H276:I276" si="143">ROUNDUP(SUM(H277:H278),0)</f>
        <v>0</v>
      </c>
      <c r="I276" s="1495">
        <f t="shared" si="143"/>
        <v>0</v>
      </c>
      <c r="J276" s="1495">
        <f>ROUNDUP(SUM(J277:J278),2)</f>
        <v>0</v>
      </c>
      <c r="K276" s="1495">
        <f t="shared" ref="K276:M276" si="144">ROUNDUP(SUM(K277:K278),2)</f>
        <v>0</v>
      </c>
      <c r="L276" s="1495">
        <f t="shared" si="144"/>
        <v>0</v>
      </c>
      <c r="M276" s="1495">
        <f t="shared" si="144"/>
        <v>0</v>
      </c>
      <c r="N276" s="1497"/>
    </row>
    <row r="277" spans="1:14" ht="48" hidden="1" outlineLevel="2" x14ac:dyDescent="0.2">
      <c r="A277" s="1498">
        <v>0</v>
      </c>
      <c r="B277" s="1417">
        <v>1</v>
      </c>
      <c r="C277" s="1499" t="s">
        <v>1419</v>
      </c>
      <c r="D277" s="1413"/>
      <c r="E277" s="1414"/>
      <c r="F277" s="1500">
        <f t="shared" si="142"/>
        <v>0</v>
      </c>
      <c r="G277" s="1501">
        <f>IF($A277=1,IF($M$1="Простой",Классификация!H18,IF($M$1="Обычный",Классификация!H19,Классификация!H20)),0)</f>
        <v>0</v>
      </c>
      <c r="H277" s="1501">
        <f>IF($A277=1,IF($M$1="Простой",Классификация!I18,IF($M$1="Обычный",Классификация!I19,Классификация!I20)),0)</f>
        <v>0</v>
      </c>
      <c r="I277" s="1501">
        <f>IF($A277=1,IF($M$1="Простой",Классификация!J18,IF($M$1="Обычный",Классификация!J19,Классификация!J20)),0)</f>
        <v>0</v>
      </c>
      <c r="J277" s="1500">
        <f>F277/8</f>
        <v>0</v>
      </c>
      <c r="K277" s="1501">
        <f>(G277/8)</f>
        <v>0</v>
      </c>
      <c r="L277" s="1501">
        <f t="shared" ref="L277:M278" si="145">(H277/8)</f>
        <v>0</v>
      </c>
      <c r="M277" s="1501">
        <f t="shared" si="145"/>
        <v>0</v>
      </c>
      <c r="N277" s="1502"/>
    </row>
    <row r="278" spans="1:14" ht="15.75" hidden="1" outlineLevel="2" x14ac:dyDescent="0.2">
      <c r="A278" s="1498">
        <v>0</v>
      </c>
      <c r="B278" s="1417">
        <v>1</v>
      </c>
      <c r="C278" s="1503" t="s">
        <v>1420</v>
      </c>
      <c r="D278" s="1413"/>
      <c r="E278" s="1413"/>
      <c r="F278" s="1500">
        <f t="shared" si="142"/>
        <v>0</v>
      </c>
      <c r="G278" s="1501">
        <f>IF($A278=1,IF($M$1="Простой",Классификация!H21,IF($M$1="Обычный",Классификация!H22,Классификация!H23)),0)</f>
        <v>0</v>
      </c>
      <c r="H278" s="1501">
        <f>IF($A278=1,IF($M$1="Простой",Классификация!I21,IF($M$1="Обычный",Классификация!I22,Классификация!I23)),0)</f>
        <v>0</v>
      </c>
      <c r="I278" s="1501">
        <f>IF($A278=1,IF($M$1="Простой",Классификация!J21,IF($M$1="Обычный",Классификация!J22,Классификация!J23)),0)</f>
        <v>0</v>
      </c>
      <c r="J278" s="1500">
        <f>F278/8</f>
        <v>0</v>
      </c>
      <c r="K278" s="1501">
        <f>(G278/8)</f>
        <v>0</v>
      </c>
      <c r="L278" s="1501">
        <f t="shared" si="145"/>
        <v>0</v>
      </c>
      <c r="M278" s="1501">
        <f t="shared" si="145"/>
        <v>0</v>
      </c>
      <c r="N278" s="1502"/>
    </row>
    <row r="279" spans="1:14" ht="21.75" hidden="1" collapsed="1" thickBot="1" x14ac:dyDescent="0.4">
      <c r="A279" s="2144" t="s">
        <v>113</v>
      </c>
      <c r="B279" s="2145"/>
      <c r="C279" s="2145"/>
      <c r="D279" s="2145"/>
      <c r="E279" s="2146"/>
      <c r="F279" s="1504">
        <f t="shared" ref="F279:F287" si="146">SUM(G279:I279)</f>
        <v>0</v>
      </c>
      <c r="G279" s="1504">
        <f>G280+G284</f>
        <v>0</v>
      </c>
      <c r="H279" s="1504">
        <f>H280+H284</f>
        <v>0</v>
      </c>
      <c r="I279" s="1504">
        <f>I280+I284</f>
        <v>0</v>
      </c>
      <c r="J279" s="1504">
        <f t="shared" ref="J279:J287" si="147">SUM(K279:M279)</f>
        <v>0</v>
      </c>
      <c r="K279" s="1504">
        <f>K280+K284</f>
        <v>0</v>
      </c>
      <c r="L279" s="1504">
        <f>L280+L284</f>
        <v>0</v>
      </c>
      <c r="M279" s="1504">
        <f>M280+M284</f>
        <v>0</v>
      </c>
      <c r="N279" s="1505"/>
    </row>
    <row r="280" spans="1:14" ht="24.75" hidden="1" outlineLevel="1" thickBot="1" x14ac:dyDescent="0.25">
      <c r="A280" s="1506"/>
      <c r="B280" s="1506"/>
      <c r="C280" s="1507" t="s">
        <v>113</v>
      </c>
      <c r="D280" s="1508" t="s">
        <v>1434</v>
      </c>
      <c r="E280" s="1409">
        <v>3</v>
      </c>
      <c r="F280" s="1507">
        <f t="shared" si="146"/>
        <v>0</v>
      </c>
      <c r="G280" s="1507">
        <f>ROUNDUP(G281+G284,0)</f>
        <v>0</v>
      </c>
      <c r="H280" s="1507">
        <f t="shared" ref="H280:I280" si="148">ROUNDUP(H281+H284,0)</f>
        <v>0</v>
      </c>
      <c r="I280" s="1507">
        <f t="shared" si="148"/>
        <v>0</v>
      </c>
      <c r="J280" s="1507">
        <f t="shared" si="147"/>
        <v>0</v>
      </c>
      <c r="K280" s="1507">
        <f>K281+K284</f>
        <v>0</v>
      </c>
      <c r="L280" s="1507">
        <f t="shared" ref="L280:M280" si="149">L281+L284</f>
        <v>0</v>
      </c>
      <c r="M280" s="1507">
        <f t="shared" si="149"/>
        <v>0</v>
      </c>
      <c r="N280" s="1509"/>
    </row>
    <row r="281" spans="1:14" ht="15.75" hidden="1" outlineLevel="2" x14ac:dyDescent="0.25">
      <c r="A281" s="1510"/>
      <c r="B281" s="1510"/>
      <c r="C281" s="1511" t="s">
        <v>1435</v>
      </c>
      <c r="D281" s="1510"/>
      <c r="E281" s="1510"/>
      <c r="F281" s="1512">
        <f t="shared" ref="F281:F286" si="150">SUM(G281:I281)</f>
        <v>0</v>
      </c>
      <c r="G281" s="1512">
        <f>SUM(G282:G283)</f>
        <v>0</v>
      </c>
      <c r="H281" s="1512">
        <f>SUM(H282:H283)</f>
        <v>0</v>
      </c>
      <c r="I281" s="1512">
        <f>SUM(I282:I283)</f>
        <v>0</v>
      </c>
      <c r="J281" s="1512">
        <f t="shared" si="147"/>
        <v>0</v>
      </c>
      <c r="K281" s="1512">
        <f>SUM(K282:K283)</f>
        <v>0</v>
      </c>
      <c r="L281" s="1512">
        <f>SUM(L282:L283)</f>
        <v>0</v>
      </c>
      <c r="M281" s="1512">
        <f>SUM(M282:M283)</f>
        <v>0</v>
      </c>
      <c r="N281" s="1513"/>
    </row>
    <row r="282" spans="1:14" ht="15.75" hidden="1" outlineLevel="3" x14ac:dyDescent="0.2">
      <c r="A282" s="1514">
        <v>0</v>
      </c>
      <c r="B282" s="1417">
        <v>1</v>
      </c>
      <c r="C282" s="1515" t="s">
        <v>1435</v>
      </c>
      <c r="D282" s="1413"/>
      <c r="E282" s="1414"/>
      <c r="F282" s="1512">
        <f t="shared" si="150"/>
        <v>0</v>
      </c>
      <c r="G282" s="1516">
        <f>IF($A282=1,IF($M$1="Простой",'Анализ уязвимостей'!H4,IF($M$1="Обычный",'Анализ уязвимостей'!H5,'Анализ уязвимостей'!H6)),0)</f>
        <v>0</v>
      </c>
      <c r="H282" s="1516">
        <f>IF($A282=1,IF($M$1="Простой",'Анализ уязвимостей'!I4,IF($M$1="Обычный",'Анализ уязвимостей'!I5,'Анализ уязвимостей'!I6)),0)</f>
        <v>0</v>
      </c>
      <c r="I282" s="1516">
        <f>IF($A282=1,IF($M$1="Простой",'Анализ уязвимостей'!J4,IF($M$1="Обычный",'Анализ уязвимостей'!J5,'Анализ уязвимостей'!J6)),0)</f>
        <v>0</v>
      </c>
      <c r="J282" s="1512">
        <f t="shared" si="147"/>
        <v>0</v>
      </c>
      <c r="K282" s="1516">
        <f>(G282/8)</f>
        <v>0</v>
      </c>
      <c r="L282" s="1516">
        <f t="shared" ref="L282:M283" si="151">(H282/8)</f>
        <v>0</v>
      </c>
      <c r="M282" s="1516">
        <f t="shared" si="151"/>
        <v>0</v>
      </c>
      <c r="N282" s="1517"/>
    </row>
    <row r="283" spans="1:14" ht="24" hidden="1" outlineLevel="3" x14ac:dyDescent="0.2">
      <c r="A283" s="1514">
        <v>0</v>
      </c>
      <c r="B283" s="1417">
        <v>1</v>
      </c>
      <c r="C283" s="1515" t="s">
        <v>1436</v>
      </c>
      <c r="D283" s="1413"/>
      <c r="E283" s="1413"/>
      <c r="F283" s="1512">
        <f t="shared" si="150"/>
        <v>0</v>
      </c>
      <c r="G283" s="1516">
        <f>IF($A283=1,IF($M$1="Простой",'Анализ уязвимостей'!H7,IF($M$1="Обычный",'Анализ уязвимостей'!H8,'Анализ уязвимостей'!H9)),0)</f>
        <v>0</v>
      </c>
      <c r="H283" s="1516">
        <f>IF($A283=1,IF($M$1="Простой",'Анализ уязвимостей'!I7,IF($M$1="Обычный",'Анализ уязвимостей'!I8,'Анализ уязвимостей'!I9)),0)</f>
        <v>0</v>
      </c>
      <c r="I283" s="1516">
        <f>IF($A283=1,IF($M$1="Простой",'Анализ уязвимостей'!J7,IF($M$1="Обычный",'Анализ уязвимостей'!J8,'Анализ уязвимостей'!J9)),0)</f>
        <v>0</v>
      </c>
      <c r="J283" s="1512">
        <f t="shared" si="147"/>
        <v>0</v>
      </c>
      <c r="K283" s="1516">
        <f>(G283/8)</f>
        <v>0</v>
      </c>
      <c r="L283" s="1516">
        <f t="shared" si="151"/>
        <v>0</v>
      </c>
      <c r="M283" s="1516">
        <f t="shared" si="151"/>
        <v>0</v>
      </c>
      <c r="N283" s="1517"/>
    </row>
    <row r="284" spans="1:14" ht="15.75" hidden="1" outlineLevel="2" x14ac:dyDescent="0.25">
      <c r="A284" s="1510"/>
      <c r="B284" s="1510"/>
      <c r="C284" s="1511" t="s">
        <v>1437</v>
      </c>
      <c r="D284" s="1510"/>
      <c r="E284" s="1510"/>
      <c r="F284" s="1512">
        <f t="shared" si="150"/>
        <v>0</v>
      </c>
      <c r="G284" s="1512">
        <f>SUM(G285:G286)</f>
        <v>0</v>
      </c>
      <c r="H284" s="1512">
        <f>SUM(H285:H286)</f>
        <v>0</v>
      </c>
      <c r="I284" s="1512">
        <f>SUM(I285:I286)</f>
        <v>0</v>
      </c>
      <c r="J284" s="1512">
        <f>SUM(K284:M284)</f>
        <v>0</v>
      </c>
      <c r="K284" s="1512">
        <f>SUM(K285:K286)</f>
        <v>0</v>
      </c>
      <c r="L284" s="1512">
        <f>SUM(L285:L286)</f>
        <v>0</v>
      </c>
      <c r="M284" s="1512">
        <f>SUM(M285:M286)</f>
        <v>0</v>
      </c>
      <c r="N284" s="1513"/>
    </row>
    <row r="285" spans="1:14" ht="15.75" hidden="1" outlineLevel="3" x14ac:dyDescent="0.2">
      <c r="A285" s="1514">
        <v>0</v>
      </c>
      <c r="B285" s="1580">
        <v>0</v>
      </c>
      <c r="C285" s="1515" t="s">
        <v>1437</v>
      </c>
      <c r="D285" s="1413"/>
      <c r="E285" s="1414"/>
      <c r="F285" s="1512">
        <f t="shared" si="150"/>
        <v>0</v>
      </c>
      <c r="G285" s="1516">
        <f>IF($A285=1,IF($M$1="Простой",'Анализ уязвимостей'!H11,IF($M$1="Обычный",'Анализ уязвимостей'!H12,'Анализ уязвимостей'!H13)),0)</f>
        <v>0</v>
      </c>
      <c r="H285" s="1516">
        <f>IF($A285=1,IF($M$1="Простой",'Анализ уязвимостей'!I11,IF($M$1="Обычный",'Анализ уязвимостей'!I12,'Анализ уязвимостей'!I13)),0)</f>
        <v>0</v>
      </c>
      <c r="I285" s="1516">
        <f>IF($A285=1,IF($M$1="Простой",'Анализ уязвимостей'!J11,IF($M$1="Обычный",'Анализ уязвимостей'!J12,'Анализ уязвимостей'!J13)),0)</f>
        <v>0</v>
      </c>
      <c r="J285" s="1512">
        <f t="shared" si="147"/>
        <v>0</v>
      </c>
      <c r="K285" s="1516">
        <f>(G285/8)</f>
        <v>0</v>
      </c>
      <c r="L285" s="1516">
        <f t="shared" ref="L285:M286" si="152">(H285/8)</f>
        <v>0</v>
      </c>
      <c r="M285" s="1516">
        <f t="shared" si="152"/>
        <v>0</v>
      </c>
      <c r="N285" s="1517"/>
    </row>
    <row r="286" spans="1:14" ht="15.75" hidden="1" outlineLevel="3" x14ac:dyDescent="0.2">
      <c r="A286" s="1514">
        <v>0</v>
      </c>
      <c r="B286" s="1580">
        <v>0</v>
      </c>
      <c r="C286" s="1515" t="s">
        <v>1439</v>
      </c>
      <c r="D286" s="1413"/>
      <c r="E286" s="1413"/>
      <c r="F286" s="1512">
        <f t="shared" si="150"/>
        <v>0</v>
      </c>
      <c r="G286" s="1516">
        <f>IF($A286=1,IF($M$1="Простой",'Анализ уязвимостей'!H14,IF($M$1="Обычный",'Анализ уязвимостей'!H15,'Анализ уязвимостей'!H16)),0)</f>
        <v>0</v>
      </c>
      <c r="H286" s="1516">
        <f>IF($A286=1,IF($M$1="Простой",'Анализ уязвимостей'!I14,IF($M$1="Обычный",'Анализ уязвимостей'!I15,'Анализ уязвимостей'!I16)),0)</f>
        <v>0</v>
      </c>
      <c r="I286" s="1516">
        <f>IF($A286=1,IF($M$1="Простой",'Анализ уязвимостей'!J14,IF($M$1="Обычный",'Анализ уязвимостей'!J15,'Анализ уязвимостей'!J16)),0)</f>
        <v>0</v>
      </c>
      <c r="J286" s="1512">
        <f t="shared" si="147"/>
        <v>0</v>
      </c>
      <c r="K286" s="1516">
        <f>(G286/8)</f>
        <v>0</v>
      </c>
      <c r="L286" s="1516">
        <f t="shared" si="152"/>
        <v>0</v>
      </c>
      <c r="M286" s="1516">
        <f t="shared" si="152"/>
        <v>0</v>
      </c>
      <c r="N286" s="1517"/>
    </row>
    <row r="287" spans="1:14" ht="21.75" hidden="1" collapsed="1" thickBot="1" x14ac:dyDescent="0.4">
      <c r="A287" s="2147" t="s">
        <v>1504</v>
      </c>
      <c r="B287" s="2148"/>
      <c r="C287" s="2148"/>
      <c r="D287" s="2148"/>
      <c r="E287" s="2149"/>
      <c r="F287" s="1518">
        <f t="shared" si="146"/>
        <v>0</v>
      </c>
      <c r="G287" s="1518">
        <f t="shared" ref="G287:M287" si="153">G288</f>
        <v>0</v>
      </c>
      <c r="H287" s="1518">
        <f t="shared" si="153"/>
        <v>0</v>
      </c>
      <c r="I287" s="1518">
        <f t="shared" si="153"/>
        <v>0</v>
      </c>
      <c r="J287" s="1518">
        <f t="shared" si="147"/>
        <v>0</v>
      </c>
      <c r="K287" s="1518">
        <f t="shared" si="153"/>
        <v>0</v>
      </c>
      <c r="L287" s="1518">
        <f t="shared" si="153"/>
        <v>0</v>
      </c>
      <c r="M287" s="1518">
        <f t="shared" si="153"/>
        <v>0</v>
      </c>
      <c r="N287" s="1519"/>
    </row>
    <row r="288" spans="1:14" ht="12.6" hidden="1" customHeight="1" outlineLevel="1" thickBot="1" x14ac:dyDescent="0.25">
      <c r="A288" s="2154"/>
      <c r="B288" s="2154"/>
      <c r="C288" s="2152" t="s">
        <v>1431</v>
      </c>
      <c r="D288" s="1520" t="s">
        <v>1421</v>
      </c>
      <c r="E288" s="1409">
        <v>1</v>
      </c>
      <c r="F288" s="2152">
        <f>SUM(G288:I289)</f>
        <v>0</v>
      </c>
      <c r="G288" s="2152">
        <f>ROUNDUP(G290,0)</f>
        <v>0</v>
      </c>
      <c r="H288" s="2152">
        <f t="shared" ref="H288:I288" si="154">ROUNDUP(H290,0)</f>
        <v>0</v>
      </c>
      <c r="I288" s="2152">
        <f t="shared" si="154"/>
        <v>0</v>
      </c>
      <c r="J288" s="2152">
        <f>SUM(K288:M289)</f>
        <v>0</v>
      </c>
      <c r="K288" s="2152">
        <f>ROUNDUP(K290,0)</f>
        <v>0</v>
      </c>
      <c r="L288" s="2152">
        <f t="shared" ref="L288:M288" si="155">ROUNDUP(L290,0)</f>
        <v>0</v>
      </c>
      <c r="M288" s="2152">
        <f t="shared" si="155"/>
        <v>0</v>
      </c>
      <c r="N288" s="2150"/>
    </row>
    <row r="289" spans="1:14" ht="12.6" hidden="1" customHeight="1" outlineLevel="1" thickBot="1" x14ac:dyDescent="0.25">
      <c r="A289" s="2155"/>
      <c r="B289" s="2155"/>
      <c r="C289" s="2153"/>
      <c r="D289" s="1520" t="s">
        <v>1422</v>
      </c>
      <c r="E289" s="1409">
        <v>1</v>
      </c>
      <c r="F289" s="2153"/>
      <c r="G289" s="2153"/>
      <c r="H289" s="2153"/>
      <c r="I289" s="2153"/>
      <c r="J289" s="2153"/>
      <c r="K289" s="2153"/>
      <c r="L289" s="2153"/>
      <c r="M289" s="2153"/>
      <c r="N289" s="2151"/>
    </row>
    <row r="290" spans="1:14" ht="15.75" hidden="1" outlineLevel="2" x14ac:dyDescent="0.2">
      <c r="A290" s="1521">
        <v>0</v>
      </c>
      <c r="B290" s="1417">
        <v>1</v>
      </c>
      <c r="C290" s="1522" t="s">
        <v>1431</v>
      </c>
      <c r="D290" s="1413"/>
      <c r="E290" s="1413"/>
      <c r="F290" s="1523">
        <f>SUM(G290:I290)</f>
        <v>0</v>
      </c>
      <c r="G290" s="1524">
        <f>IF($A290=1,IF($M$1="Простой",'МУиН ЦОД'!H4,IF($M$1="Обычный",'МУиН ЦОД'!H5,'МУиН ЦОД'!H6)),0)</f>
        <v>0</v>
      </c>
      <c r="H290" s="1524">
        <f>IF($A290=1,IF($M$1="Простой",'МУиН ЦОД'!I4,IF($M$1="Обычный",'МУиН ЦОД'!I5,'МУиН ЦОД'!I6)),0)</f>
        <v>0</v>
      </c>
      <c r="I290" s="1524">
        <f>IF($A290=1,IF($M$1="Простой",'МУиН ЦОД'!J4,IF($M$1="Обычный",'МУиН ЦОД'!J5,'МУиН ЦОД'!J6)),0)</f>
        <v>0</v>
      </c>
      <c r="J290" s="1523">
        <f>SUM(K290:M290)</f>
        <v>0</v>
      </c>
      <c r="K290" s="1524">
        <f>(G290/8)</f>
        <v>0</v>
      </c>
      <c r="L290" s="1524">
        <f t="shared" ref="L290:M290" si="156">(H290/8)</f>
        <v>0</v>
      </c>
      <c r="M290" s="1524">
        <f t="shared" si="156"/>
        <v>0</v>
      </c>
      <c r="N290" s="1525"/>
    </row>
    <row r="291" spans="1:14" collapsed="1" x14ac:dyDescent="0.2"/>
    <row r="298" spans="1:14" ht="12" customHeight="1" x14ac:dyDescent="0.2"/>
    <row r="299" spans="1:14" ht="12" customHeight="1" x14ac:dyDescent="0.2"/>
    <row r="300" spans="1:14" ht="12" customHeight="1" x14ac:dyDescent="0.2"/>
    <row r="301" spans="1:14" ht="12" customHeight="1" x14ac:dyDescent="0.2"/>
    <row r="302" spans="1:14" ht="12" customHeight="1" x14ac:dyDescent="0.2"/>
    <row r="303" spans="1:14" ht="12" customHeight="1" x14ac:dyDescent="0.2"/>
  </sheetData>
  <mergeCells count="187">
    <mergeCell ref="N288:N289"/>
    <mergeCell ref="H288:H289"/>
    <mergeCell ref="I288:I289"/>
    <mergeCell ref="J288:J289"/>
    <mergeCell ref="K288:K289"/>
    <mergeCell ref="A288:A289"/>
    <mergeCell ref="B288:B289"/>
    <mergeCell ref="C288:C289"/>
    <mergeCell ref="F288:F289"/>
    <mergeCell ref="G288:G289"/>
    <mergeCell ref="L288:L289"/>
    <mergeCell ref="M288:M289"/>
    <mergeCell ref="A275:E275"/>
    <mergeCell ref="A279:E279"/>
    <mergeCell ref="I256:I258"/>
    <mergeCell ref="J256:J258"/>
    <mergeCell ref="K256:K258"/>
    <mergeCell ref="L256:L258"/>
    <mergeCell ref="A287:E287"/>
    <mergeCell ref="N253:N254"/>
    <mergeCell ref="A256:A258"/>
    <mergeCell ref="B256:B258"/>
    <mergeCell ref="C256:C258"/>
    <mergeCell ref="F256:F258"/>
    <mergeCell ref="G256:G258"/>
    <mergeCell ref="H256:H258"/>
    <mergeCell ref="I253:I254"/>
    <mergeCell ref="J253:J254"/>
    <mergeCell ref="K253:K254"/>
    <mergeCell ref="L253:L254"/>
    <mergeCell ref="N256:N258"/>
    <mergeCell ref="M256:M258"/>
    <mergeCell ref="M238:M240"/>
    <mergeCell ref="N238:N240"/>
    <mergeCell ref="A253:A254"/>
    <mergeCell ref="B253:B254"/>
    <mergeCell ref="C253:C254"/>
    <mergeCell ref="F253:F254"/>
    <mergeCell ref="G253:G254"/>
    <mergeCell ref="H253:H254"/>
    <mergeCell ref="I238:I240"/>
    <mergeCell ref="J238:J240"/>
    <mergeCell ref="K238:K240"/>
    <mergeCell ref="L238:L240"/>
    <mergeCell ref="A238:A240"/>
    <mergeCell ref="B238:B240"/>
    <mergeCell ref="C238:C240"/>
    <mergeCell ref="F238:F240"/>
    <mergeCell ref="G238:G240"/>
    <mergeCell ref="H238:H240"/>
    <mergeCell ref="M253:M254"/>
    <mergeCell ref="K188:K190"/>
    <mergeCell ref="L223:L224"/>
    <mergeCell ref="M223:M224"/>
    <mergeCell ref="N223:N224"/>
    <mergeCell ref="A237:E237"/>
    <mergeCell ref="H223:H224"/>
    <mergeCell ref="I223:I224"/>
    <mergeCell ref="J223:J224"/>
    <mergeCell ref="K223:K224"/>
    <mergeCell ref="A223:A224"/>
    <mergeCell ref="B223:B224"/>
    <mergeCell ref="C223:C224"/>
    <mergeCell ref="F223:F224"/>
    <mergeCell ref="G223:G224"/>
    <mergeCell ref="H188:H190"/>
    <mergeCell ref="I188:I190"/>
    <mergeCell ref="J167:J169"/>
    <mergeCell ref="K167:K169"/>
    <mergeCell ref="L182:L183"/>
    <mergeCell ref="M182:M183"/>
    <mergeCell ref="N182:N183"/>
    <mergeCell ref="A188:A190"/>
    <mergeCell ref="B188:B190"/>
    <mergeCell ref="C188:C190"/>
    <mergeCell ref="F188:F190"/>
    <mergeCell ref="G188:G190"/>
    <mergeCell ref="H182:H183"/>
    <mergeCell ref="I182:I183"/>
    <mergeCell ref="J182:J183"/>
    <mergeCell ref="K182:K183"/>
    <mergeCell ref="L188:L190"/>
    <mergeCell ref="M188:M190"/>
    <mergeCell ref="N188:N190"/>
    <mergeCell ref="J188:J190"/>
    <mergeCell ref="A182:A183"/>
    <mergeCell ref="B182:B183"/>
    <mergeCell ref="C182:C183"/>
    <mergeCell ref="F182:F183"/>
    <mergeCell ref="G182:G183"/>
    <mergeCell ref="H167:H169"/>
    <mergeCell ref="I167:I169"/>
    <mergeCell ref="J104:J105"/>
    <mergeCell ref="K104:K105"/>
    <mergeCell ref="L104:L105"/>
    <mergeCell ref="M110:M112"/>
    <mergeCell ref="N110:N112"/>
    <mergeCell ref="A166:E166"/>
    <mergeCell ref="A167:A169"/>
    <mergeCell ref="B167:B169"/>
    <mergeCell ref="C167:C169"/>
    <mergeCell ref="F167:F169"/>
    <mergeCell ref="G167:G169"/>
    <mergeCell ref="I110:I112"/>
    <mergeCell ref="K110:K112"/>
    <mergeCell ref="J110:J112"/>
    <mergeCell ref="L110:L112"/>
    <mergeCell ref="L167:L169"/>
    <mergeCell ref="M167:M169"/>
    <mergeCell ref="N167:N169"/>
    <mergeCell ref="A110:A112"/>
    <mergeCell ref="B110:B112"/>
    <mergeCell ref="C110:C112"/>
    <mergeCell ref="F110:F112"/>
    <mergeCell ref="G110:G112"/>
    <mergeCell ref="H110:H112"/>
    <mergeCell ref="I104:I105"/>
    <mergeCell ref="N89:N91"/>
    <mergeCell ref="A104:A105"/>
    <mergeCell ref="B104:B105"/>
    <mergeCell ref="C104:C105"/>
    <mergeCell ref="F104:F105"/>
    <mergeCell ref="G104:G105"/>
    <mergeCell ref="H104:H105"/>
    <mergeCell ref="I89:I91"/>
    <mergeCell ref="J89:J91"/>
    <mergeCell ref="K89:K91"/>
    <mergeCell ref="L89:L91"/>
    <mergeCell ref="A89:A91"/>
    <mergeCell ref="B89:B91"/>
    <mergeCell ref="C89:C91"/>
    <mergeCell ref="F89:F91"/>
    <mergeCell ref="G89:G91"/>
    <mergeCell ref="H89:H91"/>
    <mergeCell ref="M104:M105"/>
    <mergeCell ref="N104:N105"/>
    <mergeCell ref="A88:E88"/>
    <mergeCell ref="H42:H44"/>
    <mergeCell ref="I42:I44"/>
    <mergeCell ref="J42:J44"/>
    <mergeCell ref="K42:K44"/>
    <mergeCell ref="M89:M91"/>
    <mergeCell ref="L38:L40"/>
    <mergeCell ref="M38:M40"/>
    <mergeCell ref="N38:N40"/>
    <mergeCell ref="A42:A44"/>
    <mergeCell ref="B42:B44"/>
    <mergeCell ref="C42:C44"/>
    <mergeCell ref="F42:F44"/>
    <mergeCell ref="G42:G44"/>
    <mergeCell ref="H38:H40"/>
    <mergeCell ref="I38:I40"/>
    <mergeCell ref="J38:J40"/>
    <mergeCell ref="K38:K40"/>
    <mergeCell ref="L42:L44"/>
    <mergeCell ref="M42:M44"/>
    <mergeCell ref="N42:N44"/>
    <mergeCell ref="A38:A40"/>
    <mergeCell ref="B38:B40"/>
    <mergeCell ref="C38:C40"/>
    <mergeCell ref="N10:N12"/>
    <mergeCell ref="A25:A27"/>
    <mergeCell ref="B25:B27"/>
    <mergeCell ref="C25:C27"/>
    <mergeCell ref="F25:F27"/>
    <mergeCell ref="G25:G27"/>
    <mergeCell ref="H10:H12"/>
    <mergeCell ref="I10:I12"/>
    <mergeCell ref="J10:J12"/>
    <mergeCell ref="K10:K12"/>
    <mergeCell ref="L25:L27"/>
    <mergeCell ref="M25:M27"/>
    <mergeCell ref="N25:N27"/>
    <mergeCell ref="M10:M12"/>
    <mergeCell ref="J25:J27"/>
    <mergeCell ref="K25:K27"/>
    <mergeCell ref="A9:E9"/>
    <mergeCell ref="A10:A12"/>
    <mergeCell ref="B10:B12"/>
    <mergeCell ref="C10:C12"/>
    <mergeCell ref="F10:F12"/>
    <mergeCell ref="G10:G12"/>
    <mergeCell ref="L10:L12"/>
    <mergeCell ref="F38:F40"/>
    <mergeCell ref="G38:G40"/>
    <mergeCell ref="H25:H27"/>
    <mergeCell ref="I25:I27"/>
  </mergeCells>
  <dataValidations disablePrompts="1" count="5">
    <dataValidation type="whole" errorStyle="warning" operator="lessThanOrEqual" allowBlank="1" showInputMessage="1" showErrorMessage="1" errorTitle="Ошибка" error="Количество типов систем не может быть больше общего количества систем" sqref="E289 E39 E105 E183 E254" xr:uid="{00000000-0002-0000-1800-000000000000}">
      <formula1>E38</formula1>
    </dataValidation>
    <dataValidation type="whole" errorStyle="warning" operator="lessThanOrEqual" allowBlank="1" showInputMessage="1" showErrorMessage="1" errorTitle="Ошибка" error="Количество типов ОКИИ не может быть больше общего количества ОКИИ" sqref="E12" xr:uid="{00000000-0002-0000-1800-000001000000}">
      <formula1>E11</formula1>
    </dataValidation>
    <dataValidation type="whole" errorStyle="warning" operator="lessThanOrEqual" allowBlank="1" showInputMessage="1" showErrorMessage="1" errorTitle="Ошибка" error="Количество ОКИИ не должно превышать количества систем" sqref="E11" xr:uid="{00000000-0002-0000-1800-000002000000}">
      <formula1>E10</formula1>
    </dataValidation>
    <dataValidation type="list" allowBlank="1" showInputMessage="1" showErrorMessage="1" sqref="M1" xr:uid="{00000000-0002-0000-1800-000003000000}">
      <formula1>$Q$2:$Q$4</formula1>
    </dataValidation>
    <dataValidation type="list" allowBlank="1" showInputMessage="1" showErrorMessage="1" sqref="E27 E189:E190 E224 E40 E43:E44 E91 E111:E112 E169 E240 E257:E258" xr:uid="{00000000-0002-0000-1800-000004000000}">
      <formula1>$R$2:$R$3</formula1>
    </dataValidation>
  </dataValidations>
  <pageMargins left="0.7" right="0.7" top="0.75" bottom="0.75" header="0.3" footer="0.3"/>
  <pageSetup orientation="portrait" r:id="rId1"/>
  <drawing r:id="rId2"/>
  <legacyDrawing r:id="rId3"/>
  <controls>
    <mc:AlternateContent xmlns:mc="http://schemas.openxmlformats.org/markup-compatibility/2006">
      <mc:Choice Requires="x14">
        <control shapeId="109594" r:id="rId4" name="Kategorirovanie">
          <controlPr locked="0" defaultSize="0" autoLine="0" r:id="rId5">
            <anchor moveWithCells="1" sizeWithCells="1">
              <from>
                <xdr:col>0</xdr:col>
                <xdr:colOff>257175</xdr:colOff>
                <xdr:row>9</xdr:row>
                <xdr:rowOff>161925</xdr:rowOff>
              </from>
              <to>
                <xdr:col>0</xdr:col>
                <xdr:colOff>438150</xdr:colOff>
                <xdr:row>11</xdr:row>
                <xdr:rowOff>19050</xdr:rowOff>
              </to>
            </anchor>
          </controlPr>
        </control>
      </mc:Choice>
      <mc:Fallback>
        <control shapeId="109594" r:id="rId4" name="Kategorirovanie"/>
      </mc:Fallback>
    </mc:AlternateContent>
    <mc:AlternateContent xmlns:mc="http://schemas.openxmlformats.org/markup-compatibility/2006">
      <mc:Choice Requires="x14">
        <control shapeId="109593" r:id="rId6" name="Show_TSOD">
          <controlPr locked="0" defaultSize="0" autoLine="0" r:id="rId7">
            <anchor moveWithCells="1" sizeWithCells="1">
              <from>
                <xdr:col>1</xdr:col>
                <xdr:colOff>476250</xdr:colOff>
                <xdr:row>6</xdr:row>
                <xdr:rowOff>0</xdr:rowOff>
              </from>
              <to>
                <xdr:col>1</xdr:col>
                <xdr:colOff>619125</xdr:colOff>
                <xdr:row>6</xdr:row>
                <xdr:rowOff>190500</xdr:rowOff>
              </to>
            </anchor>
          </controlPr>
        </control>
      </mc:Choice>
      <mc:Fallback>
        <control shapeId="109593" r:id="rId6" name="Show_TSOD"/>
      </mc:Fallback>
    </mc:AlternateContent>
    <mc:AlternateContent xmlns:mc="http://schemas.openxmlformats.org/markup-compatibility/2006">
      <mc:Choice Requires="x14">
        <control shapeId="109592" r:id="rId8" name="Show_Vuln">
          <controlPr locked="0" defaultSize="0" autoLine="0" r:id="rId9">
            <anchor moveWithCells="1" sizeWithCells="1">
              <from>
                <xdr:col>1</xdr:col>
                <xdr:colOff>476250</xdr:colOff>
                <xdr:row>5</xdr:row>
                <xdr:rowOff>0</xdr:rowOff>
              </from>
              <to>
                <xdr:col>1</xdr:col>
                <xdr:colOff>619125</xdr:colOff>
                <xdr:row>5</xdr:row>
                <xdr:rowOff>190500</xdr:rowOff>
              </to>
            </anchor>
          </controlPr>
        </control>
      </mc:Choice>
      <mc:Fallback>
        <control shapeId="109592" r:id="rId8" name="Show_Vuln"/>
      </mc:Fallback>
    </mc:AlternateContent>
    <mc:AlternateContent xmlns:mc="http://schemas.openxmlformats.org/markup-compatibility/2006">
      <mc:Choice Requires="x14">
        <control shapeId="109591" r:id="rId10" name="Show_AS">
          <controlPr locked="0" defaultSize="0" autoLine="0" r:id="rId11">
            <anchor moveWithCells="1" sizeWithCells="1">
              <from>
                <xdr:col>1</xdr:col>
                <xdr:colOff>485775</xdr:colOff>
                <xdr:row>4</xdr:row>
                <xdr:rowOff>9525</xdr:rowOff>
              </from>
              <to>
                <xdr:col>1</xdr:col>
                <xdr:colOff>619125</xdr:colOff>
                <xdr:row>4</xdr:row>
                <xdr:rowOff>200025</xdr:rowOff>
              </to>
            </anchor>
          </controlPr>
        </control>
      </mc:Choice>
      <mc:Fallback>
        <control shapeId="109591" r:id="rId10" name="Show_AS"/>
      </mc:Fallback>
    </mc:AlternateContent>
    <mc:AlternateContent xmlns:mc="http://schemas.openxmlformats.org/markup-compatibility/2006">
      <mc:Choice Requires="x14">
        <control shapeId="109590" r:id="rId12" name="Show_KT">
          <controlPr locked="0" defaultSize="0" autoLine="0" r:id="rId13">
            <anchor moveWithCells="1" sizeWithCells="1">
              <from>
                <xdr:col>1</xdr:col>
                <xdr:colOff>476250</xdr:colOff>
                <xdr:row>3</xdr:row>
                <xdr:rowOff>0</xdr:rowOff>
              </from>
              <to>
                <xdr:col>1</xdr:col>
                <xdr:colOff>619125</xdr:colOff>
                <xdr:row>3</xdr:row>
                <xdr:rowOff>190500</xdr:rowOff>
              </to>
            </anchor>
          </controlPr>
        </control>
      </mc:Choice>
      <mc:Fallback>
        <control shapeId="109590" r:id="rId12" name="Show_KT"/>
      </mc:Fallback>
    </mc:AlternateContent>
    <mc:AlternateContent xmlns:mc="http://schemas.openxmlformats.org/markup-compatibility/2006">
      <mc:Choice Requires="x14">
        <control shapeId="109589" r:id="rId14" name="Show_GIS">
          <controlPr locked="0" defaultSize="0" autoLine="0" autoPict="0" r:id="rId15">
            <anchor moveWithCells="1" sizeWithCells="1">
              <from>
                <xdr:col>1</xdr:col>
                <xdr:colOff>476250</xdr:colOff>
                <xdr:row>2</xdr:row>
                <xdr:rowOff>219075</xdr:rowOff>
              </from>
              <to>
                <xdr:col>1</xdr:col>
                <xdr:colOff>628650</xdr:colOff>
                <xdr:row>2</xdr:row>
                <xdr:rowOff>400050</xdr:rowOff>
              </to>
            </anchor>
          </controlPr>
        </control>
      </mc:Choice>
      <mc:Fallback>
        <control shapeId="109589" r:id="rId14" name="Show_GIS"/>
      </mc:Fallback>
    </mc:AlternateContent>
    <mc:AlternateContent xmlns:mc="http://schemas.openxmlformats.org/markup-compatibility/2006">
      <mc:Choice Requires="x14">
        <control shapeId="109588" r:id="rId16" name="Show_PDN">
          <controlPr locked="0" defaultSize="0" autoLine="0" r:id="rId17">
            <anchor moveWithCells="1" sizeWithCells="1">
              <from>
                <xdr:col>1</xdr:col>
                <xdr:colOff>476250</xdr:colOff>
                <xdr:row>1</xdr:row>
                <xdr:rowOff>142875</xdr:rowOff>
              </from>
              <to>
                <xdr:col>1</xdr:col>
                <xdr:colOff>619125</xdr:colOff>
                <xdr:row>1</xdr:row>
                <xdr:rowOff>333375</xdr:rowOff>
              </to>
            </anchor>
          </controlPr>
        </control>
      </mc:Choice>
      <mc:Fallback>
        <control shapeId="109588" r:id="rId16" name="Show_PDN"/>
      </mc:Fallback>
    </mc:AlternateContent>
    <mc:AlternateContent xmlns:mc="http://schemas.openxmlformats.org/markup-compatibility/2006">
      <mc:Choice Requires="x14">
        <control shapeId="109587" r:id="rId18" name="Show_KII">
          <controlPr locked="0" defaultSize="0" autoLine="0" r:id="rId19">
            <anchor moveWithCells="1" sizeWithCells="1">
              <from>
                <xdr:col>1</xdr:col>
                <xdr:colOff>485775</xdr:colOff>
                <xdr:row>0</xdr:row>
                <xdr:rowOff>123825</xdr:rowOff>
              </from>
              <to>
                <xdr:col>1</xdr:col>
                <xdr:colOff>619125</xdr:colOff>
                <xdr:row>1</xdr:row>
                <xdr:rowOff>9525</xdr:rowOff>
              </to>
            </anchor>
          </controlPr>
        </control>
      </mc:Choice>
      <mc:Fallback>
        <control shapeId="109587" r:id="rId18" name="Show_KII"/>
      </mc:Fallback>
    </mc:AlternateContent>
    <mc:AlternateContent xmlns:mc="http://schemas.openxmlformats.org/markup-compatibility/2006">
      <mc:Choice Requires="x14">
        <control shapeId="109586" r:id="rId20" name="MUiN_TSOD">
          <controlPr locked="0" defaultSize="0" autoLine="0" r:id="rId21">
            <anchor moveWithCells="1" sizeWithCells="1">
              <from>
                <xdr:col>0</xdr:col>
                <xdr:colOff>276225</xdr:colOff>
                <xdr:row>287</xdr:row>
                <xdr:rowOff>85725</xdr:rowOff>
              </from>
              <to>
                <xdr:col>0</xdr:col>
                <xdr:colOff>400050</xdr:colOff>
                <xdr:row>288</xdr:row>
                <xdr:rowOff>76200</xdr:rowOff>
              </to>
            </anchor>
          </controlPr>
        </control>
      </mc:Choice>
      <mc:Fallback>
        <control shapeId="109586" r:id="rId20" name="MUiN_TSOD"/>
      </mc:Fallback>
    </mc:AlternateContent>
    <mc:AlternateContent xmlns:mc="http://schemas.openxmlformats.org/markup-compatibility/2006">
      <mc:Choice Requires="x14">
        <control shapeId="109585" r:id="rId22" name="Vuln">
          <controlPr locked="0" defaultSize="0" autoLine="0" r:id="rId23">
            <anchor moveWithCells="1" sizeWithCells="1">
              <from>
                <xdr:col>0</xdr:col>
                <xdr:colOff>295275</xdr:colOff>
                <xdr:row>279</xdr:row>
                <xdr:rowOff>66675</xdr:rowOff>
              </from>
              <to>
                <xdr:col>0</xdr:col>
                <xdr:colOff>428625</xdr:colOff>
                <xdr:row>279</xdr:row>
                <xdr:rowOff>219075</xdr:rowOff>
              </to>
            </anchor>
          </controlPr>
        </control>
      </mc:Choice>
      <mc:Fallback>
        <control shapeId="109585" r:id="rId22" name="Vuln"/>
      </mc:Fallback>
    </mc:AlternateContent>
    <mc:AlternateContent xmlns:mc="http://schemas.openxmlformats.org/markup-compatibility/2006">
      <mc:Choice Requires="x14">
        <control shapeId="109584" r:id="rId24" name="Klass_AS">
          <controlPr locked="0" defaultSize="0" autoLine="0" r:id="rId25">
            <anchor moveWithCells="1" sizeWithCells="1">
              <from>
                <xdr:col>0</xdr:col>
                <xdr:colOff>304800</xdr:colOff>
                <xdr:row>275</xdr:row>
                <xdr:rowOff>57150</xdr:rowOff>
              </from>
              <to>
                <xdr:col>0</xdr:col>
                <xdr:colOff>438150</xdr:colOff>
                <xdr:row>275</xdr:row>
                <xdr:rowOff>257175</xdr:rowOff>
              </to>
            </anchor>
          </controlPr>
        </control>
      </mc:Choice>
      <mc:Fallback>
        <control shapeId="109584" r:id="rId24" name="Klass_AS"/>
      </mc:Fallback>
    </mc:AlternateContent>
    <mc:AlternateContent xmlns:mc="http://schemas.openxmlformats.org/markup-compatibility/2006">
      <mc:Choice Requires="x14">
        <control shapeId="109583" r:id="rId26" name="ORD_KT">
          <controlPr locked="0" defaultSize="0" autoLine="0" r:id="rId27">
            <anchor moveWithCells="1" sizeWithCells="1">
              <from>
                <xdr:col>0</xdr:col>
                <xdr:colOff>285750</xdr:colOff>
                <xdr:row>256</xdr:row>
                <xdr:rowOff>19050</xdr:rowOff>
              </from>
              <to>
                <xdr:col>0</xdr:col>
                <xdr:colOff>419100</xdr:colOff>
                <xdr:row>257</xdr:row>
                <xdr:rowOff>47625</xdr:rowOff>
              </to>
            </anchor>
          </controlPr>
        </control>
      </mc:Choice>
      <mc:Fallback>
        <control shapeId="109583" r:id="rId26" name="ORD_KT"/>
      </mc:Fallback>
    </mc:AlternateContent>
    <mc:AlternateContent xmlns:mc="http://schemas.openxmlformats.org/markup-compatibility/2006">
      <mc:Choice Requires="x14">
        <control shapeId="109582" r:id="rId28" name="MUiN_KT">
          <controlPr locked="0" defaultSize="0" autoLine="0" r:id="rId29">
            <anchor moveWithCells="1" sizeWithCells="1">
              <from>
                <xdr:col>0</xdr:col>
                <xdr:colOff>266700</xdr:colOff>
                <xdr:row>252</xdr:row>
                <xdr:rowOff>123825</xdr:rowOff>
              </from>
              <to>
                <xdr:col>0</xdr:col>
                <xdr:colOff>438150</xdr:colOff>
                <xdr:row>253</xdr:row>
                <xdr:rowOff>123825</xdr:rowOff>
              </to>
            </anchor>
          </controlPr>
        </control>
      </mc:Choice>
      <mc:Fallback>
        <control shapeId="109582" r:id="rId28" name="MUiN_KT"/>
      </mc:Fallback>
    </mc:AlternateContent>
    <mc:AlternateContent xmlns:mc="http://schemas.openxmlformats.org/markup-compatibility/2006">
      <mc:Choice Requires="x14">
        <control shapeId="109581" r:id="rId30" name="Audit_KT">
          <controlPr locked="0" defaultSize="0" autoLine="0" r:id="rId31">
            <anchor moveWithCells="1" sizeWithCells="1">
              <from>
                <xdr:col>0</xdr:col>
                <xdr:colOff>285750</xdr:colOff>
                <xdr:row>238</xdr:row>
                <xdr:rowOff>123825</xdr:rowOff>
              </from>
              <to>
                <xdr:col>0</xdr:col>
                <xdr:colOff>428625</xdr:colOff>
                <xdr:row>238</xdr:row>
                <xdr:rowOff>276225</xdr:rowOff>
              </to>
            </anchor>
          </controlPr>
        </control>
      </mc:Choice>
      <mc:Fallback>
        <control shapeId="109581" r:id="rId30" name="Audit_KT"/>
      </mc:Fallback>
    </mc:AlternateContent>
    <mc:AlternateContent xmlns:mc="http://schemas.openxmlformats.org/markup-compatibility/2006">
      <mc:Choice Requires="x14">
        <control shapeId="109580" r:id="rId32" name="Attestat">
          <controlPr locked="0" defaultSize="0" autoLine="0" r:id="rId33">
            <anchor moveWithCells="1" sizeWithCells="1">
              <from>
                <xdr:col>0</xdr:col>
                <xdr:colOff>285750</xdr:colOff>
                <xdr:row>222</xdr:row>
                <xdr:rowOff>123825</xdr:rowOff>
              </from>
              <to>
                <xdr:col>0</xdr:col>
                <xdr:colOff>428625</xdr:colOff>
                <xdr:row>223</xdr:row>
                <xdr:rowOff>104775</xdr:rowOff>
              </to>
            </anchor>
          </controlPr>
        </control>
      </mc:Choice>
      <mc:Fallback>
        <control shapeId="109580" r:id="rId32" name="Attestat"/>
      </mc:Fallback>
    </mc:AlternateContent>
    <mc:AlternateContent xmlns:mc="http://schemas.openxmlformats.org/markup-compatibility/2006">
      <mc:Choice Requires="x14">
        <control shapeId="109579" r:id="rId34" name="ORD_GIS">
          <controlPr locked="0" defaultSize="0" autoLine="0" r:id="rId35">
            <anchor moveWithCells="1" sizeWithCells="1">
              <from>
                <xdr:col>0</xdr:col>
                <xdr:colOff>276225</xdr:colOff>
                <xdr:row>188</xdr:row>
                <xdr:rowOff>19050</xdr:rowOff>
              </from>
              <to>
                <xdr:col>0</xdr:col>
                <xdr:colOff>409575</xdr:colOff>
                <xdr:row>189</xdr:row>
                <xdr:rowOff>47625</xdr:rowOff>
              </to>
            </anchor>
          </controlPr>
        </control>
      </mc:Choice>
      <mc:Fallback>
        <control shapeId="109579" r:id="rId34" name="ORD_GIS"/>
      </mc:Fallback>
    </mc:AlternateContent>
    <mc:AlternateContent xmlns:mc="http://schemas.openxmlformats.org/markup-compatibility/2006">
      <mc:Choice Requires="x14">
        <control shapeId="109578" r:id="rId36" name="Klass_GIS">
          <controlPr locked="0" defaultSize="0" autoLine="0" r:id="rId37">
            <anchor moveWithCells="1" sizeWithCells="1">
              <from>
                <xdr:col>0</xdr:col>
                <xdr:colOff>276225</xdr:colOff>
                <xdr:row>183</xdr:row>
                <xdr:rowOff>190500</xdr:rowOff>
              </from>
              <to>
                <xdr:col>0</xdr:col>
                <xdr:colOff>419100</xdr:colOff>
                <xdr:row>184</xdr:row>
                <xdr:rowOff>161925</xdr:rowOff>
              </to>
            </anchor>
          </controlPr>
        </control>
      </mc:Choice>
      <mc:Fallback>
        <control shapeId="109578" r:id="rId36" name="Klass_GIS"/>
      </mc:Fallback>
    </mc:AlternateContent>
    <mc:AlternateContent xmlns:mc="http://schemas.openxmlformats.org/markup-compatibility/2006">
      <mc:Choice Requires="x14">
        <control shapeId="109577" r:id="rId38" name="MUiN_GIS">
          <controlPr locked="0" defaultSize="0" autoLine="0" r:id="rId39">
            <anchor moveWithCells="1" sizeWithCells="1">
              <from>
                <xdr:col>0</xdr:col>
                <xdr:colOff>285750</xdr:colOff>
                <xdr:row>181</xdr:row>
                <xdr:rowOff>66675</xdr:rowOff>
              </from>
              <to>
                <xdr:col>0</xdr:col>
                <xdr:colOff>419100</xdr:colOff>
                <xdr:row>182</xdr:row>
                <xdr:rowOff>47625</xdr:rowOff>
              </to>
            </anchor>
          </controlPr>
        </control>
      </mc:Choice>
      <mc:Fallback>
        <control shapeId="109577" r:id="rId38" name="MUiN_GIS"/>
      </mc:Fallback>
    </mc:AlternateContent>
    <mc:AlternateContent xmlns:mc="http://schemas.openxmlformats.org/markup-compatibility/2006">
      <mc:Choice Requires="x14">
        <control shapeId="109576" r:id="rId40" name="Audit_GIS">
          <controlPr locked="0" defaultSize="0" autoLine="0" r:id="rId41">
            <anchor moveWithCells="1" sizeWithCells="1">
              <from>
                <xdr:col>0</xdr:col>
                <xdr:colOff>276225</xdr:colOff>
                <xdr:row>167</xdr:row>
                <xdr:rowOff>114300</xdr:rowOff>
              </from>
              <to>
                <xdr:col>0</xdr:col>
                <xdr:colOff>409575</xdr:colOff>
                <xdr:row>168</xdr:row>
                <xdr:rowOff>57150</xdr:rowOff>
              </to>
            </anchor>
          </controlPr>
        </control>
      </mc:Choice>
      <mc:Fallback>
        <control shapeId="109576" r:id="rId40" name="Audit_GIS"/>
      </mc:Fallback>
    </mc:AlternateContent>
    <mc:AlternateContent xmlns:mc="http://schemas.openxmlformats.org/markup-compatibility/2006">
      <mc:Choice Requires="x14">
        <control shapeId="109575" r:id="rId42" name="ORD_PDN">
          <controlPr locked="0" defaultSize="0" autoLine="0" r:id="rId43">
            <anchor moveWithCells="1" sizeWithCells="1">
              <from>
                <xdr:col>0</xdr:col>
                <xdr:colOff>285750</xdr:colOff>
                <xdr:row>110</xdr:row>
                <xdr:rowOff>28575</xdr:rowOff>
              </from>
              <to>
                <xdr:col>0</xdr:col>
                <xdr:colOff>428625</xdr:colOff>
                <xdr:row>111</xdr:row>
                <xdr:rowOff>9525</xdr:rowOff>
              </to>
            </anchor>
          </controlPr>
        </control>
      </mc:Choice>
      <mc:Fallback>
        <control shapeId="109575" r:id="rId42" name="ORD_PDN"/>
      </mc:Fallback>
    </mc:AlternateContent>
    <mc:AlternateContent xmlns:mc="http://schemas.openxmlformats.org/markup-compatibility/2006">
      <mc:Choice Requires="x14">
        <control shapeId="109574" r:id="rId44" name="Klass_PDN">
          <controlPr locked="0" defaultSize="0" autoLine="0" r:id="rId45">
            <anchor moveWithCells="1" sizeWithCells="1">
              <from>
                <xdr:col>0</xdr:col>
                <xdr:colOff>276225</xdr:colOff>
                <xdr:row>106</xdr:row>
                <xdr:rowOff>9525</xdr:rowOff>
              </from>
              <to>
                <xdr:col>0</xdr:col>
                <xdr:colOff>409575</xdr:colOff>
                <xdr:row>107</xdr:row>
                <xdr:rowOff>9525</xdr:rowOff>
              </to>
            </anchor>
          </controlPr>
        </control>
      </mc:Choice>
      <mc:Fallback>
        <control shapeId="109574" r:id="rId44" name="Klass_PDN"/>
      </mc:Fallback>
    </mc:AlternateContent>
    <mc:AlternateContent xmlns:mc="http://schemas.openxmlformats.org/markup-compatibility/2006">
      <mc:Choice Requires="x14">
        <control shapeId="109573" r:id="rId46" name="MUiN_PDN">
          <controlPr locked="0" defaultSize="0" autoLine="0" autoPict="0" r:id="rId47">
            <anchor moveWithCells="1" sizeWithCells="1">
              <from>
                <xdr:col>0</xdr:col>
                <xdr:colOff>247650</xdr:colOff>
                <xdr:row>103</xdr:row>
                <xdr:rowOff>95250</xdr:rowOff>
              </from>
              <to>
                <xdr:col>0</xdr:col>
                <xdr:colOff>419100</xdr:colOff>
                <xdr:row>104</xdr:row>
                <xdr:rowOff>57150</xdr:rowOff>
              </to>
            </anchor>
          </controlPr>
        </control>
      </mc:Choice>
      <mc:Fallback>
        <control shapeId="109573" r:id="rId46" name="MUiN_PDN"/>
      </mc:Fallback>
    </mc:AlternateContent>
    <mc:AlternateContent xmlns:mc="http://schemas.openxmlformats.org/markup-compatibility/2006">
      <mc:Choice Requires="x14">
        <control shapeId="109572" r:id="rId48" name="Audit_PDN">
          <controlPr locked="0" defaultSize="0" autoLine="0" r:id="rId49">
            <anchor moveWithCells="1" sizeWithCells="1">
              <from>
                <xdr:col>0</xdr:col>
                <xdr:colOff>285750</xdr:colOff>
                <xdr:row>89</xdr:row>
                <xdr:rowOff>19050</xdr:rowOff>
              </from>
              <to>
                <xdr:col>0</xdr:col>
                <xdr:colOff>428625</xdr:colOff>
                <xdr:row>90</xdr:row>
                <xdr:rowOff>19050</xdr:rowOff>
              </to>
            </anchor>
          </controlPr>
        </control>
      </mc:Choice>
      <mc:Fallback>
        <control shapeId="109572" r:id="rId48" name="Audit_PDN"/>
      </mc:Fallback>
    </mc:AlternateContent>
    <mc:AlternateContent xmlns:mc="http://schemas.openxmlformats.org/markup-compatibility/2006">
      <mc:Choice Requires="x14">
        <control shapeId="109571" r:id="rId50" name="ORD_KII">
          <controlPr locked="0" defaultSize="0" autoLine="0" r:id="rId51">
            <anchor moveWithCells="1" sizeWithCells="1">
              <from>
                <xdr:col>0</xdr:col>
                <xdr:colOff>257175</xdr:colOff>
                <xdr:row>41</xdr:row>
                <xdr:rowOff>257175</xdr:rowOff>
              </from>
              <to>
                <xdr:col>0</xdr:col>
                <xdr:colOff>400050</xdr:colOff>
                <xdr:row>42</xdr:row>
                <xdr:rowOff>133350</xdr:rowOff>
              </to>
            </anchor>
          </controlPr>
        </control>
      </mc:Choice>
      <mc:Fallback>
        <control shapeId="109571" r:id="rId50" name="ORD_KII"/>
      </mc:Fallback>
    </mc:AlternateContent>
    <mc:AlternateContent xmlns:mc="http://schemas.openxmlformats.org/markup-compatibility/2006">
      <mc:Choice Requires="x14">
        <control shapeId="109570" r:id="rId52" name="MUiN_KII">
          <controlPr locked="0" defaultSize="0" autoLine="0" r:id="rId53">
            <anchor moveWithCells="1" sizeWithCells="1">
              <from>
                <xdr:col>0</xdr:col>
                <xdr:colOff>228600</xdr:colOff>
                <xdr:row>37</xdr:row>
                <xdr:rowOff>123825</xdr:rowOff>
              </from>
              <to>
                <xdr:col>0</xdr:col>
                <xdr:colOff>409575</xdr:colOff>
                <xdr:row>38</xdr:row>
                <xdr:rowOff>142875</xdr:rowOff>
              </to>
            </anchor>
          </controlPr>
        </control>
      </mc:Choice>
      <mc:Fallback>
        <control shapeId="109570" r:id="rId52" name="MUiN_KII"/>
      </mc:Fallback>
    </mc:AlternateContent>
    <mc:AlternateContent xmlns:mc="http://schemas.openxmlformats.org/markup-compatibility/2006">
      <mc:Choice Requires="x14">
        <control shapeId="109569" r:id="rId54" name="Audit_KII">
          <controlPr locked="0" defaultSize="0" autoLine="0" r:id="rId55">
            <anchor moveWithCells="1" sizeWithCells="1">
              <from>
                <xdr:col>0</xdr:col>
                <xdr:colOff>276225</xdr:colOff>
                <xdr:row>25</xdr:row>
                <xdr:rowOff>0</xdr:rowOff>
              </from>
              <to>
                <xdr:col>0</xdr:col>
                <xdr:colOff>447675</xdr:colOff>
                <xdr:row>26</xdr:row>
                <xdr:rowOff>38100</xdr:rowOff>
              </to>
            </anchor>
          </controlPr>
        </control>
      </mc:Choice>
      <mc:Fallback>
        <control shapeId="109569" r:id="rId54" name="Audit_KII"/>
      </mc:Fallback>
    </mc:AlternateContent>
  </controls>
  <tableParts count="2">
    <tablePart r:id="rId56"/>
    <tablePart r:id="rId5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88"/>
  <dimension ref="A1:K39"/>
  <sheetViews>
    <sheetView workbookViewId="0">
      <selection activeCell="F2" sqref="F2"/>
    </sheetView>
  </sheetViews>
  <sheetFormatPr defaultColWidth="9.140625" defaultRowHeight="15" x14ac:dyDescent="0.25"/>
  <cols>
    <col min="1" max="1" width="53.42578125" style="1271" bestFit="1" customWidth="1"/>
    <col min="2" max="2" width="23.5703125" style="1271" bestFit="1" customWidth="1"/>
    <col min="3" max="3" width="23.5703125" style="1271" customWidth="1"/>
    <col min="4" max="4" width="26.28515625" style="1271" bestFit="1" customWidth="1"/>
    <col min="5" max="5" width="19" style="1271" bestFit="1" customWidth="1"/>
    <col min="6" max="6" width="28.7109375" style="1271" bestFit="1" customWidth="1"/>
    <col min="7" max="7" width="7.5703125" style="1271" bestFit="1" customWidth="1"/>
    <col min="8" max="8" width="11.28515625" style="1271" customWidth="1"/>
    <col min="9" max="9" width="11.42578125" style="1271" customWidth="1"/>
    <col min="10" max="10" width="11.5703125" style="1271" customWidth="1"/>
    <col min="11" max="11" width="28.7109375" style="1271" customWidth="1"/>
    <col min="12" max="16384" width="9.140625" style="1271"/>
  </cols>
  <sheetData>
    <row r="1" spans="1:11" ht="60" x14ac:dyDescent="0.25">
      <c r="A1" s="879" t="s">
        <v>1391</v>
      </c>
      <c r="B1" s="1376" t="s">
        <v>1228</v>
      </c>
      <c r="C1" s="2157" t="s">
        <v>1229</v>
      </c>
      <c r="D1" s="1377" t="s">
        <v>1392</v>
      </c>
      <c r="E1" s="1377" t="s">
        <v>1393</v>
      </c>
      <c r="F1" s="1377" t="s">
        <v>1394</v>
      </c>
      <c r="G1" s="2158" t="s">
        <v>38</v>
      </c>
      <c r="H1" s="2156" t="s">
        <v>715</v>
      </c>
      <c r="I1" s="2156" t="s">
        <v>714</v>
      </c>
      <c r="J1" s="2156" t="s">
        <v>713</v>
      </c>
      <c r="K1" s="2156" t="s">
        <v>272</v>
      </c>
    </row>
    <row r="2" spans="1:11" ht="15.75" x14ac:dyDescent="0.25">
      <c r="A2" s="1379" t="s">
        <v>36</v>
      </c>
      <c r="B2" s="206">
        <f>IF(ТрЗ_ОКиА!$M$1="Простой", 1, IF(ТрЗ_ОКиА!$M$1="Обычный",2,3))</f>
        <v>2</v>
      </c>
      <c r="C2" s="2157"/>
      <c r="D2" s="184">
        <f>ТрЗ_ОКиА!E10</f>
        <v>20</v>
      </c>
      <c r="E2" s="184">
        <f>ТрЗ_ОКиА!E11</f>
        <v>20</v>
      </c>
      <c r="F2" s="184">
        <f>ТрЗ_ОКиА!E12</f>
        <v>3</v>
      </c>
      <c r="G2" s="2158"/>
      <c r="H2" s="2156"/>
      <c r="I2" s="2156"/>
      <c r="J2" s="2156"/>
      <c r="K2" s="2156"/>
    </row>
    <row r="3" spans="1:11" ht="15.75" x14ac:dyDescent="0.25">
      <c r="A3" s="1384" t="s">
        <v>1395</v>
      </c>
      <c r="B3" s="1384"/>
      <c r="C3" s="1384"/>
      <c r="D3" s="1384"/>
      <c r="E3" s="1384"/>
      <c r="F3" s="1384"/>
      <c r="G3" s="1384"/>
      <c r="H3" s="1385"/>
      <c r="I3" s="1385"/>
      <c r="J3" s="1385"/>
      <c r="K3" s="1385"/>
    </row>
    <row r="4" spans="1:11" x14ac:dyDescent="0.25">
      <c r="A4" s="1974" t="s">
        <v>1396</v>
      </c>
      <c r="B4" s="129" t="s">
        <v>32</v>
      </c>
      <c r="C4" s="814">
        <f>8*3</f>
        <v>24</v>
      </c>
      <c r="D4" s="658">
        <v>0</v>
      </c>
      <c r="E4" s="764">
        <v>0</v>
      </c>
      <c r="F4" s="764">
        <v>0</v>
      </c>
      <c r="G4" s="814">
        <f xml:space="preserve"> SUM(C4:F4)</f>
        <v>24</v>
      </c>
      <c r="H4" s="813">
        <f>G4*70%</f>
        <v>16.799999999999997</v>
      </c>
      <c r="I4" s="813">
        <f>G4*20%</f>
        <v>4.8000000000000007</v>
      </c>
      <c r="J4" s="813">
        <f>G4*10%</f>
        <v>2.4000000000000004</v>
      </c>
      <c r="K4" s="1894" t="s">
        <v>1375</v>
      </c>
    </row>
    <row r="5" spans="1:11" x14ac:dyDescent="0.25">
      <c r="A5" s="1974"/>
      <c r="B5" s="129" t="s">
        <v>33</v>
      </c>
      <c r="C5" s="814">
        <f>8*4</f>
        <v>32</v>
      </c>
      <c r="D5" s="658">
        <v>0</v>
      </c>
      <c r="E5" s="764">
        <v>0</v>
      </c>
      <c r="F5" s="764">
        <v>0</v>
      </c>
      <c r="G5" s="814">
        <f xml:space="preserve"> SUM(C5:F5)</f>
        <v>32</v>
      </c>
      <c r="H5" s="813">
        <f>G5*60%</f>
        <v>19.2</v>
      </c>
      <c r="I5" s="813">
        <f>G5*25%</f>
        <v>8</v>
      </c>
      <c r="J5" s="813">
        <f>G5*15%</f>
        <v>4.8</v>
      </c>
      <c r="K5" s="1895"/>
    </row>
    <row r="6" spans="1:11" x14ac:dyDescent="0.25">
      <c r="A6" s="1974"/>
      <c r="B6" s="129" t="s">
        <v>34</v>
      </c>
      <c r="C6" s="814">
        <f>8*7</f>
        <v>56</v>
      </c>
      <c r="D6" s="658">
        <v>0</v>
      </c>
      <c r="E6" s="764">
        <v>0</v>
      </c>
      <c r="F6" s="764">
        <v>0</v>
      </c>
      <c r="G6" s="814">
        <f xml:space="preserve"> SUM(C6:F6)</f>
        <v>56</v>
      </c>
      <c r="H6" s="813">
        <f>G6*40%</f>
        <v>22.400000000000002</v>
      </c>
      <c r="I6" s="813">
        <f>G6*30%</f>
        <v>16.8</v>
      </c>
      <c r="J6" s="813">
        <f>G6*30%</f>
        <v>16.8</v>
      </c>
      <c r="K6" s="1896"/>
    </row>
    <row r="7" spans="1:11" x14ac:dyDescent="0.25">
      <c r="A7" s="2160" t="s">
        <v>1397</v>
      </c>
      <c r="B7" s="129" t="s">
        <v>32</v>
      </c>
      <c r="C7" s="814">
        <v>0.7</v>
      </c>
      <c r="D7" s="658">
        <v>0</v>
      </c>
      <c r="E7" s="764">
        <v>0</v>
      </c>
      <c r="F7" s="764">
        <v>0</v>
      </c>
      <c r="G7" s="814">
        <f t="shared" ref="G7:G39" si="0" xml:space="preserve"> SUM(C7:F7)</f>
        <v>0.7</v>
      </c>
      <c r="H7" s="813">
        <f>G7*70%</f>
        <v>0.48999999999999994</v>
      </c>
      <c r="I7" s="813">
        <f>G7*20%</f>
        <v>0.13999999999999999</v>
      </c>
      <c r="J7" s="813">
        <f>G7*10%</f>
        <v>6.9999999999999993E-2</v>
      </c>
      <c r="K7" s="129"/>
    </row>
    <row r="8" spans="1:11" x14ac:dyDescent="0.25">
      <c r="A8" s="2160"/>
      <c r="B8" s="129" t="s">
        <v>33</v>
      </c>
      <c r="C8" s="814">
        <v>1</v>
      </c>
      <c r="D8" s="658">
        <v>0</v>
      </c>
      <c r="E8" s="764">
        <v>0</v>
      </c>
      <c r="F8" s="764">
        <v>0</v>
      </c>
      <c r="G8" s="814">
        <f t="shared" si="0"/>
        <v>1</v>
      </c>
      <c r="H8" s="813">
        <f>G8*40%</f>
        <v>0.4</v>
      </c>
      <c r="I8" s="813">
        <f>G8*40%</f>
        <v>0.4</v>
      </c>
      <c r="J8" s="813">
        <f>G8*20%</f>
        <v>0.2</v>
      </c>
      <c r="K8" s="129"/>
    </row>
    <row r="9" spans="1:11" x14ac:dyDescent="0.25">
      <c r="A9" s="2160"/>
      <c r="B9" s="129" t="s">
        <v>34</v>
      </c>
      <c r="C9" s="814">
        <v>2</v>
      </c>
      <c r="D9" s="658">
        <v>0</v>
      </c>
      <c r="E9" s="764">
        <v>0</v>
      </c>
      <c r="F9" s="764">
        <v>0</v>
      </c>
      <c r="G9" s="814">
        <f t="shared" si="0"/>
        <v>2</v>
      </c>
      <c r="H9" s="813">
        <f>G9*20%</f>
        <v>0.4</v>
      </c>
      <c r="I9" s="813">
        <f>G9*40%</f>
        <v>0.8</v>
      </c>
      <c r="J9" s="813">
        <f>G9*40%</f>
        <v>0.8</v>
      </c>
      <c r="K9" s="129"/>
    </row>
    <row r="10" spans="1:11" x14ac:dyDescent="0.25">
      <c r="A10" s="2160" t="s">
        <v>1398</v>
      </c>
      <c r="B10" s="129" t="s">
        <v>32</v>
      </c>
      <c r="C10" s="814">
        <v>6</v>
      </c>
      <c r="D10" s="629">
        <f>$D$2*0.1</f>
        <v>2</v>
      </c>
      <c r="E10" s="764">
        <v>0</v>
      </c>
      <c r="F10" s="764">
        <v>0</v>
      </c>
      <c r="G10" s="814">
        <f t="shared" si="0"/>
        <v>8</v>
      </c>
      <c r="H10" s="813">
        <f>G10*70%</f>
        <v>5.6</v>
      </c>
      <c r="I10" s="813">
        <f>G10*20%</f>
        <v>1.6</v>
      </c>
      <c r="J10" s="813">
        <f>G10*10%</f>
        <v>0.8</v>
      </c>
      <c r="K10" s="2161" t="s">
        <v>1399</v>
      </c>
    </row>
    <row r="11" spans="1:11" x14ac:dyDescent="0.25">
      <c r="A11" s="2160"/>
      <c r="B11" s="129" t="s">
        <v>33</v>
      </c>
      <c r="C11" s="814">
        <v>8</v>
      </c>
      <c r="D11" s="629">
        <f>$D$2*0.1</f>
        <v>2</v>
      </c>
      <c r="E11" s="764">
        <v>0</v>
      </c>
      <c r="F11" s="764">
        <v>0</v>
      </c>
      <c r="G11" s="814">
        <f t="shared" si="0"/>
        <v>10</v>
      </c>
      <c r="H11" s="813">
        <f>G11*25%</f>
        <v>2.5</v>
      </c>
      <c r="I11" s="813">
        <f>G11*60%</f>
        <v>6</v>
      </c>
      <c r="J11" s="813">
        <f>G11*15%</f>
        <v>1.5</v>
      </c>
      <c r="K11" s="2162"/>
    </row>
    <row r="12" spans="1:11" ht="47.25" customHeight="1" x14ac:dyDescent="0.25">
      <c r="A12" s="2160"/>
      <c r="B12" s="129" t="s">
        <v>34</v>
      </c>
      <c r="C12" s="814">
        <v>10</v>
      </c>
      <c r="D12" s="629">
        <f>$D$2*0.2</f>
        <v>4</v>
      </c>
      <c r="E12" s="764">
        <v>0</v>
      </c>
      <c r="F12" s="764">
        <v>0</v>
      </c>
      <c r="G12" s="814">
        <f t="shared" si="0"/>
        <v>14</v>
      </c>
      <c r="H12" s="813">
        <f>G12*30%</f>
        <v>4.2</v>
      </c>
      <c r="I12" s="813">
        <f>G12*10%</f>
        <v>1.4000000000000001</v>
      </c>
      <c r="J12" s="813">
        <f>G12*60%</f>
        <v>8.4</v>
      </c>
      <c r="K12" s="2163"/>
    </row>
    <row r="13" spans="1:11" x14ac:dyDescent="0.25">
      <c r="A13" s="2160" t="s">
        <v>1400</v>
      </c>
      <c r="B13" s="129" t="s">
        <v>32</v>
      </c>
      <c r="C13" s="814">
        <v>0.2</v>
      </c>
      <c r="D13" s="764">
        <v>0</v>
      </c>
      <c r="E13" s="630">
        <f>$E$2*0.3</f>
        <v>6</v>
      </c>
      <c r="F13" s="764">
        <v>0</v>
      </c>
      <c r="G13" s="814">
        <f t="shared" si="0"/>
        <v>6.2</v>
      </c>
      <c r="H13" s="813">
        <f>G13*70%</f>
        <v>4.34</v>
      </c>
      <c r="I13" s="813">
        <f>G13*20%</f>
        <v>1.2400000000000002</v>
      </c>
      <c r="J13" s="813">
        <f>G13*10%</f>
        <v>0.62000000000000011</v>
      </c>
      <c r="K13" s="129"/>
    </row>
    <row r="14" spans="1:11" x14ac:dyDescent="0.25">
      <c r="A14" s="2160"/>
      <c r="B14" s="129" t="s">
        <v>33</v>
      </c>
      <c r="C14" s="814">
        <v>0.2</v>
      </c>
      <c r="D14" s="764">
        <v>0</v>
      </c>
      <c r="E14" s="630">
        <f>$E$2*0.4</f>
        <v>8</v>
      </c>
      <c r="F14" s="764">
        <v>0</v>
      </c>
      <c r="G14" s="814">
        <f t="shared" si="0"/>
        <v>8.1999999999999993</v>
      </c>
      <c r="H14" s="813">
        <f>G14*60%</f>
        <v>4.919999999999999</v>
      </c>
      <c r="I14" s="813">
        <f>G14*25%</f>
        <v>2.0499999999999998</v>
      </c>
      <c r="J14" s="813">
        <f>G14*15%</f>
        <v>1.2299999999999998</v>
      </c>
      <c r="K14" s="129"/>
    </row>
    <row r="15" spans="1:11" x14ac:dyDescent="0.25">
      <c r="A15" s="2160"/>
      <c r="B15" s="129" t="s">
        <v>34</v>
      </c>
      <c r="C15" s="814">
        <v>0.2</v>
      </c>
      <c r="D15" s="764">
        <v>0</v>
      </c>
      <c r="E15" s="630">
        <f>$E$2*0.8</f>
        <v>16</v>
      </c>
      <c r="F15" s="764">
        <v>0</v>
      </c>
      <c r="G15" s="814">
        <f t="shared" si="0"/>
        <v>16.2</v>
      </c>
      <c r="H15" s="813">
        <f>G15*60%</f>
        <v>9.7199999999999989</v>
      </c>
      <c r="I15" s="813">
        <f>G15*10%</f>
        <v>1.62</v>
      </c>
      <c r="J15" s="813">
        <f>G15*30%</f>
        <v>4.8599999999999994</v>
      </c>
      <c r="K15" s="129"/>
    </row>
    <row r="16" spans="1:11" x14ac:dyDescent="0.25">
      <c r="A16" s="1974" t="s">
        <v>1401</v>
      </c>
      <c r="B16" s="129" t="s">
        <v>32</v>
      </c>
      <c r="C16" s="814">
        <v>0.5</v>
      </c>
      <c r="D16" s="764">
        <v>0</v>
      </c>
      <c r="E16" s="630">
        <f>$E$2*2</f>
        <v>40</v>
      </c>
      <c r="F16" s="764">
        <v>0</v>
      </c>
      <c r="G16" s="814">
        <f t="shared" si="0"/>
        <v>40.5</v>
      </c>
      <c r="H16" s="813">
        <f>G16*70%</f>
        <v>28.349999999999998</v>
      </c>
      <c r="I16" s="813">
        <f>G16*20%</f>
        <v>8.1</v>
      </c>
      <c r="J16" s="813">
        <f>G16*10%</f>
        <v>4.05</v>
      </c>
      <c r="K16" s="129"/>
    </row>
    <row r="17" spans="1:11" x14ac:dyDescent="0.25">
      <c r="A17" s="1974"/>
      <c r="B17" s="129" t="s">
        <v>33</v>
      </c>
      <c r="C17" s="814">
        <v>0.5</v>
      </c>
      <c r="D17" s="764">
        <v>0</v>
      </c>
      <c r="E17" s="630">
        <f>$E$2*3</f>
        <v>60</v>
      </c>
      <c r="F17" s="764">
        <v>0</v>
      </c>
      <c r="G17" s="814">
        <f t="shared" si="0"/>
        <v>60.5</v>
      </c>
      <c r="H17" s="813">
        <f>G17*25%</f>
        <v>15.125</v>
      </c>
      <c r="I17" s="813">
        <f>G17*60%</f>
        <v>36.299999999999997</v>
      </c>
      <c r="J17" s="813">
        <f>G17*15%</f>
        <v>9.0749999999999993</v>
      </c>
      <c r="K17" s="129"/>
    </row>
    <row r="18" spans="1:11" x14ac:dyDescent="0.25">
      <c r="A18" s="1974"/>
      <c r="B18" s="129" t="s">
        <v>34</v>
      </c>
      <c r="C18" s="814">
        <v>0.5</v>
      </c>
      <c r="D18" s="764">
        <v>0</v>
      </c>
      <c r="E18" s="630">
        <f>$E$2*4</f>
        <v>80</v>
      </c>
      <c r="F18" s="764">
        <v>0</v>
      </c>
      <c r="G18" s="814">
        <f t="shared" si="0"/>
        <v>80.5</v>
      </c>
      <c r="H18" s="813">
        <f>G18*15%</f>
        <v>12.074999999999999</v>
      </c>
      <c r="I18" s="813">
        <f>G18*15%</f>
        <v>12.074999999999999</v>
      </c>
      <c r="J18" s="813">
        <f>G18*70%</f>
        <v>56.349999999999994</v>
      </c>
      <c r="K18" s="129"/>
    </row>
    <row r="19" spans="1:11" x14ac:dyDescent="0.25">
      <c r="A19" s="1974" t="s">
        <v>1402</v>
      </c>
      <c r="B19" s="129" t="s">
        <v>32</v>
      </c>
      <c r="C19" s="764">
        <v>0</v>
      </c>
      <c r="D19" s="764">
        <v>0</v>
      </c>
      <c r="E19" s="630">
        <f>($E$2-$F$2)*3</f>
        <v>51</v>
      </c>
      <c r="F19" s="630">
        <f>$E$2*6</f>
        <v>120</v>
      </c>
      <c r="G19" s="814">
        <f t="shared" si="0"/>
        <v>171</v>
      </c>
      <c r="H19" s="813">
        <f>G19*60%</f>
        <v>102.6</v>
      </c>
      <c r="I19" s="813">
        <f>G19*30%</f>
        <v>51.3</v>
      </c>
      <c r="J19" s="813">
        <f>G19*10%</f>
        <v>17.100000000000001</v>
      </c>
      <c r="K19" s="129"/>
    </row>
    <row r="20" spans="1:11" x14ac:dyDescent="0.25">
      <c r="A20" s="1974"/>
      <c r="B20" s="129" t="s">
        <v>33</v>
      </c>
      <c r="C20" s="764">
        <v>0</v>
      </c>
      <c r="D20" s="764">
        <v>0</v>
      </c>
      <c r="E20" s="630">
        <f>($E$2-$F$2)*4</f>
        <v>68</v>
      </c>
      <c r="F20" s="630">
        <f>$E$2*8</f>
        <v>160</v>
      </c>
      <c r="G20" s="814">
        <f t="shared" si="0"/>
        <v>228</v>
      </c>
      <c r="H20" s="813">
        <f>G20*15%</f>
        <v>34.199999999999996</v>
      </c>
      <c r="I20" s="813">
        <f>G20*70%</f>
        <v>159.6</v>
      </c>
      <c r="J20" s="813">
        <f>G20*15%</f>
        <v>34.199999999999996</v>
      </c>
      <c r="K20" s="129"/>
    </row>
    <row r="21" spans="1:11" x14ac:dyDescent="0.25">
      <c r="A21" s="1974"/>
      <c r="B21" s="129" t="s">
        <v>34</v>
      </c>
      <c r="C21" s="764">
        <v>0</v>
      </c>
      <c r="D21" s="764">
        <v>0</v>
      </c>
      <c r="E21" s="630">
        <f>($E$2-$F$2)*6</f>
        <v>102</v>
      </c>
      <c r="F21" s="630">
        <f>$E$2*12</f>
        <v>240</v>
      </c>
      <c r="G21" s="814">
        <f t="shared" si="0"/>
        <v>342</v>
      </c>
      <c r="H21" s="813">
        <f>G21*15%</f>
        <v>51.3</v>
      </c>
      <c r="I21" s="813">
        <f>G21*15%</f>
        <v>51.3</v>
      </c>
      <c r="J21" s="813">
        <f>G21*70%</f>
        <v>239.39999999999998</v>
      </c>
      <c r="K21" s="129"/>
    </row>
    <row r="22" spans="1:11" x14ac:dyDescent="0.25">
      <c r="A22" s="1974" t="s">
        <v>1403</v>
      </c>
      <c r="B22" s="129" t="s">
        <v>32</v>
      </c>
      <c r="C22" s="814">
        <v>3</v>
      </c>
      <c r="D22" s="764">
        <v>0</v>
      </c>
      <c r="E22" s="630">
        <f>$E$2*6</f>
        <v>120</v>
      </c>
      <c r="F22" s="764">
        <v>0</v>
      </c>
      <c r="G22" s="814">
        <f t="shared" si="0"/>
        <v>123</v>
      </c>
      <c r="H22" s="813">
        <f>G22*70%</f>
        <v>86.1</v>
      </c>
      <c r="I22" s="813">
        <f>G22*20%</f>
        <v>24.6</v>
      </c>
      <c r="J22" s="813">
        <f>G22*10%</f>
        <v>12.3</v>
      </c>
      <c r="K22" s="1894" t="s">
        <v>1375</v>
      </c>
    </row>
    <row r="23" spans="1:11" x14ac:dyDescent="0.25">
      <c r="A23" s="1974"/>
      <c r="B23" s="129" t="s">
        <v>33</v>
      </c>
      <c r="C23" s="814">
        <v>4</v>
      </c>
      <c r="D23" s="764">
        <v>0</v>
      </c>
      <c r="E23" s="630">
        <f>$E$2*8</f>
        <v>160</v>
      </c>
      <c r="F23" s="764">
        <v>0</v>
      </c>
      <c r="G23" s="814">
        <f t="shared" si="0"/>
        <v>164</v>
      </c>
      <c r="H23" s="813">
        <f>G23*40%</f>
        <v>65.600000000000009</v>
      </c>
      <c r="I23" s="813">
        <f>G23*50%</f>
        <v>82</v>
      </c>
      <c r="J23" s="813">
        <f>G23*10%</f>
        <v>16.400000000000002</v>
      </c>
      <c r="K23" s="1895"/>
    </row>
    <row r="24" spans="1:11" x14ac:dyDescent="0.25">
      <c r="A24" s="1974"/>
      <c r="B24" s="129" t="s">
        <v>34</v>
      </c>
      <c r="C24" s="814">
        <v>6</v>
      </c>
      <c r="D24" s="764">
        <v>0</v>
      </c>
      <c r="E24" s="630">
        <f>$E$2*10</f>
        <v>200</v>
      </c>
      <c r="F24" s="764">
        <v>0</v>
      </c>
      <c r="G24" s="814">
        <f t="shared" si="0"/>
        <v>206</v>
      </c>
      <c r="H24" s="813">
        <f>G24*40%</f>
        <v>82.4</v>
      </c>
      <c r="I24" s="813">
        <f>G24*30%</f>
        <v>61.8</v>
      </c>
      <c r="J24" s="813">
        <f>G24*30%</f>
        <v>61.8</v>
      </c>
      <c r="K24" s="1896"/>
    </row>
    <row r="25" spans="1:11" x14ac:dyDescent="0.25">
      <c r="A25" s="1974" t="s">
        <v>1404</v>
      </c>
      <c r="B25" s="129" t="s">
        <v>32</v>
      </c>
      <c r="C25" s="658">
        <v>0</v>
      </c>
      <c r="D25" s="658">
        <v>0</v>
      </c>
      <c r="E25" s="629">
        <f>0.5*($E$2-$F$2)</f>
        <v>8.5</v>
      </c>
      <c r="F25" s="630">
        <f>4*$F$2</f>
        <v>12</v>
      </c>
      <c r="G25" s="814">
        <f t="shared" si="0"/>
        <v>20.5</v>
      </c>
      <c r="H25" s="813">
        <f>G25*50%</f>
        <v>10.25</v>
      </c>
      <c r="I25" s="813">
        <f>G25*30%</f>
        <v>6.1499999999999995</v>
      </c>
      <c r="J25" s="813">
        <f>G25*20%</f>
        <v>4.1000000000000005</v>
      </c>
      <c r="K25" s="2159"/>
    </row>
    <row r="26" spans="1:11" x14ac:dyDescent="0.25">
      <c r="A26" s="1974"/>
      <c r="B26" s="129" t="s">
        <v>33</v>
      </c>
      <c r="C26" s="813">
        <v>0</v>
      </c>
      <c r="D26" s="813">
        <v>0</v>
      </c>
      <c r="E26" s="629">
        <f>0.5*($E$2-$F$2)</f>
        <v>8.5</v>
      </c>
      <c r="F26" s="630">
        <f>4*$F$2</f>
        <v>12</v>
      </c>
      <c r="G26" s="814">
        <f t="shared" si="0"/>
        <v>20.5</v>
      </c>
      <c r="H26" s="813">
        <f>G26*30%</f>
        <v>6.1499999999999995</v>
      </c>
      <c r="I26" s="813">
        <f>G26*40%</f>
        <v>8.2000000000000011</v>
      </c>
      <c r="J26" s="813">
        <f>G26*30%</f>
        <v>6.1499999999999995</v>
      </c>
      <c r="K26" s="2159"/>
    </row>
    <row r="27" spans="1:11" x14ac:dyDescent="0.25">
      <c r="A27" s="1974"/>
      <c r="B27" s="129" t="s">
        <v>34</v>
      </c>
      <c r="C27" s="813">
        <v>0</v>
      </c>
      <c r="D27" s="813">
        <v>0</v>
      </c>
      <c r="E27" s="629">
        <f>1*($E$2-$F$2)</f>
        <v>17</v>
      </c>
      <c r="F27" s="630">
        <f>6*$F$2</f>
        <v>18</v>
      </c>
      <c r="G27" s="814">
        <f t="shared" si="0"/>
        <v>35</v>
      </c>
      <c r="H27" s="813">
        <f>G27*20%</f>
        <v>7</v>
      </c>
      <c r="I27" s="813">
        <f>G27*20%</f>
        <v>7</v>
      </c>
      <c r="J27" s="813">
        <f>G27*60%</f>
        <v>21</v>
      </c>
      <c r="K27" s="2159"/>
    </row>
    <row r="28" spans="1:11" x14ac:dyDescent="0.25">
      <c r="A28" s="1974" t="s">
        <v>1405</v>
      </c>
      <c r="B28" s="129" t="s">
        <v>32</v>
      </c>
      <c r="C28" s="814">
        <v>0.3</v>
      </c>
      <c r="D28" s="764">
        <v>0</v>
      </c>
      <c r="E28" s="630">
        <f>$E$2*0.4</f>
        <v>8</v>
      </c>
      <c r="F28" s="764">
        <v>0</v>
      </c>
      <c r="G28" s="814">
        <f t="shared" si="0"/>
        <v>8.3000000000000007</v>
      </c>
      <c r="H28" s="813">
        <f>G28*70%</f>
        <v>5.8100000000000005</v>
      </c>
      <c r="I28" s="813">
        <f>G28*20%</f>
        <v>1.6600000000000001</v>
      </c>
      <c r="J28" s="813">
        <f>G28*10%</f>
        <v>0.83000000000000007</v>
      </c>
      <c r="K28" s="129"/>
    </row>
    <row r="29" spans="1:11" x14ac:dyDescent="0.25">
      <c r="A29" s="1974"/>
      <c r="B29" s="129" t="s">
        <v>33</v>
      </c>
      <c r="C29" s="814">
        <v>0.3</v>
      </c>
      <c r="D29" s="764">
        <v>0</v>
      </c>
      <c r="E29" s="630">
        <f>$E$2*0.5</f>
        <v>10</v>
      </c>
      <c r="F29" s="764">
        <v>0</v>
      </c>
      <c r="G29" s="814">
        <f t="shared" si="0"/>
        <v>10.3</v>
      </c>
      <c r="H29" s="813">
        <f>G29*60%</f>
        <v>6.1800000000000006</v>
      </c>
      <c r="I29" s="813">
        <f>G29*25%</f>
        <v>2.5750000000000002</v>
      </c>
      <c r="J29" s="813">
        <f>G29*15%</f>
        <v>1.5450000000000002</v>
      </c>
      <c r="K29" s="129"/>
    </row>
    <row r="30" spans="1:11" x14ac:dyDescent="0.25">
      <c r="A30" s="1974"/>
      <c r="B30" s="129" t="s">
        <v>34</v>
      </c>
      <c r="C30" s="814">
        <v>0.5</v>
      </c>
      <c r="D30" s="764">
        <v>0</v>
      </c>
      <c r="E30" s="630">
        <f>$E$2*1</f>
        <v>20</v>
      </c>
      <c r="F30" s="764">
        <v>0</v>
      </c>
      <c r="G30" s="814">
        <f t="shared" si="0"/>
        <v>20.5</v>
      </c>
      <c r="H30" s="813">
        <f>G30*50%</f>
        <v>10.25</v>
      </c>
      <c r="I30" s="813">
        <f>G30*20%</f>
        <v>4.1000000000000005</v>
      </c>
      <c r="J30" s="813">
        <f>G30*30%</f>
        <v>6.1499999999999995</v>
      </c>
      <c r="K30" s="129"/>
    </row>
    <row r="31" spans="1:11" x14ac:dyDescent="0.25">
      <c r="A31" s="1974" t="s">
        <v>1406</v>
      </c>
      <c r="B31" s="129" t="s">
        <v>32</v>
      </c>
      <c r="C31" s="814">
        <v>0.8</v>
      </c>
      <c r="D31" s="764">
        <v>0</v>
      </c>
      <c r="E31" s="630">
        <f>($E$2-$F$2)*4</f>
        <v>68</v>
      </c>
      <c r="F31" s="630">
        <f>$F$2*5</f>
        <v>15</v>
      </c>
      <c r="G31" s="814">
        <f t="shared" si="0"/>
        <v>83.8</v>
      </c>
      <c r="H31" s="813">
        <f>G31*70%</f>
        <v>58.66</v>
      </c>
      <c r="I31" s="813">
        <f>G31*20%</f>
        <v>16.760000000000002</v>
      </c>
      <c r="J31" s="813">
        <f>G31*10%</f>
        <v>8.3800000000000008</v>
      </c>
      <c r="K31" s="129"/>
    </row>
    <row r="32" spans="1:11" x14ac:dyDescent="0.25">
      <c r="A32" s="1974"/>
      <c r="B32" s="129" t="s">
        <v>33</v>
      </c>
      <c r="C32" s="814">
        <v>1</v>
      </c>
      <c r="D32" s="764">
        <v>0</v>
      </c>
      <c r="E32" s="630">
        <f>($E$2-$F$2)*5</f>
        <v>85</v>
      </c>
      <c r="F32" s="630">
        <f>$F$2*6</f>
        <v>18</v>
      </c>
      <c r="G32" s="814">
        <f t="shared" si="0"/>
        <v>104</v>
      </c>
      <c r="H32" s="813">
        <f>G32*30%</f>
        <v>31.2</v>
      </c>
      <c r="I32" s="813">
        <f>G32*50%</f>
        <v>52</v>
      </c>
      <c r="J32" s="813">
        <f>G32*20%</f>
        <v>20.8</v>
      </c>
      <c r="K32" s="129"/>
    </row>
    <row r="33" spans="1:11" x14ac:dyDescent="0.25">
      <c r="A33" s="1974"/>
      <c r="B33" s="129" t="s">
        <v>34</v>
      </c>
      <c r="C33" s="814">
        <v>1.5</v>
      </c>
      <c r="D33" s="764">
        <v>0</v>
      </c>
      <c r="E33" s="630">
        <f>($E$2-$F$2)*9</f>
        <v>153</v>
      </c>
      <c r="F33" s="630">
        <f>$F$2*10</f>
        <v>30</v>
      </c>
      <c r="G33" s="814">
        <f t="shared" si="0"/>
        <v>184.5</v>
      </c>
      <c r="H33" s="813">
        <f>G33*30%</f>
        <v>55.35</v>
      </c>
      <c r="I33" s="813">
        <f>G33*20%</f>
        <v>36.9</v>
      </c>
      <c r="J33" s="813">
        <f>G33*50%</f>
        <v>92.25</v>
      </c>
      <c r="K33" s="129"/>
    </row>
    <row r="34" spans="1:11" x14ac:dyDescent="0.25">
      <c r="A34" s="2160" t="s">
        <v>1407</v>
      </c>
      <c r="B34" s="129" t="s">
        <v>32</v>
      </c>
      <c r="C34" s="814">
        <f>3</f>
        <v>3</v>
      </c>
      <c r="D34" s="658">
        <v>0</v>
      </c>
      <c r="E34" s="764">
        <v>0</v>
      </c>
      <c r="F34" s="764">
        <v>0</v>
      </c>
      <c r="G34" s="814">
        <f t="shared" si="0"/>
        <v>3</v>
      </c>
      <c r="H34" s="813">
        <f>G34*70%</f>
        <v>2.0999999999999996</v>
      </c>
      <c r="I34" s="813">
        <f>G34*20%</f>
        <v>0.60000000000000009</v>
      </c>
      <c r="J34" s="813">
        <f>G34*10%</f>
        <v>0.30000000000000004</v>
      </c>
      <c r="K34" s="129"/>
    </row>
    <row r="35" spans="1:11" x14ac:dyDescent="0.25">
      <c r="A35" s="2160"/>
      <c r="B35" s="129" t="s">
        <v>33</v>
      </c>
      <c r="C35" s="814">
        <f>4</f>
        <v>4</v>
      </c>
      <c r="D35" s="658">
        <v>0</v>
      </c>
      <c r="E35" s="764">
        <v>0</v>
      </c>
      <c r="F35" s="764">
        <v>0</v>
      </c>
      <c r="G35" s="814">
        <f t="shared" si="0"/>
        <v>4</v>
      </c>
      <c r="H35" s="813">
        <f>G35*40%</f>
        <v>1.6</v>
      </c>
      <c r="I35" s="813">
        <f>G35*50%</f>
        <v>2</v>
      </c>
      <c r="J35" s="813">
        <f>G35*10%</f>
        <v>0.4</v>
      </c>
      <c r="K35" s="129"/>
    </row>
    <row r="36" spans="1:11" x14ac:dyDescent="0.25">
      <c r="A36" s="2160"/>
      <c r="B36" s="129" t="s">
        <v>34</v>
      </c>
      <c r="C36" s="814">
        <f>6</f>
        <v>6</v>
      </c>
      <c r="D36" s="658">
        <v>0</v>
      </c>
      <c r="E36" s="764">
        <v>0</v>
      </c>
      <c r="F36" s="764">
        <v>0</v>
      </c>
      <c r="G36" s="814">
        <f t="shared" si="0"/>
        <v>6</v>
      </c>
      <c r="H36" s="813">
        <f>G36*40%</f>
        <v>2.4000000000000004</v>
      </c>
      <c r="I36" s="813">
        <f>G36*10%</f>
        <v>0.60000000000000009</v>
      </c>
      <c r="J36" s="813">
        <f>G36*50%</f>
        <v>3</v>
      </c>
      <c r="K36" s="129"/>
    </row>
    <row r="37" spans="1:11" x14ac:dyDescent="0.25">
      <c r="A37" s="2160" t="s">
        <v>1408</v>
      </c>
      <c r="B37" s="129" t="s">
        <v>32</v>
      </c>
      <c r="C37" s="764">
        <v>0</v>
      </c>
      <c r="D37" s="764">
        <v>0</v>
      </c>
      <c r="E37" s="630">
        <f>$E$2*2.5</f>
        <v>50</v>
      </c>
      <c r="F37" s="764">
        <v>0</v>
      </c>
      <c r="G37" s="814">
        <f t="shared" si="0"/>
        <v>50</v>
      </c>
      <c r="H37" s="813">
        <f>G37*60%</f>
        <v>30</v>
      </c>
      <c r="I37" s="813">
        <f>G37*20%</f>
        <v>10</v>
      </c>
      <c r="J37" s="813">
        <f>G37*20%</f>
        <v>10</v>
      </c>
      <c r="K37" s="129"/>
    </row>
    <row r="38" spans="1:11" x14ac:dyDescent="0.25">
      <c r="A38" s="2160"/>
      <c r="B38" s="129" t="s">
        <v>33</v>
      </c>
      <c r="C38" s="764">
        <v>0</v>
      </c>
      <c r="D38" s="764">
        <v>0</v>
      </c>
      <c r="E38" s="630">
        <f>$E$2*3</f>
        <v>60</v>
      </c>
      <c r="F38" s="764">
        <v>0</v>
      </c>
      <c r="G38" s="814">
        <f t="shared" si="0"/>
        <v>60</v>
      </c>
      <c r="H38" s="813">
        <f>G38*10%</f>
        <v>6</v>
      </c>
      <c r="I38" s="813">
        <f>G38*60%</f>
        <v>36</v>
      </c>
      <c r="J38" s="813">
        <f>G38*30%</f>
        <v>18</v>
      </c>
      <c r="K38" s="129"/>
    </row>
    <row r="39" spans="1:11" x14ac:dyDescent="0.25">
      <c r="A39" s="2160"/>
      <c r="B39" s="129" t="s">
        <v>34</v>
      </c>
      <c r="C39" s="764">
        <v>0</v>
      </c>
      <c r="D39" s="764">
        <v>0</v>
      </c>
      <c r="E39" s="630">
        <f>$E$2*5</f>
        <v>100</v>
      </c>
      <c r="F39" s="764">
        <v>0</v>
      </c>
      <c r="G39" s="814">
        <f t="shared" si="0"/>
        <v>100</v>
      </c>
      <c r="H39" s="813">
        <f>G39*10%</f>
        <v>10</v>
      </c>
      <c r="I39" s="813">
        <f>G39*20%</f>
        <v>20</v>
      </c>
      <c r="J39" s="813">
        <f>G39*70%</f>
        <v>70</v>
      </c>
      <c r="K39" s="129"/>
    </row>
  </sheetData>
  <mergeCells count="22">
    <mergeCell ref="A28:A30"/>
    <mergeCell ref="A31:A33"/>
    <mergeCell ref="A34:A36"/>
    <mergeCell ref="A37:A39"/>
    <mergeCell ref="A16:A18"/>
    <mergeCell ref="A19:A21"/>
    <mergeCell ref="A22:A24"/>
    <mergeCell ref="K22:K24"/>
    <mergeCell ref="A25:A27"/>
    <mergeCell ref="K25:K27"/>
    <mergeCell ref="A4:A6"/>
    <mergeCell ref="K4:K6"/>
    <mergeCell ref="A7:A9"/>
    <mergeCell ref="A10:A12"/>
    <mergeCell ref="K10:K12"/>
    <mergeCell ref="A13:A15"/>
    <mergeCell ref="K1:K2"/>
    <mergeCell ref="C1:C2"/>
    <mergeCell ref="G1:G2"/>
    <mergeCell ref="H1:H2"/>
    <mergeCell ref="I1:I2"/>
    <mergeCell ref="J1:J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98"/>
  <dimension ref="A1:N49"/>
  <sheetViews>
    <sheetView zoomScale="70" zoomScaleNormal="70" workbookViewId="0">
      <selection activeCell="D3" sqref="D3"/>
    </sheetView>
  </sheetViews>
  <sheetFormatPr defaultColWidth="8.85546875" defaultRowHeight="15" x14ac:dyDescent="0.25"/>
  <cols>
    <col min="1" max="1" width="55.85546875" style="1526" customWidth="1"/>
    <col min="2" max="2" width="24.5703125" style="1526" customWidth="1"/>
    <col min="3" max="3" width="21" style="1526" customWidth="1"/>
    <col min="4" max="4" width="22.28515625" style="1526" customWidth="1"/>
    <col min="5" max="5" width="25.7109375" style="1526" customWidth="1"/>
    <col min="6" max="6" width="34.7109375" style="1526" customWidth="1"/>
    <col min="7" max="7" width="27.5703125" style="1526" customWidth="1"/>
    <col min="8" max="8" width="13.7109375" style="1526" customWidth="1"/>
    <col min="9" max="9" width="12.28515625" style="1526" customWidth="1"/>
    <col min="10" max="10" width="14.5703125" style="1526" customWidth="1"/>
    <col min="11" max="11" width="37" style="1526" customWidth="1"/>
    <col min="12" max="12" width="8.85546875" style="1526"/>
    <col min="13" max="13" width="24.28515625" style="1526" customWidth="1"/>
    <col min="14" max="16384" width="8.85546875" style="1526"/>
  </cols>
  <sheetData>
    <row r="1" spans="1:14" ht="31.9" customHeight="1" x14ac:dyDescent="0.25">
      <c r="A1" s="2164" t="s">
        <v>1382</v>
      </c>
      <c r="B1" s="2165"/>
      <c r="C1" s="2165"/>
      <c r="D1" s="2165"/>
      <c r="E1" s="2165"/>
      <c r="F1" s="2165"/>
      <c r="G1" s="2165"/>
      <c r="H1" s="2165"/>
      <c r="I1" s="2165"/>
      <c r="J1" s="2165"/>
      <c r="K1" s="2166"/>
    </row>
    <row r="2" spans="1:14" x14ac:dyDescent="0.25">
      <c r="A2" s="2160" t="s">
        <v>1353</v>
      </c>
      <c r="B2" s="129" t="s">
        <v>32</v>
      </c>
      <c r="C2" s="814">
        <v>8</v>
      </c>
      <c r="D2" s="814">
        <v>0</v>
      </c>
      <c r="E2" s="814">
        <v>0</v>
      </c>
      <c r="F2" s="814">
        <v>0</v>
      </c>
      <c r="G2" s="814">
        <f t="shared" ref="G2:G7" si="0" xml:space="preserve"> SUM(C2:F2)</f>
        <v>8</v>
      </c>
      <c r="H2" s="813">
        <f>G2*80%</f>
        <v>6.4</v>
      </c>
      <c r="I2" s="813">
        <f>G2*20%</f>
        <v>1.6</v>
      </c>
      <c r="J2" s="813">
        <f>G2*0</f>
        <v>0</v>
      </c>
      <c r="K2" s="2159"/>
    </row>
    <row r="3" spans="1:14" x14ac:dyDescent="0.25">
      <c r="A3" s="2160"/>
      <c r="B3" s="129" t="s">
        <v>33</v>
      </c>
      <c r="C3" s="813">
        <v>12</v>
      </c>
      <c r="D3" s="814">
        <v>0</v>
      </c>
      <c r="E3" s="814">
        <v>0</v>
      </c>
      <c r="F3" s="814">
        <v>0</v>
      </c>
      <c r="G3" s="814">
        <f t="shared" si="0"/>
        <v>12</v>
      </c>
      <c r="H3" s="813">
        <f>G3*60%</f>
        <v>7.1999999999999993</v>
      </c>
      <c r="I3" s="813">
        <f>G3*30%</f>
        <v>3.5999999999999996</v>
      </c>
      <c r="J3" s="813">
        <f>G3*10%</f>
        <v>1.2000000000000002</v>
      </c>
      <c r="K3" s="2159"/>
    </row>
    <row r="4" spans="1:14" ht="14.45" customHeight="1" x14ac:dyDescent="0.25">
      <c r="A4" s="2160"/>
      <c r="B4" s="129" t="s">
        <v>34</v>
      </c>
      <c r="C4" s="813">
        <v>16</v>
      </c>
      <c r="D4" s="814">
        <v>0</v>
      </c>
      <c r="E4" s="814">
        <v>0</v>
      </c>
      <c r="F4" s="814">
        <v>0</v>
      </c>
      <c r="G4" s="814">
        <f t="shared" si="0"/>
        <v>16</v>
      </c>
      <c r="H4" s="813">
        <f>G4*50%</f>
        <v>8</v>
      </c>
      <c r="I4" s="813">
        <f>G4*30%</f>
        <v>4.8</v>
      </c>
      <c r="J4" s="813">
        <f>G4*20%</f>
        <v>3.2</v>
      </c>
      <c r="K4" s="2159"/>
    </row>
    <row r="5" spans="1:14" ht="14.45" customHeight="1" x14ac:dyDescent="0.25">
      <c r="A5" s="2167" t="s">
        <v>1354</v>
      </c>
      <c r="B5" s="129" t="s">
        <v>32</v>
      </c>
      <c r="C5" s="814">
        <v>8</v>
      </c>
      <c r="D5" s="814">
        <v>0</v>
      </c>
      <c r="E5" s="814">
        <v>0</v>
      </c>
      <c r="F5" s="814">
        <v>0</v>
      </c>
      <c r="G5" s="814">
        <f t="shared" si="0"/>
        <v>8</v>
      </c>
      <c r="H5" s="813">
        <f>G5*80%</f>
        <v>6.4</v>
      </c>
      <c r="I5" s="813">
        <f>G5*20%</f>
        <v>1.6</v>
      </c>
      <c r="J5" s="813">
        <v>0</v>
      </c>
      <c r="K5" s="2159"/>
    </row>
    <row r="6" spans="1:14" ht="14.45" customHeight="1" x14ac:dyDescent="0.25">
      <c r="A6" s="2168"/>
      <c r="B6" s="129" t="s">
        <v>33</v>
      </c>
      <c r="C6" s="813">
        <v>12</v>
      </c>
      <c r="D6" s="814">
        <v>0</v>
      </c>
      <c r="E6" s="814">
        <v>0</v>
      </c>
      <c r="F6" s="814">
        <v>0</v>
      </c>
      <c r="G6" s="814">
        <f t="shared" si="0"/>
        <v>12</v>
      </c>
      <c r="H6" s="813">
        <f>G6*60%</f>
        <v>7.1999999999999993</v>
      </c>
      <c r="I6" s="813">
        <f>G6*30%</f>
        <v>3.5999999999999996</v>
      </c>
      <c r="J6" s="813">
        <f>G6*10%</f>
        <v>1.2000000000000002</v>
      </c>
      <c r="K6" s="2159"/>
    </row>
    <row r="7" spans="1:14" ht="14.45" customHeight="1" x14ac:dyDescent="0.25">
      <c r="A7" s="2169"/>
      <c r="B7" s="129" t="s">
        <v>34</v>
      </c>
      <c r="C7" s="813">
        <v>16</v>
      </c>
      <c r="D7" s="814">
        <v>0</v>
      </c>
      <c r="E7" s="814">
        <v>0</v>
      </c>
      <c r="F7" s="814">
        <v>0</v>
      </c>
      <c r="G7" s="814">
        <f t="shared" si="0"/>
        <v>16</v>
      </c>
      <c r="H7" s="813">
        <f>G7*50%</f>
        <v>8</v>
      </c>
      <c r="I7" s="813">
        <f>G7*30%</f>
        <v>4.8</v>
      </c>
      <c r="J7" s="813">
        <f>G7*20%</f>
        <v>3.2</v>
      </c>
      <c r="K7" s="2159"/>
    </row>
    <row r="8" spans="1:14" ht="30.6" customHeight="1" x14ac:dyDescent="0.25">
      <c r="A8" s="2170" t="s">
        <v>1493</v>
      </c>
      <c r="B8" s="2171"/>
      <c r="C8" s="2171"/>
      <c r="D8" s="2171"/>
      <c r="E8" s="2171"/>
      <c r="F8" s="2171"/>
      <c r="G8" s="2171"/>
      <c r="H8" s="2171"/>
      <c r="I8" s="2171"/>
      <c r="J8" s="2171"/>
      <c r="K8" s="2172"/>
    </row>
    <row r="9" spans="1:14" ht="118.15" customHeight="1" x14ac:dyDescent="0.25">
      <c r="A9" s="879" t="s">
        <v>1356</v>
      </c>
      <c r="B9" s="1527" t="s">
        <v>1228</v>
      </c>
      <c r="C9" s="2173" t="s">
        <v>1357</v>
      </c>
      <c r="D9" s="1377" t="s">
        <v>876</v>
      </c>
      <c r="E9" s="1377" t="s">
        <v>1320</v>
      </c>
      <c r="F9" s="1378" t="s">
        <v>1359</v>
      </c>
      <c r="G9" s="2158" t="s">
        <v>38</v>
      </c>
      <c r="H9" s="2156" t="s">
        <v>715</v>
      </c>
      <c r="I9" s="2156" t="s">
        <v>714</v>
      </c>
      <c r="J9" s="2156" t="s">
        <v>713</v>
      </c>
      <c r="K9" s="2156" t="s">
        <v>272</v>
      </c>
    </row>
    <row r="10" spans="1:14" ht="14.45" customHeight="1" x14ac:dyDescent="0.25">
      <c r="A10" s="1379" t="s">
        <v>36</v>
      </c>
      <c r="B10" s="206">
        <f>IF(ТрЗ_ОКиА!$M$1="Простой", 1, IF(ТрЗ_ОКиА!$M$1="Обычный",2,3))</f>
        <v>2</v>
      </c>
      <c r="C10" s="2173"/>
      <c r="D10" s="184">
        <f>ТрЗ_ОКиА!E167</f>
        <v>1</v>
      </c>
      <c r="E10" s="184">
        <f>ТрЗ_ОКиА!E168</f>
        <v>1</v>
      </c>
      <c r="F10" s="184">
        <f>IF(ТрЗ_ОКиА!E169="Да",1,0)</f>
        <v>1</v>
      </c>
      <c r="G10" s="2158"/>
      <c r="H10" s="2156"/>
      <c r="I10" s="2156"/>
      <c r="J10" s="2156"/>
      <c r="K10" s="2156"/>
    </row>
    <row r="11" spans="1:14" ht="14.45" customHeight="1" x14ac:dyDescent="0.25">
      <c r="A11" s="2174" t="s">
        <v>1505</v>
      </c>
      <c r="B11" s="129" t="s">
        <v>32</v>
      </c>
      <c r="C11" s="814">
        <v>16</v>
      </c>
      <c r="D11" s="629">
        <f>$D$10*2</f>
        <v>2</v>
      </c>
      <c r="E11" s="629">
        <f>C11*$E$10</f>
        <v>16</v>
      </c>
      <c r="F11" s="629">
        <f>IF($F$10=0,SUM(D11:E11)*0.5,0)</f>
        <v>0</v>
      </c>
      <c r="G11" s="814">
        <f xml:space="preserve"> SUM(D11:F11)*$N$12</f>
        <v>23.400000000000002</v>
      </c>
      <c r="H11" s="813">
        <f>G11*50%</f>
        <v>11.700000000000001</v>
      </c>
      <c r="I11" s="813">
        <f>G11*50%</f>
        <v>11.700000000000001</v>
      </c>
      <c r="J11" s="813">
        <v>0</v>
      </c>
      <c r="K11" s="129"/>
      <c r="M11" s="1380" t="s">
        <v>1361</v>
      </c>
      <c r="N11" s="879"/>
    </row>
    <row r="12" spans="1:14" ht="14.45" customHeight="1" x14ac:dyDescent="0.25">
      <c r="A12" s="2175"/>
      <c r="B12" s="129" t="s">
        <v>33</v>
      </c>
      <c r="C12" s="814">
        <v>24</v>
      </c>
      <c r="D12" s="629">
        <f>$D$10*2</f>
        <v>2</v>
      </c>
      <c r="E12" s="629">
        <f>C12*$E$10</f>
        <v>24</v>
      </c>
      <c r="F12" s="629">
        <f>IF($F$10=0,SUM(D12:E12)*0.5,0)</f>
        <v>0</v>
      </c>
      <c r="G12" s="814">
        <f xml:space="preserve"> SUM(D12:F12)*$N$12</f>
        <v>33.800000000000004</v>
      </c>
      <c r="H12" s="813">
        <f>G12*50%</f>
        <v>16.900000000000002</v>
      </c>
      <c r="I12" s="813">
        <f>G12*40%</f>
        <v>13.520000000000003</v>
      </c>
      <c r="J12" s="813">
        <f>G12*10%</f>
        <v>3.3800000000000008</v>
      </c>
      <c r="K12" s="129"/>
      <c r="M12" s="129" t="s">
        <v>637</v>
      </c>
      <c r="N12" s="1382">
        <v>1.3</v>
      </c>
    </row>
    <row r="13" spans="1:14" ht="14.45" customHeight="1" x14ac:dyDescent="0.25">
      <c r="A13" s="2176"/>
      <c r="B13" s="129" t="s">
        <v>34</v>
      </c>
      <c r="C13" s="814">
        <v>32</v>
      </c>
      <c r="D13" s="629">
        <f>$D$10*2</f>
        <v>2</v>
      </c>
      <c r="E13" s="629">
        <f>C13*$E$10</f>
        <v>32</v>
      </c>
      <c r="F13" s="629">
        <f>IF($F$10=0,SUM(D13:E13)*0.5,0)</f>
        <v>0</v>
      </c>
      <c r="G13" s="814">
        <f xml:space="preserve"> SUM(D13:F13)*$N$12</f>
        <v>44.2</v>
      </c>
      <c r="H13" s="813">
        <f>G13*20%</f>
        <v>8.8400000000000016</v>
      </c>
      <c r="I13" s="813">
        <f>G13*40%</f>
        <v>17.680000000000003</v>
      </c>
      <c r="J13" s="813">
        <f>G13*40%</f>
        <v>17.680000000000003</v>
      </c>
      <c r="K13" s="129"/>
    </row>
    <row r="14" spans="1:14" ht="28.15" customHeight="1" x14ac:dyDescent="0.25">
      <c r="A14" s="2170" t="s">
        <v>1362</v>
      </c>
      <c r="B14" s="2171"/>
      <c r="C14" s="2171"/>
      <c r="D14" s="2171"/>
      <c r="E14" s="2171"/>
      <c r="F14" s="2171"/>
      <c r="G14" s="2171"/>
      <c r="H14" s="2171"/>
      <c r="I14" s="2171"/>
      <c r="J14" s="2171"/>
      <c r="K14" s="2172"/>
    </row>
    <row r="15" spans="1:14" ht="31.5" x14ac:dyDescent="0.25">
      <c r="A15" s="879"/>
      <c r="B15" s="1527" t="s">
        <v>1228</v>
      </c>
      <c r="C15" s="2173" t="s">
        <v>1363</v>
      </c>
      <c r="D15" s="1377" t="s">
        <v>876</v>
      </c>
      <c r="E15" s="1377"/>
      <c r="F15" s="1377"/>
      <c r="G15" s="2158" t="s">
        <v>38</v>
      </c>
      <c r="H15" s="2156" t="s">
        <v>715</v>
      </c>
      <c r="I15" s="2156" t="s">
        <v>714</v>
      </c>
      <c r="J15" s="2156" t="s">
        <v>713</v>
      </c>
      <c r="K15" s="2156" t="s">
        <v>272</v>
      </c>
    </row>
    <row r="16" spans="1:14" ht="14.45" customHeight="1" x14ac:dyDescent="0.25">
      <c r="A16" s="1379" t="s">
        <v>36</v>
      </c>
      <c r="B16" s="206">
        <f>IF(ТрЗ_ОКиА!$M$1="Простой", 1, IF(ТрЗ_ОКиА!$M$1="Обычный",2,3))</f>
        <v>2</v>
      </c>
      <c r="C16" s="2173"/>
      <c r="D16" s="184">
        <f>ТрЗ_ОКиА!E167</f>
        <v>1</v>
      </c>
      <c r="E16" s="184">
        <v>0</v>
      </c>
      <c r="F16" s="184">
        <v>0</v>
      </c>
      <c r="G16" s="2158"/>
      <c r="H16" s="2156"/>
      <c r="I16" s="2156"/>
      <c r="J16" s="2156"/>
      <c r="K16" s="2156"/>
    </row>
    <row r="17" spans="1:14" ht="14.45" customHeight="1" x14ac:dyDescent="0.25">
      <c r="A17" s="2167" t="s">
        <v>1364</v>
      </c>
      <c r="B17" s="129" t="s">
        <v>32</v>
      </c>
      <c r="C17" s="814">
        <v>16</v>
      </c>
      <c r="D17" s="629">
        <f>$D$16*C17</f>
        <v>16</v>
      </c>
      <c r="E17" s="814">
        <v>0</v>
      </c>
      <c r="F17" s="814">
        <v>0</v>
      </c>
      <c r="G17" s="814">
        <f xml:space="preserve"> SUM(D17:F17)</f>
        <v>16</v>
      </c>
      <c r="H17" s="813">
        <f>G17*20%</f>
        <v>3.2</v>
      </c>
      <c r="I17" s="813">
        <f>G17*40%</f>
        <v>6.4</v>
      </c>
      <c r="J17" s="813">
        <f>G17*40%</f>
        <v>6.4</v>
      </c>
      <c r="K17" s="129"/>
    </row>
    <row r="18" spans="1:14" ht="14.45" customHeight="1" x14ac:dyDescent="0.25">
      <c r="A18" s="2168"/>
      <c r="B18" s="129" t="s">
        <v>33</v>
      </c>
      <c r="C18" s="814">
        <v>24</v>
      </c>
      <c r="D18" s="629">
        <f>$D$16*C18</f>
        <v>24</v>
      </c>
      <c r="E18" s="814">
        <v>0</v>
      </c>
      <c r="F18" s="814">
        <v>0</v>
      </c>
      <c r="G18" s="814">
        <f xml:space="preserve"> SUM(D18:F18)</f>
        <v>24</v>
      </c>
      <c r="H18" s="813">
        <f>G18*20%</f>
        <v>4.8000000000000007</v>
      </c>
      <c r="I18" s="813">
        <f>G18*40%</f>
        <v>9.6000000000000014</v>
      </c>
      <c r="J18" s="813">
        <f>G18*40%</f>
        <v>9.6000000000000014</v>
      </c>
      <c r="K18" s="129"/>
    </row>
    <row r="19" spans="1:14" ht="14.45" customHeight="1" x14ac:dyDescent="0.25">
      <c r="A19" s="2169"/>
      <c r="B19" s="129" t="s">
        <v>34</v>
      </c>
      <c r="C19" s="814">
        <v>32</v>
      </c>
      <c r="D19" s="629">
        <f>$D$16*C19</f>
        <v>32</v>
      </c>
      <c r="E19" s="814">
        <v>0</v>
      </c>
      <c r="F19" s="814">
        <v>0</v>
      </c>
      <c r="G19" s="814">
        <f xml:space="preserve"> SUM(D19:F19)</f>
        <v>32</v>
      </c>
      <c r="H19" s="813">
        <f>G19*20%</f>
        <v>6.4</v>
      </c>
      <c r="I19" s="813">
        <f>G19*40%</f>
        <v>12.8</v>
      </c>
      <c r="J19" s="813">
        <f>G19*40%</f>
        <v>12.8</v>
      </c>
      <c r="K19" s="129"/>
    </row>
    <row r="20" spans="1:14" ht="26.45" customHeight="1" x14ac:dyDescent="0.25">
      <c r="A20" s="2170" t="s">
        <v>1495</v>
      </c>
      <c r="B20" s="2171"/>
      <c r="C20" s="2171"/>
      <c r="D20" s="2171"/>
      <c r="E20" s="2171"/>
      <c r="F20" s="2171"/>
      <c r="G20" s="2171"/>
      <c r="H20" s="2171"/>
      <c r="I20" s="2171"/>
      <c r="J20" s="2171"/>
      <c r="K20" s="2172"/>
    </row>
    <row r="21" spans="1:14" ht="28.9" customHeight="1" x14ac:dyDescent="0.25">
      <c r="A21" s="879"/>
      <c r="B21" s="1527" t="s">
        <v>1228</v>
      </c>
      <c r="C21" s="2177" t="s">
        <v>1378</v>
      </c>
      <c r="D21" s="1377" t="s">
        <v>876</v>
      </c>
      <c r="E21" s="1377" t="s">
        <v>1377</v>
      </c>
      <c r="F21" s="1377"/>
      <c r="G21" s="2179" t="s">
        <v>38</v>
      </c>
      <c r="H21" s="2181" t="s">
        <v>715</v>
      </c>
      <c r="I21" s="2181" t="s">
        <v>714</v>
      </c>
      <c r="J21" s="2181" t="s">
        <v>713</v>
      </c>
      <c r="K21" s="2181" t="s">
        <v>272</v>
      </c>
    </row>
    <row r="22" spans="1:14" ht="15.75" x14ac:dyDescent="0.25">
      <c r="A22" s="1379" t="s">
        <v>36</v>
      </c>
      <c r="B22" s="206">
        <f>IF(ТрЗ_ОКиА!$M$1="Простой", 1, IF(ТрЗ_ОКиА!$M$1="Обычный",2,3))</f>
        <v>2</v>
      </c>
      <c r="C22" s="2178"/>
      <c r="D22" s="184">
        <f>ТрЗ_ОКиА!E167</f>
        <v>1</v>
      </c>
      <c r="E22" s="184">
        <f>ТрЗ_ОКиА!E177</f>
        <v>1</v>
      </c>
      <c r="F22" s="184">
        <v>0</v>
      </c>
      <c r="G22" s="2180"/>
      <c r="H22" s="2182"/>
      <c r="I22" s="2182"/>
      <c r="J22" s="2182"/>
      <c r="K22" s="2182"/>
    </row>
    <row r="23" spans="1:14" ht="14.45" customHeight="1" x14ac:dyDescent="0.25">
      <c r="A23" s="2183" t="s">
        <v>1376</v>
      </c>
      <c r="B23" s="129" t="s">
        <v>32</v>
      </c>
      <c r="C23" s="814">
        <v>2</v>
      </c>
      <c r="D23" s="629">
        <f>$D$22*2</f>
        <v>2</v>
      </c>
      <c r="E23" s="629">
        <f>C23*$E$22</f>
        <v>2</v>
      </c>
      <c r="F23" s="814">
        <v>0</v>
      </c>
      <c r="G23" s="814">
        <f xml:space="preserve"> SUM(D23:F23)*$N$12</f>
        <v>5.2</v>
      </c>
      <c r="H23" s="813">
        <f>G23*20%</f>
        <v>1.04</v>
      </c>
      <c r="I23" s="813">
        <f>G23*40%</f>
        <v>2.08</v>
      </c>
      <c r="J23" s="813">
        <f>G23*40%</f>
        <v>2.08</v>
      </c>
      <c r="K23" s="2186" t="s">
        <v>1375</v>
      </c>
    </row>
    <row r="24" spans="1:14" ht="14.45" customHeight="1" x14ac:dyDescent="0.25">
      <c r="A24" s="2184"/>
      <c r="B24" s="129" t="s">
        <v>33</v>
      </c>
      <c r="C24" s="814">
        <v>3</v>
      </c>
      <c r="D24" s="629">
        <f>$D$22*2</f>
        <v>2</v>
      </c>
      <c r="E24" s="629">
        <f>C24*$E$22</f>
        <v>3</v>
      </c>
      <c r="F24" s="814">
        <v>0</v>
      </c>
      <c r="G24" s="814">
        <f xml:space="preserve"> SUM(D24:F24)*$N$12</f>
        <v>6.5</v>
      </c>
      <c r="H24" s="813">
        <f>G24*20%</f>
        <v>1.3</v>
      </c>
      <c r="I24" s="813">
        <f>G24*40%</f>
        <v>2.6</v>
      </c>
      <c r="J24" s="813">
        <f>G24*40%</f>
        <v>2.6</v>
      </c>
      <c r="K24" s="2187"/>
    </row>
    <row r="25" spans="1:14" ht="14.45" customHeight="1" x14ac:dyDescent="0.25">
      <c r="A25" s="2185"/>
      <c r="B25" s="129" t="s">
        <v>34</v>
      </c>
      <c r="C25" s="814">
        <v>4</v>
      </c>
      <c r="D25" s="629">
        <f>$D$22*2</f>
        <v>2</v>
      </c>
      <c r="E25" s="629">
        <f>C25*$E$22</f>
        <v>4</v>
      </c>
      <c r="F25" s="814">
        <v>0</v>
      </c>
      <c r="G25" s="814">
        <f xml:space="preserve"> SUM(D25:F25)*$N$12</f>
        <v>7.8000000000000007</v>
      </c>
      <c r="H25" s="813">
        <f>G25*20%</f>
        <v>1.5600000000000003</v>
      </c>
      <c r="I25" s="813">
        <f>G25*40%</f>
        <v>3.1200000000000006</v>
      </c>
      <c r="J25" s="813">
        <f>G25*40%</f>
        <v>3.1200000000000006</v>
      </c>
      <c r="K25" s="2188"/>
    </row>
    <row r="26" spans="1:14" ht="31.15" customHeight="1" x14ac:dyDescent="0.25">
      <c r="A26" s="2170" t="s">
        <v>1365</v>
      </c>
      <c r="B26" s="2171"/>
      <c r="C26" s="2171"/>
      <c r="D26" s="2171"/>
      <c r="E26" s="2171"/>
      <c r="F26" s="2171"/>
      <c r="G26" s="2171"/>
      <c r="H26" s="2171"/>
      <c r="I26" s="2171"/>
      <c r="J26" s="2171"/>
      <c r="K26" s="2172"/>
    </row>
    <row r="27" spans="1:14" ht="14.45" customHeight="1" x14ac:dyDescent="0.25">
      <c r="A27" s="2167" t="s">
        <v>1365</v>
      </c>
      <c r="B27" s="129" t="s">
        <v>32</v>
      </c>
      <c r="C27" s="2189" t="s">
        <v>1366</v>
      </c>
      <c r="D27" s="2190"/>
      <c r="E27" s="2190"/>
      <c r="F27" s="2191"/>
      <c r="G27" s="814">
        <f>G11+G23+G17</f>
        <v>44.6</v>
      </c>
      <c r="H27" s="813">
        <f>G27*50%</f>
        <v>22.3</v>
      </c>
      <c r="I27" s="813">
        <f>G27*50%</f>
        <v>22.3</v>
      </c>
      <c r="J27" s="813">
        <v>0</v>
      </c>
      <c r="K27" s="1846" t="s">
        <v>1367</v>
      </c>
    </row>
    <row r="28" spans="1:14" ht="14.45" customHeight="1" x14ac:dyDescent="0.25">
      <c r="A28" s="2168"/>
      <c r="B28" s="129" t="s">
        <v>33</v>
      </c>
      <c r="C28" s="2189"/>
      <c r="D28" s="2190"/>
      <c r="E28" s="2190"/>
      <c r="F28" s="2191"/>
      <c r="G28" s="814">
        <f>G12+G24+G18</f>
        <v>64.300000000000011</v>
      </c>
      <c r="H28" s="813">
        <f>G28*50%</f>
        <v>32.150000000000006</v>
      </c>
      <c r="I28" s="813">
        <f>G28*40%</f>
        <v>25.720000000000006</v>
      </c>
      <c r="J28" s="813">
        <f>G28*10%</f>
        <v>6.4300000000000015</v>
      </c>
      <c r="K28" s="1847"/>
    </row>
    <row r="29" spans="1:14" ht="14.45" customHeight="1" x14ac:dyDescent="0.25">
      <c r="A29" s="2169"/>
      <c r="B29" s="129" t="s">
        <v>34</v>
      </c>
      <c r="C29" s="2189"/>
      <c r="D29" s="2190"/>
      <c r="E29" s="2190"/>
      <c r="F29" s="2191"/>
      <c r="G29" s="814">
        <f>G13+G25+G19</f>
        <v>84</v>
      </c>
      <c r="H29" s="813">
        <f>G29*20%</f>
        <v>16.8</v>
      </c>
      <c r="I29" s="813">
        <f>G29*40%</f>
        <v>33.6</v>
      </c>
      <c r="J29" s="813">
        <f>G29*40%</f>
        <v>33.6</v>
      </c>
      <c r="K29" s="1848"/>
    </row>
    <row r="30" spans="1:14" ht="39.6" customHeight="1" x14ac:dyDescent="0.25">
      <c r="A30" s="2170" t="s">
        <v>1368</v>
      </c>
      <c r="B30" s="2171"/>
      <c r="C30" s="2171"/>
      <c r="D30" s="2171"/>
      <c r="E30" s="2171"/>
      <c r="F30" s="2171"/>
      <c r="G30" s="2171"/>
      <c r="H30" s="2171"/>
      <c r="I30" s="2171"/>
      <c r="J30" s="2171"/>
      <c r="K30" s="2172"/>
      <c r="M30" s="1383" t="s">
        <v>1369</v>
      </c>
      <c r="N30" s="879"/>
    </row>
    <row r="31" spans="1:14" ht="14.45" customHeight="1" x14ac:dyDescent="0.25">
      <c r="A31" s="2198"/>
      <c r="B31" s="2199"/>
      <c r="C31" s="2199"/>
      <c r="D31" s="2199"/>
      <c r="E31" s="2199"/>
      <c r="F31" s="2200"/>
      <c r="G31" s="2158" t="s">
        <v>38</v>
      </c>
      <c r="H31" s="2156" t="s">
        <v>715</v>
      </c>
      <c r="I31" s="2156" t="s">
        <v>714</v>
      </c>
      <c r="J31" s="2156" t="s">
        <v>713</v>
      </c>
      <c r="K31" s="2156" t="s">
        <v>272</v>
      </c>
      <c r="M31" s="129" t="s">
        <v>637</v>
      </c>
      <c r="N31" s="1382">
        <v>1.5</v>
      </c>
    </row>
    <row r="32" spans="1:14" ht="14.45" customHeight="1" x14ac:dyDescent="0.25">
      <c r="A32" s="2201"/>
      <c r="B32" s="2202"/>
      <c r="C32" s="2202"/>
      <c r="D32" s="2202"/>
      <c r="E32" s="2202"/>
      <c r="F32" s="2203"/>
      <c r="G32" s="2158"/>
      <c r="H32" s="2156"/>
      <c r="I32" s="2156"/>
      <c r="J32" s="2156"/>
      <c r="K32" s="2156"/>
    </row>
    <row r="33" spans="1:11" ht="14.45" customHeight="1" x14ac:dyDescent="0.25">
      <c r="A33" s="2167" t="s">
        <v>1368</v>
      </c>
      <c r="B33" s="129" t="s">
        <v>32</v>
      </c>
      <c r="C33" s="2192" t="s">
        <v>1496</v>
      </c>
      <c r="D33" s="2193"/>
      <c r="E33" s="2193"/>
      <c r="F33" s="2194"/>
      <c r="G33" s="814">
        <f>(G11+G17+G23)*$N$31</f>
        <v>66.900000000000006</v>
      </c>
      <c r="H33" s="813">
        <f>G33*50%</f>
        <v>33.450000000000003</v>
      </c>
      <c r="I33" s="813">
        <f>G33*50%</f>
        <v>33.450000000000003</v>
      </c>
      <c r="J33" s="813">
        <v>0</v>
      </c>
      <c r="K33" s="1846" t="s">
        <v>1367</v>
      </c>
    </row>
    <row r="34" spans="1:11" ht="14.45" customHeight="1" x14ac:dyDescent="0.25">
      <c r="A34" s="2168"/>
      <c r="B34" s="129" t="s">
        <v>33</v>
      </c>
      <c r="C34" s="2195"/>
      <c r="D34" s="2196"/>
      <c r="E34" s="2196"/>
      <c r="F34" s="2197"/>
      <c r="G34" s="814">
        <f>(G12+G18+G24)*$N$31</f>
        <v>96.450000000000017</v>
      </c>
      <c r="H34" s="813">
        <f>G34*50%</f>
        <v>48.225000000000009</v>
      </c>
      <c r="I34" s="813">
        <f>G34*40%</f>
        <v>38.580000000000013</v>
      </c>
      <c r="J34" s="813">
        <f>G34*10%</f>
        <v>9.6450000000000031</v>
      </c>
      <c r="K34" s="1847"/>
    </row>
    <row r="35" spans="1:11" x14ac:dyDescent="0.25">
      <c r="A35" s="2169"/>
      <c r="B35" s="129" t="s">
        <v>34</v>
      </c>
      <c r="C35" s="2195"/>
      <c r="D35" s="2196"/>
      <c r="E35" s="2196"/>
      <c r="F35" s="2197"/>
      <c r="G35" s="814">
        <f>(G13+G19+G25)*$N$31</f>
        <v>126</v>
      </c>
      <c r="H35" s="813">
        <f>G35*20%</f>
        <v>25.200000000000003</v>
      </c>
      <c r="I35" s="813">
        <f>G35*40%</f>
        <v>50.400000000000006</v>
      </c>
      <c r="J35" s="813">
        <f>G35*40%</f>
        <v>50.400000000000006</v>
      </c>
      <c r="K35" s="1848"/>
    </row>
    <row r="36" spans="1:11" ht="14.45" customHeight="1" x14ac:dyDescent="0.25"/>
    <row r="37" spans="1:11" ht="14.45" customHeight="1" x14ac:dyDescent="0.25"/>
    <row r="38" spans="1:11" ht="14.45" customHeight="1" x14ac:dyDescent="0.25"/>
    <row r="39" spans="1:11" ht="14.45" customHeight="1" x14ac:dyDescent="0.25"/>
    <row r="40" spans="1:11" ht="14.45" customHeight="1" x14ac:dyDescent="0.25"/>
    <row r="41" spans="1:11" ht="14.45" customHeight="1" x14ac:dyDescent="0.25"/>
    <row r="42" spans="1:11" ht="14.45" customHeight="1" x14ac:dyDescent="0.25"/>
    <row r="43" spans="1:11" ht="14.45" customHeight="1" x14ac:dyDescent="0.25"/>
    <row r="44" spans="1:11" ht="14.45" customHeight="1" x14ac:dyDescent="0.25"/>
    <row r="45" spans="1:11" ht="14.45" customHeight="1" x14ac:dyDescent="0.25"/>
    <row r="46" spans="1:11" ht="14.45" customHeight="1" x14ac:dyDescent="0.25"/>
    <row r="47" spans="1:11" ht="14.45" customHeight="1" x14ac:dyDescent="0.25"/>
    <row r="48" spans="1:11" ht="14.45" customHeight="1" x14ac:dyDescent="0.25"/>
    <row r="49" ht="14.45" customHeight="1" x14ac:dyDescent="0.25"/>
  </sheetData>
  <mergeCells count="44">
    <mergeCell ref="A33:A35"/>
    <mergeCell ref="C33:F35"/>
    <mergeCell ref="K33:K35"/>
    <mergeCell ref="A30:K30"/>
    <mergeCell ref="A31:F32"/>
    <mergeCell ref="G31:G32"/>
    <mergeCell ref="H31:H32"/>
    <mergeCell ref="I31:I32"/>
    <mergeCell ref="J31:J32"/>
    <mergeCell ref="K31:K32"/>
    <mergeCell ref="A23:A25"/>
    <mergeCell ref="K23:K25"/>
    <mergeCell ref="A26:K26"/>
    <mergeCell ref="A27:A29"/>
    <mergeCell ref="C27:F29"/>
    <mergeCell ref="K27:K29"/>
    <mergeCell ref="A17:A19"/>
    <mergeCell ref="A20:K20"/>
    <mergeCell ref="C21:C22"/>
    <mergeCell ref="G21:G22"/>
    <mergeCell ref="H21:H22"/>
    <mergeCell ref="I21:I22"/>
    <mergeCell ref="J21:J22"/>
    <mergeCell ref="K21:K22"/>
    <mergeCell ref="A11:A13"/>
    <mergeCell ref="A14:K14"/>
    <mergeCell ref="C15:C16"/>
    <mergeCell ref="G15:G16"/>
    <mergeCell ref="H15:H16"/>
    <mergeCell ref="I15:I16"/>
    <mergeCell ref="J15:J16"/>
    <mergeCell ref="K15:K16"/>
    <mergeCell ref="K9:K10"/>
    <mergeCell ref="A1:K1"/>
    <mergeCell ref="A2:A4"/>
    <mergeCell ref="K2:K4"/>
    <mergeCell ref="A5:A7"/>
    <mergeCell ref="K5:K7"/>
    <mergeCell ref="A8:K8"/>
    <mergeCell ref="C9:C10"/>
    <mergeCell ref="G9:G10"/>
    <mergeCell ref="H9:H10"/>
    <mergeCell ref="I9:I10"/>
    <mergeCell ref="J9:J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244F-0467-405B-BBF0-CD4BBE6DCEA5}">
  <sheetPr codeName="Лист99"/>
  <dimension ref="A1:Q30"/>
  <sheetViews>
    <sheetView topLeftCell="B1" zoomScale="70" zoomScaleNormal="70" workbookViewId="0">
      <selection activeCell="M9" sqref="M9"/>
    </sheetView>
  </sheetViews>
  <sheetFormatPr defaultColWidth="8.85546875" defaultRowHeight="15" x14ac:dyDescent="0.25"/>
  <cols>
    <col min="1" max="1" width="55.85546875" style="1643" customWidth="1"/>
    <col min="2" max="2" width="27.28515625" style="1643" customWidth="1"/>
    <col min="3" max="3" width="21" style="1643" customWidth="1"/>
    <col min="4" max="4" width="22.28515625" style="1643" customWidth="1"/>
    <col min="5" max="5" width="25.7109375" style="1643" customWidth="1"/>
    <col min="6" max="6" width="25.7109375" style="1644" customWidth="1"/>
    <col min="7" max="8" width="43.5703125" style="1644" customWidth="1"/>
    <col min="9" max="9" width="34.7109375" style="1643" customWidth="1"/>
    <col min="10" max="10" width="27.5703125" style="1643" customWidth="1"/>
    <col min="11" max="11" width="13.7109375" style="1643" customWidth="1"/>
    <col min="12" max="12" width="12.28515625" style="1643" customWidth="1"/>
    <col min="13" max="13" width="14.5703125" style="1643" customWidth="1"/>
    <col min="14" max="14" width="37" style="1643" customWidth="1"/>
    <col min="15" max="15" width="8.85546875" style="1643"/>
    <col min="16" max="16" width="24.28515625" style="1643" customWidth="1"/>
    <col min="17" max="16384" width="8.85546875" style="1643"/>
  </cols>
  <sheetData>
    <row r="1" spans="1:17" ht="31.9" customHeight="1" x14ac:dyDescent="0.25">
      <c r="A1" s="2164" t="s">
        <v>1382</v>
      </c>
      <c r="B1" s="2165"/>
      <c r="C1" s="2165"/>
      <c r="D1" s="2165"/>
      <c r="E1" s="2165"/>
      <c r="F1" s="2165"/>
      <c r="G1" s="2165"/>
      <c r="H1" s="2165"/>
      <c r="I1" s="2165"/>
      <c r="J1" s="2165"/>
      <c r="K1" s="2165"/>
      <c r="L1" s="2165"/>
      <c r="M1" s="2165"/>
      <c r="N1" s="2166"/>
    </row>
    <row r="2" spans="1:17" x14ac:dyDescent="0.25">
      <c r="A2" s="2160" t="s">
        <v>1687</v>
      </c>
      <c r="B2" s="129" t="s">
        <v>33</v>
      </c>
      <c r="C2" s="814">
        <v>8</v>
      </c>
      <c r="D2" s="814">
        <v>0</v>
      </c>
      <c r="E2" s="814">
        <v>0</v>
      </c>
      <c r="F2" s="814"/>
      <c r="G2" s="814"/>
      <c r="H2" s="814"/>
      <c r="I2" s="814">
        <v>0</v>
      </c>
      <c r="J2" s="814">
        <f t="shared" ref="J2:J5" si="0" xml:space="preserve"> SUM(C2:I2)</f>
        <v>8</v>
      </c>
      <c r="K2" s="813">
        <f>J2*80%</f>
        <v>6.4</v>
      </c>
      <c r="L2" s="813">
        <f>J2*20%</f>
        <v>1.6</v>
      </c>
      <c r="M2" s="813">
        <f>J2*0</f>
        <v>0</v>
      </c>
      <c r="N2" s="2159"/>
    </row>
    <row r="3" spans="1:17" ht="14.45" customHeight="1" x14ac:dyDescent="0.25">
      <c r="A3" s="2160"/>
      <c r="B3" s="129" t="s">
        <v>34</v>
      </c>
      <c r="C3" s="813">
        <v>16</v>
      </c>
      <c r="D3" s="814">
        <v>0</v>
      </c>
      <c r="E3" s="814">
        <v>0</v>
      </c>
      <c r="F3" s="814"/>
      <c r="G3" s="814"/>
      <c r="H3" s="814"/>
      <c r="I3" s="814">
        <v>0</v>
      </c>
      <c r="J3" s="814">
        <f t="shared" si="0"/>
        <v>16</v>
      </c>
      <c r="K3" s="813">
        <f>J3*50%</f>
        <v>8</v>
      </c>
      <c r="L3" s="813">
        <f>J3*30%</f>
        <v>4.8</v>
      </c>
      <c r="M3" s="813">
        <f>J3*20%</f>
        <v>3.2</v>
      </c>
      <c r="N3" s="2159"/>
    </row>
    <row r="4" spans="1:17" ht="14.45" customHeight="1" x14ac:dyDescent="0.25">
      <c r="A4" s="2167" t="s">
        <v>1688</v>
      </c>
      <c r="B4" s="129" t="s">
        <v>33</v>
      </c>
      <c r="C4" s="814">
        <v>8</v>
      </c>
      <c r="D4" s="814">
        <v>0</v>
      </c>
      <c r="E4" s="814">
        <v>0</v>
      </c>
      <c r="F4" s="814"/>
      <c r="G4" s="814"/>
      <c r="H4" s="814"/>
      <c r="I4" s="814">
        <v>0</v>
      </c>
      <c r="J4" s="814">
        <f t="shared" si="0"/>
        <v>8</v>
      </c>
      <c r="K4" s="813">
        <f>J4*80%</f>
        <v>6.4</v>
      </c>
      <c r="L4" s="813">
        <f>J4*20%</f>
        <v>1.6</v>
      </c>
      <c r="M4" s="813">
        <v>0</v>
      </c>
      <c r="N4" s="2159"/>
    </row>
    <row r="5" spans="1:17" ht="14.45" customHeight="1" x14ac:dyDescent="0.25">
      <c r="A5" s="2169"/>
      <c r="B5" s="129" t="s">
        <v>34</v>
      </c>
      <c r="C5" s="813">
        <v>16</v>
      </c>
      <c r="D5" s="814">
        <v>0</v>
      </c>
      <c r="E5" s="814">
        <v>0</v>
      </c>
      <c r="F5" s="814"/>
      <c r="G5" s="814"/>
      <c r="H5" s="814"/>
      <c r="I5" s="814">
        <v>0</v>
      </c>
      <c r="J5" s="814">
        <f t="shared" si="0"/>
        <v>16</v>
      </c>
      <c r="K5" s="813">
        <f>J5*50%</f>
        <v>8</v>
      </c>
      <c r="L5" s="813">
        <f>J5*30%</f>
        <v>4.8</v>
      </c>
      <c r="M5" s="813">
        <f>J5*20%</f>
        <v>3.2</v>
      </c>
      <c r="N5" s="2159"/>
    </row>
    <row r="6" spans="1:17" ht="30.6" customHeight="1" x14ac:dyDescent="0.25">
      <c r="A6" s="2170" t="s">
        <v>55</v>
      </c>
      <c r="B6" s="2171"/>
      <c r="C6" s="2171"/>
      <c r="D6" s="2171"/>
      <c r="E6" s="2171"/>
      <c r="F6" s="2171"/>
      <c r="G6" s="2171"/>
      <c r="H6" s="2171"/>
      <c r="I6" s="2171"/>
      <c r="J6" s="2171"/>
      <c r="K6" s="2171"/>
      <c r="L6" s="2171"/>
      <c r="M6" s="2171"/>
      <c r="N6" s="2172"/>
    </row>
    <row r="7" spans="1:17" ht="118.15" customHeight="1" x14ac:dyDescent="0.25">
      <c r="A7" s="879" t="s">
        <v>1689</v>
      </c>
      <c r="B7" s="1645" t="s">
        <v>1690</v>
      </c>
      <c r="C7" s="2156" t="s">
        <v>1357</v>
      </c>
      <c r="D7" s="1645" t="s">
        <v>876</v>
      </c>
      <c r="E7" s="1645" t="s">
        <v>1421</v>
      </c>
      <c r="F7" s="1645" t="s">
        <v>1681</v>
      </c>
      <c r="G7" s="1645" t="s">
        <v>1682</v>
      </c>
      <c r="H7" s="1645" t="s">
        <v>1683</v>
      </c>
      <c r="I7" s="1378" t="s">
        <v>1359</v>
      </c>
      <c r="J7" s="2158" t="s">
        <v>38</v>
      </c>
      <c r="K7" s="2156" t="s">
        <v>715</v>
      </c>
      <c r="L7" s="2156" t="s">
        <v>714</v>
      </c>
      <c r="M7" s="2156" t="s">
        <v>713</v>
      </c>
      <c r="N7" s="2156" t="s">
        <v>272</v>
      </c>
    </row>
    <row r="8" spans="1:17" ht="14.45" customHeight="1" x14ac:dyDescent="0.25">
      <c r="A8" s="1379" t="s">
        <v>36</v>
      </c>
      <c r="B8" s="206">
        <f>IF(ТрЗ_ОП!$C$6="Обычный", 1, IF(ТрЗ_ОП!$C$6="Сложный",2,3))</f>
        <v>1</v>
      </c>
      <c r="C8" s="2156"/>
      <c r="D8" s="184">
        <f>ТрЗ_ОП!H2</f>
        <v>666</v>
      </c>
      <c r="E8" s="184">
        <f>ТрЗ_ОП!H4</f>
        <v>3</v>
      </c>
      <c r="F8" s="184">
        <f>IF(ТрЗ_ОП!$H$3="Да", 1, IF(ТрЗ_ОП!$H$3="Нет",0,"Не знаю"))</f>
        <v>0</v>
      </c>
      <c r="G8" s="184">
        <f>IF(ТрЗ_ОП!$H$5="Маленькая", 1, IF(ТрЗ_ОП!$H$5="Средняя",2, IF(ТрЗ_ОП!$H$5="Большая",3, "Не знаю")))</f>
        <v>1</v>
      </c>
      <c r="H8" s="184">
        <f>IF(ТрЗ_ОП!$H$6="ЭП",1,IF(ТрЗ_ОП!$H$6="ТРП",2,IF(ТрЗ_ОП!$H$6="Пресейл",3,IF(ТрЗ_ОП!$H$6="ТП",4,"Не знаю"))))</f>
        <v>1</v>
      </c>
      <c r="I8" s="184">
        <f>IF(ТрЗ_ОКиА!E169="Да",1,0)</f>
        <v>1</v>
      </c>
      <c r="J8" s="2158"/>
      <c r="K8" s="2156"/>
      <c r="L8" s="2156"/>
      <c r="M8" s="2156"/>
      <c r="N8" s="2156"/>
      <c r="P8" s="1380" t="s">
        <v>1361</v>
      </c>
      <c r="Q8" s="879"/>
    </row>
    <row r="9" spans="1:17" ht="14.45" customHeight="1" x14ac:dyDescent="0.25">
      <c r="A9" s="2174" t="s">
        <v>1684</v>
      </c>
      <c r="B9" s="129" t="s">
        <v>1691</v>
      </c>
      <c r="C9" s="814">
        <v>16</v>
      </c>
      <c r="D9" s="629">
        <f>$D$8*2</f>
        <v>1332</v>
      </c>
      <c r="E9" s="629">
        <f>C9*$E$8</f>
        <v>48</v>
      </c>
      <c r="F9" s="629"/>
      <c r="G9" s="629"/>
      <c r="H9" s="629"/>
      <c r="I9" s="629">
        <f>IF($I$8=0,SUM(D9:E9)*0.5,0)</f>
        <v>0</v>
      </c>
      <c r="J9" s="814">
        <f xml:space="preserve"> SUM(D9:I9)*$Q$9</f>
        <v>1794</v>
      </c>
      <c r="K9" s="813">
        <f>J9*50%</f>
        <v>897</v>
      </c>
      <c r="L9" s="813">
        <f>J9*50%</f>
        <v>897</v>
      </c>
      <c r="M9" s="813">
        <v>0</v>
      </c>
      <c r="N9" s="129"/>
      <c r="P9" s="129" t="s">
        <v>637</v>
      </c>
      <c r="Q9" s="1382">
        <v>1.3</v>
      </c>
    </row>
    <row r="10" spans="1:17" ht="14.45" customHeight="1" x14ac:dyDescent="0.25">
      <c r="A10" s="2176"/>
      <c r="B10" s="129" t="s">
        <v>1692</v>
      </c>
      <c r="C10" s="814">
        <v>32</v>
      </c>
      <c r="D10" s="629">
        <f>$D$8*2</f>
        <v>1332</v>
      </c>
      <c r="E10" s="629">
        <f>C10*$E$8</f>
        <v>96</v>
      </c>
      <c r="F10" s="629"/>
      <c r="G10" s="629"/>
      <c r="H10" s="629"/>
      <c r="I10" s="629">
        <f>IF($I$8=0,SUM(D10:E10)*0.5,0)</f>
        <v>0</v>
      </c>
      <c r="J10" s="814">
        <f xml:space="preserve"> SUM(D10:I10)*$Q$9</f>
        <v>1856.4</v>
      </c>
      <c r="K10" s="813">
        <f>J10*20%</f>
        <v>371.28000000000003</v>
      </c>
      <c r="L10" s="813">
        <f>J10*40%</f>
        <v>742.56000000000006</v>
      </c>
      <c r="M10" s="813">
        <f>J10*40%</f>
        <v>742.56000000000006</v>
      </c>
      <c r="N10" s="129"/>
    </row>
    <row r="11" spans="1:17" ht="28.15" customHeight="1" x14ac:dyDescent="0.25">
      <c r="A11" s="2170" t="s">
        <v>1362</v>
      </c>
      <c r="B11" s="2171"/>
      <c r="C11" s="2171"/>
      <c r="D11" s="2171"/>
      <c r="E11" s="2171"/>
      <c r="F11" s="2171"/>
      <c r="G11" s="2171"/>
      <c r="H11" s="2171"/>
      <c r="I11" s="2171"/>
      <c r="J11" s="2171"/>
      <c r="K11" s="2171"/>
      <c r="L11" s="2171"/>
      <c r="M11" s="2171"/>
      <c r="N11" s="2172"/>
    </row>
    <row r="12" spans="1:17" ht="31.15" customHeight="1" x14ac:dyDescent="0.25">
      <c r="A12" s="2170" t="s">
        <v>1365</v>
      </c>
      <c r="B12" s="2171"/>
      <c r="C12" s="2171"/>
      <c r="D12" s="2171"/>
      <c r="E12" s="2171"/>
      <c r="F12" s="2171"/>
      <c r="G12" s="2171"/>
      <c r="H12" s="2171"/>
      <c r="I12" s="2171"/>
      <c r="J12" s="2171"/>
      <c r="K12" s="2171"/>
      <c r="L12" s="2171"/>
      <c r="M12" s="2171"/>
      <c r="N12" s="2172"/>
    </row>
    <row r="13" spans="1:17" ht="16.5" customHeight="1" x14ac:dyDescent="0.25">
      <c r="A13" s="2167" t="s">
        <v>1365</v>
      </c>
      <c r="B13" s="129" t="s">
        <v>33</v>
      </c>
      <c r="C13" s="2189" t="s">
        <v>1366</v>
      </c>
      <c r="D13" s="2190"/>
      <c r="E13" s="2190"/>
      <c r="F13" s="2190"/>
      <c r="G13" s="2190"/>
      <c r="H13" s="2190"/>
      <c r="I13" s="2191"/>
      <c r="J13" s="814">
        <f>J9</f>
        <v>1794</v>
      </c>
      <c r="K13" s="813">
        <f>J13*50%</f>
        <v>897</v>
      </c>
      <c r="L13" s="813">
        <f>J13*50%</f>
        <v>897</v>
      </c>
      <c r="M13" s="813">
        <v>0</v>
      </c>
      <c r="N13" s="1846" t="s">
        <v>1367</v>
      </c>
    </row>
    <row r="14" spans="1:17" ht="14.45" customHeight="1" x14ac:dyDescent="0.25">
      <c r="A14" s="2169"/>
      <c r="B14" s="129" t="s">
        <v>34</v>
      </c>
      <c r="C14" s="2189"/>
      <c r="D14" s="2190"/>
      <c r="E14" s="2190"/>
      <c r="F14" s="2190"/>
      <c r="G14" s="2190"/>
      <c r="H14" s="2190"/>
      <c r="I14" s="2191"/>
      <c r="J14" s="814">
        <f>J10</f>
        <v>1856.4</v>
      </c>
      <c r="K14" s="813">
        <f>J14*20%</f>
        <v>371.28000000000003</v>
      </c>
      <c r="L14" s="813">
        <f>J14*40%</f>
        <v>742.56000000000006</v>
      </c>
      <c r="M14" s="813">
        <f>J14*40%</f>
        <v>742.56000000000006</v>
      </c>
      <c r="N14" s="1848"/>
    </row>
    <row r="15" spans="1:17" ht="14.45" customHeight="1" x14ac:dyDescent="0.25">
      <c r="A15" s="2198"/>
      <c r="B15" s="2199"/>
      <c r="C15" s="2199"/>
      <c r="D15" s="2199"/>
      <c r="E15" s="2199"/>
      <c r="F15" s="2199"/>
      <c r="G15" s="2199"/>
      <c r="H15" s="2199"/>
      <c r="I15" s="2200"/>
      <c r="J15" s="2158" t="s">
        <v>38</v>
      </c>
      <c r="K15" s="2156" t="s">
        <v>715</v>
      </c>
      <c r="L15" s="2156" t="s">
        <v>714</v>
      </c>
      <c r="M15" s="2156" t="s">
        <v>713</v>
      </c>
      <c r="N15" s="2156" t="s">
        <v>272</v>
      </c>
      <c r="P15" s="129" t="s">
        <v>637</v>
      </c>
      <c r="Q15" s="1382">
        <v>1.5</v>
      </c>
    </row>
    <row r="16" spans="1:17" ht="17.25" customHeight="1" x14ac:dyDescent="0.25">
      <c r="A16" s="2201"/>
      <c r="B16" s="2202"/>
      <c r="C16" s="2202"/>
      <c r="D16" s="2202"/>
      <c r="E16" s="2202"/>
      <c r="F16" s="2202"/>
      <c r="G16" s="2202"/>
      <c r="H16" s="2202"/>
      <c r="I16" s="2203"/>
      <c r="J16" s="2158"/>
      <c r="K16" s="2156"/>
      <c r="L16" s="2156"/>
      <c r="M16" s="2156"/>
      <c r="N16" s="2156"/>
    </row>
    <row r="17" ht="14.45" customHeight="1" x14ac:dyDescent="0.25"/>
    <row r="18" ht="14.45" customHeight="1" x14ac:dyDescent="0.25"/>
    <row r="19" ht="14.45" customHeight="1" x14ac:dyDescent="0.25"/>
    <row r="20" ht="14.45" customHeight="1" x14ac:dyDescent="0.25"/>
    <row r="21" ht="14.45" customHeight="1" x14ac:dyDescent="0.25"/>
    <row r="22" ht="14.45" customHeight="1" x14ac:dyDescent="0.25"/>
    <row r="23" ht="14.45" customHeight="1" x14ac:dyDescent="0.25"/>
    <row r="24" ht="14.45" customHeight="1" x14ac:dyDescent="0.25"/>
    <row r="25" ht="14.45" customHeight="1" x14ac:dyDescent="0.25"/>
    <row r="26" ht="14.45" customHeight="1" x14ac:dyDescent="0.25"/>
    <row r="27" ht="14.45" customHeight="1" x14ac:dyDescent="0.25"/>
    <row r="28" ht="14.45" customHeight="1" x14ac:dyDescent="0.25"/>
    <row r="29" ht="14.45" customHeight="1" x14ac:dyDescent="0.25"/>
    <row r="30" ht="14.45" customHeight="1" x14ac:dyDescent="0.25"/>
  </sheetData>
  <mergeCells count="24">
    <mergeCell ref="N15:N16"/>
    <mergeCell ref="A12:N12"/>
    <mergeCell ref="A13:A14"/>
    <mergeCell ref="C13:I14"/>
    <mergeCell ref="N13:N14"/>
    <mergeCell ref="A15:I16"/>
    <mergeCell ref="J15:J16"/>
    <mergeCell ref="K15:K16"/>
    <mergeCell ref="L15:L16"/>
    <mergeCell ref="M15:M16"/>
    <mergeCell ref="A9:A10"/>
    <mergeCell ref="A11:N11"/>
    <mergeCell ref="N7:N8"/>
    <mergeCell ref="A1:N1"/>
    <mergeCell ref="A2:A3"/>
    <mergeCell ref="N2:N3"/>
    <mergeCell ref="A4:A5"/>
    <mergeCell ref="N4:N5"/>
    <mergeCell ref="A6:N6"/>
    <mergeCell ref="C7:C8"/>
    <mergeCell ref="J7:J8"/>
    <mergeCell ref="K7:K8"/>
    <mergeCell ref="L7:L8"/>
    <mergeCell ref="M7:M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Лист80"/>
  <dimension ref="B2:D5"/>
  <sheetViews>
    <sheetView workbookViewId="0">
      <selection activeCell="F34" sqref="F34"/>
    </sheetView>
  </sheetViews>
  <sheetFormatPr defaultColWidth="9.140625" defaultRowHeight="15" x14ac:dyDescent="0.25"/>
  <cols>
    <col min="1" max="1" width="9.140625" style="1271"/>
    <col min="2" max="2" width="12.42578125" style="1271" customWidth="1"/>
    <col min="3" max="3" width="9.140625" style="1271"/>
    <col min="4" max="4" width="12.140625" style="1271" customWidth="1"/>
    <col min="5" max="16384" width="9.140625" style="1271"/>
  </cols>
  <sheetData>
    <row r="2" spans="2:4" x14ac:dyDescent="0.25">
      <c r="B2" s="1271" t="s">
        <v>73</v>
      </c>
      <c r="D2" s="1271" t="s">
        <v>1226</v>
      </c>
    </row>
    <row r="3" spans="2:4" x14ac:dyDescent="0.25">
      <c r="B3" s="1271" t="s">
        <v>108</v>
      </c>
      <c r="D3" s="1271" t="s">
        <v>1207</v>
      </c>
    </row>
    <row r="4" spans="2:4" x14ac:dyDescent="0.25">
      <c r="B4" s="1271" t="s">
        <v>109</v>
      </c>
      <c r="D4" s="1271" t="s">
        <v>107</v>
      </c>
    </row>
    <row r="5" spans="2:4" x14ac:dyDescent="0.25">
      <c r="B5" s="1271" t="s">
        <v>80</v>
      </c>
    </row>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81"/>
  <dimension ref="A1:R125"/>
  <sheetViews>
    <sheetView zoomScale="73" zoomScaleNormal="80" workbookViewId="0">
      <selection activeCell="B3" sqref="B3"/>
    </sheetView>
  </sheetViews>
  <sheetFormatPr defaultColWidth="9.140625" defaultRowHeight="15" x14ac:dyDescent="0.25"/>
  <cols>
    <col min="1" max="1" width="53.42578125" style="1271" bestFit="1" customWidth="1"/>
    <col min="2" max="2" width="23.5703125" style="1271" bestFit="1" customWidth="1"/>
    <col min="3" max="3" width="23.5703125" style="1271" customWidth="1"/>
    <col min="4" max="4" width="26.28515625" style="1271" bestFit="1" customWidth="1"/>
    <col min="5" max="5" width="19" style="1271" bestFit="1" customWidth="1"/>
    <col min="6" max="6" width="28.7109375" style="1271" bestFit="1" customWidth="1"/>
    <col min="7" max="7" width="7.5703125" style="1271" bestFit="1" customWidth="1"/>
    <col min="8" max="8" width="11.28515625" style="1271" customWidth="1"/>
    <col min="9" max="9" width="11.42578125" style="1271" customWidth="1"/>
    <col min="10" max="10" width="11.5703125" style="1271" customWidth="1"/>
    <col min="11" max="11" width="28.7109375" style="1271" customWidth="1"/>
    <col min="12" max="16384" width="9.140625" style="1271"/>
  </cols>
  <sheetData>
    <row r="1" spans="1:18" ht="90" x14ac:dyDescent="0.25">
      <c r="A1" s="1274" t="s">
        <v>1227</v>
      </c>
      <c r="B1" s="1275" t="s">
        <v>1228</v>
      </c>
      <c r="C1" s="2205" t="s">
        <v>1229</v>
      </c>
      <c r="D1" s="1276" t="s">
        <v>1230</v>
      </c>
      <c r="E1" s="1276" t="s">
        <v>1231</v>
      </c>
      <c r="F1" s="1277" t="s">
        <v>1232</v>
      </c>
      <c r="G1" s="2208" t="s">
        <v>38</v>
      </c>
      <c r="H1" s="2210" t="s">
        <v>715</v>
      </c>
      <c r="I1" s="2210" t="s">
        <v>714</v>
      </c>
      <c r="J1" s="2210" t="s">
        <v>713</v>
      </c>
      <c r="K1" s="2214" t="s">
        <v>272</v>
      </c>
      <c r="N1" s="2212" t="s">
        <v>1233</v>
      </c>
      <c r="O1" s="2213"/>
      <c r="R1" s="1271" t="s">
        <v>1234</v>
      </c>
    </row>
    <row r="2" spans="1:18" ht="16.5" thickBot="1" x14ac:dyDescent="0.3">
      <c r="A2" s="1278" t="s">
        <v>36</v>
      </c>
      <c r="B2" s="206">
        <f>IF(ТрЗ_ОКиА!$M$1="Простой", 1, IF(ТрЗ_ОКиА!$M$1="Обычный",2,3))</f>
        <v>2</v>
      </c>
      <c r="C2" s="2206"/>
      <c r="D2" s="415">
        <f>ТрЗ_ОКиА!E42</f>
        <v>1</v>
      </c>
      <c r="E2" s="415">
        <f>IF(ТрЗ_ОКиА!E43="Да",1,0)</f>
        <v>1</v>
      </c>
      <c r="F2" s="415">
        <f>IF(ТрЗ_ОКиА!E44="Да",1,0)</f>
        <v>1</v>
      </c>
      <c r="G2" s="2209"/>
      <c r="H2" s="2211"/>
      <c r="I2" s="2211"/>
      <c r="J2" s="2211"/>
      <c r="K2" s="2215"/>
      <c r="N2" s="879"/>
      <c r="O2" s="879"/>
      <c r="R2" s="1271" t="s">
        <v>1235</v>
      </c>
    </row>
    <row r="3" spans="1:18" ht="15.75" x14ac:dyDescent="0.25">
      <c r="A3" s="1279" t="s">
        <v>1236</v>
      </c>
      <c r="B3" s="1280"/>
      <c r="C3" s="1281"/>
      <c r="D3" s="1282"/>
      <c r="E3" s="1282"/>
      <c r="F3" s="1283"/>
      <c r="G3" s="1284"/>
      <c r="H3" s="1285"/>
      <c r="I3" s="1286"/>
      <c r="J3" s="1287"/>
      <c r="K3" s="1288"/>
      <c r="N3" s="879"/>
      <c r="O3" s="879"/>
      <c r="R3" s="1271" t="s">
        <v>1237</v>
      </c>
    </row>
    <row r="4" spans="1:18" x14ac:dyDescent="0.25">
      <c r="A4" s="1924" t="s">
        <v>1238</v>
      </c>
      <c r="B4" s="817" t="s">
        <v>32</v>
      </c>
      <c r="C4" s="658">
        <v>0</v>
      </c>
      <c r="D4" s="658">
        <v>0</v>
      </c>
      <c r="E4" s="813">
        <v>0</v>
      </c>
      <c r="F4" s="1289">
        <v>0</v>
      </c>
      <c r="G4" s="815">
        <f t="shared" ref="G4:G12" si="0" xml:space="preserve"> SUM(C4:F4)</f>
        <v>0</v>
      </c>
      <c r="H4" s="647">
        <f>G4*80%</f>
        <v>0</v>
      </c>
      <c r="I4" s="813">
        <f>G4*0.1</f>
        <v>0</v>
      </c>
      <c r="J4" s="655">
        <f>G4*0.1</f>
        <v>0</v>
      </c>
      <c r="K4" s="103"/>
      <c r="N4" s="879">
        <v>20</v>
      </c>
      <c r="O4" s="879">
        <f>1+N4/100</f>
        <v>1.2</v>
      </c>
    </row>
    <row r="5" spans="1:18" x14ac:dyDescent="0.25">
      <c r="A5" s="1907"/>
      <c r="B5" s="817" t="s">
        <v>33</v>
      </c>
      <c r="C5" s="446">
        <f>ROUND(20/60,2)</f>
        <v>0.33</v>
      </c>
      <c r="D5" s="658">
        <v>0</v>
      </c>
      <c r="E5" s="813">
        <v>0</v>
      </c>
      <c r="F5" s="1289">
        <v>0</v>
      </c>
      <c r="G5" s="815">
        <f t="shared" si="0"/>
        <v>0.33</v>
      </c>
      <c r="H5" s="647">
        <f>G5*80%</f>
        <v>0.26400000000000001</v>
      </c>
      <c r="I5" s="813">
        <f>G5*10%</f>
        <v>3.3000000000000002E-2</v>
      </c>
      <c r="J5" s="655">
        <f>G5*10%</f>
        <v>3.3000000000000002E-2</v>
      </c>
      <c r="K5" s="103"/>
      <c r="N5" s="879">
        <v>50</v>
      </c>
      <c r="O5" s="879">
        <f>1+N5/100</f>
        <v>1.5</v>
      </c>
    </row>
    <row r="6" spans="1:18" x14ac:dyDescent="0.25">
      <c r="A6" s="1914"/>
      <c r="B6" s="817" t="s">
        <v>34</v>
      </c>
      <c r="C6" s="446">
        <f>ROUND(30/60,2)</f>
        <v>0.5</v>
      </c>
      <c r="D6" s="658">
        <v>0</v>
      </c>
      <c r="E6" s="813">
        <v>0</v>
      </c>
      <c r="F6" s="1289">
        <v>0</v>
      </c>
      <c r="G6" s="815">
        <f t="shared" si="0"/>
        <v>0.5</v>
      </c>
      <c r="H6" s="647">
        <f>G6*40%</f>
        <v>0.2</v>
      </c>
      <c r="I6" s="813">
        <f>G6*30%</f>
        <v>0.15</v>
      </c>
      <c r="J6" s="655">
        <f>G6*30%</f>
        <v>0.15</v>
      </c>
      <c r="K6" s="103"/>
      <c r="N6" s="879">
        <v>70</v>
      </c>
      <c r="O6" s="879">
        <f>1+N6/100</f>
        <v>1.7</v>
      </c>
    </row>
    <row r="7" spans="1:18" x14ac:dyDescent="0.25">
      <c r="A7" s="1915" t="s">
        <v>1239</v>
      </c>
      <c r="B7" s="324" t="s">
        <v>32</v>
      </c>
      <c r="C7" s="821">
        <f>ROUND(30/60,2)</f>
        <v>0.5</v>
      </c>
      <c r="D7" s="658">
        <v>0</v>
      </c>
      <c r="E7" s="629">
        <f>IF($E$2=1, 1, 0)</f>
        <v>1</v>
      </c>
      <c r="F7" s="1289">
        <v>0</v>
      </c>
      <c r="G7" s="815">
        <f t="shared" si="0"/>
        <v>1.5</v>
      </c>
      <c r="H7" s="647">
        <f>G7*1</f>
        <v>1.5</v>
      </c>
      <c r="I7" s="813">
        <v>0</v>
      </c>
      <c r="J7" s="655">
        <v>0</v>
      </c>
      <c r="K7" s="103"/>
    </row>
    <row r="8" spans="1:18" x14ac:dyDescent="0.25">
      <c r="A8" s="1915"/>
      <c r="B8" s="817" t="s">
        <v>33</v>
      </c>
      <c r="C8" s="821">
        <f>ROUND(45/60,2)</f>
        <v>0.75</v>
      </c>
      <c r="D8" s="658">
        <v>0</v>
      </c>
      <c r="E8" s="629">
        <f>IF($E$2=1, 1.5, 0)</f>
        <v>1.5</v>
      </c>
      <c r="F8" s="1289">
        <v>0</v>
      </c>
      <c r="G8" s="815">
        <f t="shared" si="0"/>
        <v>2.25</v>
      </c>
      <c r="H8" s="647">
        <f>G8*60%</f>
        <v>1.3499999999999999</v>
      </c>
      <c r="I8" s="813">
        <f>G8*30%</f>
        <v>0.67499999999999993</v>
      </c>
      <c r="J8" s="655">
        <f>G8*10%</f>
        <v>0.22500000000000001</v>
      </c>
      <c r="K8" s="103"/>
    </row>
    <row r="9" spans="1:18" x14ac:dyDescent="0.25">
      <c r="A9" s="1915"/>
      <c r="B9" s="817" t="s">
        <v>34</v>
      </c>
      <c r="C9" s="821">
        <f>ROUND(60/60,2)</f>
        <v>1</v>
      </c>
      <c r="D9" s="658">
        <v>0</v>
      </c>
      <c r="E9" s="629">
        <f>IF($E$2=1, 3, 0)</f>
        <v>3</v>
      </c>
      <c r="F9" s="1289">
        <v>0</v>
      </c>
      <c r="G9" s="192">
        <f t="shared" si="0"/>
        <v>4</v>
      </c>
      <c r="H9" s="680">
        <f>G9*50%</f>
        <v>2</v>
      </c>
      <c r="I9" s="832">
        <f>G9*30%</f>
        <v>1.2</v>
      </c>
      <c r="J9" s="687">
        <f>G9*20%</f>
        <v>0.8</v>
      </c>
      <c r="K9" s="470"/>
    </row>
    <row r="10" spans="1:18" ht="15.6" customHeight="1" x14ac:dyDescent="0.25">
      <c r="A10" s="1907" t="s">
        <v>1240</v>
      </c>
      <c r="B10" s="324" t="s">
        <v>32</v>
      </c>
      <c r="C10" s="821">
        <v>2</v>
      </c>
      <c r="D10" s="658">
        <v>0</v>
      </c>
      <c r="E10" s="658">
        <v>0</v>
      </c>
      <c r="F10" s="1289">
        <v>0</v>
      </c>
      <c r="G10" s="815">
        <f t="shared" si="0"/>
        <v>2</v>
      </c>
      <c r="H10" s="647">
        <f>G10*50%</f>
        <v>1</v>
      </c>
      <c r="I10" s="813">
        <f>G10*50%</f>
        <v>1</v>
      </c>
      <c r="J10" s="655">
        <v>0</v>
      </c>
      <c r="K10" s="103"/>
    </row>
    <row r="11" spans="1:18" ht="15.6" customHeight="1" x14ac:dyDescent="0.25">
      <c r="A11" s="1907"/>
      <c r="B11" s="817" t="s">
        <v>33</v>
      </c>
      <c r="C11" s="821">
        <v>4</v>
      </c>
      <c r="D11" s="658">
        <v>0</v>
      </c>
      <c r="E11" s="658">
        <v>0</v>
      </c>
      <c r="F11" s="1289">
        <v>0</v>
      </c>
      <c r="G11" s="815">
        <f t="shared" si="0"/>
        <v>4</v>
      </c>
      <c r="H11" s="647">
        <f>G11*50%</f>
        <v>2</v>
      </c>
      <c r="I11" s="813">
        <f>G11*40%</f>
        <v>1.6</v>
      </c>
      <c r="J11" s="655">
        <f>G11*10%</f>
        <v>0.4</v>
      </c>
      <c r="K11" s="103"/>
    </row>
    <row r="12" spans="1:18" ht="15.6" customHeight="1" thickBot="1" x14ac:dyDescent="0.3">
      <c r="A12" s="1975"/>
      <c r="B12" s="818" t="s">
        <v>34</v>
      </c>
      <c r="C12" s="829">
        <v>8</v>
      </c>
      <c r="D12" s="694">
        <v>0</v>
      </c>
      <c r="E12" s="694">
        <v>0</v>
      </c>
      <c r="F12" s="1290">
        <v>0</v>
      </c>
      <c r="G12" s="816">
        <f t="shared" si="0"/>
        <v>8</v>
      </c>
      <c r="H12" s="1291">
        <f>G12*20%</f>
        <v>1.6</v>
      </c>
      <c r="I12" s="1292">
        <f>G12*40%</f>
        <v>3.2</v>
      </c>
      <c r="J12" s="1293">
        <f>G12*40%</f>
        <v>3.2</v>
      </c>
      <c r="K12" s="1260"/>
    </row>
    <row r="13" spans="1:18" ht="15.75" x14ac:dyDescent="0.25">
      <c r="A13" s="1294" t="s">
        <v>1241</v>
      </c>
      <c r="B13" s="1295"/>
      <c r="C13" s="1296"/>
      <c r="D13" s="1297"/>
      <c r="E13" s="1298"/>
      <c r="F13" s="1299"/>
      <c r="G13" s="1298"/>
      <c r="H13" s="1285"/>
      <c r="I13" s="1286"/>
      <c r="J13" s="1287"/>
      <c r="K13" s="1288"/>
      <c r="L13" s="1271" t="s">
        <v>1242</v>
      </c>
      <c r="M13" s="1271" t="s">
        <v>1243</v>
      </c>
    </row>
    <row r="14" spans="1:18" x14ac:dyDescent="0.25">
      <c r="A14" s="2207" t="s">
        <v>1244</v>
      </c>
      <c r="B14" s="420" t="s">
        <v>32</v>
      </c>
      <c r="C14" s="647">
        <f>ROUND(15/60*$O$4,2)</f>
        <v>0.3</v>
      </c>
      <c r="D14" s="629">
        <f>ROUND(20/60*$O$4*$D$2,2)</f>
        <v>0.4</v>
      </c>
      <c r="E14" s="814">
        <v>0</v>
      </c>
      <c r="F14" s="824">
        <v>0</v>
      </c>
      <c r="G14" s="807">
        <f xml:space="preserve"> SUM(C14:F14)</f>
        <v>0.7</v>
      </c>
      <c r="H14" s="647">
        <f>G14*70%</f>
        <v>0.48999999999999994</v>
      </c>
      <c r="I14" s="813">
        <f>G14*20%</f>
        <v>0.13999999999999999</v>
      </c>
      <c r="J14" s="655">
        <f>G14*10%</f>
        <v>6.9999999999999993E-2</v>
      </c>
      <c r="K14" s="103"/>
      <c r="M14" s="1271">
        <f t="shared" ref="M14:P16" si="1">G4+G7+G10+G14+G17+G20+G120+G23+G26+G29+G123+G32+G35+G38+G41+G44+G47+G50+G53+G56+G59+G62+G65+G68+G71+G74+G77+G80+G83+G86+G89+G92+G95+G98+G101+G104+G107+G110+G113+G116</f>
        <v>42.379999999999988</v>
      </c>
      <c r="N14" s="1271">
        <f t="shared" si="1"/>
        <v>30.022000000000006</v>
      </c>
      <c r="O14" s="1271">
        <f t="shared" si="1"/>
        <v>8.4700000000000024</v>
      </c>
      <c r="P14" s="1271">
        <f t="shared" si="1"/>
        <v>3.8879999999999999</v>
      </c>
    </row>
    <row r="15" spans="1:18" x14ac:dyDescent="0.25">
      <c r="A15" s="2204"/>
      <c r="B15" s="198" t="s">
        <v>33</v>
      </c>
      <c r="C15" s="647">
        <f>ROUND(20/60*$O$5,2)</f>
        <v>0.5</v>
      </c>
      <c r="D15" s="629">
        <f>ROUND(30/60*$O$5*$D$2,2)</f>
        <v>0.75</v>
      </c>
      <c r="E15" s="814">
        <v>0</v>
      </c>
      <c r="F15" s="824">
        <v>0</v>
      </c>
      <c r="G15" s="807">
        <f xml:space="preserve"> SUM(C15:F15)</f>
        <v>1.25</v>
      </c>
      <c r="H15" s="647">
        <f>G15*70%</f>
        <v>0.875</v>
      </c>
      <c r="I15" s="813">
        <f>G15*20%</f>
        <v>0.25</v>
      </c>
      <c r="J15" s="655">
        <f>G15*10%</f>
        <v>0.125</v>
      </c>
      <c r="K15" s="103"/>
      <c r="L15" s="1271">
        <f>(4+12)*8</f>
        <v>128</v>
      </c>
      <c r="M15" s="1271">
        <f t="shared" si="1"/>
        <v>79.14</v>
      </c>
      <c r="N15" s="1271">
        <f t="shared" si="1"/>
        <v>47.80299999999999</v>
      </c>
      <c r="O15" s="1271">
        <f t="shared" si="1"/>
        <v>23.422999999999998</v>
      </c>
      <c r="P15" s="1271">
        <f t="shared" si="1"/>
        <v>7.9140000000000024</v>
      </c>
    </row>
    <row r="16" spans="1:18" x14ac:dyDescent="0.25">
      <c r="A16" s="2204"/>
      <c r="B16" s="198" t="s">
        <v>34</v>
      </c>
      <c r="C16" s="647">
        <f>ROUND(30/60*$O$6,2)</f>
        <v>0.85</v>
      </c>
      <c r="D16" s="629">
        <f>ROUND(35/60*$O$6*$D$2,2)</f>
        <v>0.99</v>
      </c>
      <c r="E16" s="658">
        <v>0</v>
      </c>
      <c r="F16" s="1289">
        <v>0</v>
      </c>
      <c r="G16" s="807">
        <f t="shared" ref="G16:G72" si="2" xml:space="preserve"> SUM(C16:F16)</f>
        <v>1.8399999999999999</v>
      </c>
      <c r="H16" s="647">
        <f>G16*60%</f>
        <v>1.1039999999999999</v>
      </c>
      <c r="I16" s="813">
        <f>G16*20%</f>
        <v>0.36799999999999999</v>
      </c>
      <c r="J16" s="655">
        <f>G16*20%</f>
        <v>0.36799999999999999</v>
      </c>
      <c r="K16" s="103"/>
      <c r="M16" s="1271">
        <f t="shared" si="1"/>
        <v>109.06999999999998</v>
      </c>
      <c r="N16" s="1271">
        <f t="shared" si="1"/>
        <v>51.428000000000004</v>
      </c>
      <c r="O16" s="1271">
        <f t="shared" si="1"/>
        <v>32.571999999999996</v>
      </c>
      <c r="P16" s="1271">
        <f t="shared" si="1"/>
        <v>25.070000000000018</v>
      </c>
    </row>
    <row r="17" spans="1:15" x14ac:dyDescent="0.25">
      <c r="A17" s="2204" t="s">
        <v>1245</v>
      </c>
      <c r="B17" s="198" t="s">
        <v>32</v>
      </c>
      <c r="C17" s="647">
        <f>ROUND(15/60*$O$4,2)</f>
        <v>0.3</v>
      </c>
      <c r="D17" s="658">
        <v>0</v>
      </c>
      <c r="E17" s="629">
        <f>IF($E$2=1, 0.5, 0)</f>
        <v>0.5</v>
      </c>
      <c r="F17" s="716">
        <f t="shared" ref="F17:F61" si="3">IF($F$2=1,ROUND(20/60,2),0)</f>
        <v>0.33</v>
      </c>
      <c r="G17" s="807">
        <f t="shared" si="2"/>
        <v>1.1300000000000001</v>
      </c>
      <c r="H17" s="647">
        <f>G17*70%</f>
        <v>0.79100000000000004</v>
      </c>
      <c r="I17" s="813">
        <f>G17*20%</f>
        <v>0.22600000000000003</v>
      </c>
      <c r="J17" s="655">
        <f>G17*10%</f>
        <v>0.11300000000000002</v>
      </c>
      <c r="K17" s="103"/>
    </row>
    <row r="18" spans="1:15" x14ac:dyDescent="0.25">
      <c r="A18" s="2204"/>
      <c r="B18" s="198" t="s">
        <v>33</v>
      </c>
      <c r="C18" s="647">
        <f>ROUND(60/60*$O$5,2)</f>
        <v>1.5</v>
      </c>
      <c r="D18" s="658">
        <v>0</v>
      </c>
      <c r="E18" s="629">
        <f>IF($E$2=1, 0.7, 0)</f>
        <v>0.7</v>
      </c>
      <c r="F18" s="716">
        <f t="shared" si="3"/>
        <v>0.33</v>
      </c>
      <c r="G18" s="807">
        <f t="shared" si="2"/>
        <v>2.5300000000000002</v>
      </c>
      <c r="H18" s="647">
        <f>G18*60%</f>
        <v>1.518</v>
      </c>
      <c r="I18" s="813">
        <f>G18*30%</f>
        <v>0.75900000000000001</v>
      </c>
      <c r="J18" s="655">
        <f>G18*10%</f>
        <v>0.25300000000000006</v>
      </c>
      <c r="K18" s="103"/>
    </row>
    <row r="19" spans="1:15" x14ac:dyDescent="0.25">
      <c r="A19" s="2204"/>
      <c r="B19" s="198" t="s">
        <v>34</v>
      </c>
      <c r="C19" s="647">
        <f>ROUND(70/60*$O$6,2)</f>
        <v>1.98</v>
      </c>
      <c r="D19" s="658">
        <v>0</v>
      </c>
      <c r="E19" s="629">
        <f>IF($E$2=1, 1, 0)</f>
        <v>1</v>
      </c>
      <c r="F19" s="716">
        <f t="shared" si="3"/>
        <v>0.33</v>
      </c>
      <c r="G19" s="807">
        <f t="shared" si="2"/>
        <v>3.31</v>
      </c>
      <c r="H19" s="647">
        <f>G19*50%</f>
        <v>1.655</v>
      </c>
      <c r="I19" s="813">
        <f>G19*30%</f>
        <v>0.99299999999999999</v>
      </c>
      <c r="J19" s="655">
        <f>G19*20%</f>
        <v>0.66200000000000003</v>
      </c>
      <c r="K19" s="103"/>
    </row>
    <row r="20" spans="1:15" x14ac:dyDescent="0.25">
      <c r="A20" s="2204" t="s">
        <v>1246</v>
      </c>
      <c r="B20" s="198" t="s">
        <v>32</v>
      </c>
      <c r="C20" s="647">
        <f>ROUND(15/60*$O$4,2)</f>
        <v>0.3</v>
      </c>
      <c r="D20" s="658">
        <v>0</v>
      </c>
      <c r="E20" s="629">
        <f>IF($E$2=1, 0.5, 0)</f>
        <v>0.5</v>
      </c>
      <c r="F20" s="716">
        <f t="shared" si="3"/>
        <v>0.33</v>
      </c>
      <c r="G20" s="807">
        <f t="shared" si="2"/>
        <v>1.1300000000000001</v>
      </c>
      <c r="H20" s="647">
        <f>G20*70%</f>
        <v>0.79100000000000004</v>
      </c>
      <c r="I20" s="813">
        <f>G20*20%</f>
        <v>0.22600000000000003</v>
      </c>
      <c r="J20" s="655">
        <f>G20*10%</f>
        <v>0.11300000000000002</v>
      </c>
      <c r="K20" s="103"/>
    </row>
    <row r="21" spans="1:15" x14ac:dyDescent="0.25">
      <c r="A21" s="2204"/>
      <c r="B21" s="198" t="s">
        <v>33</v>
      </c>
      <c r="C21" s="647">
        <f>ROUND(60/60*$O$5,2)</f>
        <v>1.5</v>
      </c>
      <c r="D21" s="658">
        <v>0</v>
      </c>
      <c r="E21" s="629">
        <f>IF($E$2=1, 0.7, 0)</f>
        <v>0.7</v>
      </c>
      <c r="F21" s="716">
        <f t="shared" si="3"/>
        <v>0.33</v>
      </c>
      <c r="G21" s="807">
        <f t="shared" si="2"/>
        <v>2.5300000000000002</v>
      </c>
      <c r="H21" s="647">
        <f>G21*60%</f>
        <v>1.518</v>
      </c>
      <c r="I21" s="813">
        <f>G21*30%</f>
        <v>0.75900000000000001</v>
      </c>
      <c r="J21" s="655">
        <f>G21*10%</f>
        <v>0.25300000000000006</v>
      </c>
      <c r="K21" s="103"/>
    </row>
    <row r="22" spans="1:15" x14ac:dyDescent="0.25">
      <c r="A22" s="2204"/>
      <c r="B22" s="198" t="s">
        <v>34</v>
      </c>
      <c r="C22" s="647">
        <f>ROUND(70/60*$O$6,2)</f>
        <v>1.98</v>
      </c>
      <c r="D22" s="658">
        <v>0</v>
      </c>
      <c r="E22" s="629">
        <f>IF($E$2=1, 1, 0)</f>
        <v>1</v>
      </c>
      <c r="F22" s="716">
        <f t="shared" si="3"/>
        <v>0.33</v>
      </c>
      <c r="G22" s="807">
        <f t="shared" si="2"/>
        <v>3.31</v>
      </c>
      <c r="H22" s="647">
        <f>G22*50%</f>
        <v>1.655</v>
      </c>
      <c r="I22" s="813">
        <f>G22*30%</f>
        <v>0.99299999999999999</v>
      </c>
      <c r="J22" s="655">
        <f>G22*20%</f>
        <v>0.66200000000000003</v>
      </c>
      <c r="K22" s="103"/>
    </row>
    <row r="23" spans="1:15" x14ac:dyDescent="0.25">
      <c r="A23" s="2204" t="s">
        <v>1247</v>
      </c>
      <c r="B23" s="198" t="s">
        <v>32</v>
      </c>
      <c r="C23" s="647">
        <f>ROUND(15/60*$O$4,2)</f>
        <v>0.3</v>
      </c>
      <c r="D23" s="658">
        <v>0</v>
      </c>
      <c r="E23" s="629">
        <f>IF($E$2=1, 0.5, 0)</f>
        <v>0.5</v>
      </c>
      <c r="F23" s="716">
        <f t="shared" si="3"/>
        <v>0.33</v>
      </c>
      <c r="G23" s="807">
        <f t="shared" si="2"/>
        <v>1.1300000000000001</v>
      </c>
      <c r="H23" s="647">
        <f>G23*70%</f>
        <v>0.79100000000000004</v>
      </c>
      <c r="I23" s="813">
        <f>G23*20%</f>
        <v>0.22600000000000003</v>
      </c>
      <c r="J23" s="655">
        <f>G23*10%</f>
        <v>0.11300000000000002</v>
      </c>
      <c r="K23" s="103"/>
    </row>
    <row r="24" spans="1:15" x14ac:dyDescent="0.25">
      <c r="A24" s="2204"/>
      <c r="B24" s="198" t="s">
        <v>33</v>
      </c>
      <c r="C24" s="647">
        <f>ROUND(60/60*$O$5,2)</f>
        <v>1.5</v>
      </c>
      <c r="D24" s="658">
        <v>0</v>
      </c>
      <c r="E24" s="629">
        <f>IF($E$2=1, 0.7, 0)</f>
        <v>0.7</v>
      </c>
      <c r="F24" s="716">
        <f t="shared" si="3"/>
        <v>0.33</v>
      </c>
      <c r="G24" s="807">
        <f t="shared" si="2"/>
        <v>2.5300000000000002</v>
      </c>
      <c r="H24" s="647">
        <f>G24*60%</f>
        <v>1.518</v>
      </c>
      <c r="I24" s="813">
        <f>G24*30%</f>
        <v>0.75900000000000001</v>
      </c>
      <c r="J24" s="655">
        <f>G24*10%</f>
        <v>0.25300000000000006</v>
      </c>
      <c r="K24" s="103"/>
    </row>
    <row r="25" spans="1:15" x14ac:dyDescent="0.25">
      <c r="A25" s="2204"/>
      <c r="B25" s="198" t="s">
        <v>34</v>
      </c>
      <c r="C25" s="647">
        <f>ROUND(70/60*$O$6,2)</f>
        <v>1.98</v>
      </c>
      <c r="D25" s="658">
        <v>0</v>
      </c>
      <c r="E25" s="629">
        <f>IF($E$2=1, 1, 0)</f>
        <v>1</v>
      </c>
      <c r="F25" s="716">
        <f t="shared" si="3"/>
        <v>0.33</v>
      </c>
      <c r="G25" s="807">
        <f t="shared" si="2"/>
        <v>3.31</v>
      </c>
      <c r="H25" s="647">
        <f>G25*50%</f>
        <v>1.655</v>
      </c>
      <c r="I25" s="813">
        <f>G25*30%</f>
        <v>0.99299999999999999</v>
      </c>
      <c r="J25" s="655">
        <f>G25*20%</f>
        <v>0.66200000000000003</v>
      </c>
      <c r="K25" s="103"/>
    </row>
    <row r="26" spans="1:15" x14ac:dyDescent="0.25">
      <c r="A26" s="2204" t="s">
        <v>1248</v>
      </c>
      <c r="B26" s="198" t="s">
        <v>32</v>
      </c>
      <c r="C26" s="647">
        <f>ROUND(15/60*$O$4,2)</f>
        <v>0.3</v>
      </c>
      <c r="D26" s="658">
        <v>0</v>
      </c>
      <c r="E26" s="629">
        <f>IF($E$2=1, 0.5, 0)</f>
        <v>0.5</v>
      </c>
      <c r="F26" s="716">
        <f t="shared" si="3"/>
        <v>0.33</v>
      </c>
      <c r="G26" s="807">
        <f t="shared" si="2"/>
        <v>1.1300000000000001</v>
      </c>
      <c r="H26" s="647">
        <f>G26*70%</f>
        <v>0.79100000000000004</v>
      </c>
      <c r="I26" s="813">
        <f>G26*20%</f>
        <v>0.22600000000000003</v>
      </c>
      <c r="J26" s="655">
        <f>G26*10%</f>
        <v>0.11300000000000002</v>
      </c>
      <c r="K26" s="103"/>
    </row>
    <row r="27" spans="1:15" x14ac:dyDescent="0.25">
      <c r="A27" s="2204"/>
      <c r="B27" s="198" t="s">
        <v>33</v>
      </c>
      <c r="C27" s="647">
        <f>ROUND(45/60*$O$5,2)</f>
        <v>1.1299999999999999</v>
      </c>
      <c r="D27" s="658">
        <v>0</v>
      </c>
      <c r="E27" s="629">
        <f>IF($E$2=1, 0.7, 0)</f>
        <v>0.7</v>
      </c>
      <c r="F27" s="716">
        <f t="shared" si="3"/>
        <v>0.33</v>
      </c>
      <c r="G27" s="807">
        <f t="shared" si="2"/>
        <v>2.1599999999999997</v>
      </c>
      <c r="H27" s="647">
        <f>G27*60%</f>
        <v>1.2959999999999998</v>
      </c>
      <c r="I27" s="813">
        <f>G27*30%</f>
        <v>0.64799999999999991</v>
      </c>
      <c r="J27" s="655">
        <f>G27*10%</f>
        <v>0.21599999999999997</v>
      </c>
      <c r="K27" s="103"/>
    </row>
    <row r="28" spans="1:15" x14ac:dyDescent="0.25">
      <c r="A28" s="2204"/>
      <c r="B28" s="198" t="s">
        <v>34</v>
      </c>
      <c r="C28" s="647">
        <f>ROUND(50/60*$O$6,2)</f>
        <v>1.42</v>
      </c>
      <c r="D28" s="658">
        <v>0</v>
      </c>
      <c r="E28" s="629">
        <f>IF($E$2=1, 1, 0)</f>
        <v>1</v>
      </c>
      <c r="F28" s="716">
        <f t="shared" si="3"/>
        <v>0.33</v>
      </c>
      <c r="G28" s="807">
        <f t="shared" si="2"/>
        <v>2.75</v>
      </c>
      <c r="H28" s="647">
        <f>G28*50%</f>
        <v>1.375</v>
      </c>
      <c r="I28" s="813">
        <f>G28*30%</f>
        <v>0.82499999999999996</v>
      </c>
      <c r="J28" s="655">
        <f>G28*20%</f>
        <v>0.55000000000000004</v>
      </c>
      <c r="K28" s="103"/>
      <c r="O28" s="1271" t="s">
        <v>1207</v>
      </c>
    </row>
    <row r="29" spans="1:15" x14ac:dyDescent="0.25">
      <c r="A29" s="2204" t="s">
        <v>1249</v>
      </c>
      <c r="B29" s="198" t="s">
        <v>32</v>
      </c>
      <c r="C29" s="647">
        <f>ROUND(15/60*$O$4,2)</f>
        <v>0.3</v>
      </c>
      <c r="D29" s="658">
        <v>0</v>
      </c>
      <c r="E29" s="629">
        <f>IF($E$2=1, 0.5, 0)</f>
        <v>0.5</v>
      </c>
      <c r="F29" s="716">
        <f t="shared" si="3"/>
        <v>0.33</v>
      </c>
      <c r="G29" s="807">
        <f t="shared" si="2"/>
        <v>1.1300000000000001</v>
      </c>
      <c r="H29" s="647">
        <f>G29*70%</f>
        <v>0.79100000000000004</v>
      </c>
      <c r="I29" s="813">
        <f>G29*20%</f>
        <v>0.22600000000000003</v>
      </c>
      <c r="J29" s="655">
        <f>G29*10%</f>
        <v>0.11300000000000002</v>
      </c>
      <c r="K29" s="103"/>
    </row>
    <row r="30" spans="1:15" x14ac:dyDescent="0.25">
      <c r="A30" s="2204"/>
      <c r="B30" s="198" t="s">
        <v>33</v>
      </c>
      <c r="C30" s="647">
        <f>ROUND(30/60*$O$5,2)</f>
        <v>0.75</v>
      </c>
      <c r="D30" s="658">
        <v>0</v>
      </c>
      <c r="E30" s="629">
        <f>IF($E$2=1, 0.7, 0)</f>
        <v>0.7</v>
      </c>
      <c r="F30" s="716">
        <f t="shared" si="3"/>
        <v>0.33</v>
      </c>
      <c r="G30" s="807">
        <f t="shared" si="2"/>
        <v>1.78</v>
      </c>
      <c r="H30" s="647">
        <f>G30*60%</f>
        <v>1.0680000000000001</v>
      </c>
      <c r="I30" s="813">
        <f>G30*30%</f>
        <v>0.53400000000000003</v>
      </c>
      <c r="J30" s="655">
        <f>G30*10%</f>
        <v>0.17800000000000002</v>
      </c>
      <c r="K30" s="103"/>
    </row>
    <row r="31" spans="1:15" x14ac:dyDescent="0.25">
      <c r="A31" s="2216"/>
      <c r="B31" s="220" t="s">
        <v>34</v>
      </c>
      <c r="C31" s="647">
        <f>ROUND(40/60*$O$6,2)</f>
        <v>1.1299999999999999</v>
      </c>
      <c r="D31" s="658">
        <v>0</v>
      </c>
      <c r="E31" s="629">
        <f>IF($E$2=1, 1, 0)</f>
        <v>1</v>
      </c>
      <c r="F31" s="716">
        <f t="shared" si="3"/>
        <v>0.33</v>
      </c>
      <c r="G31" s="807">
        <f t="shared" si="2"/>
        <v>2.46</v>
      </c>
      <c r="H31" s="647">
        <f>G31*50%</f>
        <v>1.23</v>
      </c>
      <c r="I31" s="813">
        <f>G31*30%</f>
        <v>0.73799999999999999</v>
      </c>
      <c r="J31" s="655">
        <f>G31*20%</f>
        <v>0.49199999999999999</v>
      </c>
      <c r="K31" s="103"/>
    </row>
    <row r="32" spans="1:15" x14ac:dyDescent="0.25">
      <c r="A32" s="2204" t="s">
        <v>1250</v>
      </c>
      <c r="B32" s="198" t="s">
        <v>32</v>
      </c>
      <c r="C32" s="647">
        <f>ROUND(15/60*$O$4,2)</f>
        <v>0.3</v>
      </c>
      <c r="D32" s="658">
        <v>0</v>
      </c>
      <c r="E32" s="629">
        <f>IF($E$2=1, 0.5, 0)</f>
        <v>0.5</v>
      </c>
      <c r="F32" s="716">
        <f t="shared" si="3"/>
        <v>0.33</v>
      </c>
      <c r="G32" s="807">
        <f t="shared" si="2"/>
        <v>1.1300000000000001</v>
      </c>
      <c r="H32" s="647">
        <f>G32*70%</f>
        <v>0.79100000000000004</v>
      </c>
      <c r="I32" s="813">
        <f>G32*20%</f>
        <v>0.22600000000000003</v>
      </c>
      <c r="J32" s="655">
        <f>G32*10%</f>
        <v>0.11300000000000002</v>
      </c>
      <c r="K32" s="103"/>
    </row>
    <row r="33" spans="1:11" x14ac:dyDescent="0.25">
      <c r="A33" s="2204"/>
      <c r="B33" s="198" t="s">
        <v>33</v>
      </c>
      <c r="C33" s="647">
        <f>ROUND(45/60*$O$5,2)</f>
        <v>1.1299999999999999</v>
      </c>
      <c r="D33" s="658">
        <v>0</v>
      </c>
      <c r="E33" s="629">
        <f>IF($E$2=1, 0.7, 0)</f>
        <v>0.7</v>
      </c>
      <c r="F33" s="716">
        <f t="shared" si="3"/>
        <v>0.33</v>
      </c>
      <c r="G33" s="807">
        <f t="shared" si="2"/>
        <v>2.1599999999999997</v>
      </c>
      <c r="H33" s="647">
        <f>G33*60%</f>
        <v>1.2959999999999998</v>
      </c>
      <c r="I33" s="813">
        <f>G33*30%</f>
        <v>0.64799999999999991</v>
      </c>
      <c r="J33" s="655">
        <f>G33*10%</f>
        <v>0.21599999999999997</v>
      </c>
      <c r="K33" s="103"/>
    </row>
    <row r="34" spans="1:11" x14ac:dyDescent="0.25">
      <c r="A34" s="2216"/>
      <c r="B34" s="220" t="s">
        <v>34</v>
      </c>
      <c r="C34" s="647">
        <f>ROUND(50/60*$O$6,2)</f>
        <v>1.42</v>
      </c>
      <c r="D34" s="658">
        <v>0</v>
      </c>
      <c r="E34" s="629">
        <f>IF($E$2=1, 1, 0)</f>
        <v>1</v>
      </c>
      <c r="F34" s="716">
        <f t="shared" si="3"/>
        <v>0.33</v>
      </c>
      <c r="G34" s="807">
        <f t="shared" si="2"/>
        <v>2.75</v>
      </c>
      <c r="H34" s="647">
        <f>G34*50%</f>
        <v>1.375</v>
      </c>
      <c r="I34" s="813">
        <f>G34*30%</f>
        <v>0.82499999999999996</v>
      </c>
      <c r="J34" s="655">
        <f>G34*20%</f>
        <v>0.55000000000000004</v>
      </c>
      <c r="K34" s="103"/>
    </row>
    <row r="35" spans="1:11" x14ac:dyDescent="0.25">
      <c r="A35" s="2204" t="s">
        <v>1251</v>
      </c>
      <c r="B35" s="198" t="s">
        <v>32</v>
      </c>
      <c r="C35" s="647">
        <f>ROUND(15/60*$O$4,2)</f>
        <v>0.3</v>
      </c>
      <c r="D35" s="658">
        <v>0</v>
      </c>
      <c r="E35" s="629">
        <f>IF($E$2=1, 0.5, 0)</f>
        <v>0.5</v>
      </c>
      <c r="F35" s="716">
        <f t="shared" si="3"/>
        <v>0.33</v>
      </c>
      <c r="G35" s="807">
        <f t="shared" si="2"/>
        <v>1.1300000000000001</v>
      </c>
      <c r="H35" s="647">
        <f>G35*70%</f>
        <v>0.79100000000000004</v>
      </c>
      <c r="I35" s="813">
        <f>G35*20%</f>
        <v>0.22600000000000003</v>
      </c>
      <c r="J35" s="655">
        <f>G35*10%</f>
        <v>0.11300000000000002</v>
      </c>
      <c r="K35" s="103"/>
    </row>
    <row r="36" spans="1:11" x14ac:dyDescent="0.25">
      <c r="A36" s="2204"/>
      <c r="B36" s="198" t="s">
        <v>33</v>
      </c>
      <c r="C36" s="647">
        <f>ROUND(45/60*$O$5,2)</f>
        <v>1.1299999999999999</v>
      </c>
      <c r="D36" s="658">
        <v>0</v>
      </c>
      <c r="E36" s="629">
        <f>IF($E$2=1, 0.7, 0)</f>
        <v>0.7</v>
      </c>
      <c r="F36" s="716">
        <f t="shared" si="3"/>
        <v>0.33</v>
      </c>
      <c r="G36" s="807">
        <f t="shared" si="2"/>
        <v>2.1599999999999997</v>
      </c>
      <c r="H36" s="647">
        <f>G36*60%</f>
        <v>1.2959999999999998</v>
      </c>
      <c r="I36" s="813">
        <f>G36*30%</f>
        <v>0.64799999999999991</v>
      </c>
      <c r="J36" s="655">
        <f>G36*10%</f>
        <v>0.21599999999999997</v>
      </c>
      <c r="K36" s="103"/>
    </row>
    <row r="37" spans="1:11" x14ac:dyDescent="0.25">
      <c r="A37" s="2216"/>
      <c r="B37" s="220" t="s">
        <v>34</v>
      </c>
      <c r="C37" s="647">
        <f>ROUND(50/60*$O$6,2)</f>
        <v>1.42</v>
      </c>
      <c r="D37" s="658">
        <v>0</v>
      </c>
      <c r="E37" s="629">
        <f>IF($E$2=1, 1, 0)</f>
        <v>1</v>
      </c>
      <c r="F37" s="716">
        <f t="shared" si="3"/>
        <v>0.33</v>
      </c>
      <c r="G37" s="807">
        <f t="shared" si="2"/>
        <v>2.75</v>
      </c>
      <c r="H37" s="647">
        <f>G37*50%</f>
        <v>1.375</v>
      </c>
      <c r="I37" s="813">
        <f>G37*30%</f>
        <v>0.82499999999999996</v>
      </c>
      <c r="J37" s="655">
        <f>G37*20%</f>
        <v>0.55000000000000004</v>
      </c>
      <c r="K37" s="103"/>
    </row>
    <row r="38" spans="1:11" x14ac:dyDescent="0.25">
      <c r="A38" s="2204" t="s">
        <v>1252</v>
      </c>
      <c r="B38" s="198" t="s">
        <v>32</v>
      </c>
      <c r="C38" s="647">
        <f>ROUND(15/60*$O$4,2)</f>
        <v>0.3</v>
      </c>
      <c r="D38" s="658">
        <v>0</v>
      </c>
      <c r="E38" s="629">
        <f>IF($E$2=1, 0.5, 0)</f>
        <v>0.5</v>
      </c>
      <c r="F38" s="716">
        <f t="shared" si="3"/>
        <v>0.33</v>
      </c>
      <c r="G38" s="807">
        <f t="shared" si="2"/>
        <v>1.1300000000000001</v>
      </c>
      <c r="H38" s="647">
        <f>G38*70%</f>
        <v>0.79100000000000004</v>
      </c>
      <c r="I38" s="813">
        <f>G38*20%</f>
        <v>0.22600000000000003</v>
      </c>
      <c r="J38" s="655">
        <f>G38*10%</f>
        <v>0.11300000000000002</v>
      </c>
      <c r="K38" s="103"/>
    </row>
    <row r="39" spans="1:11" x14ac:dyDescent="0.25">
      <c r="A39" s="2204"/>
      <c r="B39" s="198" t="s">
        <v>33</v>
      </c>
      <c r="C39" s="647">
        <f>ROUND(45/60*$O$5,2)</f>
        <v>1.1299999999999999</v>
      </c>
      <c r="D39" s="658">
        <v>0</v>
      </c>
      <c r="E39" s="629">
        <f>IF($E$2=1, 0.7, 0)</f>
        <v>0.7</v>
      </c>
      <c r="F39" s="716">
        <f t="shared" si="3"/>
        <v>0.33</v>
      </c>
      <c r="G39" s="807">
        <f t="shared" si="2"/>
        <v>2.1599999999999997</v>
      </c>
      <c r="H39" s="647">
        <f>G39*60%</f>
        <v>1.2959999999999998</v>
      </c>
      <c r="I39" s="813">
        <f>G39*30%</f>
        <v>0.64799999999999991</v>
      </c>
      <c r="J39" s="655">
        <f>G39*10%</f>
        <v>0.21599999999999997</v>
      </c>
      <c r="K39" s="103"/>
    </row>
    <row r="40" spans="1:11" x14ac:dyDescent="0.25">
      <c r="A40" s="2216"/>
      <c r="B40" s="220" t="s">
        <v>34</v>
      </c>
      <c r="C40" s="647">
        <f>ROUND(50/60*$O$6,2)</f>
        <v>1.42</v>
      </c>
      <c r="D40" s="658">
        <v>0</v>
      </c>
      <c r="E40" s="629">
        <f>IF($E$2=1, 1, 0)</f>
        <v>1</v>
      </c>
      <c r="F40" s="716">
        <f t="shared" si="3"/>
        <v>0.33</v>
      </c>
      <c r="G40" s="807">
        <f t="shared" si="2"/>
        <v>2.75</v>
      </c>
      <c r="H40" s="647">
        <f>G40*50%</f>
        <v>1.375</v>
      </c>
      <c r="I40" s="813">
        <f>G40*30%</f>
        <v>0.82499999999999996</v>
      </c>
      <c r="J40" s="655">
        <f>G40*20%</f>
        <v>0.55000000000000004</v>
      </c>
      <c r="K40" s="103"/>
    </row>
    <row r="41" spans="1:11" x14ac:dyDescent="0.25">
      <c r="A41" s="2204" t="s">
        <v>1253</v>
      </c>
      <c r="B41" s="198" t="s">
        <v>32</v>
      </c>
      <c r="C41" s="647">
        <f>ROUND(15/60*$O$4,2)</f>
        <v>0.3</v>
      </c>
      <c r="D41" s="658">
        <v>0</v>
      </c>
      <c r="E41" s="629">
        <f>IF($E$2=1, 0.5, 0)</f>
        <v>0.5</v>
      </c>
      <c r="F41" s="716">
        <f t="shared" si="3"/>
        <v>0.33</v>
      </c>
      <c r="G41" s="807">
        <f t="shared" si="2"/>
        <v>1.1300000000000001</v>
      </c>
      <c r="H41" s="647">
        <f>G41*70%</f>
        <v>0.79100000000000004</v>
      </c>
      <c r="I41" s="813">
        <f>G41*20%</f>
        <v>0.22600000000000003</v>
      </c>
      <c r="J41" s="655">
        <f>G41*10%</f>
        <v>0.11300000000000002</v>
      </c>
      <c r="K41" s="103"/>
    </row>
    <row r="42" spans="1:11" x14ac:dyDescent="0.25">
      <c r="A42" s="2204"/>
      <c r="B42" s="198" t="s">
        <v>33</v>
      </c>
      <c r="C42" s="647">
        <f>ROUND(60/60*$O$5,2)</f>
        <v>1.5</v>
      </c>
      <c r="D42" s="658">
        <v>0</v>
      </c>
      <c r="E42" s="629">
        <f>IF($E$2=1, 0.7, 0)</f>
        <v>0.7</v>
      </c>
      <c r="F42" s="716">
        <f t="shared" si="3"/>
        <v>0.33</v>
      </c>
      <c r="G42" s="807">
        <f t="shared" si="2"/>
        <v>2.5300000000000002</v>
      </c>
      <c r="H42" s="647">
        <f>G42*60%</f>
        <v>1.518</v>
      </c>
      <c r="I42" s="813">
        <f>G42*30%</f>
        <v>0.75900000000000001</v>
      </c>
      <c r="J42" s="655">
        <f>G42*10%</f>
        <v>0.25300000000000006</v>
      </c>
      <c r="K42" s="103"/>
    </row>
    <row r="43" spans="1:11" x14ac:dyDescent="0.25">
      <c r="A43" s="2216"/>
      <c r="B43" s="220" t="s">
        <v>34</v>
      </c>
      <c r="C43" s="647">
        <f>ROUND(70/60*$O$6,2)</f>
        <v>1.98</v>
      </c>
      <c r="D43" s="658">
        <v>0</v>
      </c>
      <c r="E43" s="629">
        <f>IF($E$2=1, 1, 0)</f>
        <v>1</v>
      </c>
      <c r="F43" s="716">
        <f t="shared" si="3"/>
        <v>0.33</v>
      </c>
      <c r="G43" s="807">
        <f t="shared" si="2"/>
        <v>3.31</v>
      </c>
      <c r="H43" s="647">
        <f>G43*50%</f>
        <v>1.655</v>
      </c>
      <c r="I43" s="813">
        <f>G43*30%</f>
        <v>0.99299999999999999</v>
      </c>
      <c r="J43" s="655">
        <f>G43*20%</f>
        <v>0.66200000000000003</v>
      </c>
      <c r="K43" s="103"/>
    </row>
    <row r="44" spans="1:11" x14ac:dyDescent="0.25">
      <c r="A44" s="2204" t="s">
        <v>1254</v>
      </c>
      <c r="B44" s="198" t="s">
        <v>32</v>
      </c>
      <c r="C44" s="647">
        <f>ROUND(15/60*$O$4,2)</f>
        <v>0.3</v>
      </c>
      <c r="D44" s="658">
        <v>0</v>
      </c>
      <c r="E44" s="629">
        <f>IF($E$2=1, 0.5, 0)</f>
        <v>0.5</v>
      </c>
      <c r="F44" s="716">
        <f t="shared" si="3"/>
        <v>0.33</v>
      </c>
      <c r="G44" s="807">
        <f t="shared" si="2"/>
        <v>1.1300000000000001</v>
      </c>
      <c r="H44" s="647">
        <f>G44*70%</f>
        <v>0.79100000000000004</v>
      </c>
      <c r="I44" s="813">
        <f>G44*20%</f>
        <v>0.22600000000000003</v>
      </c>
      <c r="J44" s="655">
        <f>G44*10%</f>
        <v>0.11300000000000002</v>
      </c>
      <c r="K44" s="103"/>
    </row>
    <row r="45" spans="1:11" x14ac:dyDescent="0.25">
      <c r="A45" s="2204"/>
      <c r="B45" s="198" t="s">
        <v>33</v>
      </c>
      <c r="C45" s="647">
        <f>ROUND(60/60*$O$5,2)</f>
        <v>1.5</v>
      </c>
      <c r="D45" s="658">
        <v>0</v>
      </c>
      <c r="E45" s="629">
        <f>IF($E$2=1, 0.7, 0)</f>
        <v>0.7</v>
      </c>
      <c r="F45" s="716">
        <f t="shared" si="3"/>
        <v>0.33</v>
      </c>
      <c r="G45" s="807">
        <f t="shared" si="2"/>
        <v>2.5300000000000002</v>
      </c>
      <c r="H45" s="647">
        <f>G45*60%</f>
        <v>1.518</v>
      </c>
      <c r="I45" s="813">
        <f>G45*30%</f>
        <v>0.75900000000000001</v>
      </c>
      <c r="J45" s="655">
        <f>G45*10%</f>
        <v>0.25300000000000006</v>
      </c>
      <c r="K45" s="103"/>
    </row>
    <row r="46" spans="1:11" x14ac:dyDescent="0.25">
      <c r="A46" s="2216"/>
      <c r="B46" s="220" t="s">
        <v>34</v>
      </c>
      <c r="C46" s="647">
        <f>ROUND(70/60*$O$6,2)</f>
        <v>1.98</v>
      </c>
      <c r="D46" s="658">
        <v>0</v>
      </c>
      <c r="E46" s="629">
        <f>IF($E$2=1, 1, 0)</f>
        <v>1</v>
      </c>
      <c r="F46" s="716">
        <f t="shared" si="3"/>
        <v>0.33</v>
      </c>
      <c r="G46" s="807">
        <f t="shared" si="2"/>
        <v>3.31</v>
      </c>
      <c r="H46" s="647">
        <f>G46*50%</f>
        <v>1.655</v>
      </c>
      <c r="I46" s="813">
        <f>G46*30%</f>
        <v>0.99299999999999999</v>
      </c>
      <c r="J46" s="655">
        <f>G46*20%</f>
        <v>0.66200000000000003</v>
      </c>
      <c r="K46" s="103"/>
    </row>
    <row r="47" spans="1:11" x14ac:dyDescent="0.25">
      <c r="A47" s="2204" t="s">
        <v>1255</v>
      </c>
      <c r="B47" s="198" t="s">
        <v>32</v>
      </c>
      <c r="C47" s="647">
        <f>ROUND(15/60*$O$4,2)</f>
        <v>0.3</v>
      </c>
      <c r="D47" s="658">
        <v>0</v>
      </c>
      <c r="E47" s="629">
        <f>IF($E$2=1, 0.5, 0)</f>
        <v>0.5</v>
      </c>
      <c r="F47" s="716">
        <f t="shared" si="3"/>
        <v>0.33</v>
      </c>
      <c r="G47" s="807">
        <f t="shared" si="2"/>
        <v>1.1300000000000001</v>
      </c>
      <c r="H47" s="647">
        <f>G47*70%</f>
        <v>0.79100000000000004</v>
      </c>
      <c r="I47" s="813">
        <f>G47*20%</f>
        <v>0.22600000000000003</v>
      </c>
      <c r="J47" s="655">
        <f>G47*10%</f>
        <v>0.11300000000000002</v>
      </c>
      <c r="K47" s="103"/>
    </row>
    <row r="48" spans="1:11" x14ac:dyDescent="0.25">
      <c r="A48" s="2204"/>
      <c r="B48" s="198" t="s">
        <v>33</v>
      </c>
      <c r="C48" s="647">
        <f>ROUND(45/60*$O$5,2)</f>
        <v>1.1299999999999999</v>
      </c>
      <c r="D48" s="658">
        <v>0</v>
      </c>
      <c r="E48" s="629">
        <f>IF($E$2=1, 0.7, 0)</f>
        <v>0.7</v>
      </c>
      <c r="F48" s="716">
        <f t="shared" si="3"/>
        <v>0.33</v>
      </c>
      <c r="G48" s="807">
        <f t="shared" si="2"/>
        <v>2.1599999999999997</v>
      </c>
      <c r="H48" s="647">
        <f>G48*60%</f>
        <v>1.2959999999999998</v>
      </c>
      <c r="I48" s="813">
        <f>G48*30%</f>
        <v>0.64799999999999991</v>
      </c>
      <c r="J48" s="655">
        <f>G48*10%</f>
        <v>0.21599999999999997</v>
      </c>
      <c r="K48" s="103"/>
    </row>
    <row r="49" spans="1:11" x14ac:dyDescent="0.25">
      <c r="A49" s="2216"/>
      <c r="B49" s="220" t="s">
        <v>34</v>
      </c>
      <c r="C49" s="647">
        <f>ROUND(50/60*$O$6,2)</f>
        <v>1.42</v>
      </c>
      <c r="D49" s="658">
        <v>0</v>
      </c>
      <c r="E49" s="629">
        <f>IF($E$2=1, 1, 0)</f>
        <v>1</v>
      </c>
      <c r="F49" s="716">
        <f t="shared" si="3"/>
        <v>0.33</v>
      </c>
      <c r="G49" s="807">
        <f t="shared" si="2"/>
        <v>2.75</v>
      </c>
      <c r="H49" s="647">
        <f>G49*50%</f>
        <v>1.375</v>
      </c>
      <c r="I49" s="813">
        <f>G49*30%</f>
        <v>0.82499999999999996</v>
      </c>
      <c r="J49" s="655">
        <f>G49*20%</f>
        <v>0.55000000000000004</v>
      </c>
      <c r="K49" s="103"/>
    </row>
    <row r="50" spans="1:11" x14ac:dyDescent="0.25">
      <c r="A50" s="2204" t="s">
        <v>1256</v>
      </c>
      <c r="B50" s="198" t="s">
        <v>32</v>
      </c>
      <c r="C50" s="647">
        <f>ROUND(15/60*$O$4,2)</f>
        <v>0.3</v>
      </c>
      <c r="D50" s="658">
        <v>0</v>
      </c>
      <c r="E50" s="629">
        <f>IF($E$2=1, 0.5, 0)</f>
        <v>0.5</v>
      </c>
      <c r="F50" s="716">
        <f t="shared" si="3"/>
        <v>0.33</v>
      </c>
      <c r="G50" s="807">
        <f t="shared" si="2"/>
        <v>1.1300000000000001</v>
      </c>
      <c r="H50" s="647">
        <f>G50*70%</f>
        <v>0.79100000000000004</v>
      </c>
      <c r="I50" s="813">
        <f>G50*20%</f>
        <v>0.22600000000000003</v>
      </c>
      <c r="J50" s="655">
        <f>G50*10%</f>
        <v>0.11300000000000002</v>
      </c>
      <c r="K50" s="103"/>
    </row>
    <row r="51" spans="1:11" x14ac:dyDescent="0.25">
      <c r="A51" s="2204"/>
      <c r="B51" s="198" t="s">
        <v>33</v>
      </c>
      <c r="C51" s="647">
        <f>ROUND(30/60*$O$5,2)</f>
        <v>0.75</v>
      </c>
      <c r="D51" s="658">
        <v>0</v>
      </c>
      <c r="E51" s="629">
        <f>IF($E$2=1, 0.7, 0)</f>
        <v>0.7</v>
      </c>
      <c r="F51" s="716">
        <f t="shared" si="3"/>
        <v>0.33</v>
      </c>
      <c r="G51" s="807">
        <f t="shared" si="2"/>
        <v>1.78</v>
      </c>
      <c r="H51" s="647">
        <f>G51*60%</f>
        <v>1.0680000000000001</v>
      </c>
      <c r="I51" s="813">
        <f>G51*30%</f>
        <v>0.53400000000000003</v>
      </c>
      <c r="J51" s="655">
        <f>G51*10%</f>
        <v>0.17800000000000002</v>
      </c>
      <c r="K51" s="103"/>
    </row>
    <row r="52" spans="1:11" x14ac:dyDescent="0.25">
      <c r="A52" s="2216"/>
      <c r="B52" s="220" t="s">
        <v>34</v>
      </c>
      <c r="C52" s="647">
        <f>ROUND(40/60*$O$6,2)</f>
        <v>1.1299999999999999</v>
      </c>
      <c r="D52" s="658">
        <v>0</v>
      </c>
      <c r="E52" s="629">
        <f>IF($E$2=1, 1, 0)</f>
        <v>1</v>
      </c>
      <c r="F52" s="716">
        <f t="shared" si="3"/>
        <v>0.33</v>
      </c>
      <c r="G52" s="807">
        <f t="shared" si="2"/>
        <v>2.46</v>
      </c>
      <c r="H52" s="647">
        <f>G52*50%</f>
        <v>1.23</v>
      </c>
      <c r="I52" s="813">
        <f>G52*30%</f>
        <v>0.73799999999999999</v>
      </c>
      <c r="J52" s="655">
        <f>G52*20%</f>
        <v>0.49199999999999999</v>
      </c>
      <c r="K52" s="103"/>
    </row>
    <row r="53" spans="1:11" x14ac:dyDescent="0.25">
      <c r="A53" s="2204" t="s">
        <v>1257</v>
      </c>
      <c r="B53" s="198" t="s">
        <v>32</v>
      </c>
      <c r="C53" s="647">
        <f>ROUND(15/60*$O$4,2)</f>
        <v>0.3</v>
      </c>
      <c r="D53" s="658">
        <v>0</v>
      </c>
      <c r="E53" s="629">
        <f>IF($E$2=1, 0.5, 0)</f>
        <v>0.5</v>
      </c>
      <c r="F53" s="716">
        <f t="shared" si="3"/>
        <v>0.33</v>
      </c>
      <c r="G53" s="807">
        <f t="shared" si="2"/>
        <v>1.1300000000000001</v>
      </c>
      <c r="H53" s="647">
        <f>G53*70%</f>
        <v>0.79100000000000004</v>
      </c>
      <c r="I53" s="813">
        <f>G53*20%</f>
        <v>0.22600000000000003</v>
      </c>
      <c r="J53" s="655">
        <f>G53*10%</f>
        <v>0.11300000000000002</v>
      </c>
      <c r="K53" s="103"/>
    </row>
    <row r="54" spans="1:11" x14ac:dyDescent="0.25">
      <c r="A54" s="2204"/>
      <c r="B54" s="198" t="s">
        <v>33</v>
      </c>
      <c r="C54" s="647">
        <f>ROUND(30/60*$O$5,2)</f>
        <v>0.75</v>
      </c>
      <c r="D54" s="658">
        <v>0</v>
      </c>
      <c r="E54" s="629">
        <f>IF($E$2=1, 0.7, 0)</f>
        <v>0.7</v>
      </c>
      <c r="F54" s="716">
        <f t="shared" si="3"/>
        <v>0.33</v>
      </c>
      <c r="G54" s="807">
        <f t="shared" si="2"/>
        <v>1.78</v>
      </c>
      <c r="H54" s="647">
        <f>G54*60%</f>
        <v>1.0680000000000001</v>
      </c>
      <c r="I54" s="813">
        <f>G54*30%</f>
        <v>0.53400000000000003</v>
      </c>
      <c r="J54" s="655">
        <f>G54*10%</f>
        <v>0.17800000000000002</v>
      </c>
      <c r="K54" s="103"/>
    </row>
    <row r="55" spans="1:11" x14ac:dyDescent="0.25">
      <c r="A55" s="2216"/>
      <c r="B55" s="220" t="s">
        <v>34</v>
      </c>
      <c r="C55" s="647">
        <f>ROUND(40/60*$O$6,2)</f>
        <v>1.1299999999999999</v>
      </c>
      <c r="D55" s="658">
        <v>0</v>
      </c>
      <c r="E55" s="629">
        <f>IF($E$2=1, 1, 0)</f>
        <v>1</v>
      </c>
      <c r="F55" s="716">
        <f t="shared" si="3"/>
        <v>0.33</v>
      </c>
      <c r="G55" s="807">
        <f t="shared" si="2"/>
        <v>2.46</v>
      </c>
      <c r="H55" s="647">
        <f>G55*50%</f>
        <v>1.23</v>
      </c>
      <c r="I55" s="813">
        <f>G55*30%</f>
        <v>0.73799999999999999</v>
      </c>
      <c r="J55" s="655">
        <f>G55*20%</f>
        <v>0.49199999999999999</v>
      </c>
      <c r="K55" s="103"/>
    </row>
    <row r="56" spans="1:11" x14ac:dyDescent="0.25">
      <c r="A56" s="2204" t="s">
        <v>1258</v>
      </c>
      <c r="B56" s="198" t="s">
        <v>32</v>
      </c>
      <c r="C56" s="647">
        <f>ROUND(15/60*$O$4,2)</f>
        <v>0.3</v>
      </c>
      <c r="D56" s="658">
        <v>0</v>
      </c>
      <c r="E56" s="629">
        <f>IF($E$2=1, 0.5, 0)</f>
        <v>0.5</v>
      </c>
      <c r="F56" s="716">
        <f t="shared" si="3"/>
        <v>0.33</v>
      </c>
      <c r="G56" s="807">
        <f t="shared" si="2"/>
        <v>1.1300000000000001</v>
      </c>
      <c r="H56" s="647">
        <f>G56*70%</f>
        <v>0.79100000000000004</v>
      </c>
      <c r="I56" s="813">
        <f>G56*20%</f>
        <v>0.22600000000000003</v>
      </c>
      <c r="J56" s="655">
        <f>G56*10%</f>
        <v>0.11300000000000002</v>
      </c>
      <c r="K56" s="103"/>
    </row>
    <row r="57" spans="1:11" x14ac:dyDescent="0.25">
      <c r="A57" s="2204"/>
      <c r="B57" s="198" t="s">
        <v>33</v>
      </c>
      <c r="C57" s="647">
        <f>ROUND(45/60*$O$5,2)</f>
        <v>1.1299999999999999</v>
      </c>
      <c r="D57" s="658">
        <v>0</v>
      </c>
      <c r="E57" s="629">
        <f>IF($E$2=1, 0.7, 0)</f>
        <v>0.7</v>
      </c>
      <c r="F57" s="716">
        <f t="shared" si="3"/>
        <v>0.33</v>
      </c>
      <c r="G57" s="807">
        <f t="shared" si="2"/>
        <v>2.1599999999999997</v>
      </c>
      <c r="H57" s="647">
        <f>G57*60%</f>
        <v>1.2959999999999998</v>
      </c>
      <c r="I57" s="813">
        <f>G57*30%</f>
        <v>0.64799999999999991</v>
      </c>
      <c r="J57" s="655">
        <f>G57*10%</f>
        <v>0.21599999999999997</v>
      </c>
      <c r="K57" s="103"/>
    </row>
    <row r="58" spans="1:11" x14ac:dyDescent="0.25">
      <c r="A58" s="2216"/>
      <c r="B58" s="220" t="s">
        <v>34</v>
      </c>
      <c r="C58" s="647">
        <f>ROUND(50/60*$O$6,2)</f>
        <v>1.42</v>
      </c>
      <c r="D58" s="658">
        <v>0</v>
      </c>
      <c r="E58" s="629">
        <f>IF($E$2=1, 1, 0)</f>
        <v>1</v>
      </c>
      <c r="F58" s="716">
        <f t="shared" si="3"/>
        <v>0.33</v>
      </c>
      <c r="G58" s="807">
        <f t="shared" si="2"/>
        <v>2.75</v>
      </c>
      <c r="H58" s="647">
        <f>G58*50%</f>
        <v>1.375</v>
      </c>
      <c r="I58" s="813">
        <f>G58*30%</f>
        <v>0.82499999999999996</v>
      </c>
      <c r="J58" s="655">
        <f>G58*20%</f>
        <v>0.55000000000000004</v>
      </c>
      <c r="K58" s="103"/>
    </row>
    <row r="59" spans="1:11" x14ac:dyDescent="0.25">
      <c r="A59" s="2204" t="s">
        <v>1259</v>
      </c>
      <c r="B59" s="198" t="s">
        <v>32</v>
      </c>
      <c r="C59" s="647">
        <f>ROUND(15/60*$O$4,2)</f>
        <v>0.3</v>
      </c>
      <c r="D59" s="658">
        <v>0</v>
      </c>
      <c r="E59" s="629">
        <f>IF($E$2=1, 0.5, 0)</f>
        <v>0.5</v>
      </c>
      <c r="F59" s="716">
        <f t="shared" si="3"/>
        <v>0.33</v>
      </c>
      <c r="G59" s="807">
        <f t="shared" si="2"/>
        <v>1.1300000000000001</v>
      </c>
      <c r="H59" s="647">
        <f>G59*70%</f>
        <v>0.79100000000000004</v>
      </c>
      <c r="I59" s="813">
        <f>G59*20%</f>
        <v>0.22600000000000003</v>
      </c>
      <c r="J59" s="655">
        <f>G59*10%</f>
        <v>0.11300000000000002</v>
      </c>
      <c r="K59" s="103"/>
    </row>
    <row r="60" spans="1:11" x14ac:dyDescent="0.25">
      <c r="A60" s="2204"/>
      <c r="B60" s="198" t="s">
        <v>33</v>
      </c>
      <c r="C60" s="647">
        <f>ROUND(60/60*$O$5,2)</f>
        <v>1.5</v>
      </c>
      <c r="D60" s="658">
        <v>0</v>
      </c>
      <c r="E60" s="629">
        <f>IF($E$2=1, 0.7, 0)</f>
        <v>0.7</v>
      </c>
      <c r="F60" s="716">
        <f t="shared" si="3"/>
        <v>0.33</v>
      </c>
      <c r="G60" s="807">
        <f t="shared" si="2"/>
        <v>2.5300000000000002</v>
      </c>
      <c r="H60" s="647">
        <f>G60*60%</f>
        <v>1.518</v>
      </c>
      <c r="I60" s="813">
        <f>G60*30%</f>
        <v>0.75900000000000001</v>
      </c>
      <c r="J60" s="655">
        <f>G60*10%</f>
        <v>0.25300000000000006</v>
      </c>
      <c r="K60" s="103"/>
    </row>
    <row r="61" spans="1:11" x14ac:dyDescent="0.25">
      <c r="A61" s="2216"/>
      <c r="B61" s="220" t="s">
        <v>34</v>
      </c>
      <c r="C61" s="647">
        <f>ROUND(70/60*$O$6,2)</f>
        <v>1.98</v>
      </c>
      <c r="D61" s="658">
        <v>0</v>
      </c>
      <c r="E61" s="629">
        <f>IF($E$2=1, 1, 0)</f>
        <v>1</v>
      </c>
      <c r="F61" s="716">
        <f t="shared" si="3"/>
        <v>0.33</v>
      </c>
      <c r="G61" s="807">
        <f t="shared" si="2"/>
        <v>3.31</v>
      </c>
      <c r="H61" s="647">
        <f>G61*50%</f>
        <v>1.655</v>
      </c>
      <c r="I61" s="813">
        <f>G61*30%</f>
        <v>0.99299999999999999</v>
      </c>
      <c r="J61" s="655">
        <f>G61*20%</f>
        <v>0.66200000000000003</v>
      </c>
      <c r="K61" s="103"/>
    </row>
    <row r="62" spans="1:11" x14ac:dyDescent="0.25">
      <c r="A62" s="2204" t="s">
        <v>1260</v>
      </c>
      <c r="B62" s="198" t="s">
        <v>32</v>
      </c>
      <c r="C62" s="647">
        <f>ROUND(10/60*$O$4,2)</f>
        <v>0.2</v>
      </c>
      <c r="D62" s="658">
        <v>0</v>
      </c>
      <c r="E62" s="658">
        <v>0</v>
      </c>
      <c r="F62" s="716">
        <f>IF($F$2=1,ROUND(10/60,2),0)</f>
        <v>0.17</v>
      </c>
      <c r="G62" s="807">
        <f t="shared" si="2"/>
        <v>0.37</v>
      </c>
      <c r="H62" s="647">
        <f>G62*80%</f>
        <v>0.29599999999999999</v>
      </c>
      <c r="I62" s="813">
        <f>G62*10%</f>
        <v>3.6999999999999998E-2</v>
      </c>
      <c r="J62" s="655">
        <f>G62*10%</f>
        <v>3.6999999999999998E-2</v>
      </c>
      <c r="K62" s="103"/>
    </row>
    <row r="63" spans="1:11" x14ac:dyDescent="0.25">
      <c r="A63" s="2204"/>
      <c r="B63" s="198" t="s">
        <v>33</v>
      </c>
      <c r="C63" s="647">
        <f>ROUND(20/60*$O$5,2)</f>
        <v>0.5</v>
      </c>
      <c r="D63" s="658">
        <v>0</v>
      </c>
      <c r="E63" s="658">
        <v>0</v>
      </c>
      <c r="F63" s="716">
        <f>IF($F$2=1,ROUND(10/60,2),0)</f>
        <v>0.17</v>
      </c>
      <c r="G63" s="807">
        <f t="shared" si="2"/>
        <v>0.67</v>
      </c>
      <c r="H63" s="647">
        <f>G63*70%</f>
        <v>0.46899999999999997</v>
      </c>
      <c r="I63" s="813">
        <f>G63*20%</f>
        <v>0.13400000000000001</v>
      </c>
      <c r="J63" s="655">
        <f>G63*10%</f>
        <v>6.7000000000000004E-2</v>
      </c>
      <c r="K63" s="103"/>
    </row>
    <row r="64" spans="1:11" x14ac:dyDescent="0.25">
      <c r="A64" s="2216"/>
      <c r="B64" s="220" t="s">
        <v>34</v>
      </c>
      <c r="C64" s="647">
        <f>ROUND(25/60*$O$6,2)</f>
        <v>0.71</v>
      </c>
      <c r="D64" s="658">
        <v>0</v>
      </c>
      <c r="E64" s="658">
        <v>0</v>
      </c>
      <c r="F64" s="716">
        <f>IF($F$2=1,ROUND(10/60,2),0)</f>
        <v>0.17</v>
      </c>
      <c r="G64" s="807">
        <f t="shared" si="2"/>
        <v>0.88</v>
      </c>
      <c r="H64" s="647">
        <f>G64*60%</f>
        <v>0.52800000000000002</v>
      </c>
      <c r="I64" s="813">
        <f>G64*20%</f>
        <v>0.17600000000000002</v>
      </c>
      <c r="J64" s="655">
        <f>G64*20%</f>
        <v>0.17600000000000002</v>
      </c>
      <c r="K64" s="103"/>
    </row>
    <row r="65" spans="1:11" x14ac:dyDescent="0.25">
      <c r="A65" s="2204" t="s">
        <v>1261</v>
      </c>
      <c r="B65" s="198" t="s">
        <v>32</v>
      </c>
      <c r="C65" s="647">
        <f>ROUND(15/60*$O$4,2)</f>
        <v>0.3</v>
      </c>
      <c r="D65" s="658">
        <v>0</v>
      </c>
      <c r="E65" s="629">
        <f>IF($E$2=1, 0.5, 0)</f>
        <v>0.5</v>
      </c>
      <c r="F65" s="716">
        <f t="shared" ref="F65:F70" si="4">IF($F$2=1,ROUND(20/60,2),0)</f>
        <v>0.33</v>
      </c>
      <c r="G65" s="807">
        <f t="shared" si="2"/>
        <v>1.1300000000000001</v>
      </c>
      <c r="H65" s="647">
        <f>G65*70%</f>
        <v>0.79100000000000004</v>
      </c>
      <c r="I65" s="813">
        <f>G65*20%</f>
        <v>0.22600000000000003</v>
      </c>
      <c r="J65" s="655">
        <f>G65*10%</f>
        <v>0.11300000000000002</v>
      </c>
      <c r="K65" s="103"/>
    </row>
    <row r="66" spans="1:11" x14ac:dyDescent="0.25">
      <c r="A66" s="2204"/>
      <c r="B66" s="198" t="s">
        <v>33</v>
      </c>
      <c r="C66" s="647">
        <f>ROUND(40/60*$O$5,2)</f>
        <v>1</v>
      </c>
      <c r="D66" s="658">
        <v>0</v>
      </c>
      <c r="E66" s="629">
        <f>IF($E$2=1, 0.7, 0)</f>
        <v>0.7</v>
      </c>
      <c r="F66" s="716">
        <f t="shared" si="4"/>
        <v>0.33</v>
      </c>
      <c r="G66" s="807">
        <f t="shared" si="2"/>
        <v>2.0299999999999998</v>
      </c>
      <c r="H66" s="647">
        <f>G66*60%</f>
        <v>1.2179999999999997</v>
      </c>
      <c r="I66" s="813">
        <f>G66*30%</f>
        <v>0.60899999999999987</v>
      </c>
      <c r="J66" s="655">
        <f>G66*10%</f>
        <v>0.20299999999999999</v>
      </c>
      <c r="K66" s="103"/>
    </row>
    <row r="67" spans="1:11" x14ac:dyDescent="0.25">
      <c r="A67" s="2216"/>
      <c r="B67" s="220" t="s">
        <v>34</v>
      </c>
      <c r="C67" s="647">
        <f>ROUND(60/60*$O$6,2)</f>
        <v>1.7</v>
      </c>
      <c r="D67" s="658">
        <v>0</v>
      </c>
      <c r="E67" s="629">
        <f>IF($E$2=1, 1, 0)</f>
        <v>1</v>
      </c>
      <c r="F67" s="716">
        <f t="shared" si="4"/>
        <v>0.33</v>
      </c>
      <c r="G67" s="807">
        <f t="shared" si="2"/>
        <v>3.0300000000000002</v>
      </c>
      <c r="H67" s="647">
        <f>G67*50%</f>
        <v>1.5150000000000001</v>
      </c>
      <c r="I67" s="813">
        <f>G67*30%</f>
        <v>0.90900000000000003</v>
      </c>
      <c r="J67" s="655">
        <f>G67*20%</f>
        <v>0.60600000000000009</v>
      </c>
      <c r="K67" s="103"/>
    </row>
    <row r="68" spans="1:11" x14ac:dyDescent="0.25">
      <c r="A68" s="2204" t="s">
        <v>1262</v>
      </c>
      <c r="B68" s="198" t="s">
        <v>32</v>
      </c>
      <c r="C68" s="647">
        <f>ROUND(15/60*$O$4,2)</f>
        <v>0.3</v>
      </c>
      <c r="D68" s="658">
        <v>0</v>
      </c>
      <c r="E68" s="629">
        <f>IF($E$2=1, 0.5, 0)</f>
        <v>0.5</v>
      </c>
      <c r="F68" s="716">
        <f t="shared" si="4"/>
        <v>0.33</v>
      </c>
      <c r="G68" s="807">
        <f t="shared" si="2"/>
        <v>1.1300000000000001</v>
      </c>
      <c r="H68" s="647">
        <f>G68*70%</f>
        <v>0.79100000000000004</v>
      </c>
      <c r="I68" s="813">
        <f>G68*20%</f>
        <v>0.22600000000000003</v>
      </c>
      <c r="J68" s="655">
        <f>G68*10%</f>
        <v>0.11300000000000002</v>
      </c>
      <c r="K68" s="103"/>
    </row>
    <row r="69" spans="1:11" x14ac:dyDescent="0.25">
      <c r="A69" s="2204"/>
      <c r="B69" s="198" t="s">
        <v>33</v>
      </c>
      <c r="C69" s="647">
        <f>ROUND(45/60*$O$5,2)</f>
        <v>1.1299999999999999</v>
      </c>
      <c r="D69" s="658">
        <v>0</v>
      </c>
      <c r="E69" s="629">
        <f>IF($E$2=1, 0.7, 0)</f>
        <v>0.7</v>
      </c>
      <c r="F69" s="716">
        <f t="shared" si="4"/>
        <v>0.33</v>
      </c>
      <c r="G69" s="807">
        <f t="shared" si="2"/>
        <v>2.1599999999999997</v>
      </c>
      <c r="H69" s="647">
        <f>G69*60%</f>
        <v>1.2959999999999998</v>
      </c>
      <c r="I69" s="813">
        <f>G69*30%</f>
        <v>0.64799999999999991</v>
      </c>
      <c r="J69" s="655">
        <f>G69*10%</f>
        <v>0.21599999999999997</v>
      </c>
      <c r="K69" s="103"/>
    </row>
    <row r="70" spans="1:11" x14ac:dyDescent="0.25">
      <c r="A70" s="2216"/>
      <c r="B70" s="220" t="s">
        <v>34</v>
      </c>
      <c r="C70" s="647">
        <f>ROUND(50/60*$O$6,2)</f>
        <v>1.42</v>
      </c>
      <c r="D70" s="658">
        <v>0</v>
      </c>
      <c r="E70" s="629">
        <f>IF($E$2=1, 1, 0)</f>
        <v>1</v>
      </c>
      <c r="F70" s="716">
        <f t="shared" si="4"/>
        <v>0.33</v>
      </c>
      <c r="G70" s="807">
        <f t="shared" si="2"/>
        <v>2.75</v>
      </c>
      <c r="H70" s="647">
        <f>G70*50%</f>
        <v>1.375</v>
      </c>
      <c r="I70" s="813">
        <f>G70*30%</f>
        <v>0.82499999999999996</v>
      </c>
      <c r="J70" s="655">
        <f>G70*20%</f>
        <v>0.55000000000000004</v>
      </c>
      <c r="K70" s="103"/>
    </row>
    <row r="71" spans="1:11" x14ac:dyDescent="0.25">
      <c r="A71" s="2204" t="s">
        <v>1263</v>
      </c>
      <c r="B71" s="198" t="s">
        <v>32</v>
      </c>
      <c r="C71" s="647">
        <f>ROUND(15/60*$O$4,2)</f>
        <v>0.3</v>
      </c>
      <c r="D71" s="658">
        <v>0</v>
      </c>
      <c r="E71" s="658">
        <v>0</v>
      </c>
      <c r="F71" s="716">
        <f t="shared" ref="F71:F76" si="5">IF($F$2=1,ROUND(10/60,2),0)</f>
        <v>0.17</v>
      </c>
      <c r="G71" s="807">
        <f t="shared" si="2"/>
        <v>0.47</v>
      </c>
      <c r="H71" s="647">
        <f>G71*80%</f>
        <v>0.376</v>
      </c>
      <c r="I71" s="813">
        <f>G71*10%</f>
        <v>4.7E-2</v>
      </c>
      <c r="J71" s="655">
        <f>G71*10%</f>
        <v>4.7E-2</v>
      </c>
      <c r="K71" s="103"/>
    </row>
    <row r="72" spans="1:11" x14ac:dyDescent="0.25">
      <c r="A72" s="2204"/>
      <c r="B72" s="198" t="s">
        <v>33</v>
      </c>
      <c r="C72" s="647">
        <f>ROUND(20/60*$O$5,2)</f>
        <v>0.5</v>
      </c>
      <c r="D72" s="658">
        <v>0</v>
      </c>
      <c r="E72" s="658">
        <v>0</v>
      </c>
      <c r="F72" s="716">
        <f t="shared" si="5"/>
        <v>0.17</v>
      </c>
      <c r="G72" s="807">
        <f t="shared" si="2"/>
        <v>0.67</v>
      </c>
      <c r="H72" s="647">
        <f>G72*70%</f>
        <v>0.46899999999999997</v>
      </c>
      <c r="I72" s="813">
        <f t="shared" ref="I72:I77" si="6">G72*20%</f>
        <v>0.13400000000000001</v>
      </c>
      <c r="J72" s="655">
        <f>G72*10%</f>
        <v>6.7000000000000004E-2</v>
      </c>
      <c r="K72" s="103"/>
    </row>
    <row r="73" spans="1:11" x14ac:dyDescent="0.25">
      <c r="A73" s="2216"/>
      <c r="B73" s="220" t="s">
        <v>34</v>
      </c>
      <c r="C73" s="647">
        <f>ROUND(30/60*$O$6,2)</f>
        <v>0.85</v>
      </c>
      <c r="D73" s="658">
        <v>0</v>
      </c>
      <c r="E73" s="658">
        <v>0</v>
      </c>
      <c r="F73" s="716">
        <f t="shared" si="5"/>
        <v>0.17</v>
      </c>
      <c r="G73" s="807">
        <f t="shared" ref="G73:G118" si="7" xml:space="preserve"> SUM(C73:F73)</f>
        <v>1.02</v>
      </c>
      <c r="H73" s="647">
        <f>G73*60%</f>
        <v>0.61199999999999999</v>
      </c>
      <c r="I73" s="813">
        <f t="shared" si="6"/>
        <v>0.20400000000000001</v>
      </c>
      <c r="J73" s="655">
        <f>G73*20%</f>
        <v>0.20400000000000001</v>
      </c>
      <c r="K73" s="103"/>
    </row>
    <row r="74" spans="1:11" x14ac:dyDescent="0.25">
      <c r="A74" s="2204" t="s">
        <v>1264</v>
      </c>
      <c r="B74" s="198" t="s">
        <v>32</v>
      </c>
      <c r="C74" s="647">
        <f>ROUND(20/60*$O$4,2)</f>
        <v>0.4</v>
      </c>
      <c r="D74" s="658">
        <v>0</v>
      </c>
      <c r="E74" s="658">
        <v>0</v>
      </c>
      <c r="F74" s="716">
        <f t="shared" si="5"/>
        <v>0.17</v>
      </c>
      <c r="G74" s="807">
        <f t="shared" si="7"/>
        <v>0.57000000000000006</v>
      </c>
      <c r="H74" s="647">
        <f>G74*70%</f>
        <v>0.39900000000000002</v>
      </c>
      <c r="I74" s="813">
        <f t="shared" si="6"/>
        <v>0.11400000000000002</v>
      </c>
      <c r="J74" s="655">
        <f>G74*10%</f>
        <v>5.7000000000000009E-2</v>
      </c>
      <c r="K74" s="103"/>
    </row>
    <row r="75" spans="1:11" x14ac:dyDescent="0.25">
      <c r="A75" s="2204"/>
      <c r="B75" s="198" t="s">
        <v>33</v>
      </c>
      <c r="C75" s="647">
        <f>ROUND(40/60*$O$5,2)</f>
        <v>1</v>
      </c>
      <c r="D75" s="658">
        <v>0</v>
      </c>
      <c r="E75" s="658">
        <v>0</v>
      </c>
      <c r="F75" s="716">
        <f t="shared" si="5"/>
        <v>0.17</v>
      </c>
      <c r="G75" s="807">
        <f t="shared" si="7"/>
        <v>1.17</v>
      </c>
      <c r="H75" s="647">
        <f>G75*70%</f>
        <v>0.81899999999999995</v>
      </c>
      <c r="I75" s="813">
        <f t="shared" si="6"/>
        <v>0.23399999999999999</v>
      </c>
      <c r="J75" s="655">
        <f>G75*10%</f>
        <v>0.11699999999999999</v>
      </c>
      <c r="K75" s="103"/>
    </row>
    <row r="76" spans="1:11" x14ac:dyDescent="0.25">
      <c r="A76" s="2216"/>
      <c r="B76" s="220" t="s">
        <v>34</v>
      </c>
      <c r="C76" s="647">
        <f>ROUND(60/60*$O$6,2)</f>
        <v>1.7</v>
      </c>
      <c r="D76" s="658">
        <v>0</v>
      </c>
      <c r="E76" s="658">
        <v>0</v>
      </c>
      <c r="F76" s="716">
        <f t="shared" si="5"/>
        <v>0.17</v>
      </c>
      <c r="G76" s="807">
        <f t="shared" si="7"/>
        <v>1.8699999999999999</v>
      </c>
      <c r="H76" s="647">
        <f>G76*60%</f>
        <v>1.1219999999999999</v>
      </c>
      <c r="I76" s="813">
        <f t="shared" si="6"/>
        <v>0.374</v>
      </c>
      <c r="J76" s="655">
        <f>G76*20%</f>
        <v>0.374</v>
      </c>
      <c r="K76" s="103"/>
    </row>
    <row r="77" spans="1:11" x14ac:dyDescent="0.25">
      <c r="A77" s="2204" t="s">
        <v>1265</v>
      </c>
      <c r="B77" s="198" t="s">
        <v>32</v>
      </c>
      <c r="C77" s="647">
        <f>ROUND(30/60*$O$4,2)</f>
        <v>0.6</v>
      </c>
      <c r="D77" s="658">
        <v>0</v>
      </c>
      <c r="E77" s="629">
        <f>IF($E$2=1, 0.5, 0)</f>
        <v>0.5</v>
      </c>
      <c r="F77" s="716">
        <f>IF($F$2=1,ROUND(20/60,2),0)</f>
        <v>0.33</v>
      </c>
      <c r="G77" s="807">
        <f t="shared" si="7"/>
        <v>1.4300000000000002</v>
      </c>
      <c r="H77" s="647">
        <f>G77*70%</f>
        <v>1.0010000000000001</v>
      </c>
      <c r="I77" s="813">
        <f t="shared" si="6"/>
        <v>0.28600000000000003</v>
      </c>
      <c r="J77" s="655">
        <f>G77*10%</f>
        <v>0.14300000000000002</v>
      </c>
      <c r="K77" s="103"/>
    </row>
    <row r="78" spans="1:11" x14ac:dyDescent="0.25">
      <c r="A78" s="2204"/>
      <c r="B78" s="198" t="s">
        <v>33</v>
      </c>
      <c r="C78" s="647">
        <f>ROUND(90/60*$O$5,2)</f>
        <v>2.25</v>
      </c>
      <c r="D78" s="658">
        <v>0</v>
      </c>
      <c r="E78" s="629">
        <f>IF($E$2=1, 0.7, 0)</f>
        <v>0.7</v>
      </c>
      <c r="F78" s="716">
        <f>IF($F$2=1,ROUND(20/60,2),0)</f>
        <v>0.33</v>
      </c>
      <c r="G78" s="807">
        <f t="shared" si="7"/>
        <v>3.2800000000000002</v>
      </c>
      <c r="H78" s="647">
        <f>G78*60%</f>
        <v>1.968</v>
      </c>
      <c r="I78" s="813">
        <f>G78*30%</f>
        <v>0.98399999999999999</v>
      </c>
      <c r="J78" s="655">
        <f>G78*10%</f>
        <v>0.32800000000000007</v>
      </c>
      <c r="K78" s="103"/>
    </row>
    <row r="79" spans="1:11" x14ac:dyDescent="0.25">
      <c r="A79" s="2216"/>
      <c r="B79" s="220" t="s">
        <v>34</v>
      </c>
      <c r="C79" s="647">
        <f>ROUND(120/60*$O$6,2)</f>
        <v>3.4</v>
      </c>
      <c r="D79" s="658">
        <v>0</v>
      </c>
      <c r="E79" s="629">
        <f>IF($E$2=1, 1, 0)</f>
        <v>1</v>
      </c>
      <c r="F79" s="716">
        <f>IF($F$2=1,ROUND(20/60,2),0)</f>
        <v>0.33</v>
      </c>
      <c r="G79" s="807">
        <f t="shared" si="7"/>
        <v>4.7300000000000004</v>
      </c>
      <c r="H79" s="647">
        <f>G79*50%</f>
        <v>2.3650000000000002</v>
      </c>
      <c r="I79" s="813">
        <f>G79*30%</f>
        <v>1.419</v>
      </c>
      <c r="J79" s="655">
        <f>G79*20%</f>
        <v>0.94600000000000017</v>
      </c>
      <c r="K79" s="103"/>
    </row>
    <row r="80" spans="1:11" x14ac:dyDescent="0.25">
      <c r="A80" s="2204" t="s">
        <v>1266</v>
      </c>
      <c r="B80" s="198" t="s">
        <v>32</v>
      </c>
      <c r="C80" s="647">
        <f>ROUND(20/60*($O$4+0.3),2)</f>
        <v>0.5</v>
      </c>
      <c r="D80" s="658">
        <v>0</v>
      </c>
      <c r="E80" s="658">
        <v>0</v>
      </c>
      <c r="F80" s="716">
        <f>IF($F$2=1,ROUND(10/60,2),0)</f>
        <v>0.17</v>
      </c>
      <c r="G80" s="807">
        <f t="shared" si="7"/>
        <v>0.67</v>
      </c>
      <c r="H80" s="647">
        <f>G80*70%</f>
        <v>0.46899999999999997</v>
      </c>
      <c r="I80" s="813">
        <f>G80*20%</f>
        <v>0.13400000000000001</v>
      </c>
      <c r="J80" s="655">
        <f>G80*10%</f>
        <v>6.7000000000000004E-2</v>
      </c>
      <c r="K80" s="103"/>
    </row>
    <row r="81" spans="1:11" x14ac:dyDescent="0.25">
      <c r="A81" s="2204"/>
      <c r="B81" s="198" t="s">
        <v>33</v>
      </c>
      <c r="C81" s="647">
        <f>ROUND(30/60*($O$5+0.3),2)</f>
        <v>0.9</v>
      </c>
      <c r="D81" s="658">
        <v>0</v>
      </c>
      <c r="E81" s="658">
        <v>0</v>
      </c>
      <c r="F81" s="716">
        <f>IF($F$2=1,ROUND(10/60,2),0)</f>
        <v>0.17</v>
      </c>
      <c r="G81" s="807">
        <f t="shared" si="7"/>
        <v>1.07</v>
      </c>
      <c r="H81" s="647">
        <f>G81*60%</f>
        <v>0.64200000000000002</v>
      </c>
      <c r="I81" s="813">
        <f>G81*30%</f>
        <v>0.32100000000000001</v>
      </c>
      <c r="J81" s="655">
        <f>G81*10%</f>
        <v>0.10700000000000001</v>
      </c>
      <c r="K81" s="103"/>
    </row>
    <row r="82" spans="1:11" x14ac:dyDescent="0.25">
      <c r="A82" s="2216"/>
      <c r="B82" s="220" t="s">
        <v>34</v>
      </c>
      <c r="C82" s="647">
        <f>ROUND(40/60*($O$6+0.3),2)</f>
        <v>1.33</v>
      </c>
      <c r="D82" s="658">
        <v>0</v>
      </c>
      <c r="E82" s="658">
        <v>0</v>
      </c>
      <c r="F82" s="716">
        <f>IF($F$2=1,ROUND(10/60,2),0)</f>
        <v>0.17</v>
      </c>
      <c r="G82" s="807">
        <f t="shared" si="7"/>
        <v>1.5</v>
      </c>
      <c r="H82" s="647">
        <f>G82*40%</f>
        <v>0.60000000000000009</v>
      </c>
      <c r="I82" s="813">
        <f>G82*30%</f>
        <v>0.44999999999999996</v>
      </c>
      <c r="J82" s="655">
        <f>G82*30%</f>
        <v>0.44999999999999996</v>
      </c>
      <c r="K82" s="103"/>
    </row>
    <row r="83" spans="1:11" x14ac:dyDescent="0.25">
      <c r="A83" s="2204" t="s">
        <v>1267</v>
      </c>
      <c r="B83" s="198" t="s">
        <v>32</v>
      </c>
      <c r="C83" s="647">
        <f>ROUND(120/60*$O$4,2)</f>
        <v>2.4</v>
      </c>
      <c r="D83" s="658">
        <v>0</v>
      </c>
      <c r="E83" s="629">
        <f>IF($E$2=1, 0.5, 0)</f>
        <v>0.5</v>
      </c>
      <c r="F83" s="716">
        <f t="shared" ref="F83:F91" si="8">IF($F$2=1,ROUND(20/60,2),0)</f>
        <v>0.33</v>
      </c>
      <c r="G83" s="807">
        <f t="shared" si="7"/>
        <v>3.23</v>
      </c>
      <c r="H83" s="647">
        <f>G83*70%</f>
        <v>2.2609999999999997</v>
      </c>
      <c r="I83" s="813">
        <f>G83*20%</f>
        <v>0.64600000000000002</v>
      </c>
      <c r="J83" s="655">
        <f>G83*10%</f>
        <v>0.32300000000000001</v>
      </c>
      <c r="K83" s="103"/>
    </row>
    <row r="84" spans="1:11" x14ac:dyDescent="0.25">
      <c r="A84" s="2204"/>
      <c r="B84" s="198" t="s">
        <v>33</v>
      </c>
      <c r="C84" s="647">
        <f>ROUND(180/60*$O$5,2)</f>
        <v>4.5</v>
      </c>
      <c r="D84" s="658">
        <v>0</v>
      </c>
      <c r="E84" s="629">
        <f>IF($E$2=1, 0.7, 0)</f>
        <v>0.7</v>
      </c>
      <c r="F84" s="716">
        <f t="shared" si="8"/>
        <v>0.33</v>
      </c>
      <c r="G84" s="807">
        <f t="shared" si="7"/>
        <v>5.53</v>
      </c>
      <c r="H84" s="647">
        <f>G84*60%</f>
        <v>3.3180000000000001</v>
      </c>
      <c r="I84" s="813">
        <f>G84*30%</f>
        <v>1.659</v>
      </c>
      <c r="J84" s="655">
        <f>G84*10%</f>
        <v>0.55300000000000005</v>
      </c>
      <c r="K84" s="103"/>
    </row>
    <row r="85" spans="1:11" x14ac:dyDescent="0.25">
      <c r="A85" s="2216"/>
      <c r="B85" s="220" t="s">
        <v>34</v>
      </c>
      <c r="C85" s="647">
        <f>ROUND(210/60*$O$6,2)</f>
        <v>5.95</v>
      </c>
      <c r="D85" s="658">
        <v>0</v>
      </c>
      <c r="E85" s="629">
        <f>IF($E$2=1, 1, 0)</f>
        <v>1</v>
      </c>
      <c r="F85" s="716">
        <f t="shared" si="8"/>
        <v>0.33</v>
      </c>
      <c r="G85" s="807">
        <f t="shared" si="7"/>
        <v>7.28</v>
      </c>
      <c r="H85" s="647">
        <f>G85*40%</f>
        <v>2.9120000000000004</v>
      </c>
      <c r="I85" s="813">
        <f>G85*30%</f>
        <v>2.1840000000000002</v>
      </c>
      <c r="J85" s="655">
        <f>G85*30%</f>
        <v>2.1840000000000002</v>
      </c>
      <c r="K85" s="103"/>
    </row>
    <row r="86" spans="1:11" x14ac:dyDescent="0.25">
      <c r="A86" s="2204" t="s">
        <v>1268</v>
      </c>
      <c r="B86" s="198" t="s">
        <v>32</v>
      </c>
      <c r="C86" s="647">
        <f>ROUND(15/60*$O$4,2)</f>
        <v>0.3</v>
      </c>
      <c r="D86" s="658">
        <v>0</v>
      </c>
      <c r="E86" s="629">
        <f>IF($E$2=1, 0.5, 0)</f>
        <v>0.5</v>
      </c>
      <c r="F86" s="716">
        <f t="shared" si="8"/>
        <v>0.33</v>
      </c>
      <c r="G86" s="807">
        <f t="shared" si="7"/>
        <v>1.1300000000000001</v>
      </c>
      <c r="H86" s="647">
        <f>G86*70%</f>
        <v>0.79100000000000004</v>
      </c>
      <c r="I86" s="813">
        <f>G86*20%</f>
        <v>0.22600000000000003</v>
      </c>
      <c r="J86" s="655">
        <f>G86*10%</f>
        <v>0.11300000000000002</v>
      </c>
      <c r="K86" s="103"/>
    </row>
    <row r="87" spans="1:11" x14ac:dyDescent="0.25">
      <c r="A87" s="2204"/>
      <c r="B87" s="198" t="s">
        <v>33</v>
      </c>
      <c r="C87" s="647">
        <f>ROUND(45/60*$O$5,2)</f>
        <v>1.1299999999999999</v>
      </c>
      <c r="D87" s="658">
        <v>0</v>
      </c>
      <c r="E87" s="629">
        <f>IF($E$2=1, 0.7, 0)</f>
        <v>0.7</v>
      </c>
      <c r="F87" s="716">
        <f t="shared" si="8"/>
        <v>0.33</v>
      </c>
      <c r="G87" s="807">
        <f t="shared" si="7"/>
        <v>2.1599999999999997</v>
      </c>
      <c r="H87" s="647">
        <f>G87*60%</f>
        <v>1.2959999999999998</v>
      </c>
      <c r="I87" s="813">
        <f>G87*30%</f>
        <v>0.64799999999999991</v>
      </c>
      <c r="J87" s="655">
        <f>G87*10%</f>
        <v>0.21599999999999997</v>
      </c>
      <c r="K87" s="103"/>
    </row>
    <row r="88" spans="1:11" x14ac:dyDescent="0.25">
      <c r="A88" s="2216"/>
      <c r="B88" s="220" t="s">
        <v>34</v>
      </c>
      <c r="C88" s="647">
        <f>ROUND(50/60*$O$6,2)</f>
        <v>1.42</v>
      </c>
      <c r="D88" s="658">
        <v>0</v>
      </c>
      <c r="E88" s="629">
        <f>IF($E$2=1, 1, 0)</f>
        <v>1</v>
      </c>
      <c r="F88" s="716">
        <f t="shared" si="8"/>
        <v>0.33</v>
      </c>
      <c r="G88" s="807">
        <f t="shared" si="7"/>
        <v>2.75</v>
      </c>
      <c r="H88" s="647">
        <f>G88*50%</f>
        <v>1.375</v>
      </c>
      <c r="I88" s="813">
        <f>G88*30%</f>
        <v>0.82499999999999996</v>
      </c>
      <c r="J88" s="655">
        <f>G88*20%</f>
        <v>0.55000000000000004</v>
      </c>
      <c r="K88" s="103"/>
    </row>
    <row r="89" spans="1:11" x14ac:dyDescent="0.25">
      <c r="A89" s="2204" t="s">
        <v>1269</v>
      </c>
      <c r="B89" s="198" t="s">
        <v>32</v>
      </c>
      <c r="C89" s="647">
        <f>ROUND(120/60*$O$4,2)</f>
        <v>2.4</v>
      </c>
      <c r="D89" s="658">
        <v>0</v>
      </c>
      <c r="E89" s="629">
        <f>IF($E$2=1, 0.5, 0)</f>
        <v>0.5</v>
      </c>
      <c r="F89" s="716">
        <f t="shared" si="8"/>
        <v>0.33</v>
      </c>
      <c r="G89" s="807">
        <f t="shared" si="7"/>
        <v>3.23</v>
      </c>
      <c r="H89" s="647">
        <f>G89*70%</f>
        <v>2.2609999999999997</v>
      </c>
      <c r="I89" s="813">
        <f>G89*20%</f>
        <v>0.64600000000000002</v>
      </c>
      <c r="J89" s="655">
        <f>G89*10%</f>
        <v>0.32300000000000001</v>
      </c>
      <c r="K89" s="103"/>
    </row>
    <row r="90" spans="1:11" x14ac:dyDescent="0.25">
      <c r="A90" s="2204"/>
      <c r="B90" s="198" t="s">
        <v>33</v>
      </c>
      <c r="C90" s="647">
        <f>ROUND(180/60*$O$5,2)</f>
        <v>4.5</v>
      </c>
      <c r="D90" s="658">
        <v>0</v>
      </c>
      <c r="E90" s="629">
        <f>IF($E$2=1, 0.7, 0)</f>
        <v>0.7</v>
      </c>
      <c r="F90" s="716">
        <f t="shared" si="8"/>
        <v>0.33</v>
      </c>
      <c r="G90" s="807">
        <f t="shared" si="7"/>
        <v>5.53</v>
      </c>
      <c r="H90" s="647">
        <f>G90*60%</f>
        <v>3.3180000000000001</v>
      </c>
      <c r="I90" s="813">
        <f>G90*30%</f>
        <v>1.659</v>
      </c>
      <c r="J90" s="655">
        <f>G90*10%</f>
        <v>0.55300000000000005</v>
      </c>
      <c r="K90" s="103"/>
    </row>
    <row r="91" spans="1:11" x14ac:dyDescent="0.25">
      <c r="A91" s="2216"/>
      <c r="B91" s="220" t="s">
        <v>34</v>
      </c>
      <c r="C91" s="647">
        <f>ROUND(210/60*$O$6,2)</f>
        <v>5.95</v>
      </c>
      <c r="D91" s="658">
        <v>0</v>
      </c>
      <c r="E91" s="629">
        <f>IF($E$2=1, 1, 0)</f>
        <v>1</v>
      </c>
      <c r="F91" s="716">
        <f t="shared" si="8"/>
        <v>0.33</v>
      </c>
      <c r="G91" s="807">
        <f t="shared" si="7"/>
        <v>7.28</v>
      </c>
      <c r="H91" s="647">
        <f>G91*40%</f>
        <v>2.9120000000000004</v>
      </c>
      <c r="I91" s="813">
        <f>G91*30%</f>
        <v>2.1840000000000002</v>
      </c>
      <c r="J91" s="655">
        <f>G91*30%</f>
        <v>2.1840000000000002</v>
      </c>
      <c r="K91" s="103"/>
    </row>
    <row r="92" spans="1:11" x14ac:dyDescent="0.25">
      <c r="A92" s="2204" t="s">
        <v>1270</v>
      </c>
      <c r="B92" s="198" t="s">
        <v>32</v>
      </c>
      <c r="C92" s="647">
        <f>ROUND(10/60*$O$4,2)</f>
        <v>0.2</v>
      </c>
      <c r="D92" s="658">
        <v>0</v>
      </c>
      <c r="E92" s="658">
        <v>0</v>
      </c>
      <c r="F92" s="716">
        <f t="shared" ref="F92:F97" si="9">IF($F$2=1,ROUND(10/60,2),0)</f>
        <v>0.17</v>
      </c>
      <c r="G92" s="807">
        <f t="shared" si="7"/>
        <v>0.37</v>
      </c>
      <c r="H92" s="647">
        <f>G92*80%</f>
        <v>0.29599999999999999</v>
      </c>
      <c r="I92" s="813">
        <f>G92*10%</f>
        <v>3.6999999999999998E-2</v>
      </c>
      <c r="J92" s="655">
        <f>G92*10%</f>
        <v>3.6999999999999998E-2</v>
      </c>
      <c r="K92" s="103"/>
    </row>
    <row r="93" spans="1:11" x14ac:dyDescent="0.25">
      <c r="A93" s="2204"/>
      <c r="B93" s="198" t="s">
        <v>33</v>
      </c>
      <c r="C93" s="647">
        <f>ROUND(10/60*$O$5,2)</f>
        <v>0.25</v>
      </c>
      <c r="D93" s="658">
        <v>0</v>
      </c>
      <c r="E93" s="658">
        <v>0</v>
      </c>
      <c r="F93" s="716">
        <f t="shared" si="9"/>
        <v>0.17</v>
      </c>
      <c r="G93" s="807">
        <f t="shared" si="7"/>
        <v>0.42000000000000004</v>
      </c>
      <c r="H93" s="647">
        <f>G93*70%</f>
        <v>0.29399999999999998</v>
      </c>
      <c r="I93" s="813">
        <f>G93*20%</f>
        <v>8.4000000000000019E-2</v>
      </c>
      <c r="J93" s="655">
        <f>G93*10%</f>
        <v>4.200000000000001E-2</v>
      </c>
      <c r="K93" s="103"/>
    </row>
    <row r="94" spans="1:11" x14ac:dyDescent="0.25">
      <c r="A94" s="2216"/>
      <c r="B94" s="220" t="s">
        <v>34</v>
      </c>
      <c r="C94" s="647">
        <f>ROUND(15/60*$O$6,2)</f>
        <v>0.43</v>
      </c>
      <c r="D94" s="658">
        <v>0</v>
      </c>
      <c r="E94" s="658">
        <v>0</v>
      </c>
      <c r="F94" s="716">
        <f t="shared" si="9"/>
        <v>0.17</v>
      </c>
      <c r="G94" s="807">
        <f t="shared" si="7"/>
        <v>0.6</v>
      </c>
      <c r="H94" s="647">
        <f>G94*60%</f>
        <v>0.36</v>
      </c>
      <c r="I94" s="813">
        <f>G94*20%</f>
        <v>0.12</v>
      </c>
      <c r="J94" s="655">
        <f>G94*20%</f>
        <v>0.12</v>
      </c>
      <c r="K94" s="103"/>
    </row>
    <row r="95" spans="1:11" x14ac:dyDescent="0.25">
      <c r="A95" s="2204" t="s">
        <v>1271</v>
      </c>
      <c r="B95" s="198" t="s">
        <v>32</v>
      </c>
      <c r="C95" s="647">
        <f>ROUND(10/60*$O$4,2)</f>
        <v>0.2</v>
      </c>
      <c r="D95" s="658">
        <v>0</v>
      </c>
      <c r="E95" s="658">
        <v>0</v>
      </c>
      <c r="F95" s="716">
        <f t="shared" si="9"/>
        <v>0.17</v>
      </c>
      <c r="G95" s="807">
        <f t="shared" si="7"/>
        <v>0.37</v>
      </c>
      <c r="H95" s="647">
        <f>G95*80%</f>
        <v>0.29599999999999999</v>
      </c>
      <c r="I95" s="813">
        <f>G95*10%</f>
        <v>3.6999999999999998E-2</v>
      </c>
      <c r="J95" s="655">
        <f>G95*10%</f>
        <v>3.6999999999999998E-2</v>
      </c>
      <c r="K95" s="103"/>
    </row>
    <row r="96" spans="1:11" x14ac:dyDescent="0.25">
      <c r="A96" s="2204"/>
      <c r="B96" s="198" t="s">
        <v>33</v>
      </c>
      <c r="C96" s="647">
        <f>ROUND(10/60*$O$5,2)</f>
        <v>0.25</v>
      </c>
      <c r="D96" s="658">
        <v>0</v>
      </c>
      <c r="E96" s="658">
        <v>0</v>
      </c>
      <c r="F96" s="716">
        <f t="shared" si="9"/>
        <v>0.17</v>
      </c>
      <c r="G96" s="807">
        <f t="shared" si="7"/>
        <v>0.42000000000000004</v>
      </c>
      <c r="H96" s="647">
        <f>G96*70%</f>
        <v>0.29399999999999998</v>
      </c>
      <c r="I96" s="813">
        <f>G96*20%</f>
        <v>8.4000000000000019E-2</v>
      </c>
      <c r="J96" s="655">
        <f>G96*10%</f>
        <v>4.200000000000001E-2</v>
      </c>
      <c r="K96" s="103"/>
    </row>
    <row r="97" spans="1:11" x14ac:dyDescent="0.25">
      <c r="A97" s="2216"/>
      <c r="B97" s="220" t="s">
        <v>34</v>
      </c>
      <c r="C97" s="647">
        <f>ROUND(15/60*$O$6,2)</f>
        <v>0.43</v>
      </c>
      <c r="D97" s="658">
        <v>0</v>
      </c>
      <c r="E97" s="658">
        <v>0</v>
      </c>
      <c r="F97" s="716">
        <f t="shared" si="9"/>
        <v>0.17</v>
      </c>
      <c r="G97" s="807">
        <f t="shared" si="7"/>
        <v>0.6</v>
      </c>
      <c r="H97" s="647">
        <f>G97*60%</f>
        <v>0.36</v>
      </c>
      <c r="I97" s="813">
        <f>G97*20%</f>
        <v>0.12</v>
      </c>
      <c r="J97" s="655">
        <f>G97*20%</f>
        <v>0.12</v>
      </c>
      <c r="K97" s="103"/>
    </row>
    <row r="98" spans="1:11" x14ac:dyDescent="0.25">
      <c r="A98" s="2204" t="s">
        <v>1272</v>
      </c>
      <c r="B98" s="198" t="s">
        <v>32</v>
      </c>
      <c r="C98" s="647">
        <f>ROUND(15/60*$O$4,2)</f>
        <v>0.3</v>
      </c>
      <c r="D98" s="658">
        <v>0</v>
      </c>
      <c r="E98" s="629">
        <f>IF($E$2=1, 0.5, 0)</f>
        <v>0.5</v>
      </c>
      <c r="F98" s="716">
        <f>IF($F$2=1,ROUND(20/60,2),0)</f>
        <v>0.33</v>
      </c>
      <c r="G98" s="807">
        <f t="shared" si="7"/>
        <v>1.1300000000000001</v>
      </c>
      <c r="H98" s="647">
        <f>G98*70%</f>
        <v>0.79100000000000004</v>
      </c>
      <c r="I98" s="813">
        <f>G98*20%</f>
        <v>0.22600000000000003</v>
      </c>
      <c r="J98" s="655">
        <f>G98*10%</f>
        <v>0.11300000000000002</v>
      </c>
      <c r="K98" s="103"/>
    </row>
    <row r="99" spans="1:11" x14ac:dyDescent="0.25">
      <c r="A99" s="2204"/>
      <c r="B99" s="198" t="s">
        <v>33</v>
      </c>
      <c r="C99" s="647">
        <f>ROUND(45/60*$O$5,2)</f>
        <v>1.1299999999999999</v>
      </c>
      <c r="D99" s="658">
        <v>0</v>
      </c>
      <c r="E99" s="629">
        <f>IF($E$2=1, 0.7, 0)</f>
        <v>0.7</v>
      </c>
      <c r="F99" s="716">
        <f>IF($F$2=1,ROUND(20/60,2),0)</f>
        <v>0.33</v>
      </c>
      <c r="G99" s="807">
        <f t="shared" si="7"/>
        <v>2.1599999999999997</v>
      </c>
      <c r="H99" s="647">
        <f>G99*60%</f>
        <v>1.2959999999999998</v>
      </c>
      <c r="I99" s="813">
        <f>G99*30%</f>
        <v>0.64799999999999991</v>
      </c>
      <c r="J99" s="655">
        <f>G99*10%</f>
        <v>0.21599999999999997</v>
      </c>
      <c r="K99" s="103"/>
    </row>
    <row r="100" spans="1:11" x14ac:dyDescent="0.25">
      <c r="A100" s="2216"/>
      <c r="B100" s="220" t="s">
        <v>34</v>
      </c>
      <c r="C100" s="647">
        <f>ROUND(50/60*$O$6,2)</f>
        <v>1.42</v>
      </c>
      <c r="D100" s="658">
        <v>0</v>
      </c>
      <c r="E100" s="629">
        <f>IF($E$2=1, 1, 0)</f>
        <v>1</v>
      </c>
      <c r="F100" s="716">
        <f>IF($F$2=1,ROUND(20/60,2),0)</f>
        <v>0.33</v>
      </c>
      <c r="G100" s="807">
        <f t="shared" si="7"/>
        <v>2.75</v>
      </c>
      <c r="H100" s="647">
        <f>G100*50%</f>
        <v>1.375</v>
      </c>
      <c r="I100" s="813">
        <f>G100*30%</f>
        <v>0.82499999999999996</v>
      </c>
      <c r="J100" s="655">
        <f>G100*20%</f>
        <v>0.55000000000000004</v>
      </c>
      <c r="K100" s="103"/>
    </row>
    <row r="101" spans="1:11" x14ac:dyDescent="0.25">
      <c r="A101" s="2204" t="s">
        <v>1273</v>
      </c>
      <c r="B101" s="198" t="s">
        <v>32</v>
      </c>
      <c r="C101" s="647">
        <v>0</v>
      </c>
      <c r="D101" s="629">
        <f>ROUND(10/60*$O$4*$D$2,2)</f>
        <v>0.2</v>
      </c>
      <c r="E101" s="658">
        <v>0</v>
      </c>
      <c r="F101" s="716">
        <f>IF($F$2=1,ROUND(10/60,2),0)</f>
        <v>0.17</v>
      </c>
      <c r="G101" s="807">
        <f t="shared" si="7"/>
        <v>0.37</v>
      </c>
      <c r="H101" s="647">
        <f>G101*80%</f>
        <v>0.29599999999999999</v>
      </c>
      <c r="I101" s="813">
        <f>G101*10%</f>
        <v>3.6999999999999998E-2</v>
      </c>
      <c r="J101" s="655">
        <f>G101*10%</f>
        <v>3.6999999999999998E-2</v>
      </c>
      <c r="K101" s="103"/>
    </row>
    <row r="102" spans="1:11" x14ac:dyDescent="0.25">
      <c r="A102" s="2204"/>
      <c r="B102" s="198" t="s">
        <v>33</v>
      </c>
      <c r="C102" s="647">
        <v>0</v>
      </c>
      <c r="D102" s="629">
        <f>ROUND(10/60*$O$5*$D$2,2)</f>
        <v>0.25</v>
      </c>
      <c r="E102" s="658">
        <v>0</v>
      </c>
      <c r="F102" s="716">
        <f>IF($F$2=1,ROUND(10/60,2),0)</f>
        <v>0.17</v>
      </c>
      <c r="G102" s="807">
        <f t="shared" si="7"/>
        <v>0.42000000000000004</v>
      </c>
      <c r="H102" s="647">
        <f>G102*70%</f>
        <v>0.29399999999999998</v>
      </c>
      <c r="I102" s="813">
        <f>G102*20%</f>
        <v>8.4000000000000019E-2</v>
      </c>
      <c r="J102" s="655">
        <f>G102*10%</f>
        <v>4.200000000000001E-2</v>
      </c>
      <c r="K102" s="103"/>
    </row>
    <row r="103" spans="1:11" x14ac:dyDescent="0.25">
      <c r="A103" s="2216"/>
      <c r="B103" s="220" t="s">
        <v>34</v>
      </c>
      <c r="C103" s="647">
        <v>0</v>
      </c>
      <c r="D103" s="629">
        <f>ROUND(15/60*$O$6*$D$2,2)</f>
        <v>0.43</v>
      </c>
      <c r="E103" s="658">
        <v>0</v>
      </c>
      <c r="F103" s="716">
        <f>IF($F$2=1,ROUND(10/60,2),0)</f>
        <v>0.17</v>
      </c>
      <c r="G103" s="807">
        <f t="shared" si="7"/>
        <v>0.6</v>
      </c>
      <c r="H103" s="647">
        <f>G103*60%</f>
        <v>0.36</v>
      </c>
      <c r="I103" s="813">
        <f>G103*20%</f>
        <v>0.12</v>
      </c>
      <c r="J103" s="655">
        <f>G103*20%</f>
        <v>0.12</v>
      </c>
      <c r="K103" s="103"/>
    </row>
    <row r="104" spans="1:11" x14ac:dyDescent="0.25">
      <c r="A104" s="2204" t="s">
        <v>1274</v>
      </c>
      <c r="B104" s="198" t="s">
        <v>32</v>
      </c>
      <c r="C104" s="647">
        <f>ROUND(15/60*$O$4,2)</f>
        <v>0.3</v>
      </c>
      <c r="D104" s="658">
        <v>0</v>
      </c>
      <c r="E104" s="629">
        <f>IF($E$2=1, 0.5, 0)</f>
        <v>0.5</v>
      </c>
      <c r="F104" s="716">
        <f>IF($F$2=1,ROUND(20/60,2),0)</f>
        <v>0.33</v>
      </c>
      <c r="G104" s="807">
        <f t="shared" si="7"/>
        <v>1.1300000000000001</v>
      </c>
      <c r="H104" s="647">
        <f>G104*70%</f>
        <v>0.79100000000000004</v>
      </c>
      <c r="I104" s="813">
        <f>G104*20%</f>
        <v>0.22600000000000003</v>
      </c>
      <c r="J104" s="655">
        <f>G104*10%</f>
        <v>0.11300000000000002</v>
      </c>
      <c r="K104" s="103"/>
    </row>
    <row r="105" spans="1:11" x14ac:dyDescent="0.25">
      <c r="A105" s="2204"/>
      <c r="B105" s="198" t="s">
        <v>33</v>
      </c>
      <c r="C105" s="647">
        <f>ROUND(60/60*$O$5,2)</f>
        <v>1.5</v>
      </c>
      <c r="D105" s="658">
        <v>0</v>
      </c>
      <c r="E105" s="629">
        <f>IF($E$2=1, 0.7, 0)</f>
        <v>0.7</v>
      </c>
      <c r="F105" s="716">
        <f>IF($F$2=1,ROUND(20/60,2),0)</f>
        <v>0.33</v>
      </c>
      <c r="G105" s="807">
        <f t="shared" si="7"/>
        <v>2.5300000000000002</v>
      </c>
      <c r="H105" s="647">
        <f>G105*60%</f>
        <v>1.518</v>
      </c>
      <c r="I105" s="813">
        <f>G105*30%</f>
        <v>0.75900000000000001</v>
      </c>
      <c r="J105" s="655">
        <f>G105*10%</f>
        <v>0.25300000000000006</v>
      </c>
      <c r="K105" s="103"/>
    </row>
    <row r="106" spans="1:11" x14ac:dyDescent="0.25">
      <c r="A106" s="2216"/>
      <c r="B106" s="220" t="s">
        <v>34</v>
      </c>
      <c r="C106" s="647">
        <f>ROUND(70/60*$O$6,2)</f>
        <v>1.98</v>
      </c>
      <c r="D106" s="658">
        <v>0</v>
      </c>
      <c r="E106" s="629">
        <f>IF($E$2=1, 1, 0)</f>
        <v>1</v>
      </c>
      <c r="F106" s="716">
        <f>IF($F$2=1,ROUND(20/60,2),0)</f>
        <v>0.33</v>
      </c>
      <c r="G106" s="807">
        <f t="shared" si="7"/>
        <v>3.31</v>
      </c>
      <c r="H106" s="647">
        <f>G106*50%</f>
        <v>1.655</v>
      </c>
      <c r="I106" s="813">
        <f>G106*30%</f>
        <v>0.99299999999999999</v>
      </c>
      <c r="J106" s="655">
        <f>G106*20%</f>
        <v>0.66200000000000003</v>
      </c>
      <c r="K106" s="103"/>
    </row>
    <row r="107" spans="1:11" x14ac:dyDescent="0.25">
      <c r="A107" s="2204" t="s">
        <v>1275</v>
      </c>
      <c r="B107" s="198" t="s">
        <v>32</v>
      </c>
      <c r="C107" s="647">
        <f>ROUND(10/60*$O$4,2)</f>
        <v>0.2</v>
      </c>
      <c r="D107" s="658">
        <v>0</v>
      </c>
      <c r="E107" s="658">
        <v>0</v>
      </c>
      <c r="F107" s="716">
        <f t="shared" ref="F107:F112" si="10">IF($F$2=1,ROUND(10/60,2),0)</f>
        <v>0.17</v>
      </c>
      <c r="G107" s="807">
        <f t="shared" si="7"/>
        <v>0.37</v>
      </c>
      <c r="H107" s="647">
        <f>G107*80%</f>
        <v>0.29599999999999999</v>
      </c>
      <c r="I107" s="813">
        <f>G107*10%</f>
        <v>3.6999999999999998E-2</v>
      </c>
      <c r="J107" s="655">
        <f>G107*10%</f>
        <v>3.6999999999999998E-2</v>
      </c>
      <c r="K107" s="103"/>
    </row>
    <row r="108" spans="1:11" x14ac:dyDescent="0.25">
      <c r="A108" s="2204"/>
      <c r="B108" s="198" t="s">
        <v>33</v>
      </c>
      <c r="C108" s="647">
        <f>ROUND(10/60*$O$5,2)</f>
        <v>0.25</v>
      </c>
      <c r="D108" s="658">
        <v>0</v>
      </c>
      <c r="E108" s="658">
        <v>0</v>
      </c>
      <c r="F108" s="716">
        <f t="shared" si="10"/>
        <v>0.17</v>
      </c>
      <c r="G108" s="807">
        <f t="shared" si="7"/>
        <v>0.42000000000000004</v>
      </c>
      <c r="H108" s="647">
        <f>G108*70%</f>
        <v>0.29399999999999998</v>
      </c>
      <c r="I108" s="813">
        <f>G108*20%</f>
        <v>8.4000000000000019E-2</v>
      </c>
      <c r="J108" s="655">
        <f>G108*10%</f>
        <v>4.200000000000001E-2</v>
      </c>
      <c r="K108" s="103"/>
    </row>
    <row r="109" spans="1:11" x14ac:dyDescent="0.25">
      <c r="A109" s="2216"/>
      <c r="B109" s="220" t="s">
        <v>34</v>
      </c>
      <c r="C109" s="647">
        <f>ROUND(15/60*$O$6,2)</f>
        <v>0.43</v>
      </c>
      <c r="D109" s="658">
        <v>0</v>
      </c>
      <c r="E109" s="658">
        <v>0</v>
      </c>
      <c r="F109" s="716">
        <f t="shared" si="10"/>
        <v>0.17</v>
      </c>
      <c r="G109" s="807">
        <f t="shared" si="7"/>
        <v>0.6</v>
      </c>
      <c r="H109" s="647">
        <f>G109*60%</f>
        <v>0.36</v>
      </c>
      <c r="I109" s="813">
        <f>G109*20%</f>
        <v>0.12</v>
      </c>
      <c r="J109" s="655">
        <f>G109*20%</f>
        <v>0.12</v>
      </c>
      <c r="K109" s="103"/>
    </row>
    <row r="110" spans="1:11" x14ac:dyDescent="0.25">
      <c r="A110" s="2204" t="s">
        <v>1276</v>
      </c>
      <c r="B110" s="198" t="s">
        <v>32</v>
      </c>
      <c r="C110" s="647">
        <f>ROUND(10/60*$O$4,2)</f>
        <v>0.2</v>
      </c>
      <c r="D110" s="658">
        <v>0</v>
      </c>
      <c r="E110" s="658">
        <v>0</v>
      </c>
      <c r="F110" s="716">
        <f t="shared" si="10"/>
        <v>0.17</v>
      </c>
      <c r="G110" s="807">
        <f t="shared" si="7"/>
        <v>0.37</v>
      </c>
      <c r="H110" s="647">
        <f>G110*80%</f>
        <v>0.29599999999999999</v>
      </c>
      <c r="I110" s="813">
        <f>G110*10%</f>
        <v>3.6999999999999998E-2</v>
      </c>
      <c r="J110" s="655">
        <f>G110*10%</f>
        <v>3.6999999999999998E-2</v>
      </c>
      <c r="K110" s="103"/>
    </row>
    <row r="111" spans="1:11" x14ac:dyDescent="0.25">
      <c r="A111" s="2204"/>
      <c r="B111" s="198" t="s">
        <v>33</v>
      </c>
      <c r="C111" s="647">
        <f>ROUND(10/60*$O$5,2)</f>
        <v>0.25</v>
      </c>
      <c r="D111" s="658">
        <v>0</v>
      </c>
      <c r="E111" s="658">
        <v>0</v>
      </c>
      <c r="F111" s="716">
        <f t="shared" si="10"/>
        <v>0.17</v>
      </c>
      <c r="G111" s="807">
        <f t="shared" si="7"/>
        <v>0.42000000000000004</v>
      </c>
      <c r="H111" s="647">
        <f>G111*70%</f>
        <v>0.29399999999999998</v>
      </c>
      <c r="I111" s="813">
        <f>G111*20%</f>
        <v>8.4000000000000019E-2</v>
      </c>
      <c r="J111" s="655">
        <f>G111*10%</f>
        <v>4.200000000000001E-2</v>
      </c>
      <c r="K111" s="103"/>
    </row>
    <row r="112" spans="1:11" x14ac:dyDescent="0.25">
      <c r="A112" s="2216"/>
      <c r="B112" s="220" t="s">
        <v>34</v>
      </c>
      <c r="C112" s="647">
        <f>ROUND(15/60*$O$6,2)</f>
        <v>0.43</v>
      </c>
      <c r="D112" s="658">
        <v>0</v>
      </c>
      <c r="E112" s="658">
        <v>0</v>
      </c>
      <c r="F112" s="716">
        <f t="shared" si="10"/>
        <v>0.17</v>
      </c>
      <c r="G112" s="807">
        <f t="shared" si="7"/>
        <v>0.6</v>
      </c>
      <c r="H112" s="647">
        <f>G112*60%</f>
        <v>0.36</v>
      </c>
      <c r="I112" s="813">
        <f>G112*20%</f>
        <v>0.12</v>
      </c>
      <c r="J112" s="655">
        <f>G112*20%</f>
        <v>0.12</v>
      </c>
      <c r="K112" s="103"/>
    </row>
    <row r="113" spans="1:11" x14ac:dyDescent="0.25">
      <c r="A113" s="2204" t="s">
        <v>1277</v>
      </c>
      <c r="B113" s="198" t="s">
        <v>32</v>
      </c>
      <c r="C113" s="647">
        <f>ROUND(10/60*$O$4,2)</f>
        <v>0.2</v>
      </c>
      <c r="D113" s="658">
        <v>0</v>
      </c>
      <c r="E113" s="658">
        <v>0</v>
      </c>
      <c r="F113" s="716">
        <f>IF($F$2=1,ROUND(10/60,2),0)</f>
        <v>0.17</v>
      </c>
      <c r="G113" s="807">
        <f t="shared" si="7"/>
        <v>0.37</v>
      </c>
      <c r="H113" s="647">
        <f>G113*80%</f>
        <v>0.29599999999999999</v>
      </c>
      <c r="I113" s="813">
        <f>G113*10%</f>
        <v>3.6999999999999998E-2</v>
      </c>
      <c r="J113" s="655">
        <f>G113*10%</f>
        <v>3.6999999999999998E-2</v>
      </c>
      <c r="K113" s="103"/>
    </row>
    <row r="114" spans="1:11" x14ac:dyDescent="0.25">
      <c r="A114" s="2204"/>
      <c r="B114" s="198" t="s">
        <v>33</v>
      </c>
      <c r="C114" s="647">
        <f>ROUND(20/60*$O$5,2)</f>
        <v>0.5</v>
      </c>
      <c r="D114" s="658">
        <v>0</v>
      </c>
      <c r="E114" s="658">
        <v>0</v>
      </c>
      <c r="F114" s="716">
        <f>IF($F$2=1,ROUND(10/60,2),0)</f>
        <v>0.17</v>
      </c>
      <c r="G114" s="807">
        <f t="shared" si="7"/>
        <v>0.67</v>
      </c>
      <c r="H114" s="647">
        <f>G114*70%</f>
        <v>0.46899999999999997</v>
      </c>
      <c r="I114" s="813">
        <f>G114*20%</f>
        <v>0.13400000000000001</v>
      </c>
      <c r="J114" s="655">
        <f>G114*10%</f>
        <v>6.7000000000000004E-2</v>
      </c>
      <c r="K114" s="103"/>
    </row>
    <row r="115" spans="1:11" x14ac:dyDescent="0.25">
      <c r="A115" s="2216"/>
      <c r="B115" s="220" t="s">
        <v>34</v>
      </c>
      <c r="C115" s="647">
        <f>ROUND(25/60*$O$6,2)</f>
        <v>0.71</v>
      </c>
      <c r="D115" s="658">
        <v>0</v>
      </c>
      <c r="E115" s="658">
        <v>0</v>
      </c>
      <c r="F115" s="716">
        <f>IF($F$2=1,ROUND(10/60,2),0)</f>
        <v>0.17</v>
      </c>
      <c r="G115" s="807">
        <f t="shared" si="7"/>
        <v>0.88</v>
      </c>
      <c r="H115" s="647">
        <f>G115*60%</f>
        <v>0.52800000000000002</v>
      </c>
      <c r="I115" s="813">
        <f>G115*20%</f>
        <v>0.17600000000000002</v>
      </c>
      <c r="J115" s="655">
        <f>G115*20%</f>
        <v>0.17600000000000002</v>
      </c>
      <c r="K115" s="103"/>
    </row>
    <row r="116" spans="1:11" x14ac:dyDescent="0.25">
      <c r="A116" s="2204" t="s">
        <v>1278</v>
      </c>
      <c r="B116" s="198" t="s">
        <v>32</v>
      </c>
      <c r="C116" s="647">
        <f>ROUND(15/60*$O$4,2)</f>
        <v>0.3</v>
      </c>
      <c r="D116" s="658">
        <v>0</v>
      </c>
      <c r="E116" s="629">
        <f>IF($E$2=1, 0.5, 0)</f>
        <v>0.5</v>
      </c>
      <c r="F116" s="716">
        <f>IF($F$2=1,ROUND(20/60,2),0)</f>
        <v>0.33</v>
      </c>
      <c r="G116" s="807">
        <f t="shared" si="7"/>
        <v>1.1300000000000001</v>
      </c>
      <c r="H116" s="647">
        <f>G116*70%</f>
        <v>0.79100000000000004</v>
      </c>
      <c r="I116" s="813">
        <f>G116*20%</f>
        <v>0.22600000000000003</v>
      </c>
      <c r="J116" s="655">
        <f>G116*10%</f>
        <v>0.11300000000000002</v>
      </c>
      <c r="K116" s="103"/>
    </row>
    <row r="117" spans="1:11" x14ac:dyDescent="0.25">
      <c r="A117" s="2204"/>
      <c r="B117" s="198" t="s">
        <v>33</v>
      </c>
      <c r="C117" s="647">
        <f>ROUND(45/60*$O$5,2)</f>
        <v>1.1299999999999999</v>
      </c>
      <c r="D117" s="658">
        <v>0</v>
      </c>
      <c r="E117" s="629">
        <f>IF($E$2=1, 0.7, 0)</f>
        <v>0.7</v>
      </c>
      <c r="F117" s="716">
        <f>IF($F$2=1,ROUND(20/60,2),0)</f>
        <v>0.33</v>
      </c>
      <c r="G117" s="807">
        <f t="shared" si="7"/>
        <v>2.1599999999999997</v>
      </c>
      <c r="H117" s="647">
        <f>G117*60%</f>
        <v>1.2959999999999998</v>
      </c>
      <c r="I117" s="813">
        <f>G117*30%</f>
        <v>0.64799999999999991</v>
      </c>
      <c r="J117" s="655">
        <f>G117*10%</f>
        <v>0.21599999999999997</v>
      </c>
      <c r="K117" s="103"/>
    </row>
    <row r="118" spans="1:11" ht="15.75" thickBot="1" x14ac:dyDescent="0.3">
      <c r="A118" s="2217"/>
      <c r="B118" s="199" t="s">
        <v>34</v>
      </c>
      <c r="C118" s="647">
        <f>ROUND(50/60*$O$6,2)</f>
        <v>1.42</v>
      </c>
      <c r="D118" s="694">
        <v>0</v>
      </c>
      <c r="E118" s="629">
        <f>IF($E$2=1, 1, 0)</f>
        <v>1</v>
      </c>
      <c r="F118" s="716">
        <f>IF($F$2=1,ROUND(20/60,2),0)</f>
        <v>0.33</v>
      </c>
      <c r="G118" s="622">
        <f t="shared" si="7"/>
        <v>2.75</v>
      </c>
      <c r="H118" s="1291">
        <f>G118*50%</f>
        <v>1.375</v>
      </c>
      <c r="I118" s="1292">
        <f>G118*30%</f>
        <v>0.82499999999999996</v>
      </c>
      <c r="J118" s="1293">
        <f>G118*20%</f>
        <v>0.55000000000000004</v>
      </c>
      <c r="K118" s="1260"/>
    </row>
    <row r="119" spans="1:11" ht="15.75" x14ac:dyDescent="0.25">
      <c r="A119" s="1294" t="s">
        <v>1279</v>
      </c>
      <c r="B119" s="1295"/>
      <c r="C119" s="1296"/>
      <c r="D119" s="1297"/>
      <c r="E119" s="1298"/>
      <c r="F119" s="1299"/>
      <c r="G119" s="1298"/>
      <c r="H119" s="1285"/>
      <c r="I119" s="1286"/>
      <c r="J119" s="1287"/>
      <c r="K119" s="1288"/>
    </row>
    <row r="120" spans="1:11" x14ac:dyDescent="0.25">
      <c r="A120" s="2160" t="s">
        <v>1280</v>
      </c>
      <c r="B120" s="129" t="s">
        <v>32</v>
      </c>
      <c r="C120" s="813">
        <f>ROUND(15/60*$O$4,2)</f>
        <v>0.3</v>
      </c>
      <c r="D120" s="658">
        <v>0</v>
      </c>
      <c r="E120" s="629">
        <f>IF($E$2=1, 0.5, 0)</f>
        <v>0.5</v>
      </c>
      <c r="F120" s="629">
        <f t="shared" ref="F120:F125" si="11">IF($F$2=1,ROUND(20/60,2),0)</f>
        <v>0.33</v>
      </c>
      <c r="G120" s="814">
        <f t="shared" ref="G120:G125" si="12" xml:space="preserve"> SUM(C120:F120)</f>
        <v>1.1300000000000001</v>
      </c>
      <c r="H120" s="813">
        <f>G120*70%</f>
        <v>0.79100000000000004</v>
      </c>
      <c r="I120" s="813">
        <f>G120*20%</f>
        <v>0.22600000000000003</v>
      </c>
      <c r="J120" s="813">
        <f>G120*10%</f>
        <v>0.11300000000000002</v>
      </c>
      <c r="K120" s="129"/>
    </row>
    <row r="121" spans="1:11" x14ac:dyDescent="0.25">
      <c r="A121" s="2160"/>
      <c r="B121" s="129" t="s">
        <v>33</v>
      </c>
      <c r="C121" s="813">
        <f>ROUND(45/60*$O$5,2)</f>
        <v>1.1299999999999999</v>
      </c>
      <c r="D121" s="658">
        <v>0</v>
      </c>
      <c r="E121" s="629">
        <f>IF($E$2=1, 0.7, 0)</f>
        <v>0.7</v>
      </c>
      <c r="F121" s="629">
        <f t="shared" si="11"/>
        <v>0.33</v>
      </c>
      <c r="G121" s="814">
        <f t="shared" si="12"/>
        <v>2.1599999999999997</v>
      </c>
      <c r="H121" s="813">
        <f>G121*60%</f>
        <v>1.2959999999999998</v>
      </c>
      <c r="I121" s="813">
        <f>G121*30%</f>
        <v>0.64799999999999991</v>
      </c>
      <c r="J121" s="813">
        <f>G121*10%</f>
        <v>0.21599999999999997</v>
      </c>
      <c r="K121" s="129"/>
    </row>
    <row r="122" spans="1:11" x14ac:dyDescent="0.25">
      <c r="A122" s="2160"/>
      <c r="B122" s="129" t="s">
        <v>34</v>
      </c>
      <c r="C122" s="813">
        <f>ROUND(50/60*$O$6,2)</f>
        <v>1.42</v>
      </c>
      <c r="D122" s="658">
        <v>0</v>
      </c>
      <c r="E122" s="629">
        <f>IF($E$2=1, 1, 0)</f>
        <v>1</v>
      </c>
      <c r="F122" s="629">
        <f t="shared" si="11"/>
        <v>0.33</v>
      </c>
      <c r="G122" s="814">
        <f t="shared" si="12"/>
        <v>2.75</v>
      </c>
      <c r="H122" s="813">
        <f>G122*50%</f>
        <v>1.375</v>
      </c>
      <c r="I122" s="813">
        <f>G122*30%</f>
        <v>0.82499999999999996</v>
      </c>
      <c r="J122" s="813">
        <f>G122*20%</f>
        <v>0.55000000000000004</v>
      </c>
      <c r="K122" s="129"/>
    </row>
    <row r="123" spans="1:11" x14ac:dyDescent="0.25">
      <c r="A123" s="2160" t="s">
        <v>1281</v>
      </c>
      <c r="B123" s="129" t="s">
        <v>32</v>
      </c>
      <c r="C123" s="813">
        <f>ROUND(15/60*$O$4,2)</f>
        <v>0.3</v>
      </c>
      <c r="D123" s="658">
        <v>0</v>
      </c>
      <c r="E123" s="629">
        <f>IF($E$2=1, 0.5, 0)</f>
        <v>0.5</v>
      </c>
      <c r="F123" s="629">
        <f t="shared" si="11"/>
        <v>0.33</v>
      </c>
      <c r="G123" s="814">
        <f t="shared" si="12"/>
        <v>1.1300000000000001</v>
      </c>
      <c r="H123" s="813">
        <f>G123*70%</f>
        <v>0.79100000000000004</v>
      </c>
      <c r="I123" s="813">
        <f>G123*20%</f>
        <v>0.22600000000000003</v>
      </c>
      <c r="J123" s="813">
        <f>G123*10%</f>
        <v>0.11300000000000002</v>
      </c>
      <c r="K123" s="129"/>
    </row>
    <row r="124" spans="1:11" x14ac:dyDescent="0.25">
      <c r="A124" s="2160"/>
      <c r="B124" s="129" t="s">
        <v>33</v>
      </c>
      <c r="C124" s="813">
        <f>ROUND(30/60*$O$5,2)</f>
        <v>0.75</v>
      </c>
      <c r="D124" s="658">
        <v>0</v>
      </c>
      <c r="E124" s="629">
        <f>IF($E$2=1, 0.7, 0)</f>
        <v>0.7</v>
      </c>
      <c r="F124" s="629">
        <f t="shared" si="11"/>
        <v>0.33</v>
      </c>
      <c r="G124" s="814">
        <f t="shared" si="12"/>
        <v>1.78</v>
      </c>
      <c r="H124" s="813">
        <f>G124*60%</f>
        <v>1.0680000000000001</v>
      </c>
      <c r="I124" s="813">
        <f>G124*30%</f>
        <v>0.53400000000000003</v>
      </c>
      <c r="J124" s="813">
        <f>G124*10%</f>
        <v>0.17800000000000002</v>
      </c>
      <c r="K124" s="129"/>
    </row>
    <row r="125" spans="1:11" x14ac:dyDescent="0.25">
      <c r="A125" s="2160"/>
      <c r="B125" s="129" t="s">
        <v>34</v>
      </c>
      <c r="C125" s="813">
        <f>ROUND(40/60*$O$6,2)</f>
        <v>1.1299999999999999</v>
      </c>
      <c r="D125" s="658">
        <v>0</v>
      </c>
      <c r="E125" s="629">
        <f>IF($E$2=1, 1, 0)</f>
        <v>1</v>
      </c>
      <c r="F125" s="629">
        <f t="shared" si="11"/>
        <v>0.33</v>
      </c>
      <c r="G125" s="814">
        <f t="shared" si="12"/>
        <v>2.46</v>
      </c>
      <c r="H125" s="813">
        <f>G125*50%</f>
        <v>1.23</v>
      </c>
      <c r="I125" s="813">
        <f>G125*30%</f>
        <v>0.73799999999999999</v>
      </c>
      <c r="J125" s="813">
        <f>G125*20%</f>
        <v>0.49199999999999999</v>
      </c>
      <c r="K125" s="129"/>
    </row>
  </sheetData>
  <mergeCells count="47">
    <mergeCell ref="A110:A112"/>
    <mergeCell ref="A113:A115"/>
    <mergeCell ref="A116:A118"/>
    <mergeCell ref="A120:A122"/>
    <mergeCell ref="A123:A125"/>
    <mergeCell ref="A107:A109"/>
    <mergeCell ref="A74:A76"/>
    <mergeCell ref="A77:A79"/>
    <mergeCell ref="A80:A82"/>
    <mergeCell ref="A83:A85"/>
    <mergeCell ref="A86:A88"/>
    <mergeCell ref="A89:A91"/>
    <mergeCell ref="A92:A94"/>
    <mergeCell ref="A95:A97"/>
    <mergeCell ref="A98:A100"/>
    <mergeCell ref="A101:A103"/>
    <mergeCell ref="A104:A106"/>
    <mergeCell ref="A29:A31"/>
    <mergeCell ref="A32:A34"/>
    <mergeCell ref="A71:A73"/>
    <mergeCell ref="A38:A40"/>
    <mergeCell ref="A41:A43"/>
    <mergeCell ref="A44:A46"/>
    <mergeCell ref="A47:A49"/>
    <mergeCell ref="A50:A52"/>
    <mergeCell ref="A53:A55"/>
    <mergeCell ref="A56:A58"/>
    <mergeCell ref="A59:A61"/>
    <mergeCell ref="A62:A64"/>
    <mergeCell ref="A65:A67"/>
    <mergeCell ref="A68:A70"/>
    <mergeCell ref="A35:A37"/>
    <mergeCell ref="G1:G2"/>
    <mergeCell ref="H1:H2"/>
    <mergeCell ref="I1:I2"/>
    <mergeCell ref="N1:O1"/>
    <mergeCell ref="A4:A6"/>
    <mergeCell ref="J1:J2"/>
    <mergeCell ref="K1:K2"/>
    <mergeCell ref="A20:A22"/>
    <mergeCell ref="A23:A25"/>
    <mergeCell ref="A26:A28"/>
    <mergeCell ref="A17:A19"/>
    <mergeCell ref="C1:C2"/>
    <mergeCell ref="A7:A9"/>
    <mergeCell ref="A10:A12"/>
    <mergeCell ref="A14:A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82"/>
  <dimension ref="A1:P141"/>
  <sheetViews>
    <sheetView topLeftCell="A2" zoomScale="80" zoomScaleNormal="80" workbookViewId="0">
      <selection activeCell="I18" sqref="I18"/>
    </sheetView>
  </sheetViews>
  <sheetFormatPr defaultColWidth="9.140625" defaultRowHeight="15" x14ac:dyDescent="0.25"/>
  <cols>
    <col min="1" max="1" width="53.42578125" style="1271" bestFit="1" customWidth="1"/>
    <col min="2" max="2" width="23.5703125" style="1271" bestFit="1" customWidth="1"/>
    <col min="3" max="3" width="23.5703125" style="1271" customWidth="1"/>
    <col min="4" max="4" width="26.28515625" style="1271" bestFit="1" customWidth="1"/>
    <col min="5" max="5" width="19" style="1271" bestFit="1" customWidth="1"/>
    <col min="6" max="6" width="28.7109375" style="1271" bestFit="1" customWidth="1"/>
    <col min="7" max="7" width="7.5703125" style="1271" bestFit="1" customWidth="1"/>
    <col min="8" max="8" width="11.28515625" style="1271" customWidth="1"/>
    <col min="9" max="9" width="11.42578125" style="1271" customWidth="1"/>
    <col min="10" max="10" width="11.5703125" style="1271" customWidth="1"/>
    <col min="11" max="11" width="28.7109375" style="1271" customWidth="1"/>
    <col min="12" max="12" width="9.140625" style="1271"/>
    <col min="13" max="13" width="9.140625" style="1271" customWidth="1"/>
    <col min="14" max="16384" width="9.140625" style="1271"/>
  </cols>
  <sheetData>
    <row r="1" spans="1:16" ht="90" x14ac:dyDescent="0.25">
      <c r="A1" s="1274" t="s">
        <v>1227</v>
      </c>
      <c r="B1" s="1275" t="s">
        <v>1228</v>
      </c>
      <c r="C1" s="2205" t="s">
        <v>1229</v>
      </c>
      <c r="D1" s="1276" t="s">
        <v>1282</v>
      </c>
      <c r="E1" s="1276" t="s">
        <v>1231</v>
      </c>
      <c r="F1" s="1578" t="s">
        <v>1232</v>
      </c>
      <c r="G1" s="2208" t="s">
        <v>38</v>
      </c>
      <c r="H1" s="2210" t="s">
        <v>715</v>
      </c>
      <c r="I1" s="2210" t="s">
        <v>714</v>
      </c>
      <c r="J1" s="2210" t="s">
        <v>713</v>
      </c>
      <c r="K1" s="2214" t="s">
        <v>272</v>
      </c>
      <c r="L1" s="1577"/>
      <c r="M1" s="1577"/>
      <c r="N1" s="2212" t="s">
        <v>1233</v>
      </c>
      <c r="O1" s="2213"/>
      <c r="P1" s="1577"/>
    </row>
    <row r="2" spans="1:16" ht="16.5" thickBot="1" x14ac:dyDescent="0.3">
      <c r="A2" s="1278" t="s">
        <v>36</v>
      </c>
      <c r="B2" s="1300">
        <f>IF(ТрЗ_ОКиА!$M$1="Простой", 1, IF(ТрЗ_ОКиА!$M$1="Обычный",2,3))</f>
        <v>2</v>
      </c>
      <c r="C2" s="2206"/>
      <c r="D2" s="415">
        <f>ТрЗ_ОКиА!E110</f>
        <v>2</v>
      </c>
      <c r="E2" s="415">
        <f>IF(ТрЗ_ОКиА!E111="Да",1,0)</f>
        <v>0</v>
      </c>
      <c r="F2" s="415">
        <f>IF(ТрЗ_ОКиА!E112="Да",1,0)</f>
        <v>0</v>
      </c>
      <c r="G2" s="2209"/>
      <c r="H2" s="2211"/>
      <c r="I2" s="2211"/>
      <c r="J2" s="2211"/>
      <c r="K2" s="2215"/>
      <c r="L2" s="1577"/>
      <c r="M2" s="1577"/>
      <c r="N2" s="879"/>
      <c r="O2" s="879"/>
      <c r="P2" s="1577"/>
    </row>
    <row r="3" spans="1:16" ht="15.75" x14ac:dyDescent="0.25">
      <c r="A3" s="1279" t="s">
        <v>1236</v>
      </c>
      <c r="B3" s="1280"/>
      <c r="C3" s="1281"/>
      <c r="D3" s="1282"/>
      <c r="E3" s="1282"/>
      <c r="F3" s="1283"/>
      <c r="G3" s="1284"/>
      <c r="H3" s="1285"/>
      <c r="I3" s="1286"/>
      <c r="J3" s="1287"/>
      <c r="K3" s="1288"/>
      <c r="L3" s="1577"/>
      <c r="M3" s="1577"/>
      <c r="N3" s="879"/>
      <c r="O3" s="879"/>
      <c r="P3" s="1577"/>
    </row>
    <row r="4" spans="1:16" ht="15" customHeight="1" x14ac:dyDescent="0.25">
      <c r="A4" s="1924" t="s">
        <v>1238</v>
      </c>
      <c r="B4" s="817" t="s">
        <v>32</v>
      </c>
      <c r="C4" s="446">
        <f>ROUND(60/60,2)</f>
        <v>1</v>
      </c>
      <c r="D4" s="814">
        <v>0</v>
      </c>
      <c r="E4" s="813">
        <v>0</v>
      </c>
      <c r="F4" s="824">
        <v>0</v>
      </c>
      <c r="G4" s="815">
        <f t="shared" ref="G4:G12" si="0" xml:space="preserve"> SUM(C4:F4)</f>
        <v>1</v>
      </c>
      <c r="H4" s="647">
        <f>G4*80%</f>
        <v>0.8</v>
      </c>
      <c r="I4" s="813">
        <f>G4*0.1</f>
        <v>0.1</v>
      </c>
      <c r="J4" s="655">
        <f>G4*0.1</f>
        <v>0.1</v>
      </c>
      <c r="K4" s="103"/>
      <c r="L4" s="1577"/>
      <c r="M4" s="1577"/>
      <c r="N4" s="879">
        <v>20</v>
      </c>
      <c r="O4" s="879">
        <f>1+N4/100</f>
        <v>1.2</v>
      </c>
      <c r="P4" s="1577"/>
    </row>
    <row r="5" spans="1:16" ht="15" customHeight="1" x14ac:dyDescent="0.25">
      <c r="A5" s="1907"/>
      <c r="B5" s="817" t="s">
        <v>33</v>
      </c>
      <c r="C5" s="446">
        <f>ROUND(90/60,2)</f>
        <v>1.5</v>
      </c>
      <c r="D5" s="814">
        <v>0</v>
      </c>
      <c r="E5" s="813">
        <v>0</v>
      </c>
      <c r="F5" s="824">
        <v>0</v>
      </c>
      <c r="G5" s="815">
        <f t="shared" si="0"/>
        <v>1.5</v>
      </c>
      <c r="H5" s="647">
        <f>G5*70%</f>
        <v>1.0499999999999998</v>
      </c>
      <c r="I5" s="813">
        <f>G5*20%</f>
        <v>0.30000000000000004</v>
      </c>
      <c r="J5" s="655">
        <f>G5*10%</f>
        <v>0.15000000000000002</v>
      </c>
      <c r="K5" s="103"/>
      <c r="L5" s="1577"/>
      <c r="M5" s="1577"/>
      <c r="N5" s="879">
        <v>50</v>
      </c>
      <c r="O5" s="879">
        <f>1+N5/100</f>
        <v>1.5</v>
      </c>
      <c r="P5" s="1577"/>
    </row>
    <row r="6" spans="1:16" ht="15" customHeight="1" x14ac:dyDescent="0.25">
      <c r="A6" s="1914"/>
      <c r="B6" s="817" t="s">
        <v>34</v>
      </c>
      <c r="C6" s="446">
        <f>ROUND(120/60,2)</f>
        <v>2</v>
      </c>
      <c r="D6" s="814">
        <v>0</v>
      </c>
      <c r="E6" s="813">
        <v>0</v>
      </c>
      <c r="F6" s="824">
        <v>0</v>
      </c>
      <c r="G6" s="815">
        <f t="shared" si="0"/>
        <v>2</v>
      </c>
      <c r="H6" s="647">
        <f>G6*40%</f>
        <v>0.8</v>
      </c>
      <c r="I6" s="813">
        <f>G6*30%</f>
        <v>0.6</v>
      </c>
      <c r="J6" s="655">
        <f>G6*30%</f>
        <v>0.6</v>
      </c>
      <c r="K6" s="103"/>
      <c r="L6" s="1577"/>
      <c r="M6" s="1577"/>
      <c r="N6" s="879">
        <v>70</v>
      </c>
      <c r="O6" s="879">
        <f>1+N6/100</f>
        <v>1.7</v>
      </c>
      <c r="P6" s="1577"/>
    </row>
    <row r="7" spans="1:16" ht="15" customHeight="1" x14ac:dyDescent="0.25">
      <c r="A7" s="1915" t="s">
        <v>1239</v>
      </c>
      <c r="B7" s="324" t="s">
        <v>32</v>
      </c>
      <c r="C7" s="821">
        <f>ROUND(180/60,2)</f>
        <v>3</v>
      </c>
      <c r="D7" s="629">
        <f>ROUND(20/60*$O$4*$D$2,2)</f>
        <v>0.8</v>
      </c>
      <c r="E7" s="629">
        <f>IF($E$2=1, 1.5, 0)</f>
        <v>0</v>
      </c>
      <c r="F7" s="824">
        <v>0</v>
      </c>
      <c r="G7" s="815">
        <f t="shared" si="0"/>
        <v>3.8</v>
      </c>
      <c r="H7" s="647">
        <f>G7*1</f>
        <v>3.8</v>
      </c>
      <c r="I7" s="813">
        <v>0</v>
      </c>
      <c r="J7" s="655">
        <v>0</v>
      </c>
      <c r="K7" s="103"/>
      <c r="L7" s="1577"/>
      <c r="M7" s="1577"/>
      <c r="N7" s="1577"/>
      <c r="O7" s="1577"/>
      <c r="P7" s="1577"/>
    </row>
    <row r="8" spans="1:16" ht="15" customHeight="1" x14ac:dyDescent="0.25">
      <c r="A8" s="1915"/>
      <c r="B8" s="817" t="s">
        <v>33</v>
      </c>
      <c r="C8" s="821">
        <f>ROUND(210/60,2)</f>
        <v>3.5</v>
      </c>
      <c r="D8" s="629">
        <f>ROUND(30/60*$O$5*$D$2,2)</f>
        <v>1.5</v>
      </c>
      <c r="E8" s="629">
        <f>IF($E$2=1, 2, 0)</f>
        <v>0</v>
      </c>
      <c r="F8" s="824">
        <v>0</v>
      </c>
      <c r="G8" s="815">
        <f t="shared" si="0"/>
        <v>5</v>
      </c>
      <c r="H8" s="647">
        <f>G8*60%</f>
        <v>3</v>
      </c>
      <c r="I8" s="813">
        <f>G8*30%</f>
        <v>1.5</v>
      </c>
      <c r="J8" s="655">
        <f>G8*10%</f>
        <v>0.5</v>
      </c>
      <c r="K8" s="103"/>
      <c r="L8" s="1577"/>
      <c r="M8" s="1577"/>
      <c r="N8" s="1577"/>
      <c r="O8" s="1577"/>
      <c r="P8" s="1577"/>
    </row>
    <row r="9" spans="1:16" ht="15" customHeight="1" x14ac:dyDescent="0.25">
      <c r="A9" s="1915"/>
      <c r="B9" s="817" t="s">
        <v>34</v>
      </c>
      <c r="C9" s="821">
        <f>ROUND(240/60,2)</f>
        <v>4</v>
      </c>
      <c r="D9" s="629">
        <f>ROUND(40/60*$O$6*$D$2,2)</f>
        <v>2.27</v>
      </c>
      <c r="E9" s="629">
        <f>IF($E$2=1, 2.5, 0)</f>
        <v>0</v>
      </c>
      <c r="F9" s="824">
        <v>0</v>
      </c>
      <c r="G9" s="192">
        <f t="shared" si="0"/>
        <v>6.27</v>
      </c>
      <c r="H9" s="680">
        <f>G9*50%</f>
        <v>3.1349999999999998</v>
      </c>
      <c r="I9" s="832">
        <f>G9*30%</f>
        <v>1.8809999999999998</v>
      </c>
      <c r="J9" s="687">
        <f>G9*20%</f>
        <v>1.254</v>
      </c>
      <c r="K9" s="470"/>
      <c r="L9" s="1577"/>
      <c r="M9" s="1577"/>
      <c r="N9" s="1577"/>
      <c r="O9" s="1577"/>
      <c r="P9" s="1577"/>
    </row>
    <row r="10" spans="1:16" ht="15" customHeight="1" x14ac:dyDescent="0.25">
      <c r="A10" s="1907" t="s">
        <v>1240</v>
      </c>
      <c r="B10" s="324" t="s">
        <v>32</v>
      </c>
      <c r="C10" s="821">
        <v>2</v>
      </c>
      <c r="D10" s="814">
        <v>0</v>
      </c>
      <c r="E10" s="814">
        <v>0</v>
      </c>
      <c r="F10" s="824">
        <v>0</v>
      </c>
      <c r="G10" s="815">
        <f t="shared" si="0"/>
        <v>2</v>
      </c>
      <c r="H10" s="647">
        <f>G10*50%</f>
        <v>1</v>
      </c>
      <c r="I10" s="813">
        <f>G10*50%</f>
        <v>1</v>
      </c>
      <c r="J10" s="655">
        <v>0</v>
      </c>
      <c r="K10" s="103"/>
      <c r="L10" s="1577"/>
      <c r="M10" s="1577"/>
      <c r="N10" s="1577"/>
      <c r="O10" s="1577"/>
      <c r="P10" s="1577"/>
    </row>
    <row r="11" spans="1:16" ht="15" customHeight="1" x14ac:dyDescent="0.25">
      <c r="A11" s="1907"/>
      <c r="B11" s="817" t="s">
        <v>33</v>
      </c>
      <c r="C11" s="821">
        <v>4</v>
      </c>
      <c r="D11" s="814">
        <v>0</v>
      </c>
      <c r="E11" s="814">
        <v>0</v>
      </c>
      <c r="F11" s="824">
        <v>0</v>
      </c>
      <c r="G11" s="815">
        <f t="shared" si="0"/>
        <v>4</v>
      </c>
      <c r="H11" s="647">
        <f>G11*50%</f>
        <v>2</v>
      </c>
      <c r="I11" s="813">
        <f>G11*40%</f>
        <v>1.6</v>
      </c>
      <c r="J11" s="655">
        <f>G11*10%</f>
        <v>0.4</v>
      </c>
      <c r="K11" s="103"/>
      <c r="L11" s="1577"/>
      <c r="M11" s="1577"/>
      <c r="N11" s="1577"/>
      <c r="O11" s="1577"/>
      <c r="P11" s="1577"/>
    </row>
    <row r="12" spans="1:16" ht="15.75" customHeight="1" thickBot="1" x14ac:dyDescent="0.3">
      <c r="A12" s="1975"/>
      <c r="B12" s="818" t="s">
        <v>34</v>
      </c>
      <c r="C12" s="829">
        <v>8</v>
      </c>
      <c r="D12" s="752">
        <v>0</v>
      </c>
      <c r="E12" s="752">
        <v>0</v>
      </c>
      <c r="F12" s="197">
        <v>0</v>
      </c>
      <c r="G12" s="816">
        <f t="shared" si="0"/>
        <v>8</v>
      </c>
      <c r="H12" s="1291">
        <f>G12*20%</f>
        <v>1.6</v>
      </c>
      <c r="I12" s="1292">
        <f>G12*40%</f>
        <v>3.2</v>
      </c>
      <c r="J12" s="1293">
        <f>G12*40%</f>
        <v>3.2</v>
      </c>
      <c r="K12" s="1260"/>
      <c r="L12" s="1577"/>
      <c r="M12" s="1577"/>
      <c r="N12" s="1577"/>
      <c r="O12" s="1577"/>
      <c r="P12" s="1577"/>
    </row>
    <row r="13" spans="1:16" ht="15.75" x14ac:dyDescent="0.25">
      <c r="A13" s="1294" t="s">
        <v>1283</v>
      </c>
      <c r="B13" s="1295"/>
      <c r="C13" s="1296"/>
      <c r="D13" s="1297"/>
      <c r="E13" s="1581"/>
      <c r="F13" s="1299"/>
      <c r="G13" s="1581"/>
      <c r="H13" s="1285"/>
      <c r="I13" s="1286"/>
      <c r="J13" s="1287"/>
      <c r="K13" s="1288"/>
      <c r="L13" s="1577" t="s">
        <v>1242</v>
      </c>
      <c r="M13" s="1577" t="s">
        <v>1243</v>
      </c>
      <c r="N13" s="1577"/>
      <c r="O13" s="1577"/>
      <c r="P13" s="1577"/>
    </row>
    <row r="14" spans="1:16" ht="15" customHeight="1" x14ac:dyDescent="0.25">
      <c r="A14" s="2218" t="s">
        <v>1284</v>
      </c>
      <c r="B14" s="420" t="s">
        <v>32</v>
      </c>
      <c r="C14" s="647">
        <f>ROUND(400/60*$O$4,2)</f>
        <v>8</v>
      </c>
      <c r="D14" s="629">
        <f>ROUND(10/60*$O$4*$D$2,2)</f>
        <v>0.4</v>
      </c>
      <c r="E14" s="629">
        <f>IF($E$2=1, 0.5, 0)</f>
        <v>0</v>
      </c>
      <c r="F14" s="716">
        <f>IF($F$2=1,ROUND(10/60,2),0)</f>
        <v>0</v>
      </c>
      <c r="G14" s="807">
        <f xml:space="preserve"> SUM(C14:F14)</f>
        <v>8.4</v>
      </c>
      <c r="H14" s="647">
        <f>G14*70%</f>
        <v>5.88</v>
      </c>
      <c r="I14" s="813">
        <f>G14*20%</f>
        <v>1.6800000000000002</v>
      </c>
      <c r="J14" s="655">
        <f>G14*10%</f>
        <v>0.84000000000000008</v>
      </c>
      <c r="K14" s="103"/>
      <c r="L14" s="1577"/>
      <c r="M14" s="1577" t="e">
        <f>SUM(G4,G7,G10,G14,G17,G20,G23,G26,G29,G32,G35,G38,G41,#REF!,#REF!,G44,G47,G50,G53,G56,G59,G68,G74,G77,G83,#REF!,G86,G96,G100,G104,G108,G112,G116,G119,G123,#REF!,#REF!,#REF!,G127,G130,G133,G136,G139,G89,G92)</f>
        <v>#REF!</v>
      </c>
      <c r="N14" s="1577" t="e">
        <f>SUM(H4,H7,H10,H14,H17,H20,H23,H26,H29,H32,H35,H38,H41,#REF!,#REF!,H44,H47,H50,H53,H56,H59,H68,H74,H77,H83,#REF!,H86,H96,H100,H104,H108,H112,H116,H119,H123,#REF!,#REF!,#REF!,H127,H130,H133,H136,H139,H89,H92)</f>
        <v>#REF!</v>
      </c>
      <c r="O14" s="1577" t="e">
        <f>SUM(I4,I7,I10,I14,I17,I20,I23,I26,I29,I32,I35,I38,I41,#REF!,#REF!,I44,I47,I50,I53,I56,I59,I68,I74,I77,I83,#REF!,I86,I96,I100,I104,I108,I112,I116,I119,I123,#REF!,#REF!,#REF!,I127,I130,I133,I136,I139,I89,I92)</f>
        <v>#REF!</v>
      </c>
      <c r="P14" s="1577" t="e">
        <f>SUM(J4,J7,J10,J14,J17,J20,J23,J26,J29,J32,J35,J38,J41,#REF!,#REF!,J44,J47,J50,J53,J56,J59,J68,J74,J77,J83,#REF!,J86,J96,J100,J104,J108,J112,J116,J119,J123,#REF!,#REF!,#REF!,J127,J130,J133,J136,J140,J90,J139,J89,J92)</f>
        <v>#REF!</v>
      </c>
    </row>
    <row r="15" spans="1:16" ht="15" customHeight="1" x14ac:dyDescent="0.25">
      <c r="A15" s="2219"/>
      <c r="B15" s="198" t="s">
        <v>33</v>
      </c>
      <c r="C15" s="647">
        <f>ROUND(500/60*$O$5,2)</f>
        <v>12.5</v>
      </c>
      <c r="D15" s="629">
        <f>ROUND(10/60*$O$5*$D$2,2)</f>
        <v>0.5</v>
      </c>
      <c r="E15" s="629">
        <f>IF($E$2=1, 0.6, 0)</f>
        <v>0</v>
      </c>
      <c r="F15" s="716">
        <f>IF($F$2=1,ROUND(10/60,2),0)</f>
        <v>0</v>
      </c>
      <c r="G15" s="807">
        <f t="shared" ref="G15:G60" si="1" xml:space="preserve"> SUM(C15:F15)</f>
        <v>13</v>
      </c>
      <c r="H15" s="647">
        <f>G15*70%</f>
        <v>9.1</v>
      </c>
      <c r="I15" s="813">
        <f>G15*20%</f>
        <v>2.6</v>
      </c>
      <c r="J15" s="655">
        <f>G15*10%</f>
        <v>1.3</v>
      </c>
      <c r="K15" s="103"/>
      <c r="L15" s="1577">
        <f>(4+12)*8</f>
        <v>128</v>
      </c>
      <c r="M15" s="1577" t="e">
        <f>SUM(G5,G8,G11,G15,G18,G21,G24,G27,G30,G33,G36,G39,G42,#REF!,#REF!,G45,G48,G51,G54,G57,G60,G69,G75,G78,G84,#REF!,G87,G97,G101,G105,G109,G113,G117,G120,G124,#REF!,#REF!,#REF!,G128,G131,G134,G137,G140,G90,G93)</f>
        <v>#REF!</v>
      </c>
      <c r="N15" s="1577" t="e">
        <f>SUM(H5,H8,H11,H15,H18,H21,H24,H27,H30,H33,H36,H39,H42,#REF!,#REF!,H45,H48,H51,H54,H57,H60,H69,H75,H78,H84,#REF!,H87,H97,H101,H105,H109,H113,H117,H120,H124,#REF!,#REF!,#REF!,H128,H131,H134,H137,H140,H90,H93)</f>
        <v>#REF!</v>
      </c>
      <c r="O15" s="1577" t="e">
        <f>SUM(I5,I8,I11,I15,I18,I21,I24,I27,I30,I33,I36,I39,I42,#REF!,#REF!,I45,I48,I51,I54,I57,I60,I69,I75,I78,I84,#REF!,I87,I97,I101,I105,I109,I113,I117,I120,I124,#REF!,#REF!,#REF!,I128,I131,I134,I137,I140,I90,I93)</f>
        <v>#REF!</v>
      </c>
      <c r="P15" s="1577" t="e">
        <f>SUM(J5,J8,J11,J15,J18,J21,J24,J27,J30,J33,J36,J39,J42,#REF!,#REF!,J45,J48,J51,J54,J57,J60,J69,J75,J78,J84,#REF!,J87,J97,J101,J105,J109,J113,J117,J120,J124,#REF!,#REF!,#REF!,J128,J131,J134,J137,J140,J90,J93)</f>
        <v>#REF!</v>
      </c>
    </row>
    <row r="16" spans="1:16" ht="15" customHeight="1" x14ac:dyDescent="0.25">
      <c r="A16" s="2220"/>
      <c r="B16" s="198" t="s">
        <v>34</v>
      </c>
      <c r="C16" s="647">
        <f>ROUND(600/60*$O$6,2)</f>
        <v>17</v>
      </c>
      <c r="D16" s="629">
        <f>ROUND(10/60*$O$6*$D$2,2)</f>
        <v>0.56999999999999995</v>
      </c>
      <c r="E16" s="629">
        <f>IF($E$2=1, 1, 0)</f>
        <v>0</v>
      </c>
      <c r="F16" s="716">
        <f>IF($F$2=1,ROUND(10/60,2),0)</f>
        <v>0</v>
      </c>
      <c r="G16" s="807">
        <f t="shared" si="1"/>
        <v>17.57</v>
      </c>
      <c r="H16" s="647">
        <f>G16*60%</f>
        <v>10.542</v>
      </c>
      <c r="I16" s="813">
        <f>G16*30%</f>
        <v>5.2709999999999999</v>
      </c>
      <c r="J16" s="655">
        <f>G16*10%</f>
        <v>1.7570000000000001</v>
      </c>
      <c r="K16" s="103"/>
      <c r="L16" s="1577"/>
      <c r="M16" s="1577" t="e">
        <f>SUM(G6,G9,G12,G16,G19,G22,G25,G28,G31,G34,G37,G40,G43,#REF!,#REF!,G46,G49,G52,G55,G58,G61,G70,G76,G79,G85,#REF!,G88,G98,G102,G106,G110,G114,G118,G121,G125,#REF!,#REF!,#REF!,G129,G132,G135,G138,G141,G91,G94)</f>
        <v>#REF!</v>
      </c>
      <c r="N16" s="1577" t="e">
        <f>SUM(H6,H9,H12,H16,H19,H22,H25,H28,H31,H34,H37,H40,H43,#REF!,#REF!,H46,H49,H52,H55,H58,H61,H70,H76,H79,H85,#REF!,H88,H98,H102,H106,H110,H114,H118,H121,H125,#REF!,#REF!,#REF!,H129,H132,H135,H138,H141,H91,H94)</f>
        <v>#REF!</v>
      </c>
      <c r="O16" s="1577" t="e">
        <f>SUM(I6,I9,I12,I16,I19,I22,I25,I28,I31,I34,I37,I40,I43,#REF!,#REF!,I46,I49,I52,I55,I58,I61,I70,I76,I79,I85,#REF!,I88,I98,I102,I106,I110,I114,I118,I121,I125,#REF!,#REF!,#REF!,I129,I132,I135,I138,I141,I91,I94)</f>
        <v>#REF!</v>
      </c>
      <c r="P16" s="1577" t="e">
        <f>SUM(J6,J9,J12,J16,J19,J22,J25,J28,J31,J34,J37,J40,J43,#REF!,#REF!,J46,J49,J52,J55,J58,J61,J70,J76,J79,J85,#REF!,J88,J98,J102,J106,J110,J114,J118,J121,J125,#REF!,#REF!,#REF!,J129,J132,J135,J138,J141,J91,J94)</f>
        <v>#REF!</v>
      </c>
    </row>
    <row r="17" spans="1:16" ht="15" customHeight="1" x14ac:dyDescent="0.25">
      <c r="A17" s="2218" t="s">
        <v>1285</v>
      </c>
      <c r="B17" s="198" t="s">
        <v>32</v>
      </c>
      <c r="C17" s="647">
        <f>ROUND(1200/60*$O$4,2)</f>
        <v>24</v>
      </c>
      <c r="D17" s="814">
        <v>0</v>
      </c>
      <c r="E17" s="629">
        <f>IF($E$2=1, 0.5, 0)</f>
        <v>0</v>
      </c>
      <c r="F17" s="716">
        <f>IF($F$2=1,ROUND(10/60,2),0)</f>
        <v>0</v>
      </c>
      <c r="G17" s="807">
        <f t="shared" si="1"/>
        <v>24</v>
      </c>
      <c r="H17" s="647">
        <f>G17*70%</f>
        <v>16.799999999999997</v>
      </c>
      <c r="I17" s="813">
        <f t="shared" ref="I17:I25" si="2">G17*20%</f>
        <v>4.8000000000000007</v>
      </c>
      <c r="J17" s="655">
        <f>G17*10%</f>
        <v>2.4000000000000004</v>
      </c>
      <c r="K17" s="103"/>
      <c r="L17" s="1577"/>
      <c r="M17" s="1577"/>
      <c r="N17" s="1577"/>
      <c r="O17" s="1577"/>
      <c r="P17" s="1577"/>
    </row>
    <row r="18" spans="1:16" ht="15" customHeight="1" x14ac:dyDescent="0.25">
      <c r="A18" s="2219"/>
      <c r="B18" s="198" t="s">
        <v>33</v>
      </c>
      <c r="C18" s="647">
        <f>ROUND(1300/60*$O$5,2)</f>
        <v>32.5</v>
      </c>
      <c r="D18" s="814">
        <v>0</v>
      </c>
      <c r="E18" s="629">
        <f>IF($E$2=1, 0.6, 0)</f>
        <v>0</v>
      </c>
      <c r="F18" s="716">
        <f t="shared" ref="F18:F43" si="3">IF($F$2=1,ROUND(10/60,2),0)</f>
        <v>0</v>
      </c>
      <c r="G18" s="807">
        <f t="shared" si="1"/>
        <v>32.5</v>
      </c>
      <c r="H18" s="647">
        <f>G18*70%</f>
        <v>22.75</v>
      </c>
      <c r="I18" s="813">
        <f t="shared" si="2"/>
        <v>6.5</v>
      </c>
      <c r="J18" s="655">
        <f>G18*10%</f>
        <v>3.25</v>
      </c>
      <c r="K18" s="103"/>
      <c r="L18" s="1577"/>
      <c r="M18" s="1577"/>
      <c r="N18" s="1577"/>
      <c r="O18" s="1577"/>
      <c r="P18" s="1577"/>
    </row>
    <row r="19" spans="1:16" ht="15" customHeight="1" x14ac:dyDescent="0.25">
      <c r="A19" s="2220"/>
      <c r="B19" s="198" t="s">
        <v>34</v>
      </c>
      <c r="C19" s="647">
        <f>ROUND(1400/60*$O$6,2)</f>
        <v>39.67</v>
      </c>
      <c r="D19" s="814">
        <v>0</v>
      </c>
      <c r="E19" s="629">
        <f>IF($E$2=1, 1, 0)</f>
        <v>0</v>
      </c>
      <c r="F19" s="716">
        <f t="shared" si="3"/>
        <v>0</v>
      </c>
      <c r="G19" s="807">
        <f t="shared" si="1"/>
        <v>39.67</v>
      </c>
      <c r="H19" s="647">
        <f>G19*60%</f>
        <v>23.802</v>
      </c>
      <c r="I19" s="813">
        <f t="shared" si="2"/>
        <v>7.9340000000000011</v>
      </c>
      <c r="J19" s="655">
        <f>G19*20%</f>
        <v>7.9340000000000011</v>
      </c>
      <c r="K19" s="103"/>
      <c r="L19" s="1577"/>
      <c r="M19" s="1577"/>
      <c r="N19" s="1577"/>
      <c r="O19" s="1577"/>
      <c r="P19" s="1577"/>
    </row>
    <row r="20" spans="1:16" ht="15" customHeight="1" x14ac:dyDescent="0.25">
      <c r="A20" s="2221" t="s">
        <v>1286</v>
      </c>
      <c r="B20" s="103" t="s">
        <v>32</v>
      </c>
      <c r="C20" s="647">
        <f>ROUND(120/60*$O$4,2)</f>
        <v>2.4</v>
      </c>
      <c r="D20" s="814">
        <v>0</v>
      </c>
      <c r="E20" s="629">
        <f>IF($E$2=1, 0.5, 0)</f>
        <v>0</v>
      </c>
      <c r="F20" s="716">
        <f t="shared" si="3"/>
        <v>0</v>
      </c>
      <c r="G20" s="619">
        <f xml:space="preserve"> SUM(C20:F20)</f>
        <v>2.4</v>
      </c>
      <c r="H20" s="647">
        <f>G20*80%</f>
        <v>1.92</v>
      </c>
      <c r="I20" s="813">
        <f>G20*10%</f>
        <v>0.24</v>
      </c>
      <c r="J20" s="655">
        <f>G20*10%</f>
        <v>0.24</v>
      </c>
      <c r="K20" s="817"/>
      <c r="L20" s="1577"/>
      <c r="M20" s="1577"/>
      <c r="N20" s="1577"/>
      <c r="O20" s="1577"/>
      <c r="P20" s="1577"/>
    </row>
    <row r="21" spans="1:16" ht="15" customHeight="1" x14ac:dyDescent="0.25">
      <c r="A21" s="2222"/>
      <c r="B21" s="103" t="s">
        <v>33</v>
      </c>
      <c r="C21" s="647">
        <f>ROUND(140/60*$O$5,2)</f>
        <v>3.5</v>
      </c>
      <c r="D21" s="814">
        <v>0</v>
      </c>
      <c r="E21" s="629">
        <f>IF($E$2=1, 0.6, 0)</f>
        <v>0</v>
      </c>
      <c r="F21" s="716">
        <f t="shared" si="3"/>
        <v>0</v>
      </c>
      <c r="G21" s="619">
        <f xml:space="preserve"> SUM(C21:F21)</f>
        <v>3.5</v>
      </c>
      <c r="H21" s="647">
        <f>G21*70%</f>
        <v>2.4499999999999997</v>
      </c>
      <c r="I21" s="813">
        <f>G21*20%</f>
        <v>0.70000000000000007</v>
      </c>
      <c r="J21" s="655">
        <f>G21*10%</f>
        <v>0.35000000000000003</v>
      </c>
      <c r="K21" s="817"/>
      <c r="L21" s="1577"/>
      <c r="M21" s="1577"/>
      <c r="N21" s="1577"/>
      <c r="O21" s="1577"/>
      <c r="P21" s="1577"/>
    </row>
    <row r="22" spans="1:16" ht="15" customHeight="1" x14ac:dyDescent="0.25">
      <c r="A22" s="2222"/>
      <c r="B22" s="103" t="s">
        <v>34</v>
      </c>
      <c r="C22" s="647">
        <f>ROUND(150/60*$O$6,2)</f>
        <v>4.25</v>
      </c>
      <c r="D22" s="814">
        <v>0</v>
      </c>
      <c r="E22" s="629">
        <f>IF($E$2=1, 1, 0)</f>
        <v>0</v>
      </c>
      <c r="F22" s="716">
        <f t="shared" si="3"/>
        <v>0</v>
      </c>
      <c r="G22" s="619">
        <f xml:space="preserve"> SUM(C22:F22)</f>
        <v>4.25</v>
      </c>
      <c r="H22" s="647">
        <f>G22*70%</f>
        <v>2.9749999999999996</v>
      </c>
      <c r="I22" s="813">
        <f>G22*20%</f>
        <v>0.85000000000000009</v>
      </c>
      <c r="J22" s="655">
        <f>G22*10%</f>
        <v>0.42500000000000004</v>
      </c>
      <c r="K22" s="817"/>
      <c r="L22" s="1577"/>
      <c r="M22" s="1577"/>
      <c r="N22" s="1577"/>
      <c r="O22" s="1577"/>
      <c r="P22" s="1577"/>
    </row>
    <row r="23" spans="1:16" ht="15" customHeight="1" x14ac:dyDescent="0.25">
      <c r="A23" s="2204" t="s">
        <v>1287</v>
      </c>
      <c r="B23" s="198" t="s">
        <v>32</v>
      </c>
      <c r="C23" s="647">
        <f>ROUND(20/60*$O$4,2)</f>
        <v>0.4</v>
      </c>
      <c r="D23" s="814">
        <v>0</v>
      </c>
      <c r="E23" s="636"/>
      <c r="F23" s="716">
        <f t="shared" ref="F23:F28" si="4">IF($F$2=1,ROUND(8/60,2),0)</f>
        <v>0</v>
      </c>
      <c r="G23" s="807">
        <f t="shared" si="1"/>
        <v>0.4</v>
      </c>
      <c r="H23" s="647">
        <f>G23*80%</f>
        <v>0.32000000000000006</v>
      </c>
      <c r="I23" s="813">
        <f t="shared" si="2"/>
        <v>8.0000000000000016E-2</v>
      </c>
      <c r="J23" s="655">
        <v>0</v>
      </c>
      <c r="K23" s="103"/>
      <c r="L23" s="1577"/>
      <c r="M23" s="1577"/>
      <c r="N23" s="1577"/>
      <c r="O23" s="1577"/>
      <c r="P23" s="1577"/>
    </row>
    <row r="24" spans="1:16" ht="15" customHeight="1" x14ac:dyDescent="0.25">
      <c r="A24" s="2204"/>
      <c r="B24" s="198" t="s">
        <v>33</v>
      </c>
      <c r="C24" s="647">
        <f>ROUND(30/60*$O$5,2)</f>
        <v>0.75</v>
      </c>
      <c r="D24" s="814">
        <v>0</v>
      </c>
      <c r="E24" s="636"/>
      <c r="F24" s="716">
        <f t="shared" si="4"/>
        <v>0</v>
      </c>
      <c r="G24" s="807">
        <f t="shared" si="1"/>
        <v>0.75</v>
      </c>
      <c r="H24" s="647">
        <f>G24*80%</f>
        <v>0.60000000000000009</v>
      </c>
      <c r="I24" s="813">
        <f t="shared" si="2"/>
        <v>0.15000000000000002</v>
      </c>
      <c r="J24" s="655">
        <v>0</v>
      </c>
      <c r="K24" s="103"/>
      <c r="L24" s="1577"/>
      <c r="M24" s="1577"/>
      <c r="N24" s="1577"/>
      <c r="O24" s="1577"/>
      <c r="P24" s="1577"/>
    </row>
    <row r="25" spans="1:16" ht="15" customHeight="1" x14ac:dyDescent="0.25">
      <c r="A25" s="2204"/>
      <c r="B25" s="198" t="s">
        <v>34</v>
      </c>
      <c r="C25" s="647">
        <f>ROUND(40/60*$O$6,2)</f>
        <v>1.1299999999999999</v>
      </c>
      <c r="D25" s="814">
        <v>0</v>
      </c>
      <c r="E25" s="636"/>
      <c r="F25" s="716">
        <f t="shared" si="4"/>
        <v>0</v>
      </c>
      <c r="G25" s="807">
        <f t="shared" si="1"/>
        <v>1.1299999999999999</v>
      </c>
      <c r="H25" s="647">
        <f>G25*80%</f>
        <v>0.90399999999999991</v>
      </c>
      <c r="I25" s="813">
        <f t="shared" si="2"/>
        <v>0.22599999999999998</v>
      </c>
      <c r="J25" s="655">
        <v>0</v>
      </c>
      <c r="K25" s="103"/>
      <c r="L25" s="1577"/>
      <c r="M25" s="1577"/>
      <c r="N25" s="1577"/>
      <c r="O25" s="1577"/>
      <c r="P25" s="1577"/>
    </row>
    <row r="26" spans="1:16" ht="15" customHeight="1" x14ac:dyDescent="0.25">
      <c r="A26" s="2204" t="s">
        <v>1288</v>
      </c>
      <c r="B26" s="198" t="s">
        <v>32</v>
      </c>
      <c r="C26" s="647">
        <f>ROUND(120/60*$O$4,2)</f>
        <v>2.4</v>
      </c>
      <c r="D26" s="629">
        <f>ROUND(20/60*$O$4*$D$2,2)</f>
        <v>0.8</v>
      </c>
      <c r="E26" s="629">
        <f>IF($E$2=1, 0.5, 0)</f>
        <v>0</v>
      </c>
      <c r="F26" s="716">
        <f t="shared" si="4"/>
        <v>0</v>
      </c>
      <c r="G26" s="807">
        <f t="shared" si="1"/>
        <v>3.2</v>
      </c>
      <c r="H26" s="647">
        <f>G26*80%</f>
        <v>2.5600000000000005</v>
      </c>
      <c r="I26" s="813">
        <f>G26*10%</f>
        <v>0.32000000000000006</v>
      </c>
      <c r="J26" s="655">
        <f>G26*10%</f>
        <v>0.32000000000000006</v>
      </c>
      <c r="K26" s="103"/>
      <c r="L26" s="1577"/>
      <c r="M26" s="1577"/>
      <c r="N26" s="1577"/>
      <c r="O26" s="1577"/>
      <c r="P26" s="1577"/>
    </row>
    <row r="27" spans="1:16" ht="15" customHeight="1" x14ac:dyDescent="0.25">
      <c r="A27" s="2204"/>
      <c r="B27" s="198" t="s">
        <v>33</v>
      </c>
      <c r="C27" s="647">
        <f>ROUND(130/60*$O$5,2)</f>
        <v>3.25</v>
      </c>
      <c r="D27" s="629">
        <f>ROUND(20/60*$O$5*$D$2,2)</f>
        <v>1</v>
      </c>
      <c r="E27" s="629">
        <f>IF($E$2=1, 0.6, 0)</f>
        <v>0</v>
      </c>
      <c r="F27" s="716">
        <f t="shared" si="4"/>
        <v>0</v>
      </c>
      <c r="G27" s="807">
        <f t="shared" si="1"/>
        <v>4.25</v>
      </c>
      <c r="H27" s="647">
        <f>G27*80%</f>
        <v>3.4000000000000004</v>
      </c>
      <c r="I27" s="813">
        <f>G27*10%</f>
        <v>0.42500000000000004</v>
      </c>
      <c r="J27" s="655">
        <f>G27*10%</f>
        <v>0.42500000000000004</v>
      </c>
      <c r="K27" s="103"/>
      <c r="L27" s="1577"/>
      <c r="M27" s="1577"/>
      <c r="N27" s="1577"/>
      <c r="O27" s="1577"/>
      <c r="P27" s="1577"/>
    </row>
    <row r="28" spans="1:16" ht="15" customHeight="1" x14ac:dyDescent="0.25">
      <c r="A28" s="2204"/>
      <c r="B28" s="198" t="s">
        <v>34</v>
      </c>
      <c r="C28" s="647">
        <f>ROUND(140/60*$O$6,2)</f>
        <v>3.97</v>
      </c>
      <c r="D28" s="629">
        <f>ROUND(20/60*$O$6*$D$2,2)</f>
        <v>1.1299999999999999</v>
      </c>
      <c r="E28" s="629">
        <f>IF($E$2=1, 1, 0)</f>
        <v>0</v>
      </c>
      <c r="F28" s="716">
        <f t="shared" si="4"/>
        <v>0</v>
      </c>
      <c r="G28" s="807">
        <f t="shared" si="1"/>
        <v>5.0999999999999996</v>
      </c>
      <c r="H28" s="647">
        <f>G28*70%</f>
        <v>3.5699999999999994</v>
      </c>
      <c r="I28" s="813">
        <f>G28*20%</f>
        <v>1.02</v>
      </c>
      <c r="J28" s="655">
        <f>G28*10%</f>
        <v>0.51</v>
      </c>
      <c r="K28" s="103"/>
      <c r="L28" s="1577"/>
      <c r="M28" s="1577"/>
      <c r="N28" s="1577"/>
      <c r="O28" s="1577"/>
      <c r="P28" s="1577"/>
    </row>
    <row r="29" spans="1:16" ht="15" customHeight="1" x14ac:dyDescent="0.25">
      <c r="A29" s="2204" t="s">
        <v>1289</v>
      </c>
      <c r="B29" s="198" t="s">
        <v>32</v>
      </c>
      <c r="C29" s="647">
        <f>ROUND(120/60*$O$4,2)</f>
        <v>2.4</v>
      </c>
      <c r="D29" s="814">
        <v>0</v>
      </c>
      <c r="E29" s="629">
        <f>IF($E$2=1, 0.5, 0)</f>
        <v>0</v>
      </c>
      <c r="F29" s="716">
        <f t="shared" si="3"/>
        <v>0</v>
      </c>
      <c r="G29" s="807">
        <f t="shared" si="1"/>
        <v>2.4</v>
      </c>
      <c r="H29" s="647">
        <f>G29*70%</f>
        <v>1.68</v>
      </c>
      <c r="I29" s="813">
        <f>G29*20%</f>
        <v>0.48</v>
      </c>
      <c r="J29" s="655">
        <f>G29*10%</f>
        <v>0.24</v>
      </c>
      <c r="K29" s="103"/>
      <c r="L29" s="1577"/>
      <c r="M29" s="1577"/>
      <c r="N29" s="1577"/>
      <c r="O29" s="1577"/>
      <c r="P29" s="1577"/>
    </row>
    <row r="30" spans="1:16" ht="15" customHeight="1" x14ac:dyDescent="0.25">
      <c r="A30" s="2204"/>
      <c r="B30" s="198" t="s">
        <v>33</v>
      </c>
      <c r="C30" s="647">
        <f>ROUND(140/60*$O$5,2)</f>
        <v>3.5</v>
      </c>
      <c r="D30" s="814">
        <v>0</v>
      </c>
      <c r="E30" s="629">
        <f>IF($E$2=1, 0.6, 0)</f>
        <v>0</v>
      </c>
      <c r="F30" s="716">
        <f t="shared" si="3"/>
        <v>0</v>
      </c>
      <c r="G30" s="807">
        <f t="shared" si="1"/>
        <v>3.5</v>
      </c>
      <c r="H30" s="647">
        <f>G30*60%</f>
        <v>2.1</v>
      </c>
      <c r="I30" s="813">
        <f>G30*30%</f>
        <v>1.05</v>
      </c>
      <c r="J30" s="655">
        <f>G30*10%</f>
        <v>0.35000000000000003</v>
      </c>
      <c r="K30" s="103"/>
      <c r="L30" s="1577"/>
      <c r="M30" s="1577"/>
      <c r="N30" s="1577"/>
      <c r="O30" s="1577"/>
      <c r="P30" s="1577"/>
    </row>
    <row r="31" spans="1:16" ht="15" customHeight="1" x14ac:dyDescent="0.25">
      <c r="A31" s="2204"/>
      <c r="B31" s="198" t="s">
        <v>34</v>
      </c>
      <c r="C31" s="647">
        <f>ROUND(160/60*$O$6,2)</f>
        <v>4.53</v>
      </c>
      <c r="D31" s="814">
        <v>0</v>
      </c>
      <c r="E31" s="629">
        <f>IF($E$2=1, 1, 0)</f>
        <v>0</v>
      </c>
      <c r="F31" s="716">
        <f t="shared" si="3"/>
        <v>0</v>
      </c>
      <c r="G31" s="807">
        <f t="shared" si="1"/>
        <v>4.53</v>
      </c>
      <c r="H31" s="647">
        <f>G31*50%</f>
        <v>2.2650000000000001</v>
      </c>
      <c r="I31" s="813">
        <f>G31*30%</f>
        <v>1.359</v>
      </c>
      <c r="J31" s="655">
        <f>G31*20%</f>
        <v>0.90600000000000014</v>
      </c>
      <c r="K31" s="103"/>
      <c r="L31" s="1577"/>
      <c r="M31" s="1577"/>
      <c r="N31" s="1577"/>
      <c r="O31" s="1577"/>
      <c r="P31" s="1577"/>
    </row>
    <row r="32" spans="1:16" ht="15" customHeight="1" x14ac:dyDescent="0.25">
      <c r="A32" s="2204" t="s">
        <v>1290</v>
      </c>
      <c r="B32" s="198" t="s">
        <v>32</v>
      </c>
      <c r="C32" s="647">
        <f>ROUND(30/60*$O$4,2)</f>
        <v>0.6</v>
      </c>
      <c r="D32" s="629">
        <f>ROUND(20/60*$O$4*$D$2,2)</f>
        <v>0.8</v>
      </c>
      <c r="E32" s="629">
        <f>IF($E$2=1, 0.5, 0)</f>
        <v>0</v>
      </c>
      <c r="F32" s="716">
        <f t="shared" si="3"/>
        <v>0</v>
      </c>
      <c r="G32" s="807">
        <f t="shared" si="1"/>
        <v>1.4</v>
      </c>
      <c r="H32" s="647">
        <f>G32*70%</f>
        <v>0.97999999999999987</v>
      </c>
      <c r="I32" s="813">
        <f>G32*20%</f>
        <v>0.27999999999999997</v>
      </c>
      <c r="J32" s="655">
        <f>G32*10%</f>
        <v>0.13999999999999999</v>
      </c>
      <c r="K32" s="103"/>
      <c r="L32" s="1577"/>
      <c r="M32" s="1577"/>
      <c r="N32" s="1577"/>
      <c r="O32" s="1577"/>
      <c r="P32" s="1577"/>
    </row>
    <row r="33" spans="1:16" ht="15" customHeight="1" x14ac:dyDescent="0.25">
      <c r="A33" s="2204"/>
      <c r="B33" s="198" t="s">
        <v>33</v>
      </c>
      <c r="C33" s="647">
        <f>ROUND(50/60*$O$5,2)</f>
        <v>1.25</v>
      </c>
      <c r="D33" s="629">
        <f>ROUND(25/60*$O$5*$D$2,2)</f>
        <v>1.25</v>
      </c>
      <c r="E33" s="629">
        <f>IF($E$2=1, 0.6, 0)</f>
        <v>0</v>
      </c>
      <c r="F33" s="716">
        <f t="shared" si="3"/>
        <v>0</v>
      </c>
      <c r="G33" s="807">
        <f t="shared" si="1"/>
        <v>2.5</v>
      </c>
      <c r="H33" s="647">
        <f>G33*60%</f>
        <v>1.5</v>
      </c>
      <c r="I33" s="813">
        <f>G33*30%</f>
        <v>0.75</v>
      </c>
      <c r="J33" s="655">
        <f>G33*10%</f>
        <v>0.25</v>
      </c>
      <c r="K33" s="103"/>
      <c r="L33" s="1577"/>
      <c r="M33" s="1577"/>
      <c r="N33" s="1577"/>
      <c r="O33" s="1577"/>
      <c r="P33" s="1577"/>
    </row>
    <row r="34" spans="1:16" ht="15" customHeight="1" x14ac:dyDescent="0.25">
      <c r="A34" s="2204"/>
      <c r="B34" s="198" t="s">
        <v>34</v>
      </c>
      <c r="C34" s="647">
        <f>ROUND(60/60*$O$6,2)</f>
        <v>1.7</v>
      </c>
      <c r="D34" s="629">
        <f>ROUND(30/60*$O$6*$D$2,2)</f>
        <v>1.7</v>
      </c>
      <c r="E34" s="629">
        <f>IF($E$2=1, 1, 0)</f>
        <v>0</v>
      </c>
      <c r="F34" s="716">
        <f t="shared" si="3"/>
        <v>0</v>
      </c>
      <c r="G34" s="807">
        <f t="shared" si="1"/>
        <v>3.4</v>
      </c>
      <c r="H34" s="647">
        <f>G34*50%</f>
        <v>1.7</v>
      </c>
      <c r="I34" s="813">
        <f>G34*30%</f>
        <v>1.02</v>
      </c>
      <c r="J34" s="655">
        <f>G34*20%</f>
        <v>0.68</v>
      </c>
      <c r="K34" s="103"/>
      <c r="L34" s="1577"/>
      <c r="M34" s="1577"/>
      <c r="N34" s="1577"/>
      <c r="O34" s="1577"/>
      <c r="P34" s="1577"/>
    </row>
    <row r="35" spans="1:16" ht="15" customHeight="1" x14ac:dyDescent="0.25">
      <c r="A35" s="2223" t="s">
        <v>1573</v>
      </c>
      <c r="B35" s="198" t="s">
        <v>32</v>
      </c>
      <c r="C35" s="647">
        <f>ROUND(20/60*$O$4,2)</f>
        <v>0.4</v>
      </c>
      <c r="D35" s="814">
        <v>0</v>
      </c>
      <c r="E35" s="636"/>
      <c r="F35" s="716">
        <f t="shared" ref="F35:F40" si="5">IF($F$2=1,ROUND(6/60,2),0)</f>
        <v>0</v>
      </c>
      <c r="G35" s="807">
        <f t="shared" si="1"/>
        <v>0.4</v>
      </c>
      <c r="H35" s="647">
        <f>G35*80%</f>
        <v>0.32000000000000006</v>
      </c>
      <c r="I35" s="813">
        <f>G35*10%</f>
        <v>4.0000000000000008E-2</v>
      </c>
      <c r="J35" s="655">
        <f t="shared" ref="J35:J43" si="6">G35*10%</f>
        <v>4.0000000000000008E-2</v>
      </c>
      <c r="K35" s="103"/>
      <c r="L35" s="1577"/>
      <c r="M35" s="1577"/>
      <c r="N35" s="1577"/>
      <c r="O35" s="1577"/>
      <c r="P35" s="1577"/>
    </row>
    <row r="36" spans="1:16" ht="15" customHeight="1" x14ac:dyDescent="0.25">
      <c r="A36" s="2223"/>
      <c r="B36" s="198" t="s">
        <v>33</v>
      </c>
      <c r="C36" s="647">
        <f>ROUND(30/60*$O$5,2)</f>
        <v>0.75</v>
      </c>
      <c r="D36" s="814">
        <v>0</v>
      </c>
      <c r="E36" s="636"/>
      <c r="F36" s="716">
        <f t="shared" si="5"/>
        <v>0</v>
      </c>
      <c r="G36" s="807">
        <f t="shared" si="1"/>
        <v>0.75</v>
      </c>
      <c r="H36" s="647">
        <f>G36*80%</f>
        <v>0.60000000000000009</v>
      </c>
      <c r="I36" s="813">
        <f>G36*10%</f>
        <v>7.5000000000000011E-2</v>
      </c>
      <c r="J36" s="655">
        <f t="shared" si="6"/>
        <v>7.5000000000000011E-2</v>
      </c>
      <c r="K36" s="103"/>
      <c r="L36" s="1577"/>
      <c r="M36" s="1577"/>
      <c r="N36" s="1577"/>
      <c r="O36" s="1577"/>
      <c r="P36" s="1577"/>
    </row>
    <row r="37" spans="1:16" ht="15" customHeight="1" x14ac:dyDescent="0.25">
      <c r="A37" s="2224"/>
      <c r="B37" s="220" t="s">
        <v>34</v>
      </c>
      <c r="C37" s="647">
        <f>ROUND(40/60*$O$6,2)</f>
        <v>1.1299999999999999</v>
      </c>
      <c r="D37" s="814">
        <v>0</v>
      </c>
      <c r="E37" s="636"/>
      <c r="F37" s="716">
        <f t="shared" si="5"/>
        <v>0</v>
      </c>
      <c r="G37" s="807">
        <f t="shared" si="1"/>
        <v>1.1299999999999999</v>
      </c>
      <c r="H37" s="647">
        <f>G37*80%</f>
        <v>0.90399999999999991</v>
      </c>
      <c r="I37" s="813">
        <f>G37*10%</f>
        <v>0.11299999999999999</v>
      </c>
      <c r="J37" s="655">
        <f t="shared" si="6"/>
        <v>0.11299999999999999</v>
      </c>
      <c r="K37" s="103"/>
      <c r="L37" s="1577"/>
      <c r="M37" s="1577"/>
      <c r="N37" s="1577"/>
      <c r="O37" s="1577"/>
      <c r="P37" s="1577"/>
    </row>
    <row r="38" spans="1:16" ht="15" customHeight="1" x14ac:dyDescent="0.25">
      <c r="A38" s="2204" t="s">
        <v>1291</v>
      </c>
      <c r="B38" s="198" t="s">
        <v>32</v>
      </c>
      <c r="C38" s="647">
        <f>ROUND(40/60*$O$4,2)</f>
        <v>0.8</v>
      </c>
      <c r="D38" s="629">
        <f>ROUND(10/60*$O$4*$D$2,2)</f>
        <v>0.4</v>
      </c>
      <c r="E38" s="636"/>
      <c r="F38" s="716">
        <f t="shared" si="5"/>
        <v>0</v>
      </c>
      <c r="G38" s="807">
        <f t="shared" si="1"/>
        <v>1.2000000000000002</v>
      </c>
      <c r="H38" s="647">
        <f>G38*80%</f>
        <v>0.96000000000000019</v>
      </c>
      <c r="I38" s="813">
        <f>G38*10%</f>
        <v>0.12000000000000002</v>
      </c>
      <c r="J38" s="655">
        <f t="shared" si="6"/>
        <v>0.12000000000000002</v>
      </c>
      <c r="K38" s="103"/>
      <c r="L38" s="1577"/>
      <c r="M38" s="1577"/>
      <c r="N38" s="1577"/>
      <c r="O38" s="1577"/>
      <c r="P38" s="1577"/>
    </row>
    <row r="39" spans="1:16" ht="15" customHeight="1" x14ac:dyDescent="0.25">
      <c r="A39" s="2204"/>
      <c r="B39" s="198" t="s">
        <v>33</v>
      </c>
      <c r="C39" s="647">
        <f>ROUND(50/60*$O$5,2)</f>
        <v>1.25</v>
      </c>
      <c r="D39" s="629">
        <f>ROUND(15/60*$O$5*$D$2,2)</f>
        <v>0.75</v>
      </c>
      <c r="E39" s="636"/>
      <c r="F39" s="716">
        <f t="shared" si="5"/>
        <v>0</v>
      </c>
      <c r="G39" s="807">
        <f t="shared" si="1"/>
        <v>2</v>
      </c>
      <c r="H39" s="647">
        <f>G39*80%</f>
        <v>1.6</v>
      </c>
      <c r="I39" s="813">
        <f>G39*10%</f>
        <v>0.2</v>
      </c>
      <c r="J39" s="655">
        <f t="shared" si="6"/>
        <v>0.2</v>
      </c>
      <c r="K39" s="103"/>
      <c r="L39" s="1577"/>
      <c r="M39" s="1577"/>
      <c r="N39" s="1577"/>
      <c r="O39" s="1577"/>
      <c r="P39" s="1577"/>
    </row>
    <row r="40" spans="1:16" ht="15" customHeight="1" x14ac:dyDescent="0.25">
      <c r="A40" s="2216"/>
      <c r="B40" s="220" t="s">
        <v>34</v>
      </c>
      <c r="C40" s="647">
        <f>ROUND(60/60*$O$6,2)</f>
        <v>1.7</v>
      </c>
      <c r="D40" s="629">
        <f>ROUND(20/60*$O$6*$D$2,2)</f>
        <v>1.1299999999999999</v>
      </c>
      <c r="E40" s="636"/>
      <c r="F40" s="716">
        <f t="shared" si="5"/>
        <v>0</v>
      </c>
      <c r="G40" s="807">
        <f t="shared" si="1"/>
        <v>2.83</v>
      </c>
      <c r="H40" s="647">
        <f>G40*70%</f>
        <v>1.9809999999999999</v>
      </c>
      <c r="I40" s="813">
        <f>G40*20%</f>
        <v>0.56600000000000006</v>
      </c>
      <c r="J40" s="655">
        <f t="shared" si="6"/>
        <v>0.28300000000000003</v>
      </c>
      <c r="K40" s="103"/>
      <c r="L40" s="1577"/>
      <c r="M40" s="1577"/>
      <c r="N40" s="1577"/>
      <c r="O40" s="1577"/>
      <c r="P40" s="1577"/>
    </row>
    <row r="41" spans="1:16" ht="15" customHeight="1" x14ac:dyDescent="0.25">
      <c r="A41" s="2204" t="s">
        <v>1292</v>
      </c>
      <c r="B41" s="198" t="s">
        <v>32</v>
      </c>
      <c r="C41" s="647">
        <f>ROUND(30/60*$O$4,2)</f>
        <v>0.6</v>
      </c>
      <c r="D41" s="814">
        <v>0</v>
      </c>
      <c r="E41" s="629">
        <f>IF($E$2=1, 0.5, 0)</f>
        <v>0</v>
      </c>
      <c r="F41" s="716">
        <f t="shared" si="3"/>
        <v>0</v>
      </c>
      <c r="G41" s="807">
        <f t="shared" si="1"/>
        <v>0.6</v>
      </c>
      <c r="H41" s="647">
        <f>G41*70%</f>
        <v>0.42</v>
      </c>
      <c r="I41" s="813">
        <f>G41*20%</f>
        <v>0.12</v>
      </c>
      <c r="J41" s="655">
        <f t="shared" si="6"/>
        <v>0.06</v>
      </c>
      <c r="K41" s="103"/>
      <c r="L41" s="1577"/>
      <c r="M41" s="1577"/>
      <c r="N41" s="1577"/>
      <c r="O41" s="1577"/>
      <c r="P41" s="1577"/>
    </row>
    <row r="42" spans="1:16" ht="15" customHeight="1" x14ac:dyDescent="0.25">
      <c r="A42" s="2204"/>
      <c r="B42" s="198" t="s">
        <v>33</v>
      </c>
      <c r="C42" s="647">
        <f>ROUND(40/60*$O$5,2)</f>
        <v>1</v>
      </c>
      <c r="D42" s="814">
        <v>0</v>
      </c>
      <c r="E42" s="629">
        <f>IF($E$2=1, 0.6, 0)</f>
        <v>0</v>
      </c>
      <c r="F42" s="716">
        <f t="shared" si="3"/>
        <v>0</v>
      </c>
      <c r="G42" s="807">
        <f t="shared" si="1"/>
        <v>1</v>
      </c>
      <c r="H42" s="647">
        <f>G42*70%</f>
        <v>0.7</v>
      </c>
      <c r="I42" s="813">
        <f>G42*20%</f>
        <v>0.2</v>
      </c>
      <c r="J42" s="655">
        <f t="shared" si="6"/>
        <v>0.1</v>
      </c>
      <c r="K42" s="103"/>
      <c r="L42" s="1577"/>
      <c r="M42" s="1577"/>
      <c r="N42" s="1577"/>
      <c r="O42" s="1577"/>
      <c r="P42" s="1577"/>
    </row>
    <row r="43" spans="1:16" ht="15" customHeight="1" x14ac:dyDescent="0.25">
      <c r="A43" s="2216"/>
      <c r="B43" s="220" t="s">
        <v>34</v>
      </c>
      <c r="C43" s="647">
        <f>ROUND(60/60*$O$6,2)</f>
        <v>1.7</v>
      </c>
      <c r="D43" s="814">
        <v>0</v>
      </c>
      <c r="E43" s="629">
        <f>IF($E$2=1, 1, 0)</f>
        <v>0</v>
      </c>
      <c r="F43" s="716">
        <f t="shared" si="3"/>
        <v>0</v>
      </c>
      <c r="G43" s="807">
        <f t="shared" si="1"/>
        <v>1.7</v>
      </c>
      <c r="H43" s="647">
        <f>G43*60%</f>
        <v>1.02</v>
      </c>
      <c r="I43" s="813">
        <f>G43*30%</f>
        <v>0.51</v>
      </c>
      <c r="J43" s="655">
        <f t="shared" si="6"/>
        <v>0.17</v>
      </c>
      <c r="K43" s="103"/>
      <c r="L43" s="1577"/>
      <c r="M43" s="1577"/>
      <c r="N43" s="1577"/>
      <c r="O43" s="1577"/>
      <c r="P43" s="1577"/>
    </row>
    <row r="44" spans="1:16" ht="15" customHeight="1" x14ac:dyDescent="0.25">
      <c r="A44" s="2223" t="s">
        <v>1574</v>
      </c>
      <c r="B44" s="198" t="s">
        <v>32</v>
      </c>
      <c r="C44" s="647">
        <f>ROUND(10/60*$O$4,2)</f>
        <v>0.2</v>
      </c>
      <c r="D44" s="814">
        <v>0</v>
      </c>
      <c r="E44" s="629">
        <f>IF($E$2=1, 0.5, 0)</f>
        <v>0</v>
      </c>
      <c r="F44" s="716">
        <f t="shared" ref="F44:F55" si="7">IF($F$2=1,ROUND(6/60,2),0)</f>
        <v>0</v>
      </c>
      <c r="G44" s="807">
        <f t="shared" si="1"/>
        <v>0.2</v>
      </c>
      <c r="H44" s="647">
        <f>G44*80%</f>
        <v>0.16000000000000003</v>
      </c>
      <c r="I44" s="813">
        <f>G44*20%</f>
        <v>4.0000000000000008E-2</v>
      </c>
      <c r="J44" s="655">
        <f>G44*10%</f>
        <v>2.0000000000000004E-2</v>
      </c>
      <c r="K44" s="103"/>
      <c r="L44" s="1577"/>
      <c r="M44" s="1577"/>
      <c r="N44" s="1577"/>
      <c r="O44" s="1577"/>
      <c r="P44" s="1577"/>
    </row>
    <row r="45" spans="1:16" ht="15" customHeight="1" x14ac:dyDescent="0.25">
      <c r="A45" s="2223"/>
      <c r="B45" s="198" t="s">
        <v>33</v>
      </c>
      <c r="C45" s="647">
        <f>ROUND(15/60*$O$5,2)</f>
        <v>0.38</v>
      </c>
      <c r="D45" s="814">
        <v>0</v>
      </c>
      <c r="E45" s="629">
        <f>IF($E$2=1, 0.6, 0)</f>
        <v>0</v>
      </c>
      <c r="F45" s="716">
        <f t="shared" si="7"/>
        <v>0</v>
      </c>
      <c r="G45" s="807">
        <f t="shared" si="1"/>
        <v>0.38</v>
      </c>
      <c r="H45" s="647">
        <f>G45*70%</f>
        <v>0.26599999999999996</v>
      </c>
      <c r="I45" s="813">
        <f>G45*20%</f>
        <v>7.6000000000000012E-2</v>
      </c>
      <c r="J45" s="655">
        <f>G45*10%</f>
        <v>3.8000000000000006E-2</v>
      </c>
      <c r="K45" s="103"/>
      <c r="L45" s="1577"/>
      <c r="M45" s="1577"/>
      <c r="N45" s="1577"/>
      <c r="O45" s="1577"/>
      <c r="P45" s="1577"/>
    </row>
    <row r="46" spans="1:16" ht="15" customHeight="1" x14ac:dyDescent="0.25">
      <c r="A46" s="2224"/>
      <c r="B46" s="220" t="s">
        <v>34</v>
      </c>
      <c r="C46" s="647">
        <f>ROUND(15/60*$O$6,2)</f>
        <v>0.43</v>
      </c>
      <c r="D46" s="814">
        <v>0</v>
      </c>
      <c r="E46" s="629">
        <f>IF($E$2=1, 1, 0)</f>
        <v>0</v>
      </c>
      <c r="F46" s="716">
        <f t="shared" si="7"/>
        <v>0</v>
      </c>
      <c r="G46" s="807">
        <f t="shared" si="1"/>
        <v>0.43</v>
      </c>
      <c r="H46" s="647">
        <f>G46*70%</f>
        <v>0.30099999999999999</v>
      </c>
      <c r="I46" s="813">
        <f>G46*20%</f>
        <v>8.6000000000000007E-2</v>
      </c>
      <c r="J46" s="655">
        <f>G46*20%</f>
        <v>8.6000000000000007E-2</v>
      </c>
      <c r="K46" s="103"/>
      <c r="L46" s="1577"/>
      <c r="M46" s="1577"/>
      <c r="N46" s="1577"/>
      <c r="O46" s="1577"/>
      <c r="P46" s="1577"/>
    </row>
    <row r="47" spans="1:16" ht="15" customHeight="1" x14ac:dyDescent="0.25">
      <c r="A47" s="2204" t="s">
        <v>1293</v>
      </c>
      <c r="B47" s="198" t="s">
        <v>32</v>
      </c>
      <c r="C47" s="647">
        <f>ROUND(20/60*$O$4,2)</f>
        <v>0.4</v>
      </c>
      <c r="D47" s="814">
        <v>0</v>
      </c>
      <c r="E47" s="629">
        <f>IF($E$2=1, 0.5, 0)</f>
        <v>0</v>
      </c>
      <c r="F47" s="716">
        <f t="shared" si="7"/>
        <v>0</v>
      </c>
      <c r="G47" s="807">
        <f t="shared" si="1"/>
        <v>0.4</v>
      </c>
      <c r="H47" s="647">
        <f>G47*80%</f>
        <v>0.32000000000000006</v>
      </c>
      <c r="I47" s="813">
        <f>G47*10%</f>
        <v>4.0000000000000008E-2</v>
      </c>
      <c r="J47" s="655">
        <f>G47*10%</f>
        <v>4.0000000000000008E-2</v>
      </c>
      <c r="K47" s="103"/>
      <c r="L47" s="1577"/>
      <c r="M47" s="1577"/>
      <c r="N47" s="1577"/>
      <c r="O47" s="1577"/>
      <c r="P47" s="1577"/>
    </row>
    <row r="48" spans="1:16" ht="15" customHeight="1" x14ac:dyDescent="0.25">
      <c r="A48" s="2204"/>
      <c r="B48" s="198" t="s">
        <v>33</v>
      </c>
      <c r="C48" s="647">
        <f>ROUND(30/60*$O$5,2)</f>
        <v>0.75</v>
      </c>
      <c r="D48" s="814">
        <v>0</v>
      </c>
      <c r="E48" s="629">
        <f>IF($E$2=1, 0.6, 0)</f>
        <v>0</v>
      </c>
      <c r="F48" s="716">
        <f t="shared" si="7"/>
        <v>0</v>
      </c>
      <c r="G48" s="807">
        <f t="shared" si="1"/>
        <v>0.75</v>
      </c>
      <c r="H48" s="647">
        <f>G48*70%</f>
        <v>0.52499999999999991</v>
      </c>
      <c r="I48" s="813">
        <f>G48*20%</f>
        <v>0.15000000000000002</v>
      </c>
      <c r="J48" s="655">
        <f>G48*10%</f>
        <v>7.5000000000000011E-2</v>
      </c>
      <c r="K48" s="103"/>
      <c r="L48" s="1577"/>
      <c r="M48" s="1577"/>
      <c r="N48" s="1577"/>
      <c r="O48" s="1577"/>
      <c r="P48" s="1577"/>
    </row>
    <row r="49" spans="1:16" ht="15" customHeight="1" x14ac:dyDescent="0.25">
      <c r="A49" s="2216"/>
      <c r="B49" s="220" t="s">
        <v>34</v>
      </c>
      <c r="C49" s="647">
        <f>ROUND(40/60*$O$6,2)</f>
        <v>1.1299999999999999</v>
      </c>
      <c r="D49" s="814">
        <v>0</v>
      </c>
      <c r="E49" s="629">
        <f>IF($E$2=1, 1, 0)</f>
        <v>0</v>
      </c>
      <c r="F49" s="716">
        <f t="shared" si="7"/>
        <v>0</v>
      </c>
      <c r="G49" s="807">
        <f t="shared" si="1"/>
        <v>1.1299999999999999</v>
      </c>
      <c r="H49" s="647">
        <f>G49*70%</f>
        <v>0.79099999999999993</v>
      </c>
      <c r="I49" s="813">
        <f>G49*20%</f>
        <v>0.22599999999999998</v>
      </c>
      <c r="J49" s="655">
        <f>G49*20%</f>
        <v>0.22599999999999998</v>
      </c>
      <c r="K49" s="103"/>
      <c r="L49" s="1577"/>
      <c r="M49" s="1577"/>
      <c r="N49" s="1577"/>
      <c r="O49" s="1577"/>
      <c r="P49" s="1577"/>
    </row>
    <row r="50" spans="1:16" ht="15" customHeight="1" x14ac:dyDescent="0.25">
      <c r="A50" s="2204" t="s">
        <v>1294</v>
      </c>
      <c r="B50" s="198" t="s">
        <v>32</v>
      </c>
      <c r="C50" s="647">
        <f>ROUND(120/60*$O$4,2)</f>
        <v>2.4</v>
      </c>
      <c r="D50" s="814">
        <v>0</v>
      </c>
      <c r="E50" s="636"/>
      <c r="F50" s="716">
        <f t="shared" si="7"/>
        <v>0</v>
      </c>
      <c r="G50" s="807">
        <f t="shared" si="1"/>
        <v>2.4</v>
      </c>
      <c r="H50" s="647">
        <f>G50*80%</f>
        <v>1.92</v>
      </c>
      <c r="I50" s="813">
        <f>G50*10%</f>
        <v>0.24</v>
      </c>
      <c r="J50" s="655">
        <f t="shared" ref="J50:J84" si="8">G50*10%</f>
        <v>0.24</v>
      </c>
      <c r="K50" s="103"/>
      <c r="L50" s="1577"/>
      <c r="M50" s="1577"/>
      <c r="N50" s="1577"/>
      <c r="O50" s="1577"/>
      <c r="P50" s="1577"/>
    </row>
    <row r="51" spans="1:16" ht="15" customHeight="1" x14ac:dyDescent="0.25">
      <c r="A51" s="2204"/>
      <c r="B51" s="198" t="s">
        <v>33</v>
      </c>
      <c r="C51" s="647">
        <f>ROUND(140/60*$O$5,2)</f>
        <v>3.5</v>
      </c>
      <c r="D51" s="814">
        <v>0</v>
      </c>
      <c r="E51" s="636"/>
      <c r="F51" s="716">
        <f t="shared" si="7"/>
        <v>0</v>
      </c>
      <c r="G51" s="807">
        <f t="shared" si="1"/>
        <v>3.5</v>
      </c>
      <c r="H51" s="647">
        <f>G51*70%</f>
        <v>2.4499999999999997</v>
      </c>
      <c r="I51" s="813">
        <f>G51*20%</f>
        <v>0.70000000000000007</v>
      </c>
      <c r="J51" s="655">
        <f t="shared" si="8"/>
        <v>0.35000000000000003</v>
      </c>
      <c r="K51" s="103"/>
      <c r="L51" s="1577"/>
      <c r="M51" s="1577"/>
      <c r="N51" s="1577"/>
      <c r="O51" s="1577"/>
      <c r="P51" s="1577"/>
    </row>
    <row r="52" spans="1:16" ht="15" customHeight="1" x14ac:dyDescent="0.25">
      <c r="A52" s="2216"/>
      <c r="B52" s="220" t="s">
        <v>34</v>
      </c>
      <c r="C52" s="647">
        <f>ROUND(160/60*$O$6,2)</f>
        <v>4.53</v>
      </c>
      <c r="D52" s="814">
        <v>0</v>
      </c>
      <c r="E52" s="636"/>
      <c r="F52" s="716">
        <f t="shared" si="7"/>
        <v>0</v>
      </c>
      <c r="G52" s="807">
        <f t="shared" si="1"/>
        <v>4.53</v>
      </c>
      <c r="H52" s="647">
        <f>G52*60%</f>
        <v>2.718</v>
      </c>
      <c r="I52" s="813">
        <f>G52*30%</f>
        <v>1.359</v>
      </c>
      <c r="J52" s="655">
        <f t="shared" si="8"/>
        <v>0.45300000000000007</v>
      </c>
      <c r="K52" s="103"/>
      <c r="L52" s="1577"/>
      <c r="M52" s="1577"/>
      <c r="N52" s="1577"/>
      <c r="O52" s="1577"/>
      <c r="P52" s="1577"/>
    </row>
    <row r="53" spans="1:16" ht="15" customHeight="1" x14ac:dyDescent="0.25">
      <c r="A53" s="2218" t="s">
        <v>1295</v>
      </c>
      <c r="B53" s="198" t="s">
        <v>32</v>
      </c>
      <c r="C53" s="647">
        <f>ROUND(120/60*$O$4,2)</f>
        <v>2.4</v>
      </c>
      <c r="D53" s="814">
        <v>0</v>
      </c>
      <c r="E53" s="636"/>
      <c r="F53" s="716">
        <f t="shared" si="7"/>
        <v>0</v>
      </c>
      <c r="G53" s="807">
        <f t="shared" ref="G53:G58" si="9" xml:space="preserve"> SUM(C53:F53)</f>
        <v>2.4</v>
      </c>
      <c r="H53" s="647">
        <f>G53*80%</f>
        <v>1.92</v>
      </c>
      <c r="I53" s="813">
        <f>G53*10%</f>
        <v>0.24</v>
      </c>
      <c r="J53" s="655">
        <f t="shared" si="8"/>
        <v>0.24</v>
      </c>
      <c r="K53" s="103"/>
      <c r="L53" s="1577"/>
      <c r="M53" s="1577"/>
      <c r="N53" s="1577"/>
      <c r="O53" s="1577"/>
      <c r="P53" s="1577"/>
    </row>
    <row r="54" spans="1:16" ht="15" customHeight="1" x14ac:dyDescent="0.25">
      <c r="A54" s="2219"/>
      <c r="B54" s="198" t="s">
        <v>33</v>
      </c>
      <c r="C54" s="647">
        <f>ROUND(140/60*$O$5,2)</f>
        <v>3.5</v>
      </c>
      <c r="D54" s="814">
        <v>0</v>
      </c>
      <c r="E54" s="636"/>
      <c r="F54" s="716">
        <f t="shared" si="7"/>
        <v>0</v>
      </c>
      <c r="G54" s="807">
        <f t="shared" si="9"/>
        <v>3.5</v>
      </c>
      <c r="H54" s="647">
        <f>G54*70%</f>
        <v>2.4499999999999997</v>
      </c>
      <c r="I54" s="813">
        <f>G54*20%</f>
        <v>0.70000000000000007</v>
      </c>
      <c r="J54" s="655">
        <f t="shared" si="8"/>
        <v>0.35000000000000003</v>
      </c>
      <c r="K54" s="103"/>
      <c r="L54" s="1577"/>
      <c r="M54" s="1577"/>
      <c r="N54" s="1577"/>
      <c r="O54" s="1577"/>
      <c r="P54" s="1577"/>
    </row>
    <row r="55" spans="1:16" ht="15" customHeight="1" x14ac:dyDescent="0.25">
      <c r="A55" s="2220"/>
      <c r="B55" s="220" t="s">
        <v>34</v>
      </c>
      <c r="C55" s="647">
        <f>ROUND(160/60*$O$6,2)</f>
        <v>4.53</v>
      </c>
      <c r="D55" s="814">
        <v>0</v>
      </c>
      <c r="E55" s="636"/>
      <c r="F55" s="716">
        <f t="shared" si="7"/>
        <v>0</v>
      </c>
      <c r="G55" s="807">
        <f t="shared" si="9"/>
        <v>4.53</v>
      </c>
      <c r="H55" s="647">
        <f>G55*60%</f>
        <v>2.718</v>
      </c>
      <c r="I55" s="813">
        <f>G55*30%</f>
        <v>1.359</v>
      </c>
      <c r="J55" s="655">
        <f t="shared" si="8"/>
        <v>0.45300000000000007</v>
      </c>
      <c r="K55" s="103"/>
      <c r="L55" s="1577"/>
      <c r="M55" s="1577"/>
      <c r="N55" s="1577"/>
      <c r="O55" s="1577"/>
      <c r="P55" s="1577"/>
    </row>
    <row r="56" spans="1:16" ht="15" customHeight="1" x14ac:dyDescent="0.25">
      <c r="A56" s="2225" t="s">
        <v>1296</v>
      </c>
      <c r="B56" s="103" t="s">
        <v>32</v>
      </c>
      <c r="C56" s="647">
        <f>ROUND(120/60*$O$4,2)</f>
        <v>2.4</v>
      </c>
      <c r="D56" s="814">
        <v>0</v>
      </c>
      <c r="E56" s="629">
        <f>IF($E$2=1, 0.5, 0)</f>
        <v>0</v>
      </c>
      <c r="F56" s="716">
        <f t="shared" ref="F56:F61" si="10">IF($F$2=1,ROUND(10/60,2),0)</f>
        <v>0</v>
      </c>
      <c r="G56" s="619">
        <f t="shared" si="9"/>
        <v>2.4</v>
      </c>
      <c r="H56" s="647">
        <f>G56*80%</f>
        <v>1.92</v>
      </c>
      <c r="I56" s="813">
        <f>G56*10%</f>
        <v>0.24</v>
      </c>
      <c r="J56" s="655">
        <f t="shared" si="8"/>
        <v>0.24</v>
      </c>
      <c r="K56" s="817"/>
      <c r="L56" s="1577"/>
      <c r="M56" s="1577"/>
      <c r="N56" s="1577"/>
      <c r="O56" s="1577"/>
      <c r="P56" s="1577"/>
    </row>
    <row r="57" spans="1:16" ht="15" customHeight="1" x14ac:dyDescent="0.25">
      <c r="A57" s="2225"/>
      <c r="B57" s="103" t="s">
        <v>33</v>
      </c>
      <c r="C57" s="647">
        <f>ROUND(140/60*$O$5,2)</f>
        <v>3.5</v>
      </c>
      <c r="D57" s="814">
        <v>0</v>
      </c>
      <c r="E57" s="629">
        <f>IF($E$2=1, 0.6, 0)</f>
        <v>0</v>
      </c>
      <c r="F57" s="716">
        <f t="shared" si="10"/>
        <v>0</v>
      </c>
      <c r="G57" s="619">
        <f t="shared" si="9"/>
        <v>3.5</v>
      </c>
      <c r="H57" s="647">
        <f>G57*70%</f>
        <v>2.4499999999999997</v>
      </c>
      <c r="I57" s="813">
        <f>G57*20%</f>
        <v>0.70000000000000007</v>
      </c>
      <c r="J57" s="655">
        <f t="shared" si="8"/>
        <v>0.35000000000000003</v>
      </c>
      <c r="K57" s="817"/>
      <c r="L57" s="1577"/>
      <c r="M57" s="1577"/>
      <c r="N57" s="1577"/>
      <c r="O57" s="1577"/>
      <c r="P57" s="1577"/>
    </row>
    <row r="58" spans="1:16" ht="15" customHeight="1" x14ac:dyDescent="0.25">
      <c r="A58" s="2225"/>
      <c r="B58" s="103" t="s">
        <v>34</v>
      </c>
      <c r="C58" s="647">
        <f>ROUND(160/60*$O$6,2)</f>
        <v>4.53</v>
      </c>
      <c r="D58" s="814">
        <v>0</v>
      </c>
      <c r="E58" s="629">
        <f>IF($E$2=1, 1, 0)</f>
        <v>0</v>
      </c>
      <c r="F58" s="716">
        <f t="shared" si="10"/>
        <v>0</v>
      </c>
      <c r="G58" s="619">
        <f t="shared" si="9"/>
        <v>4.53</v>
      </c>
      <c r="H58" s="647">
        <f>G58*70%</f>
        <v>3.1709999999999998</v>
      </c>
      <c r="I58" s="813">
        <f>G58*20%</f>
        <v>0.90600000000000014</v>
      </c>
      <c r="J58" s="655">
        <f t="shared" si="8"/>
        <v>0.45300000000000007</v>
      </c>
      <c r="K58" s="817"/>
      <c r="L58" s="1577"/>
      <c r="M58" s="1577"/>
      <c r="N58" s="1577"/>
      <c r="O58" s="1577"/>
      <c r="P58" s="1577"/>
    </row>
    <row r="59" spans="1:16" ht="15" customHeight="1" x14ac:dyDescent="0.25">
      <c r="A59" s="2204" t="s">
        <v>1297</v>
      </c>
      <c r="B59" s="198" t="s">
        <v>32</v>
      </c>
      <c r="C59" s="647">
        <f>ROUND(60/60*$O$4,2)</f>
        <v>1.2</v>
      </c>
      <c r="D59" s="814">
        <v>0</v>
      </c>
      <c r="E59" s="629">
        <f>IF($E$2=1, 0.5, 0)</f>
        <v>0</v>
      </c>
      <c r="F59" s="716">
        <f t="shared" si="10"/>
        <v>0</v>
      </c>
      <c r="G59" s="807">
        <f t="shared" si="1"/>
        <v>1.2</v>
      </c>
      <c r="H59" s="647">
        <f>G59*80%</f>
        <v>0.96</v>
      </c>
      <c r="I59" s="813">
        <f>G59*10%</f>
        <v>0.12</v>
      </c>
      <c r="J59" s="655">
        <f t="shared" si="8"/>
        <v>0.12</v>
      </c>
      <c r="K59" s="103"/>
      <c r="L59" s="1577"/>
      <c r="M59" s="1577"/>
      <c r="N59" s="1577"/>
      <c r="O59" s="1577"/>
      <c r="P59" s="1577"/>
    </row>
    <row r="60" spans="1:16" ht="15" customHeight="1" x14ac:dyDescent="0.25">
      <c r="A60" s="2204"/>
      <c r="B60" s="198" t="s">
        <v>33</v>
      </c>
      <c r="C60" s="647">
        <f>ROUND(70/60*$O$5,2)</f>
        <v>1.75</v>
      </c>
      <c r="D60" s="814">
        <v>0</v>
      </c>
      <c r="E60" s="629">
        <f>IF($E$2=1, 0.6, 0)</f>
        <v>0</v>
      </c>
      <c r="F60" s="716">
        <f t="shared" si="10"/>
        <v>0</v>
      </c>
      <c r="G60" s="807">
        <f t="shared" si="1"/>
        <v>1.75</v>
      </c>
      <c r="H60" s="647">
        <f>G60*70%</f>
        <v>1.2249999999999999</v>
      </c>
      <c r="I60" s="813">
        <f>G60*20%</f>
        <v>0.35000000000000003</v>
      </c>
      <c r="J60" s="655">
        <f t="shared" si="8"/>
        <v>0.17500000000000002</v>
      </c>
      <c r="K60" s="103"/>
      <c r="L60" s="1577"/>
      <c r="M60" s="1577"/>
      <c r="N60" s="1577"/>
      <c r="O60" s="1577"/>
      <c r="P60" s="1577"/>
    </row>
    <row r="61" spans="1:16" ht="15" customHeight="1" x14ac:dyDescent="0.25">
      <c r="A61" s="2216"/>
      <c r="B61" s="220" t="s">
        <v>34</v>
      </c>
      <c r="C61" s="647">
        <f>ROUND(80/60*$O$6,2)</f>
        <v>2.27</v>
      </c>
      <c r="D61" s="814">
        <v>0</v>
      </c>
      <c r="E61" s="629">
        <f>IF($E$2=1, 1, 0)</f>
        <v>0</v>
      </c>
      <c r="F61" s="716">
        <f t="shared" si="10"/>
        <v>0</v>
      </c>
      <c r="G61" s="807">
        <f t="shared" ref="G61:G141" si="11" xml:space="preserve"> SUM(C61:F61)</f>
        <v>2.27</v>
      </c>
      <c r="H61" s="647">
        <f>G61*70%</f>
        <v>1.589</v>
      </c>
      <c r="I61" s="813">
        <f>G61*20%</f>
        <v>0.45400000000000001</v>
      </c>
      <c r="J61" s="655">
        <f t="shared" si="8"/>
        <v>0.22700000000000001</v>
      </c>
      <c r="K61" s="103"/>
      <c r="L61" s="1577"/>
      <c r="M61" s="1577"/>
      <c r="N61" s="1577"/>
      <c r="O61" s="1577"/>
      <c r="P61" s="1577"/>
    </row>
    <row r="62" spans="1:16" ht="15" customHeight="1" x14ac:dyDescent="0.25">
      <c r="A62" s="2218" t="s">
        <v>1585</v>
      </c>
      <c r="B62" s="198" t="s">
        <v>32</v>
      </c>
      <c r="C62" s="647">
        <f>ROUND(10/60*$O$4,2)</f>
        <v>0.2</v>
      </c>
      <c r="D62" s="629">
        <f>ROUND(10/60*$O$4*$D$2,2)</f>
        <v>0.4</v>
      </c>
      <c r="E62" s="636"/>
      <c r="F62" s="716">
        <f t="shared" ref="F62:F73" si="12">IF($F$2=1,ROUND(8/60,2),0)</f>
        <v>0</v>
      </c>
      <c r="G62" s="807">
        <f t="shared" ref="G62:G67" si="13" xml:space="preserve"> SUM(C62:F62)</f>
        <v>0.60000000000000009</v>
      </c>
      <c r="H62" s="647">
        <f t="shared" ref="H62:H74" si="14">G62*80%</f>
        <v>0.48000000000000009</v>
      </c>
      <c r="I62" s="813">
        <f t="shared" ref="I62:I74" si="15">G62*10%</f>
        <v>6.0000000000000012E-2</v>
      </c>
      <c r="J62" s="655">
        <f t="shared" si="8"/>
        <v>6.0000000000000012E-2</v>
      </c>
      <c r="K62" s="103"/>
      <c r="L62" s="1577"/>
      <c r="M62" s="1577"/>
      <c r="N62" s="1577"/>
      <c r="O62" s="1577"/>
      <c r="P62" s="1577"/>
    </row>
    <row r="63" spans="1:16" ht="15" customHeight="1" x14ac:dyDescent="0.25">
      <c r="A63" s="2219"/>
      <c r="B63" s="198" t="s">
        <v>33</v>
      </c>
      <c r="C63" s="647">
        <f>ROUND(15/60*$O$5,2)</f>
        <v>0.38</v>
      </c>
      <c r="D63" s="629">
        <f>ROUND(10/60*$O$5*$D$2,2)</f>
        <v>0.5</v>
      </c>
      <c r="E63" s="636"/>
      <c r="F63" s="716">
        <f t="shared" si="12"/>
        <v>0</v>
      </c>
      <c r="G63" s="807">
        <f t="shared" si="13"/>
        <v>0.88</v>
      </c>
      <c r="H63" s="647">
        <f t="shared" si="14"/>
        <v>0.70400000000000007</v>
      </c>
      <c r="I63" s="813">
        <f t="shared" si="15"/>
        <v>8.8000000000000009E-2</v>
      </c>
      <c r="J63" s="655">
        <f t="shared" si="8"/>
        <v>8.8000000000000009E-2</v>
      </c>
      <c r="K63" s="103"/>
      <c r="L63" s="1577"/>
      <c r="M63" s="1577"/>
      <c r="N63" s="1577"/>
      <c r="O63" s="1577"/>
      <c r="P63" s="1577"/>
    </row>
    <row r="64" spans="1:16" ht="15" customHeight="1" x14ac:dyDescent="0.25">
      <c r="A64" s="2220"/>
      <c r="B64" s="220" t="s">
        <v>34</v>
      </c>
      <c r="C64" s="647">
        <f>ROUND(20/60*$O$6,2)</f>
        <v>0.56999999999999995</v>
      </c>
      <c r="D64" s="629">
        <f>ROUND(10/60*$O$6*$D$2,2)</f>
        <v>0.56999999999999995</v>
      </c>
      <c r="E64" s="636"/>
      <c r="F64" s="716">
        <f t="shared" si="12"/>
        <v>0</v>
      </c>
      <c r="G64" s="807">
        <f t="shared" si="13"/>
        <v>1.1399999999999999</v>
      </c>
      <c r="H64" s="647">
        <f t="shared" si="14"/>
        <v>0.91199999999999992</v>
      </c>
      <c r="I64" s="813">
        <f t="shared" si="15"/>
        <v>0.11399999999999999</v>
      </c>
      <c r="J64" s="655">
        <f t="shared" si="8"/>
        <v>0.11399999999999999</v>
      </c>
      <c r="K64" s="103"/>
      <c r="L64" s="1577"/>
      <c r="M64" s="1577"/>
      <c r="N64" s="1577"/>
      <c r="O64" s="1577"/>
      <c r="P64" s="1577"/>
    </row>
    <row r="65" spans="1:16" ht="15" customHeight="1" x14ac:dyDescent="0.25">
      <c r="A65" s="2218" t="s">
        <v>1576</v>
      </c>
      <c r="B65" s="198" t="s">
        <v>32</v>
      </c>
      <c r="C65" s="647">
        <f>ROUND(10/60*$O$4,2)</f>
        <v>0.2</v>
      </c>
      <c r="D65" s="629">
        <f>ROUND(10/60*$O$4*$D$2,2)</f>
        <v>0.4</v>
      </c>
      <c r="E65" s="636"/>
      <c r="F65" s="716">
        <f t="shared" si="12"/>
        <v>0</v>
      </c>
      <c r="G65" s="807">
        <f t="shared" si="13"/>
        <v>0.60000000000000009</v>
      </c>
      <c r="H65" s="647">
        <f t="shared" si="14"/>
        <v>0.48000000000000009</v>
      </c>
      <c r="I65" s="813">
        <f t="shared" si="15"/>
        <v>6.0000000000000012E-2</v>
      </c>
      <c r="J65" s="655">
        <f t="shared" si="8"/>
        <v>6.0000000000000012E-2</v>
      </c>
      <c r="K65" s="103"/>
      <c r="L65" s="1577"/>
      <c r="M65" s="1577"/>
      <c r="N65" s="1577"/>
      <c r="O65" s="1577"/>
      <c r="P65" s="1577"/>
    </row>
    <row r="66" spans="1:16" ht="15" customHeight="1" x14ac:dyDescent="0.25">
      <c r="A66" s="2219"/>
      <c r="B66" s="198" t="s">
        <v>33</v>
      </c>
      <c r="C66" s="647">
        <f>ROUND(15/60*$O$5,2)</f>
        <v>0.38</v>
      </c>
      <c r="D66" s="629">
        <f>ROUND(10/60*$O$5*$D$2,2)</f>
        <v>0.5</v>
      </c>
      <c r="E66" s="636"/>
      <c r="F66" s="716">
        <f t="shared" si="12"/>
        <v>0</v>
      </c>
      <c r="G66" s="807">
        <f t="shared" si="13"/>
        <v>0.88</v>
      </c>
      <c r="H66" s="647">
        <f t="shared" si="14"/>
        <v>0.70400000000000007</v>
      </c>
      <c r="I66" s="813">
        <f t="shared" si="15"/>
        <v>8.8000000000000009E-2</v>
      </c>
      <c r="J66" s="655">
        <f t="shared" si="8"/>
        <v>8.8000000000000009E-2</v>
      </c>
      <c r="K66" s="103"/>
      <c r="L66" s="1577"/>
      <c r="M66" s="1577"/>
      <c r="N66" s="1577"/>
      <c r="O66" s="1577"/>
      <c r="P66" s="1577"/>
    </row>
    <row r="67" spans="1:16" ht="15" customHeight="1" x14ac:dyDescent="0.25">
      <c r="A67" s="2220"/>
      <c r="B67" s="220" t="s">
        <v>34</v>
      </c>
      <c r="C67" s="647">
        <f>ROUND(20/60*$O$6,2)</f>
        <v>0.56999999999999995</v>
      </c>
      <c r="D67" s="629">
        <f>ROUND(10/60*$O$6*$D$2,2)</f>
        <v>0.56999999999999995</v>
      </c>
      <c r="E67" s="636"/>
      <c r="F67" s="716">
        <f t="shared" si="12"/>
        <v>0</v>
      </c>
      <c r="G67" s="807">
        <f t="shared" si="13"/>
        <v>1.1399999999999999</v>
      </c>
      <c r="H67" s="647">
        <f t="shared" si="14"/>
        <v>0.91199999999999992</v>
      </c>
      <c r="I67" s="813">
        <f t="shared" si="15"/>
        <v>0.11399999999999999</v>
      </c>
      <c r="J67" s="655">
        <f t="shared" si="8"/>
        <v>0.11399999999999999</v>
      </c>
      <c r="K67" s="103"/>
      <c r="L67" s="1577"/>
      <c r="M67" s="1577"/>
      <c r="N67" s="1577"/>
      <c r="O67" s="1577"/>
      <c r="P67" s="1577"/>
    </row>
    <row r="68" spans="1:16" ht="15" customHeight="1" x14ac:dyDescent="0.25">
      <c r="A68" s="2204" t="s">
        <v>1586</v>
      </c>
      <c r="B68" s="198" t="s">
        <v>32</v>
      </c>
      <c r="C68" s="647">
        <f>ROUND(10/60*$O$4,2)</f>
        <v>0.2</v>
      </c>
      <c r="D68" s="629">
        <f>ROUND(10/60*$O$4*$D$2,2)</f>
        <v>0.4</v>
      </c>
      <c r="E68" s="636"/>
      <c r="F68" s="716">
        <f t="shared" si="12"/>
        <v>0</v>
      </c>
      <c r="G68" s="807">
        <f t="shared" si="11"/>
        <v>0.60000000000000009</v>
      </c>
      <c r="H68" s="647">
        <f t="shared" si="14"/>
        <v>0.48000000000000009</v>
      </c>
      <c r="I68" s="813">
        <f t="shared" si="15"/>
        <v>6.0000000000000012E-2</v>
      </c>
      <c r="J68" s="655">
        <f t="shared" si="8"/>
        <v>6.0000000000000012E-2</v>
      </c>
      <c r="K68" s="103"/>
      <c r="L68" s="1577"/>
      <c r="M68" s="1577"/>
      <c r="N68" s="1577"/>
      <c r="O68" s="1577"/>
      <c r="P68" s="1577"/>
    </row>
    <row r="69" spans="1:16" ht="15" customHeight="1" x14ac:dyDescent="0.25">
      <c r="A69" s="2204"/>
      <c r="B69" s="198" t="s">
        <v>33</v>
      </c>
      <c r="C69" s="647">
        <f>ROUND(15/60*$O$5,2)</f>
        <v>0.38</v>
      </c>
      <c r="D69" s="629">
        <f>ROUND(10/60*$O$5*$D$2,2)</f>
        <v>0.5</v>
      </c>
      <c r="E69" s="636"/>
      <c r="F69" s="716">
        <f t="shared" si="12"/>
        <v>0</v>
      </c>
      <c r="G69" s="807">
        <f t="shared" si="11"/>
        <v>0.88</v>
      </c>
      <c r="H69" s="647">
        <f t="shared" si="14"/>
        <v>0.70400000000000007</v>
      </c>
      <c r="I69" s="813">
        <f t="shared" si="15"/>
        <v>8.8000000000000009E-2</v>
      </c>
      <c r="J69" s="655">
        <f t="shared" si="8"/>
        <v>8.8000000000000009E-2</v>
      </c>
      <c r="K69" s="103"/>
      <c r="L69" s="1577"/>
      <c r="M69" s="1577"/>
      <c r="N69" s="1577"/>
      <c r="O69" s="1577"/>
      <c r="P69" s="1577"/>
    </row>
    <row r="70" spans="1:16" ht="15" customHeight="1" x14ac:dyDescent="0.25">
      <c r="A70" s="2216"/>
      <c r="B70" s="220" t="s">
        <v>34</v>
      </c>
      <c r="C70" s="647">
        <f>ROUND(20/60*$O$6,2)</f>
        <v>0.56999999999999995</v>
      </c>
      <c r="D70" s="629">
        <f>ROUND(10/60*$O$6*$D$2,2)</f>
        <v>0.56999999999999995</v>
      </c>
      <c r="E70" s="636"/>
      <c r="F70" s="716">
        <f t="shared" si="12"/>
        <v>0</v>
      </c>
      <c r="G70" s="807">
        <f t="shared" si="11"/>
        <v>1.1399999999999999</v>
      </c>
      <c r="H70" s="647">
        <f t="shared" si="14"/>
        <v>0.91199999999999992</v>
      </c>
      <c r="I70" s="813">
        <f t="shared" si="15"/>
        <v>0.11399999999999999</v>
      </c>
      <c r="J70" s="655">
        <f t="shared" si="8"/>
        <v>0.11399999999999999</v>
      </c>
      <c r="K70" s="103"/>
      <c r="L70" s="1577"/>
      <c r="M70" s="1577"/>
      <c r="N70" s="1577"/>
      <c r="O70" s="1577"/>
      <c r="P70" s="1577"/>
    </row>
    <row r="71" spans="1:16" ht="15" customHeight="1" x14ac:dyDescent="0.25">
      <c r="A71" s="2218" t="s">
        <v>1578</v>
      </c>
      <c r="B71" s="198" t="s">
        <v>32</v>
      </c>
      <c r="C71" s="647">
        <f>ROUND(120/60*$O$4,2)</f>
        <v>2.4</v>
      </c>
      <c r="D71" s="629">
        <f>ROUND(10/60*$O$4*$D$2,2)</f>
        <v>0.4</v>
      </c>
      <c r="E71" s="636"/>
      <c r="F71" s="716">
        <f t="shared" si="12"/>
        <v>0</v>
      </c>
      <c r="G71" s="807">
        <f t="shared" ref="G71:G73" si="16" xml:space="preserve"> SUM(C71:F71)</f>
        <v>2.8</v>
      </c>
      <c r="H71" s="647">
        <f t="shared" si="14"/>
        <v>2.2399999999999998</v>
      </c>
      <c r="I71" s="813">
        <f t="shared" si="15"/>
        <v>0.27999999999999997</v>
      </c>
      <c r="J71" s="655">
        <f t="shared" si="8"/>
        <v>0.27999999999999997</v>
      </c>
      <c r="K71" s="103"/>
      <c r="L71" s="1577"/>
      <c r="M71" s="1577"/>
      <c r="N71" s="1577"/>
      <c r="O71" s="1577"/>
      <c r="P71" s="1577"/>
    </row>
    <row r="72" spans="1:16" ht="15" customHeight="1" x14ac:dyDescent="0.25">
      <c r="A72" s="2219"/>
      <c r="B72" s="198" t="s">
        <v>33</v>
      </c>
      <c r="C72" s="647">
        <f>ROUND(130/60*$O$5,2)</f>
        <v>3.25</v>
      </c>
      <c r="D72" s="629">
        <f>ROUND(10/60*$O$5*$D$2,2)</f>
        <v>0.5</v>
      </c>
      <c r="E72" s="636"/>
      <c r="F72" s="716">
        <f t="shared" si="12"/>
        <v>0</v>
      </c>
      <c r="G72" s="807">
        <f t="shared" si="16"/>
        <v>3.75</v>
      </c>
      <c r="H72" s="647">
        <f t="shared" si="14"/>
        <v>3</v>
      </c>
      <c r="I72" s="813">
        <f t="shared" si="15"/>
        <v>0.375</v>
      </c>
      <c r="J72" s="655">
        <f t="shared" si="8"/>
        <v>0.375</v>
      </c>
      <c r="K72" s="103"/>
      <c r="L72" s="1577"/>
      <c r="M72" s="1577"/>
      <c r="N72" s="1577"/>
      <c r="O72" s="1577"/>
      <c r="P72" s="1577"/>
    </row>
    <row r="73" spans="1:16" ht="15" customHeight="1" x14ac:dyDescent="0.25">
      <c r="A73" s="2220"/>
      <c r="B73" s="220" t="s">
        <v>34</v>
      </c>
      <c r="C73" s="647">
        <f>ROUND(140/60*$O$6,2)</f>
        <v>3.97</v>
      </c>
      <c r="D73" s="629">
        <f>ROUND(10/60*$O$6*$D$2,2)</f>
        <v>0.56999999999999995</v>
      </c>
      <c r="E73" s="636"/>
      <c r="F73" s="716">
        <f t="shared" si="12"/>
        <v>0</v>
      </c>
      <c r="G73" s="807">
        <f t="shared" si="16"/>
        <v>4.54</v>
      </c>
      <c r="H73" s="647">
        <f t="shared" si="14"/>
        <v>3.6320000000000001</v>
      </c>
      <c r="I73" s="813">
        <f t="shared" si="15"/>
        <v>0.45400000000000001</v>
      </c>
      <c r="J73" s="655">
        <f t="shared" si="8"/>
        <v>0.45400000000000001</v>
      </c>
      <c r="K73" s="103"/>
      <c r="L73" s="1577"/>
      <c r="M73" s="1577"/>
      <c r="N73" s="1577"/>
      <c r="O73" s="1577"/>
      <c r="P73" s="1577"/>
    </row>
    <row r="74" spans="1:16" ht="15" customHeight="1" x14ac:dyDescent="0.25">
      <c r="A74" s="2204" t="s">
        <v>1298</v>
      </c>
      <c r="B74" s="198" t="s">
        <v>32</v>
      </c>
      <c r="C74" s="647">
        <f>ROUND(20/60*$O$4,2)</f>
        <v>0.4</v>
      </c>
      <c r="D74" s="814">
        <v>0</v>
      </c>
      <c r="E74" s="629">
        <f>IF($E$2=1, 0.5, 0)</f>
        <v>0</v>
      </c>
      <c r="F74" s="716">
        <f>IF($F$2=1,ROUND(10/60,2),0)</f>
        <v>0</v>
      </c>
      <c r="G74" s="807">
        <f t="shared" si="11"/>
        <v>0.4</v>
      </c>
      <c r="H74" s="647">
        <f t="shared" si="14"/>
        <v>0.32000000000000006</v>
      </c>
      <c r="I74" s="813">
        <f t="shared" si="15"/>
        <v>4.0000000000000008E-2</v>
      </c>
      <c r="J74" s="655">
        <f t="shared" si="8"/>
        <v>4.0000000000000008E-2</v>
      </c>
      <c r="K74" s="103"/>
      <c r="L74" s="1577"/>
      <c r="M74" s="1577"/>
      <c r="N74" s="1577"/>
      <c r="O74" s="1577"/>
      <c r="P74" s="1577"/>
    </row>
    <row r="75" spans="1:16" ht="15" customHeight="1" x14ac:dyDescent="0.25">
      <c r="A75" s="2204"/>
      <c r="B75" s="198" t="s">
        <v>33</v>
      </c>
      <c r="C75" s="647">
        <f>ROUND(25/60*$O$5,2)</f>
        <v>0.63</v>
      </c>
      <c r="D75" s="814">
        <v>0</v>
      </c>
      <c r="E75" s="629">
        <f>IF($E$2=1, 0.6, 0)</f>
        <v>0</v>
      </c>
      <c r="F75" s="716">
        <f>IF($F$2=1,ROUND(10/60,2),0)</f>
        <v>0</v>
      </c>
      <c r="G75" s="807">
        <f t="shared" si="11"/>
        <v>0.63</v>
      </c>
      <c r="H75" s="647">
        <f>G75*70%</f>
        <v>0.44099999999999995</v>
      </c>
      <c r="I75" s="813">
        <f>G75*20%</f>
        <v>0.126</v>
      </c>
      <c r="J75" s="655">
        <f t="shared" si="8"/>
        <v>6.3E-2</v>
      </c>
      <c r="K75" s="103"/>
      <c r="L75" s="1577"/>
      <c r="M75" s="1577"/>
      <c r="N75" s="1577"/>
      <c r="O75" s="1577"/>
      <c r="P75" s="1577"/>
    </row>
    <row r="76" spans="1:16" ht="15" customHeight="1" x14ac:dyDescent="0.25">
      <c r="A76" s="2216"/>
      <c r="B76" s="220" t="s">
        <v>34</v>
      </c>
      <c r="C76" s="647">
        <f>ROUND(30/60*$O$6,2)</f>
        <v>0.85</v>
      </c>
      <c r="D76" s="814">
        <v>0</v>
      </c>
      <c r="E76" s="629">
        <f>IF($E$2=1, 1, 0)</f>
        <v>0</v>
      </c>
      <c r="F76" s="716">
        <f>IF($F$2=1,ROUND(10/60,2),0)</f>
        <v>0</v>
      </c>
      <c r="G76" s="807">
        <f t="shared" si="11"/>
        <v>0.85</v>
      </c>
      <c r="H76" s="647">
        <f>G76*70%</f>
        <v>0.59499999999999997</v>
      </c>
      <c r="I76" s="813">
        <f>G76*20%</f>
        <v>0.17</v>
      </c>
      <c r="J76" s="655">
        <f t="shared" si="8"/>
        <v>8.5000000000000006E-2</v>
      </c>
      <c r="K76" s="103"/>
      <c r="L76" s="1577"/>
      <c r="M76" s="1577"/>
      <c r="N76" s="1577"/>
      <c r="O76" s="1577"/>
      <c r="P76" s="1577"/>
    </row>
    <row r="77" spans="1:16" ht="15" customHeight="1" x14ac:dyDescent="0.25">
      <c r="A77" s="2204" t="s">
        <v>1579</v>
      </c>
      <c r="B77" s="198" t="s">
        <v>32</v>
      </c>
      <c r="C77" s="647">
        <f>ROUND(10/60*$O$4,2)</f>
        <v>0.2</v>
      </c>
      <c r="D77" s="814">
        <v>0</v>
      </c>
      <c r="E77" s="636"/>
      <c r="F77" s="716">
        <f t="shared" ref="F77:F82" si="17">IF($F$2=1,ROUND(8/60,2),0)</f>
        <v>0</v>
      </c>
      <c r="G77" s="807">
        <f t="shared" si="11"/>
        <v>0.2</v>
      </c>
      <c r="H77" s="647">
        <f t="shared" ref="H77:H82" si="18">G77*80%</f>
        <v>0.16000000000000003</v>
      </c>
      <c r="I77" s="813">
        <f t="shared" ref="I77:I82" si="19">G77*10%</f>
        <v>2.0000000000000004E-2</v>
      </c>
      <c r="J77" s="655">
        <f t="shared" si="8"/>
        <v>2.0000000000000004E-2</v>
      </c>
      <c r="K77" s="103"/>
      <c r="L77" s="1577"/>
      <c r="M77" s="1577"/>
      <c r="N77" s="1577"/>
      <c r="O77" s="1577"/>
      <c r="P77" s="1577"/>
    </row>
    <row r="78" spans="1:16" ht="15" customHeight="1" x14ac:dyDescent="0.25">
      <c r="A78" s="2204"/>
      <c r="B78" s="198" t="s">
        <v>33</v>
      </c>
      <c r="C78" s="647">
        <f>ROUND(15/60*$O$5,2)</f>
        <v>0.38</v>
      </c>
      <c r="D78" s="814">
        <v>0</v>
      </c>
      <c r="E78" s="636"/>
      <c r="F78" s="716">
        <f t="shared" si="17"/>
        <v>0</v>
      </c>
      <c r="G78" s="807">
        <f t="shared" si="11"/>
        <v>0.38</v>
      </c>
      <c r="H78" s="647">
        <f t="shared" si="18"/>
        <v>0.30400000000000005</v>
      </c>
      <c r="I78" s="813">
        <f t="shared" si="19"/>
        <v>3.8000000000000006E-2</v>
      </c>
      <c r="J78" s="655">
        <f t="shared" si="8"/>
        <v>3.8000000000000006E-2</v>
      </c>
      <c r="K78" s="103"/>
      <c r="L78" s="1577"/>
      <c r="M78" s="1577"/>
      <c r="N78" s="1577"/>
      <c r="O78" s="1577"/>
      <c r="P78" s="1577"/>
    </row>
    <row r="79" spans="1:16" ht="15" customHeight="1" x14ac:dyDescent="0.25">
      <c r="A79" s="2216"/>
      <c r="B79" s="220" t="s">
        <v>34</v>
      </c>
      <c r="C79" s="647">
        <f>ROUND(20/60*$O$6,2)</f>
        <v>0.56999999999999995</v>
      </c>
      <c r="D79" s="814">
        <v>0</v>
      </c>
      <c r="E79" s="636"/>
      <c r="F79" s="716">
        <f t="shared" si="17"/>
        <v>0</v>
      </c>
      <c r="G79" s="807">
        <f t="shared" si="11"/>
        <v>0.56999999999999995</v>
      </c>
      <c r="H79" s="647">
        <f t="shared" si="18"/>
        <v>0.45599999999999996</v>
      </c>
      <c r="I79" s="813">
        <f t="shared" si="19"/>
        <v>5.6999999999999995E-2</v>
      </c>
      <c r="J79" s="655">
        <f t="shared" si="8"/>
        <v>5.6999999999999995E-2</v>
      </c>
      <c r="K79" s="103"/>
      <c r="L79" s="1577"/>
      <c r="M79" s="1577"/>
      <c r="N79" s="1577"/>
      <c r="O79" s="1577"/>
      <c r="P79" s="1577"/>
    </row>
    <row r="80" spans="1:16" ht="15" customHeight="1" x14ac:dyDescent="0.25">
      <c r="A80" s="2204" t="s">
        <v>1580</v>
      </c>
      <c r="B80" s="198" t="s">
        <v>32</v>
      </c>
      <c r="C80" s="647">
        <f>ROUND(10/60*$O$4,2)</f>
        <v>0.2</v>
      </c>
      <c r="D80" s="814">
        <v>0</v>
      </c>
      <c r="E80" s="636"/>
      <c r="F80" s="716">
        <f t="shared" si="17"/>
        <v>0</v>
      </c>
      <c r="G80" s="807">
        <f t="shared" ref="G80:G82" si="20" xml:space="preserve"> SUM(C80:F80)</f>
        <v>0.2</v>
      </c>
      <c r="H80" s="647">
        <f t="shared" si="18"/>
        <v>0.16000000000000003</v>
      </c>
      <c r="I80" s="813">
        <f t="shared" si="19"/>
        <v>2.0000000000000004E-2</v>
      </c>
      <c r="J80" s="655">
        <f t="shared" si="8"/>
        <v>2.0000000000000004E-2</v>
      </c>
      <c r="K80" s="103"/>
      <c r="L80" s="1577"/>
      <c r="M80" s="1577"/>
      <c r="N80" s="1577"/>
      <c r="O80" s="1577"/>
      <c r="P80" s="1577"/>
    </row>
    <row r="81" spans="1:16" ht="15" customHeight="1" x14ac:dyDescent="0.25">
      <c r="A81" s="2204"/>
      <c r="B81" s="198" t="s">
        <v>33</v>
      </c>
      <c r="C81" s="647">
        <f>ROUND(15/60*$O$5,2)</f>
        <v>0.38</v>
      </c>
      <c r="D81" s="814">
        <v>0</v>
      </c>
      <c r="E81" s="636"/>
      <c r="F81" s="716">
        <f t="shared" si="17"/>
        <v>0</v>
      </c>
      <c r="G81" s="807">
        <f t="shared" si="20"/>
        <v>0.38</v>
      </c>
      <c r="H81" s="647">
        <f t="shared" si="18"/>
        <v>0.30400000000000005</v>
      </c>
      <c r="I81" s="813">
        <f t="shared" si="19"/>
        <v>3.8000000000000006E-2</v>
      </c>
      <c r="J81" s="655">
        <f t="shared" si="8"/>
        <v>3.8000000000000006E-2</v>
      </c>
      <c r="K81" s="103"/>
      <c r="L81" s="1577"/>
      <c r="M81" s="1577"/>
      <c r="N81" s="1577"/>
      <c r="O81" s="1577"/>
      <c r="P81" s="1577"/>
    </row>
    <row r="82" spans="1:16" ht="15" customHeight="1" x14ac:dyDescent="0.25">
      <c r="A82" s="2216"/>
      <c r="B82" s="220" t="s">
        <v>34</v>
      </c>
      <c r="C82" s="647">
        <f>ROUND(20/60*$O$6,2)</f>
        <v>0.56999999999999995</v>
      </c>
      <c r="D82" s="814">
        <v>0</v>
      </c>
      <c r="E82" s="636"/>
      <c r="F82" s="716">
        <f t="shared" si="17"/>
        <v>0</v>
      </c>
      <c r="G82" s="807">
        <f t="shared" si="20"/>
        <v>0.56999999999999995</v>
      </c>
      <c r="H82" s="647">
        <f t="shared" si="18"/>
        <v>0.45599999999999996</v>
      </c>
      <c r="I82" s="813">
        <f t="shared" si="19"/>
        <v>5.6999999999999995E-2</v>
      </c>
      <c r="J82" s="655">
        <f t="shared" si="8"/>
        <v>5.6999999999999995E-2</v>
      </c>
      <c r="K82" s="103"/>
      <c r="L82" s="1577"/>
      <c r="M82" s="1577"/>
      <c r="N82" s="1577"/>
      <c r="O82" s="1577"/>
      <c r="P82" s="1577"/>
    </row>
    <row r="83" spans="1:16" ht="15" customHeight="1" x14ac:dyDescent="0.25">
      <c r="A83" s="2204" t="s">
        <v>1581</v>
      </c>
      <c r="B83" s="198" t="s">
        <v>32</v>
      </c>
      <c r="C83" s="647">
        <f>ROUND(10/60*$O$4,2)</f>
        <v>0.2</v>
      </c>
      <c r="D83" s="814">
        <v>0</v>
      </c>
      <c r="E83" s="629">
        <f>IF($E$2=1, 0.5, 0)</f>
        <v>0</v>
      </c>
      <c r="F83" s="716">
        <f t="shared" ref="F83:F94" si="21">IF($F$2=1,ROUND(6/60,2),0)</f>
        <v>0</v>
      </c>
      <c r="G83" s="807">
        <f t="shared" si="11"/>
        <v>0.2</v>
      </c>
      <c r="H83" s="647">
        <f>G83*70%</f>
        <v>0.13999999999999999</v>
      </c>
      <c r="I83" s="813">
        <f>G83*20%</f>
        <v>4.0000000000000008E-2</v>
      </c>
      <c r="J83" s="655">
        <f t="shared" si="8"/>
        <v>2.0000000000000004E-2</v>
      </c>
      <c r="K83" s="103"/>
      <c r="L83" s="1577"/>
      <c r="M83" s="1577"/>
      <c r="N83" s="1577"/>
      <c r="O83" s="1577"/>
      <c r="P83" s="1577"/>
    </row>
    <row r="84" spans="1:16" ht="15" customHeight="1" x14ac:dyDescent="0.25">
      <c r="A84" s="2204"/>
      <c r="B84" s="198" t="s">
        <v>33</v>
      </c>
      <c r="C84" s="647">
        <f>ROUND(15/60*$O$5,2)</f>
        <v>0.38</v>
      </c>
      <c r="D84" s="814">
        <v>0</v>
      </c>
      <c r="E84" s="629">
        <f>IF($E$2=1, 0.6, 0)</f>
        <v>0</v>
      </c>
      <c r="F84" s="716">
        <f t="shared" si="21"/>
        <v>0</v>
      </c>
      <c r="G84" s="807">
        <f t="shared" si="11"/>
        <v>0.38</v>
      </c>
      <c r="H84" s="647">
        <f>G84*70%</f>
        <v>0.26599999999999996</v>
      </c>
      <c r="I84" s="813">
        <f>G84*20%</f>
        <v>7.6000000000000012E-2</v>
      </c>
      <c r="J84" s="655">
        <f t="shared" si="8"/>
        <v>3.8000000000000006E-2</v>
      </c>
      <c r="K84" s="103"/>
      <c r="L84" s="1577"/>
      <c r="M84" s="1577"/>
      <c r="N84" s="1577"/>
      <c r="O84" s="1577"/>
      <c r="P84" s="1577"/>
    </row>
    <row r="85" spans="1:16" ht="15" customHeight="1" x14ac:dyDescent="0.25">
      <c r="A85" s="2216"/>
      <c r="B85" s="220" t="s">
        <v>34</v>
      </c>
      <c r="C85" s="647">
        <f>ROUND(20/60*$O$6,2)</f>
        <v>0.56999999999999995</v>
      </c>
      <c r="D85" s="814">
        <v>0</v>
      </c>
      <c r="E85" s="629">
        <f>IF($E$2=1, 1, 0)</f>
        <v>0</v>
      </c>
      <c r="F85" s="716">
        <f t="shared" si="21"/>
        <v>0</v>
      </c>
      <c r="G85" s="807">
        <f t="shared" si="11"/>
        <v>0.56999999999999995</v>
      </c>
      <c r="H85" s="647">
        <f>G85*60%</f>
        <v>0.34199999999999997</v>
      </c>
      <c r="I85" s="813">
        <f>G85*20%</f>
        <v>0.11399999999999999</v>
      </c>
      <c r="J85" s="655">
        <f>G85*20%</f>
        <v>0.11399999999999999</v>
      </c>
      <c r="K85" s="103"/>
      <c r="L85" s="1577"/>
      <c r="M85" s="1577"/>
      <c r="N85" s="1577"/>
      <c r="O85" s="1577"/>
      <c r="P85" s="1577"/>
    </row>
    <row r="86" spans="1:16" ht="15.6" customHeight="1" x14ac:dyDescent="0.25">
      <c r="A86" s="2204" t="s">
        <v>1299</v>
      </c>
      <c r="B86" s="198" t="s">
        <v>32</v>
      </c>
      <c r="C86" s="647">
        <f>ROUND(10/60*$O$4,2)</f>
        <v>0.2</v>
      </c>
      <c r="D86" s="814">
        <v>0</v>
      </c>
      <c r="E86" s="629">
        <f>IF($E$2=1, 0.5, 0)</f>
        <v>0</v>
      </c>
      <c r="F86" s="716">
        <f t="shared" si="21"/>
        <v>0</v>
      </c>
      <c r="G86" s="807">
        <f t="shared" si="11"/>
        <v>0.2</v>
      </c>
      <c r="H86" s="647">
        <f>G86*80%</f>
        <v>0.16000000000000003</v>
      </c>
      <c r="I86" s="813">
        <f>G86*10%</f>
        <v>2.0000000000000004E-2</v>
      </c>
      <c r="J86" s="655">
        <f t="shared" ref="J86:J94" si="22">G86*10%</f>
        <v>2.0000000000000004E-2</v>
      </c>
      <c r="K86" s="103"/>
      <c r="L86" s="1577"/>
      <c r="M86" s="1577"/>
      <c r="N86" s="1577"/>
      <c r="O86" s="1577"/>
      <c r="P86" s="1577"/>
    </row>
    <row r="87" spans="1:16" ht="15" customHeight="1" x14ac:dyDescent="0.25">
      <c r="A87" s="2204"/>
      <c r="B87" s="198" t="s">
        <v>33</v>
      </c>
      <c r="C87" s="647">
        <f>ROUND(15/60*$O$5,2)</f>
        <v>0.38</v>
      </c>
      <c r="D87" s="814">
        <v>0</v>
      </c>
      <c r="E87" s="629">
        <f>IF($E$2=1, 0.6, 0)</f>
        <v>0</v>
      </c>
      <c r="F87" s="716">
        <f t="shared" si="21"/>
        <v>0</v>
      </c>
      <c r="G87" s="807">
        <f t="shared" si="11"/>
        <v>0.38</v>
      </c>
      <c r="H87" s="647">
        <f>G87*80%</f>
        <v>0.30400000000000005</v>
      </c>
      <c r="I87" s="813">
        <f>G87*10%</f>
        <v>3.8000000000000006E-2</v>
      </c>
      <c r="J87" s="655">
        <f t="shared" si="22"/>
        <v>3.8000000000000006E-2</v>
      </c>
      <c r="K87" s="103"/>
      <c r="L87" s="1577"/>
      <c r="M87" s="1577"/>
      <c r="N87" s="1577"/>
      <c r="O87" s="1577"/>
      <c r="P87" s="1577"/>
    </row>
    <row r="88" spans="1:16" ht="15" customHeight="1" x14ac:dyDescent="0.25">
      <c r="A88" s="2216"/>
      <c r="B88" s="220" t="s">
        <v>34</v>
      </c>
      <c r="C88" s="647">
        <f>ROUND(15/60*$O$6,2)</f>
        <v>0.43</v>
      </c>
      <c r="D88" s="814">
        <v>0</v>
      </c>
      <c r="E88" s="629">
        <f>IF($E$2=1, 1, 0)</f>
        <v>0</v>
      </c>
      <c r="F88" s="716">
        <f t="shared" si="21"/>
        <v>0</v>
      </c>
      <c r="G88" s="1301">
        <f t="shared" si="11"/>
        <v>0.43</v>
      </c>
      <c r="H88" s="647">
        <f>G88*70%</f>
        <v>0.30099999999999999</v>
      </c>
      <c r="I88" s="813">
        <f>G88*20%</f>
        <v>8.6000000000000007E-2</v>
      </c>
      <c r="J88" s="655">
        <f t="shared" si="22"/>
        <v>4.3000000000000003E-2</v>
      </c>
      <c r="K88" s="470"/>
      <c r="L88" s="1577"/>
      <c r="M88" s="1577"/>
      <c r="N88" s="1577"/>
      <c r="O88" s="1577"/>
      <c r="P88" s="1577"/>
    </row>
    <row r="89" spans="1:16" ht="15" customHeight="1" x14ac:dyDescent="0.25">
      <c r="A89" s="2229" t="s">
        <v>1582</v>
      </c>
      <c r="B89" s="103" t="s">
        <v>32</v>
      </c>
      <c r="C89" s="647">
        <f>ROUND(15/60*$O$4,2)</f>
        <v>0.3</v>
      </c>
      <c r="D89" s="814">
        <v>0</v>
      </c>
      <c r="E89" s="636"/>
      <c r="F89" s="716">
        <f t="shared" si="21"/>
        <v>0</v>
      </c>
      <c r="G89" s="619">
        <f t="shared" ref="G89:G94" si="23" xml:space="preserve"> SUM(C89:F89)</f>
        <v>0.3</v>
      </c>
      <c r="H89" s="647">
        <f t="shared" ref="H89:H94" si="24">G89*80%</f>
        <v>0.24</v>
      </c>
      <c r="I89" s="813">
        <f t="shared" ref="I89:I94" si="25">G89*10%</f>
        <v>0.03</v>
      </c>
      <c r="J89" s="655">
        <f t="shared" si="22"/>
        <v>0.03</v>
      </c>
      <c r="K89" s="817"/>
      <c r="L89" s="1577"/>
      <c r="M89" s="1577"/>
      <c r="N89" s="1577"/>
      <c r="O89" s="1577"/>
      <c r="P89" s="1577"/>
    </row>
    <row r="90" spans="1:16" ht="15.6" customHeight="1" x14ac:dyDescent="0.25">
      <c r="A90" s="2229"/>
      <c r="B90" s="103" t="s">
        <v>33</v>
      </c>
      <c r="C90" s="647">
        <f>ROUND(20/60*$O$5,2)</f>
        <v>0.5</v>
      </c>
      <c r="D90" s="814">
        <v>0</v>
      </c>
      <c r="E90" s="636"/>
      <c r="F90" s="716">
        <f t="shared" si="21"/>
        <v>0</v>
      </c>
      <c r="G90" s="619">
        <f t="shared" si="23"/>
        <v>0.5</v>
      </c>
      <c r="H90" s="647">
        <f t="shared" si="24"/>
        <v>0.4</v>
      </c>
      <c r="I90" s="813">
        <f t="shared" si="25"/>
        <v>0.05</v>
      </c>
      <c r="J90" s="655">
        <f t="shared" si="22"/>
        <v>0.05</v>
      </c>
      <c r="K90" s="817"/>
      <c r="L90" s="1577"/>
      <c r="M90" s="1577"/>
      <c r="N90" s="1577"/>
      <c r="O90" s="1577"/>
      <c r="P90" s="1577"/>
    </row>
    <row r="91" spans="1:16" ht="15" customHeight="1" x14ac:dyDescent="0.25">
      <c r="A91" s="2229"/>
      <c r="B91" s="103" t="s">
        <v>34</v>
      </c>
      <c r="C91" s="647">
        <f>ROUND(20/60*$O$6,2)</f>
        <v>0.56999999999999995</v>
      </c>
      <c r="D91" s="814">
        <v>0</v>
      </c>
      <c r="E91" s="636"/>
      <c r="F91" s="716">
        <f t="shared" si="21"/>
        <v>0</v>
      </c>
      <c r="G91" s="619">
        <f t="shared" si="23"/>
        <v>0.56999999999999995</v>
      </c>
      <c r="H91" s="647">
        <f t="shared" si="24"/>
        <v>0.45599999999999996</v>
      </c>
      <c r="I91" s="813">
        <f t="shared" si="25"/>
        <v>5.6999999999999995E-2</v>
      </c>
      <c r="J91" s="655">
        <f t="shared" si="22"/>
        <v>5.6999999999999995E-2</v>
      </c>
      <c r="K91" s="817"/>
      <c r="L91" s="1577"/>
      <c r="M91" s="1577"/>
      <c r="N91" s="1577"/>
      <c r="O91" s="1577"/>
      <c r="P91" s="1577"/>
    </row>
    <row r="92" spans="1:16" ht="15" customHeight="1" x14ac:dyDescent="0.25">
      <c r="A92" s="2229" t="s">
        <v>1319</v>
      </c>
      <c r="B92" s="103" t="s">
        <v>32</v>
      </c>
      <c r="C92" s="647">
        <f>ROUND(15/60*$O$4,2)</f>
        <v>0.3</v>
      </c>
      <c r="D92" s="814">
        <v>0</v>
      </c>
      <c r="E92" s="636"/>
      <c r="F92" s="716">
        <f t="shared" si="21"/>
        <v>0</v>
      </c>
      <c r="G92" s="619">
        <f t="shared" si="23"/>
        <v>0.3</v>
      </c>
      <c r="H92" s="647">
        <f t="shared" si="24"/>
        <v>0.24</v>
      </c>
      <c r="I92" s="813">
        <f t="shared" si="25"/>
        <v>0.03</v>
      </c>
      <c r="J92" s="655">
        <f t="shared" si="22"/>
        <v>0.03</v>
      </c>
      <c r="K92" s="817"/>
      <c r="L92" s="1577"/>
      <c r="M92" s="1577"/>
      <c r="N92" s="1577"/>
      <c r="O92" s="1577"/>
      <c r="P92" s="1577"/>
    </row>
    <row r="93" spans="1:16" ht="15" customHeight="1" x14ac:dyDescent="0.25">
      <c r="A93" s="2229"/>
      <c r="B93" s="103" t="s">
        <v>33</v>
      </c>
      <c r="C93" s="647">
        <f>ROUND(20/60*$O$5,2)</f>
        <v>0.5</v>
      </c>
      <c r="D93" s="814">
        <v>0</v>
      </c>
      <c r="E93" s="636"/>
      <c r="F93" s="716">
        <f t="shared" si="21"/>
        <v>0</v>
      </c>
      <c r="G93" s="619">
        <f t="shared" si="23"/>
        <v>0.5</v>
      </c>
      <c r="H93" s="647">
        <f t="shared" si="24"/>
        <v>0.4</v>
      </c>
      <c r="I93" s="813">
        <f t="shared" si="25"/>
        <v>0.05</v>
      </c>
      <c r="J93" s="655">
        <f t="shared" si="22"/>
        <v>0.05</v>
      </c>
      <c r="K93" s="817"/>
      <c r="L93" s="1577"/>
      <c r="M93" s="1577"/>
      <c r="N93" s="1577"/>
      <c r="O93" s="1577"/>
      <c r="P93" s="1577"/>
    </row>
    <row r="94" spans="1:16" ht="15.6" customHeight="1" thickBot="1" x14ac:dyDescent="0.3">
      <c r="A94" s="2230"/>
      <c r="B94" s="1260" t="s">
        <v>34</v>
      </c>
      <c r="C94" s="1291">
        <f>ROUND(20/60*$O$6,2)</f>
        <v>0.56999999999999995</v>
      </c>
      <c r="D94" s="752">
        <v>0</v>
      </c>
      <c r="E94" s="1302"/>
      <c r="F94" s="715">
        <f t="shared" si="21"/>
        <v>0</v>
      </c>
      <c r="G94" s="622">
        <f t="shared" si="23"/>
        <v>0.56999999999999995</v>
      </c>
      <c r="H94" s="1291">
        <f t="shared" si="24"/>
        <v>0.45599999999999996</v>
      </c>
      <c r="I94" s="1292">
        <f t="shared" si="25"/>
        <v>5.6999999999999995E-2</v>
      </c>
      <c r="J94" s="1293">
        <f t="shared" si="22"/>
        <v>5.6999999999999995E-2</v>
      </c>
      <c r="K94" s="818"/>
      <c r="L94" s="1577"/>
      <c r="M94" s="1577"/>
      <c r="N94" s="1577"/>
      <c r="O94" s="1577"/>
      <c r="P94" s="1577"/>
    </row>
    <row r="95" spans="1:16" ht="15" customHeight="1" x14ac:dyDescent="0.25">
      <c r="A95" s="2227" t="s">
        <v>1300</v>
      </c>
      <c r="B95" s="2227"/>
      <c r="C95" s="2227"/>
      <c r="D95" s="2227"/>
      <c r="E95" s="2227"/>
      <c r="F95" s="2227"/>
      <c r="G95" s="2227"/>
      <c r="H95" s="2227"/>
      <c r="I95" s="2227"/>
      <c r="J95" s="2227"/>
      <c r="K95" s="2227"/>
      <c r="L95" s="1577"/>
      <c r="M95" s="1577"/>
      <c r="N95" s="1577"/>
      <c r="O95" s="1577"/>
      <c r="P95" s="1577"/>
    </row>
    <row r="96" spans="1:16" ht="15" customHeight="1" x14ac:dyDescent="0.25">
      <c r="A96" s="2218" t="s">
        <v>1301</v>
      </c>
      <c r="B96" s="198" t="s">
        <v>32</v>
      </c>
      <c r="C96" s="647">
        <f>ROUND(90/60*$O$4,2)</f>
        <v>1.8</v>
      </c>
      <c r="D96" s="814">
        <v>0</v>
      </c>
      <c r="E96" s="636"/>
      <c r="F96" s="716">
        <f>IF($F$2=1,ROUND(6/60,2),0)</f>
        <v>0</v>
      </c>
      <c r="G96" s="807">
        <f xml:space="preserve"> SUM(C96:F96)</f>
        <v>1.8</v>
      </c>
      <c r="H96" s="647">
        <f>G96*80%</f>
        <v>1.4400000000000002</v>
      </c>
      <c r="I96" s="813">
        <f>G96*10%</f>
        <v>0.18000000000000002</v>
      </c>
      <c r="J96" s="655">
        <f>G96*10%</f>
        <v>0.18000000000000002</v>
      </c>
      <c r="K96" s="103"/>
      <c r="L96" s="1577"/>
      <c r="M96" s="1577"/>
      <c r="N96" s="1577"/>
      <c r="O96" s="1577"/>
      <c r="P96" s="1577"/>
    </row>
    <row r="97" spans="1:16" ht="15" customHeight="1" x14ac:dyDescent="0.25">
      <c r="A97" s="2219"/>
      <c r="B97" s="198" t="s">
        <v>33</v>
      </c>
      <c r="C97" s="647">
        <f>ROUND(100/60*$O$5,2)</f>
        <v>2.5</v>
      </c>
      <c r="D97" s="814">
        <v>0</v>
      </c>
      <c r="E97" s="636"/>
      <c r="F97" s="716">
        <f>IF($F$2=1,ROUND(6/60,2),0)</f>
        <v>0</v>
      </c>
      <c r="G97" s="807">
        <f xml:space="preserve"> SUM(C97:F97)</f>
        <v>2.5</v>
      </c>
      <c r="H97" s="647">
        <f>G97*70%</f>
        <v>1.75</v>
      </c>
      <c r="I97" s="813">
        <f>G97*20%</f>
        <v>0.5</v>
      </c>
      <c r="J97" s="655">
        <f>G97*10%</f>
        <v>0.25</v>
      </c>
      <c r="K97" s="103"/>
      <c r="L97" s="1577"/>
      <c r="M97" s="1577"/>
      <c r="N97" s="1577"/>
      <c r="O97" s="1577"/>
      <c r="P97" s="1577"/>
    </row>
    <row r="98" spans="1:16" ht="14.45" customHeight="1" x14ac:dyDescent="0.25">
      <c r="A98" s="2220"/>
      <c r="B98" s="220" t="s">
        <v>34</v>
      </c>
      <c r="C98" s="647">
        <f>ROUND(110/60*$O$6,2)</f>
        <v>3.12</v>
      </c>
      <c r="D98" s="814">
        <v>0</v>
      </c>
      <c r="E98" s="636"/>
      <c r="F98" s="716">
        <f>IF($F$2=1,ROUND(6/60,2),0)</f>
        <v>0</v>
      </c>
      <c r="G98" s="807">
        <f xml:space="preserve"> SUM(C98:F98)</f>
        <v>3.12</v>
      </c>
      <c r="H98" s="647">
        <f>G98*70%</f>
        <v>2.1839999999999997</v>
      </c>
      <c r="I98" s="813">
        <f>G98*20%</f>
        <v>0.62400000000000011</v>
      </c>
      <c r="J98" s="655">
        <f>G98*10%</f>
        <v>0.31200000000000006</v>
      </c>
      <c r="K98" s="103"/>
      <c r="L98" s="1577"/>
      <c r="M98" s="1577"/>
      <c r="N98" s="1577"/>
      <c r="O98" s="1577"/>
      <c r="P98" s="1577"/>
    </row>
    <row r="99" spans="1:16" ht="15" customHeight="1" x14ac:dyDescent="0.25">
      <c r="A99" s="2227" t="s">
        <v>1302</v>
      </c>
      <c r="B99" s="2227"/>
      <c r="C99" s="2227"/>
      <c r="D99" s="2227"/>
      <c r="E99" s="2227"/>
      <c r="F99" s="2227"/>
      <c r="G99" s="2227"/>
      <c r="H99" s="2227"/>
      <c r="I99" s="2227"/>
      <c r="J99" s="2227"/>
      <c r="K99" s="2227"/>
      <c r="L99" s="1577"/>
      <c r="M99" s="1577"/>
      <c r="N99" s="1577"/>
      <c r="O99" s="1577"/>
      <c r="P99" s="1577"/>
    </row>
    <row r="100" spans="1:16" ht="15" customHeight="1" x14ac:dyDescent="0.25">
      <c r="A100" s="2204" t="s">
        <v>1303</v>
      </c>
      <c r="B100" s="198" t="s">
        <v>32</v>
      </c>
      <c r="C100" s="647">
        <f>ROUND(20/60*$O$4,2)</f>
        <v>0.4</v>
      </c>
      <c r="D100" s="814">
        <v>0</v>
      </c>
      <c r="E100" s="629">
        <f>IF($E$2=1, 0.5, 0)</f>
        <v>0</v>
      </c>
      <c r="F100" s="716">
        <f>IF($F$2=1,ROUND(6/60,2),0)</f>
        <v>0</v>
      </c>
      <c r="G100" s="807">
        <f xml:space="preserve"> SUM(C100:F100)</f>
        <v>0.4</v>
      </c>
      <c r="H100" s="647">
        <f>G100*80%</f>
        <v>0.32000000000000006</v>
      </c>
      <c r="I100" s="813">
        <f>G100*10%</f>
        <v>4.0000000000000008E-2</v>
      </c>
      <c r="J100" s="655">
        <f>G100*10%</f>
        <v>4.0000000000000008E-2</v>
      </c>
      <c r="K100" s="103"/>
      <c r="L100" s="1577"/>
      <c r="M100" s="1577"/>
      <c r="N100" s="1577"/>
      <c r="O100" s="1577"/>
      <c r="P100" s="1577"/>
    </row>
    <row r="101" spans="1:16" ht="15" customHeight="1" x14ac:dyDescent="0.25">
      <c r="A101" s="2204"/>
      <c r="B101" s="198" t="s">
        <v>33</v>
      </c>
      <c r="C101" s="647">
        <f>ROUND(25/60*$O$5,2)</f>
        <v>0.63</v>
      </c>
      <c r="D101" s="814">
        <v>0</v>
      </c>
      <c r="E101" s="629">
        <f>IF($E$2=1, 0.6, 0)</f>
        <v>0</v>
      </c>
      <c r="F101" s="716">
        <f>IF($F$2=1,ROUND(6/60,2),0)</f>
        <v>0</v>
      </c>
      <c r="G101" s="807">
        <f xml:space="preserve"> SUM(C101:F101)</f>
        <v>0.63</v>
      </c>
      <c r="H101" s="647">
        <f>G101*70%</f>
        <v>0.44099999999999995</v>
      </c>
      <c r="I101" s="813">
        <f>G101*20%</f>
        <v>0.126</v>
      </c>
      <c r="J101" s="655">
        <f>G101*10%</f>
        <v>6.3E-2</v>
      </c>
      <c r="K101" s="103"/>
      <c r="L101" s="1577"/>
      <c r="M101" s="1577"/>
      <c r="N101" s="1577"/>
      <c r="O101" s="1577"/>
      <c r="P101" s="1577"/>
    </row>
    <row r="102" spans="1:16" ht="14.45" customHeight="1" x14ac:dyDescent="0.25">
      <c r="A102" s="2216"/>
      <c r="B102" s="220" t="s">
        <v>34</v>
      </c>
      <c r="C102" s="647">
        <f>ROUND(30/60*$O$6,2)</f>
        <v>0.85</v>
      </c>
      <c r="D102" s="814">
        <v>0</v>
      </c>
      <c r="E102" s="629">
        <f>IF($E$2=1, 1, 0)</f>
        <v>0</v>
      </c>
      <c r="F102" s="716">
        <f>IF($F$2=1,ROUND(6/60,2),0)</f>
        <v>0</v>
      </c>
      <c r="G102" s="807">
        <f xml:space="preserve"> SUM(C102:F102)</f>
        <v>0.85</v>
      </c>
      <c r="H102" s="647">
        <f>G102*70%</f>
        <v>0.59499999999999997</v>
      </c>
      <c r="I102" s="813">
        <f>G102*20%</f>
        <v>0.17</v>
      </c>
      <c r="J102" s="655">
        <f>G102*10%</f>
        <v>8.5000000000000006E-2</v>
      </c>
      <c r="K102" s="103"/>
      <c r="L102" s="1577"/>
      <c r="M102" s="1577"/>
      <c r="N102" s="1577"/>
      <c r="O102" s="1577"/>
      <c r="P102" s="1577"/>
    </row>
    <row r="103" spans="1:16" ht="15" customHeight="1" x14ac:dyDescent="0.25">
      <c r="A103" s="2227" t="s">
        <v>1304</v>
      </c>
      <c r="B103" s="2227"/>
      <c r="C103" s="2227"/>
      <c r="D103" s="2227"/>
      <c r="E103" s="2227"/>
      <c r="F103" s="2227"/>
      <c r="G103" s="2227"/>
      <c r="H103" s="2227"/>
      <c r="I103" s="2227"/>
      <c r="J103" s="2227"/>
      <c r="K103" s="2227"/>
      <c r="L103" s="1577"/>
      <c r="M103" s="1577"/>
      <c r="N103" s="1577"/>
      <c r="O103" s="1577"/>
      <c r="P103" s="1577"/>
    </row>
    <row r="104" spans="1:16" ht="15" customHeight="1" x14ac:dyDescent="0.25">
      <c r="A104" s="2204" t="s">
        <v>1305</v>
      </c>
      <c r="B104" s="198" t="s">
        <v>32</v>
      </c>
      <c r="C104" s="647">
        <f>ROUND(20/60*$O$4,2)</f>
        <v>0.4</v>
      </c>
      <c r="D104" s="814">
        <v>0</v>
      </c>
      <c r="E104" s="629">
        <f>IF($E$2=1, 0.5, 0)</f>
        <v>0</v>
      </c>
      <c r="F104" s="716">
        <f>IF($F$2=1,ROUND(6/60,2),0)</f>
        <v>0</v>
      </c>
      <c r="G104" s="807">
        <f xml:space="preserve"> SUM(C104:F104)</f>
        <v>0.4</v>
      </c>
      <c r="H104" s="647">
        <f>G104*80%</f>
        <v>0.32000000000000006</v>
      </c>
      <c r="I104" s="813">
        <f>G104*10%</f>
        <v>4.0000000000000008E-2</v>
      </c>
      <c r="J104" s="655">
        <f>G104*10%</f>
        <v>4.0000000000000008E-2</v>
      </c>
      <c r="K104" s="103"/>
      <c r="L104" s="1577"/>
      <c r="M104" s="1577"/>
      <c r="N104" s="1577"/>
      <c r="O104" s="1577"/>
      <c r="P104" s="1577"/>
    </row>
    <row r="105" spans="1:16" ht="15" customHeight="1" x14ac:dyDescent="0.25">
      <c r="A105" s="2204"/>
      <c r="B105" s="198" t="s">
        <v>33</v>
      </c>
      <c r="C105" s="647">
        <f>ROUND(25/60*$O$5,2)</f>
        <v>0.63</v>
      </c>
      <c r="D105" s="814">
        <v>0</v>
      </c>
      <c r="E105" s="629">
        <f>IF($E$2=1, 0.6, 0)</f>
        <v>0</v>
      </c>
      <c r="F105" s="716">
        <f>IF($F$2=1,ROUND(6/60,2),0)</f>
        <v>0</v>
      </c>
      <c r="G105" s="807">
        <f xml:space="preserve"> SUM(C105:F105)</f>
        <v>0.63</v>
      </c>
      <c r="H105" s="647">
        <f>G105*70%</f>
        <v>0.44099999999999995</v>
      </c>
      <c r="I105" s="813">
        <f>G105*20%</f>
        <v>0.126</v>
      </c>
      <c r="J105" s="655">
        <f>G105*10%</f>
        <v>6.3E-2</v>
      </c>
      <c r="K105" s="103"/>
      <c r="L105" s="1577"/>
      <c r="M105" s="1577"/>
      <c r="N105" s="1577"/>
      <c r="O105" s="1577"/>
      <c r="P105" s="1577"/>
    </row>
    <row r="106" spans="1:16" ht="14.45" customHeight="1" x14ac:dyDescent="0.25">
      <c r="A106" s="2216"/>
      <c r="B106" s="220" t="s">
        <v>34</v>
      </c>
      <c r="C106" s="647">
        <f>ROUND(30/60*$O$6,2)</f>
        <v>0.85</v>
      </c>
      <c r="D106" s="814">
        <v>0</v>
      </c>
      <c r="E106" s="629">
        <f>IF($E$2=1, 1, 0)</f>
        <v>0</v>
      </c>
      <c r="F106" s="716">
        <f>IF($F$2=1,ROUND(6/60,2),0)</f>
        <v>0</v>
      </c>
      <c r="G106" s="807">
        <f xml:space="preserve"> SUM(C106:F106)</f>
        <v>0.85</v>
      </c>
      <c r="H106" s="647">
        <f>G106*70%</f>
        <v>0.59499999999999997</v>
      </c>
      <c r="I106" s="813">
        <f>G106*20%</f>
        <v>0.17</v>
      </c>
      <c r="J106" s="655">
        <f>G106*10%</f>
        <v>8.5000000000000006E-2</v>
      </c>
      <c r="K106" s="103"/>
      <c r="L106" s="1577"/>
      <c r="M106" s="1577"/>
      <c r="N106" s="1577"/>
      <c r="O106" s="1577"/>
      <c r="P106" s="1577"/>
    </row>
    <row r="107" spans="1:16" ht="15" customHeight="1" x14ac:dyDescent="0.25">
      <c r="A107" s="2237" t="s">
        <v>1306</v>
      </c>
      <c r="B107" s="2227"/>
      <c r="C107" s="2227"/>
      <c r="D107" s="2227"/>
      <c r="E107" s="2227"/>
      <c r="F107" s="2227"/>
      <c r="G107" s="2227"/>
      <c r="H107" s="2227"/>
      <c r="I107" s="2227"/>
      <c r="J107" s="2227"/>
      <c r="K107" s="2238"/>
      <c r="L107" s="1577"/>
      <c r="M107" s="1577"/>
      <c r="N107" s="1577"/>
      <c r="O107" s="1577"/>
      <c r="P107" s="1577"/>
    </row>
    <row r="108" spans="1:16" ht="15" customHeight="1" x14ac:dyDescent="0.25">
      <c r="A108" s="2204" t="s">
        <v>1307</v>
      </c>
      <c r="B108" s="198" t="s">
        <v>32</v>
      </c>
      <c r="C108" s="647">
        <f>ROUND(20/60*$O$4,2)</f>
        <v>0.4</v>
      </c>
      <c r="D108" s="814">
        <v>0</v>
      </c>
      <c r="E108" s="636"/>
      <c r="F108" s="716">
        <f>IF($F$2=1,ROUND(6/60,2),0)</f>
        <v>0</v>
      </c>
      <c r="G108" s="807">
        <f xml:space="preserve"> SUM(C108:F108)</f>
        <v>0.4</v>
      </c>
      <c r="H108" s="647">
        <f>G108*80%</f>
        <v>0.32000000000000006</v>
      </c>
      <c r="I108" s="813">
        <f>G108*20%</f>
        <v>8.0000000000000016E-2</v>
      </c>
      <c r="J108" s="655">
        <v>0</v>
      </c>
      <c r="K108" s="103"/>
      <c r="L108" s="1577"/>
      <c r="M108" s="1577"/>
      <c r="N108" s="1577"/>
      <c r="O108" s="1577"/>
      <c r="P108" s="1577"/>
    </row>
    <row r="109" spans="1:16" ht="15" customHeight="1" x14ac:dyDescent="0.25">
      <c r="A109" s="2204"/>
      <c r="B109" s="198" t="s">
        <v>33</v>
      </c>
      <c r="C109" s="647">
        <f>ROUND(30/60*$O$5,2)</f>
        <v>0.75</v>
      </c>
      <c r="D109" s="814">
        <v>0</v>
      </c>
      <c r="E109" s="636"/>
      <c r="F109" s="716">
        <f>IF($F$2=1,ROUND(6/60,2),0)</f>
        <v>0</v>
      </c>
      <c r="G109" s="807">
        <f xml:space="preserve"> SUM(C109:F109)</f>
        <v>0.75</v>
      </c>
      <c r="H109" s="647">
        <f>G109*80%</f>
        <v>0.60000000000000009</v>
      </c>
      <c r="I109" s="813">
        <f>G109*20%</f>
        <v>0.15000000000000002</v>
      </c>
      <c r="J109" s="655">
        <v>0</v>
      </c>
      <c r="K109" s="103"/>
      <c r="L109" s="1577"/>
      <c r="M109" s="1577"/>
      <c r="N109" s="1577"/>
      <c r="O109" s="1577"/>
      <c r="P109" s="1577"/>
    </row>
    <row r="110" spans="1:16" ht="15" customHeight="1" x14ac:dyDescent="0.25">
      <c r="A110" s="2216"/>
      <c r="B110" s="220" t="s">
        <v>34</v>
      </c>
      <c r="C110" s="647">
        <f>ROUND(40/60*$O$6,2)</f>
        <v>1.1299999999999999</v>
      </c>
      <c r="D110" s="814">
        <v>0</v>
      </c>
      <c r="E110" s="636"/>
      <c r="F110" s="716">
        <f>IF($F$2=1,ROUND(6/60,2),0)</f>
        <v>0</v>
      </c>
      <c r="G110" s="807">
        <f xml:space="preserve"> SUM(C110:F110)</f>
        <v>1.1299999999999999</v>
      </c>
      <c r="H110" s="647">
        <f>G110*80%</f>
        <v>0.90399999999999991</v>
      </c>
      <c r="I110" s="813">
        <f>G110*20%</f>
        <v>0.22599999999999998</v>
      </c>
      <c r="J110" s="655">
        <v>0</v>
      </c>
      <c r="K110" s="103"/>
      <c r="L110" s="1577"/>
      <c r="M110" s="1577"/>
      <c r="N110" s="1577"/>
      <c r="O110" s="1577"/>
      <c r="P110" s="1577"/>
    </row>
    <row r="111" spans="1:16" ht="15" customHeight="1" x14ac:dyDescent="0.25">
      <c r="A111" s="2226" t="s">
        <v>1308</v>
      </c>
      <c r="B111" s="2227"/>
      <c r="C111" s="2227"/>
      <c r="D111" s="2227"/>
      <c r="E111" s="2227"/>
      <c r="F111" s="2227"/>
      <c r="G111" s="2227"/>
      <c r="H111" s="2227"/>
      <c r="I111" s="2227"/>
      <c r="J111" s="2227"/>
      <c r="K111" s="2228"/>
      <c r="L111" s="1577"/>
      <c r="M111" s="1577"/>
      <c r="N111" s="1577"/>
      <c r="O111" s="1577"/>
      <c r="P111" s="1577"/>
    </row>
    <row r="112" spans="1:16" ht="15" customHeight="1" x14ac:dyDescent="0.25">
      <c r="A112" s="2204" t="s">
        <v>1583</v>
      </c>
      <c r="B112" s="198" t="s">
        <v>32</v>
      </c>
      <c r="C112" s="647">
        <f>ROUND(10/60*$O$4,2)</f>
        <v>0.2</v>
      </c>
      <c r="D112" s="814">
        <v>0</v>
      </c>
      <c r="E112" s="636"/>
      <c r="F112" s="716">
        <f>IF($F$2=1,ROUND(8/60,2),0)</f>
        <v>0</v>
      </c>
      <c r="G112" s="807">
        <f xml:space="preserve"> SUM(C112:F112)</f>
        <v>0.2</v>
      </c>
      <c r="H112" s="647">
        <f>G112*80%</f>
        <v>0.16000000000000003</v>
      </c>
      <c r="I112" s="813">
        <f>G112*10%</f>
        <v>2.0000000000000004E-2</v>
      </c>
      <c r="J112" s="655">
        <f>G112*10%</f>
        <v>2.0000000000000004E-2</v>
      </c>
      <c r="K112" s="103"/>
      <c r="L112" s="1577"/>
      <c r="M112" s="1577"/>
      <c r="N112" s="1577"/>
      <c r="O112" s="1577"/>
      <c r="P112" s="1577"/>
    </row>
    <row r="113" spans="1:16" ht="15.6" customHeight="1" x14ac:dyDescent="0.25">
      <c r="A113" s="2204"/>
      <c r="B113" s="198" t="s">
        <v>33</v>
      </c>
      <c r="C113" s="647">
        <f>ROUND(15/60*$O$5,2)</f>
        <v>0.38</v>
      </c>
      <c r="D113" s="814">
        <v>0</v>
      </c>
      <c r="E113" s="636"/>
      <c r="F113" s="716">
        <f>IF($F$2=1,ROUND(8/60,2),0)</f>
        <v>0</v>
      </c>
      <c r="G113" s="807">
        <f xml:space="preserve"> SUM(C113:F113)</f>
        <v>0.38</v>
      </c>
      <c r="H113" s="647">
        <f>G113*80%</f>
        <v>0.30400000000000005</v>
      </c>
      <c r="I113" s="813">
        <f>G113*10%</f>
        <v>3.8000000000000006E-2</v>
      </c>
      <c r="J113" s="655">
        <f>G113*10%</f>
        <v>3.8000000000000006E-2</v>
      </c>
      <c r="K113" s="103"/>
      <c r="L113" s="1577"/>
      <c r="M113" s="1577"/>
      <c r="N113" s="1577"/>
      <c r="O113" s="1577"/>
      <c r="P113" s="1577"/>
    </row>
    <row r="114" spans="1:16" ht="15" customHeight="1" x14ac:dyDescent="0.25">
      <c r="A114" s="2216"/>
      <c r="B114" s="220" t="s">
        <v>34</v>
      </c>
      <c r="C114" s="647">
        <f>ROUND(20/60*$O$6,2)</f>
        <v>0.56999999999999995</v>
      </c>
      <c r="D114" s="814">
        <v>0</v>
      </c>
      <c r="E114" s="636"/>
      <c r="F114" s="716">
        <f>IF($F$2=1,ROUND(8/60,2),0)</f>
        <v>0</v>
      </c>
      <c r="G114" s="807">
        <f xml:space="preserve"> SUM(C114:F114)</f>
        <v>0.56999999999999995</v>
      </c>
      <c r="H114" s="647">
        <f>G114*80%</f>
        <v>0.45599999999999996</v>
      </c>
      <c r="I114" s="813">
        <f>G114*10%</f>
        <v>5.6999999999999995E-2</v>
      </c>
      <c r="J114" s="655">
        <f>G114*10%</f>
        <v>5.6999999999999995E-2</v>
      </c>
      <c r="K114" s="103"/>
      <c r="L114" s="1577"/>
      <c r="M114" s="1577"/>
      <c r="N114" s="1577"/>
      <c r="O114" s="1577"/>
      <c r="P114" s="1577"/>
    </row>
    <row r="115" spans="1:16" ht="15" customHeight="1" x14ac:dyDescent="0.25">
      <c r="A115" s="2226" t="s">
        <v>1309</v>
      </c>
      <c r="B115" s="2234"/>
      <c r="C115" s="2227"/>
      <c r="D115" s="2227"/>
      <c r="E115" s="2227"/>
      <c r="F115" s="2227"/>
      <c r="G115" s="2235"/>
      <c r="H115" s="2227"/>
      <c r="I115" s="2227"/>
      <c r="J115" s="2227"/>
      <c r="K115" s="2236"/>
      <c r="L115" s="1577"/>
      <c r="M115" s="1577"/>
      <c r="N115" s="1577"/>
      <c r="O115" s="1577"/>
      <c r="P115" s="1577"/>
    </row>
    <row r="116" spans="1:16" ht="15" customHeight="1" x14ac:dyDescent="0.25">
      <c r="A116" s="2204" t="s">
        <v>1310</v>
      </c>
      <c r="B116" s="198" t="s">
        <v>32</v>
      </c>
      <c r="C116" s="647">
        <f>ROUND(20/60*$O$4,2)</f>
        <v>0.4</v>
      </c>
      <c r="D116" s="814">
        <v>0</v>
      </c>
      <c r="E116" s="636"/>
      <c r="F116" s="716">
        <f t="shared" ref="F116:F121" si="26">IF($F$2=1,ROUND(8/60,2),0)</f>
        <v>0</v>
      </c>
      <c r="G116" s="807">
        <f t="shared" ref="G116:G121" si="27" xml:space="preserve"> SUM(C116:F116)</f>
        <v>0.4</v>
      </c>
      <c r="H116" s="647">
        <f t="shared" ref="H116:H121" si="28">G116*80%</f>
        <v>0.32000000000000006</v>
      </c>
      <c r="I116" s="813">
        <f t="shared" ref="I116:I121" si="29">G116*20%</f>
        <v>8.0000000000000016E-2</v>
      </c>
      <c r="J116" s="655">
        <v>0</v>
      </c>
      <c r="K116" s="103"/>
      <c r="L116" s="1577"/>
      <c r="M116" s="1577"/>
      <c r="N116" s="1577"/>
      <c r="O116" s="1577"/>
      <c r="P116" s="1577"/>
    </row>
    <row r="117" spans="1:16" ht="15" customHeight="1" x14ac:dyDescent="0.25">
      <c r="A117" s="2204"/>
      <c r="B117" s="220" t="s">
        <v>33</v>
      </c>
      <c r="C117" s="647">
        <f>ROUND(30/60*$O$5,2)</f>
        <v>0.75</v>
      </c>
      <c r="D117" s="814">
        <v>0</v>
      </c>
      <c r="E117" s="636"/>
      <c r="F117" s="716">
        <f t="shared" si="26"/>
        <v>0</v>
      </c>
      <c r="G117" s="807">
        <f t="shared" si="27"/>
        <v>0.75</v>
      </c>
      <c r="H117" s="647">
        <f t="shared" si="28"/>
        <v>0.60000000000000009</v>
      </c>
      <c r="I117" s="813">
        <f t="shared" si="29"/>
        <v>0.15000000000000002</v>
      </c>
      <c r="J117" s="655">
        <v>0</v>
      </c>
      <c r="K117" s="103"/>
      <c r="L117" s="1577"/>
      <c r="M117" s="1577"/>
      <c r="N117" s="1577"/>
      <c r="O117" s="1577"/>
      <c r="P117" s="1577"/>
    </row>
    <row r="118" spans="1:16" ht="15" customHeight="1" x14ac:dyDescent="0.25">
      <c r="A118" s="2216"/>
      <c r="B118" s="817" t="s">
        <v>34</v>
      </c>
      <c r="C118" s="647">
        <f>ROUND(40/60*$O$6,2)</f>
        <v>1.1299999999999999</v>
      </c>
      <c r="D118" s="814">
        <v>0</v>
      </c>
      <c r="E118" s="636"/>
      <c r="F118" s="716">
        <f t="shared" si="26"/>
        <v>0</v>
      </c>
      <c r="G118" s="807">
        <f t="shared" si="27"/>
        <v>1.1299999999999999</v>
      </c>
      <c r="H118" s="647">
        <f t="shared" si="28"/>
        <v>0.90399999999999991</v>
      </c>
      <c r="I118" s="813">
        <f t="shared" si="29"/>
        <v>0.22599999999999998</v>
      </c>
      <c r="J118" s="655">
        <v>0</v>
      </c>
      <c r="K118" s="103"/>
      <c r="L118" s="1577"/>
      <c r="M118" s="1577"/>
      <c r="N118" s="1577"/>
      <c r="O118" s="1577"/>
      <c r="P118" s="1577"/>
    </row>
    <row r="119" spans="1:16" ht="15" customHeight="1" x14ac:dyDescent="0.25">
      <c r="A119" s="2204" t="s">
        <v>1311</v>
      </c>
      <c r="B119" s="420" t="s">
        <v>32</v>
      </c>
      <c r="C119" s="647">
        <f>ROUND(20/60*$O$4,2)</f>
        <v>0.4</v>
      </c>
      <c r="D119" s="814">
        <v>0</v>
      </c>
      <c r="E119" s="636"/>
      <c r="F119" s="716">
        <f t="shared" si="26"/>
        <v>0</v>
      </c>
      <c r="G119" s="807">
        <f t="shared" si="27"/>
        <v>0.4</v>
      </c>
      <c r="H119" s="647">
        <f t="shared" si="28"/>
        <v>0.32000000000000006</v>
      </c>
      <c r="I119" s="813">
        <f t="shared" si="29"/>
        <v>8.0000000000000016E-2</v>
      </c>
      <c r="J119" s="655">
        <v>0</v>
      </c>
      <c r="K119" s="103"/>
      <c r="L119" s="1577"/>
      <c r="M119" s="1577"/>
      <c r="N119" s="1577"/>
      <c r="O119" s="1577"/>
      <c r="P119" s="1577"/>
    </row>
    <row r="120" spans="1:16" ht="15" customHeight="1" x14ac:dyDescent="0.25">
      <c r="A120" s="2204"/>
      <c r="B120" s="198" t="s">
        <v>33</v>
      </c>
      <c r="C120" s="647">
        <f>ROUND(30/60*$O$5,2)</f>
        <v>0.75</v>
      </c>
      <c r="D120" s="814">
        <v>0</v>
      </c>
      <c r="E120" s="636"/>
      <c r="F120" s="716">
        <f t="shared" si="26"/>
        <v>0</v>
      </c>
      <c r="G120" s="807">
        <f t="shared" si="27"/>
        <v>0.75</v>
      </c>
      <c r="H120" s="647">
        <f t="shared" si="28"/>
        <v>0.60000000000000009</v>
      </c>
      <c r="I120" s="813">
        <f t="shared" si="29"/>
        <v>0.15000000000000002</v>
      </c>
      <c r="J120" s="655">
        <v>0</v>
      </c>
      <c r="K120" s="103"/>
      <c r="L120" s="1577"/>
      <c r="M120" s="1577"/>
      <c r="N120" s="1577"/>
      <c r="O120" s="1577"/>
      <c r="P120" s="1577"/>
    </row>
    <row r="121" spans="1:16" ht="15" customHeight="1" x14ac:dyDescent="0.25">
      <c r="A121" s="2216"/>
      <c r="B121" s="220" t="s">
        <v>34</v>
      </c>
      <c r="C121" s="647">
        <f>ROUND(40/60*$O$6,2)</f>
        <v>1.1299999999999999</v>
      </c>
      <c r="D121" s="814">
        <v>0</v>
      </c>
      <c r="E121" s="636"/>
      <c r="F121" s="716">
        <f t="shared" si="26"/>
        <v>0</v>
      </c>
      <c r="G121" s="807">
        <f t="shared" si="27"/>
        <v>1.1299999999999999</v>
      </c>
      <c r="H121" s="647">
        <f t="shared" si="28"/>
        <v>0.90399999999999991</v>
      </c>
      <c r="I121" s="813">
        <f t="shared" si="29"/>
        <v>0.22599999999999998</v>
      </c>
      <c r="J121" s="655">
        <v>0</v>
      </c>
      <c r="K121" s="103"/>
      <c r="L121" s="1577"/>
      <c r="M121" s="1577"/>
      <c r="N121" s="1577"/>
      <c r="O121" s="1577"/>
      <c r="P121" s="1577"/>
    </row>
    <row r="122" spans="1:16" ht="15" customHeight="1" x14ac:dyDescent="0.25">
      <c r="A122" s="2226" t="s">
        <v>1312</v>
      </c>
      <c r="B122" s="2227"/>
      <c r="C122" s="2227"/>
      <c r="D122" s="2227"/>
      <c r="E122" s="2227"/>
      <c r="F122" s="2227"/>
      <c r="G122" s="2227"/>
      <c r="H122" s="2227"/>
      <c r="I122" s="2227"/>
      <c r="J122" s="2227"/>
      <c r="K122" s="2228"/>
      <c r="L122" s="1577"/>
      <c r="M122" s="1577"/>
      <c r="N122" s="1577"/>
      <c r="O122" s="1577"/>
      <c r="P122" s="1577"/>
    </row>
    <row r="123" spans="1:16" ht="15" customHeight="1" x14ac:dyDescent="0.25">
      <c r="A123" s="2204" t="s">
        <v>1584</v>
      </c>
      <c r="B123" s="198" t="s">
        <v>32</v>
      </c>
      <c r="C123" s="647">
        <f>ROUND(60/60*$O$4,2)</f>
        <v>1.2</v>
      </c>
      <c r="D123" s="814">
        <v>0</v>
      </c>
      <c r="E123" s="636"/>
      <c r="F123" s="716">
        <f t="shared" ref="F123:F125" si="30">IF($F$2=1,ROUND(8/60,2),0)</f>
        <v>0</v>
      </c>
      <c r="G123" s="807">
        <f t="shared" si="11"/>
        <v>1.2</v>
      </c>
      <c r="H123" s="647">
        <f t="shared" ref="H123:H125" si="31">G123*80%</f>
        <v>0.96</v>
      </c>
      <c r="I123" s="813">
        <f t="shared" ref="I123:I125" si="32">G123*10%</f>
        <v>0.12</v>
      </c>
      <c r="J123" s="655">
        <f t="shared" ref="J123:J125" si="33">G123*10%</f>
        <v>0.12</v>
      </c>
      <c r="K123" s="103"/>
      <c r="L123" s="1577"/>
      <c r="M123" s="1577"/>
      <c r="N123" s="1577"/>
      <c r="O123" s="1577"/>
      <c r="P123" s="1577"/>
    </row>
    <row r="124" spans="1:16" ht="15" customHeight="1" x14ac:dyDescent="0.25">
      <c r="A124" s="2204"/>
      <c r="B124" s="198" t="s">
        <v>33</v>
      </c>
      <c r="C124" s="647">
        <f>ROUND(70/60*$O$5,2)</f>
        <v>1.75</v>
      </c>
      <c r="D124" s="814">
        <v>0</v>
      </c>
      <c r="E124" s="636"/>
      <c r="F124" s="716">
        <f t="shared" si="30"/>
        <v>0</v>
      </c>
      <c r="G124" s="807">
        <f t="shared" si="11"/>
        <v>1.75</v>
      </c>
      <c r="H124" s="647">
        <f t="shared" si="31"/>
        <v>1.4000000000000001</v>
      </c>
      <c r="I124" s="813">
        <f t="shared" si="32"/>
        <v>0.17500000000000002</v>
      </c>
      <c r="J124" s="655">
        <f t="shared" si="33"/>
        <v>0.17500000000000002</v>
      </c>
      <c r="K124" s="103"/>
      <c r="L124" s="1577"/>
      <c r="M124" s="1577"/>
      <c r="N124" s="1577"/>
      <c r="O124" s="1577"/>
      <c r="P124" s="1577"/>
    </row>
    <row r="125" spans="1:16" ht="15" customHeight="1" x14ac:dyDescent="0.25">
      <c r="A125" s="2216"/>
      <c r="B125" s="220" t="s">
        <v>34</v>
      </c>
      <c r="C125" s="647">
        <f>ROUND(80/60*$O$6,2)</f>
        <v>2.27</v>
      </c>
      <c r="D125" s="814">
        <v>0</v>
      </c>
      <c r="E125" s="636"/>
      <c r="F125" s="716">
        <f t="shared" si="30"/>
        <v>0</v>
      </c>
      <c r="G125" s="807">
        <f t="shared" si="11"/>
        <v>2.27</v>
      </c>
      <c r="H125" s="647">
        <f t="shared" si="31"/>
        <v>1.8160000000000001</v>
      </c>
      <c r="I125" s="813">
        <f t="shared" si="32"/>
        <v>0.22700000000000001</v>
      </c>
      <c r="J125" s="655">
        <f t="shared" si="33"/>
        <v>0.22700000000000001</v>
      </c>
      <c r="K125" s="103"/>
      <c r="L125" s="1577"/>
      <c r="M125" s="1577"/>
      <c r="N125" s="1577"/>
      <c r="O125" s="1577"/>
      <c r="P125" s="1577"/>
    </row>
    <row r="126" spans="1:16" ht="15.6" customHeight="1" x14ac:dyDescent="0.25">
      <c r="A126" s="2227" t="s">
        <v>1313</v>
      </c>
      <c r="B126" s="2227"/>
      <c r="C126" s="2227"/>
      <c r="D126" s="2227"/>
      <c r="E126" s="2227"/>
      <c r="F126" s="2227"/>
      <c r="G126" s="2227"/>
      <c r="H126" s="2227"/>
      <c r="I126" s="2227"/>
      <c r="J126" s="2227"/>
      <c r="K126" s="2228"/>
      <c r="L126" s="1577"/>
      <c r="M126" s="1577"/>
      <c r="N126" s="1577"/>
      <c r="O126" s="1577"/>
      <c r="P126" s="1577"/>
    </row>
    <row r="127" spans="1:16" ht="15" customHeight="1" x14ac:dyDescent="0.25">
      <c r="A127" s="2231" t="s">
        <v>1314</v>
      </c>
      <c r="B127" s="324" t="s">
        <v>32</v>
      </c>
      <c r="C127" s="647">
        <f>ROUND(180/60*$O$4,2)</f>
        <v>3.6</v>
      </c>
      <c r="D127" s="814">
        <v>0</v>
      </c>
      <c r="E127" s="629">
        <f>IF($E$2=1, 0.5, 0)</f>
        <v>0</v>
      </c>
      <c r="F127" s="716">
        <f t="shared" ref="F127:F132" si="34">IF($F$2=1,ROUND(10/60,2),0)</f>
        <v>0</v>
      </c>
      <c r="G127" s="619">
        <f t="shared" si="11"/>
        <v>3.6</v>
      </c>
      <c r="H127" s="647">
        <f>G127*70%</f>
        <v>2.52</v>
      </c>
      <c r="I127" s="813">
        <f>G127*20%</f>
        <v>0.72000000000000008</v>
      </c>
      <c r="J127" s="655">
        <f t="shared" ref="J127:J141" si="35">G127*10%</f>
        <v>0.36000000000000004</v>
      </c>
      <c r="K127" s="324"/>
      <c r="L127" s="1577"/>
      <c r="M127" s="1577"/>
      <c r="N127" s="1577"/>
      <c r="O127" s="1577"/>
      <c r="P127" s="1577"/>
    </row>
    <row r="128" spans="1:16" ht="15" customHeight="1" x14ac:dyDescent="0.25">
      <c r="A128" s="2232"/>
      <c r="B128" s="817" t="s">
        <v>33</v>
      </c>
      <c r="C128" s="647">
        <f>ROUND(200/60*$O$5,2)</f>
        <v>5</v>
      </c>
      <c r="D128" s="814">
        <v>0</v>
      </c>
      <c r="E128" s="629">
        <f>IF($E$2=1, 0.6, 0)</f>
        <v>0</v>
      </c>
      <c r="F128" s="716">
        <f t="shared" si="34"/>
        <v>0</v>
      </c>
      <c r="G128" s="619">
        <f t="shared" si="11"/>
        <v>5</v>
      </c>
      <c r="H128" s="647">
        <f>G128*70%</f>
        <v>3.5</v>
      </c>
      <c r="I128" s="813">
        <f>G128*20%</f>
        <v>1</v>
      </c>
      <c r="J128" s="655">
        <f t="shared" si="35"/>
        <v>0.5</v>
      </c>
      <c r="K128" s="817"/>
      <c r="L128" s="1577"/>
      <c r="M128" s="1577"/>
      <c r="N128" s="1577"/>
      <c r="O128" s="1577"/>
      <c r="P128" s="1577"/>
    </row>
    <row r="129" spans="1:16" ht="15" customHeight="1" x14ac:dyDescent="0.25">
      <c r="A129" s="2233"/>
      <c r="B129" s="817" t="s">
        <v>34</v>
      </c>
      <c r="C129" s="647">
        <f>ROUND(220/60*$O$6,2)</f>
        <v>6.23</v>
      </c>
      <c r="D129" s="814">
        <v>0</v>
      </c>
      <c r="E129" s="629">
        <f>IF($E$2=1, 1, 0)</f>
        <v>0</v>
      </c>
      <c r="F129" s="716">
        <f t="shared" si="34"/>
        <v>0</v>
      </c>
      <c r="G129" s="619">
        <f t="shared" si="11"/>
        <v>6.23</v>
      </c>
      <c r="H129" s="647">
        <f>G129*60%</f>
        <v>3.738</v>
      </c>
      <c r="I129" s="813">
        <f>G129*30%</f>
        <v>1.869</v>
      </c>
      <c r="J129" s="655">
        <f t="shared" si="35"/>
        <v>0.62300000000000011</v>
      </c>
      <c r="K129" s="817"/>
      <c r="L129" s="1577"/>
      <c r="M129" s="1577"/>
      <c r="N129" s="1577"/>
      <c r="O129" s="1577"/>
      <c r="P129" s="1577"/>
    </row>
    <row r="130" spans="1:16" ht="15" customHeight="1" x14ac:dyDescent="0.25">
      <c r="A130" s="2225" t="s">
        <v>1315</v>
      </c>
      <c r="B130" s="103" t="s">
        <v>32</v>
      </c>
      <c r="C130" s="647">
        <f>ROUND(120/60*$O$4,2)</f>
        <v>2.4</v>
      </c>
      <c r="D130" s="814">
        <v>0</v>
      </c>
      <c r="E130" s="629">
        <f>IF($E$2=1, 0.5, 0)</f>
        <v>0</v>
      </c>
      <c r="F130" s="716">
        <f t="shared" si="34"/>
        <v>0</v>
      </c>
      <c r="G130" s="619">
        <f t="shared" si="11"/>
        <v>2.4</v>
      </c>
      <c r="H130" s="647">
        <f>G130*70%</f>
        <v>1.68</v>
      </c>
      <c r="I130" s="813">
        <f>G130*20%</f>
        <v>0.48</v>
      </c>
      <c r="J130" s="655">
        <f t="shared" si="35"/>
        <v>0.24</v>
      </c>
      <c r="K130" s="817"/>
      <c r="L130" s="1577"/>
      <c r="M130" s="1577"/>
      <c r="N130" s="1577"/>
      <c r="O130" s="1577"/>
      <c r="P130" s="1577"/>
    </row>
    <row r="131" spans="1:16" ht="15" customHeight="1" x14ac:dyDescent="0.25">
      <c r="A131" s="2225"/>
      <c r="B131" s="103" t="s">
        <v>33</v>
      </c>
      <c r="C131" s="647">
        <f>ROUND(150/60*$O$5,2)</f>
        <v>3.75</v>
      </c>
      <c r="D131" s="814">
        <v>0</v>
      </c>
      <c r="E131" s="629">
        <f>IF($E$2=1, 0.6, 0)</f>
        <v>0</v>
      </c>
      <c r="F131" s="716">
        <f t="shared" si="34"/>
        <v>0</v>
      </c>
      <c r="G131" s="619">
        <f t="shared" si="11"/>
        <v>3.75</v>
      </c>
      <c r="H131" s="647">
        <f>G131*70%</f>
        <v>2.625</v>
      </c>
      <c r="I131" s="813">
        <f>G131*20%</f>
        <v>0.75</v>
      </c>
      <c r="J131" s="655">
        <f t="shared" si="35"/>
        <v>0.375</v>
      </c>
      <c r="K131" s="817"/>
      <c r="L131" s="1577"/>
      <c r="M131" s="1577"/>
      <c r="N131" s="1577"/>
      <c r="O131" s="1577"/>
      <c r="P131" s="1577"/>
    </row>
    <row r="132" spans="1:16" ht="15" customHeight="1" x14ac:dyDescent="0.25">
      <c r="A132" s="2225"/>
      <c r="B132" s="103" t="s">
        <v>34</v>
      </c>
      <c r="C132" s="647">
        <f>ROUND(180/60*$O$6,2)</f>
        <v>5.0999999999999996</v>
      </c>
      <c r="D132" s="814">
        <v>0</v>
      </c>
      <c r="E132" s="629">
        <f>IF($E$2=1, 1, 0)</f>
        <v>0</v>
      </c>
      <c r="F132" s="716">
        <f t="shared" si="34"/>
        <v>0</v>
      </c>
      <c r="G132" s="619">
        <f t="shared" si="11"/>
        <v>5.0999999999999996</v>
      </c>
      <c r="H132" s="647">
        <f>G132*60%</f>
        <v>3.0599999999999996</v>
      </c>
      <c r="I132" s="813">
        <f>G132*30%</f>
        <v>1.5299999999999998</v>
      </c>
      <c r="J132" s="655">
        <f t="shared" si="35"/>
        <v>0.51</v>
      </c>
      <c r="K132" s="817"/>
      <c r="L132" s="1577"/>
      <c r="M132" s="1577"/>
      <c r="N132" s="1577"/>
      <c r="O132" s="1577"/>
      <c r="P132" s="1577"/>
    </row>
    <row r="133" spans="1:16" ht="15" customHeight="1" x14ac:dyDescent="0.25">
      <c r="A133" s="2225" t="s">
        <v>1316</v>
      </c>
      <c r="B133" s="103" t="s">
        <v>32</v>
      </c>
      <c r="C133" s="647">
        <f>ROUND(30/60*$O$4,2)</f>
        <v>0.6</v>
      </c>
      <c r="D133" s="629">
        <f>ROUND(5/60*$O$4*$D$2,2)</f>
        <v>0.2</v>
      </c>
      <c r="E133" s="629">
        <f>IF($E$2=1, 0.5, 0)</f>
        <v>0</v>
      </c>
      <c r="F133" s="716">
        <f t="shared" ref="F133:F141" si="36">IF($F$2=1,ROUND(8/60,2),0)</f>
        <v>0</v>
      </c>
      <c r="G133" s="619">
        <f t="shared" si="11"/>
        <v>0.8</v>
      </c>
      <c r="H133" s="647">
        <f>G133*80%</f>
        <v>0.64000000000000012</v>
      </c>
      <c r="I133" s="813">
        <f>G133*10%</f>
        <v>8.0000000000000016E-2</v>
      </c>
      <c r="J133" s="655">
        <f t="shared" si="35"/>
        <v>8.0000000000000016E-2</v>
      </c>
      <c r="K133" s="817"/>
      <c r="L133" s="1577"/>
      <c r="M133" s="1577"/>
      <c r="N133" s="1577"/>
      <c r="O133" s="1577"/>
      <c r="P133" s="1577"/>
    </row>
    <row r="134" spans="1:16" ht="15" customHeight="1" x14ac:dyDescent="0.25">
      <c r="A134" s="2225"/>
      <c r="B134" s="103" t="s">
        <v>33</v>
      </c>
      <c r="C134" s="647">
        <f>ROUND(35/60*$O$5,2)</f>
        <v>0.88</v>
      </c>
      <c r="D134" s="629">
        <f>ROUND(5/60*$O$5*$D$2,2)</f>
        <v>0.25</v>
      </c>
      <c r="E134" s="629">
        <f>IF($E$2=1, 0.6, 0)</f>
        <v>0</v>
      </c>
      <c r="F134" s="716">
        <f t="shared" si="36"/>
        <v>0</v>
      </c>
      <c r="G134" s="619">
        <f t="shared" si="11"/>
        <v>1.1299999999999999</v>
      </c>
      <c r="H134" s="647">
        <f>G134*80%</f>
        <v>0.90399999999999991</v>
      </c>
      <c r="I134" s="813">
        <f>G134*10%</f>
        <v>0.11299999999999999</v>
      </c>
      <c r="J134" s="655">
        <f t="shared" si="35"/>
        <v>0.11299999999999999</v>
      </c>
      <c r="K134" s="817"/>
      <c r="L134" s="1577"/>
      <c r="M134" s="1577"/>
      <c r="N134" s="1577"/>
      <c r="O134" s="1577"/>
      <c r="P134" s="1577"/>
    </row>
    <row r="135" spans="1:16" ht="15" customHeight="1" x14ac:dyDescent="0.25">
      <c r="A135" s="2225"/>
      <c r="B135" s="103" t="s">
        <v>34</v>
      </c>
      <c r="C135" s="647">
        <f>ROUND(40/60*$O$6,2)</f>
        <v>1.1299999999999999</v>
      </c>
      <c r="D135" s="629">
        <f>ROUND(5/60*$O$6*$D$2,2)</f>
        <v>0.28000000000000003</v>
      </c>
      <c r="E135" s="629">
        <f>IF($E$2=1, 1, 0)</f>
        <v>0</v>
      </c>
      <c r="F135" s="716">
        <f t="shared" si="36"/>
        <v>0</v>
      </c>
      <c r="G135" s="619">
        <f t="shared" si="11"/>
        <v>1.41</v>
      </c>
      <c r="H135" s="647">
        <f>G135*70%</f>
        <v>0.98699999999999988</v>
      </c>
      <c r="I135" s="813">
        <f>G135*20%</f>
        <v>0.28199999999999997</v>
      </c>
      <c r="J135" s="655">
        <f t="shared" si="35"/>
        <v>0.14099999999999999</v>
      </c>
      <c r="K135" s="817"/>
      <c r="L135" s="1577"/>
      <c r="M135" s="1577"/>
      <c r="N135" s="1577"/>
      <c r="O135" s="1577"/>
      <c r="P135" s="1577"/>
    </row>
    <row r="136" spans="1:16" ht="15" customHeight="1" x14ac:dyDescent="0.25">
      <c r="A136" s="2225" t="s">
        <v>1317</v>
      </c>
      <c r="B136" s="103" t="s">
        <v>32</v>
      </c>
      <c r="C136" s="647">
        <f>ROUND(40/60*$O$4,2)</f>
        <v>0.8</v>
      </c>
      <c r="D136" s="814">
        <v>0</v>
      </c>
      <c r="E136" s="636"/>
      <c r="F136" s="716">
        <f t="shared" si="36"/>
        <v>0</v>
      </c>
      <c r="G136" s="619">
        <f t="shared" si="11"/>
        <v>0.8</v>
      </c>
      <c r="H136" s="647">
        <f t="shared" ref="H136:H141" si="37">G136*80%</f>
        <v>0.64000000000000012</v>
      </c>
      <c r="I136" s="813">
        <f t="shared" ref="I136:I141" si="38">G136*10%</f>
        <v>8.0000000000000016E-2</v>
      </c>
      <c r="J136" s="655">
        <f t="shared" si="35"/>
        <v>8.0000000000000016E-2</v>
      </c>
      <c r="K136" s="817"/>
      <c r="L136" s="1577"/>
      <c r="M136" s="1577"/>
      <c r="N136" s="1577"/>
      <c r="O136" s="1577"/>
      <c r="P136" s="1577"/>
    </row>
    <row r="137" spans="1:16" ht="15" customHeight="1" x14ac:dyDescent="0.25">
      <c r="A137" s="2225"/>
      <c r="B137" s="103" t="s">
        <v>33</v>
      </c>
      <c r="C137" s="647">
        <f>ROUND(50/60*$O$5,2)</f>
        <v>1.25</v>
      </c>
      <c r="D137" s="814">
        <v>0</v>
      </c>
      <c r="E137" s="636"/>
      <c r="F137" s="716">
        <f t="shared" si="36"/>
        <v>0</v>
      </c>
      <c r="G137" s="619">
        <f t="shared" si="11"/>
        <v>1.25</v>
      </c>
      <c r="H137" s="647">
        <f t="shared" si="37"/>
        <v>1</v>
      </c>
      <c r="I137" s="813">
        <f t="shared" si="38"/>
        <v>0.125</v>
      </c>
      <c r="J137" s="655">
        <f t="shared" si="35"/>
        <v>0.125</v>
      </c>
      <c r="K137" s="817"/>
      <c r="L137" s="1577"/>
      <c r="M137" s="1577"/>
      <c r="N137" s="1577"/>
      <c r="O137" s="1577"/>
      <c r="P137" s="1577"/>
    </row>
    <row r="138" spans="1:16" ht="15" customHeight="1" x14ac:dyDescent="0.25">
      <c r="A138" s="2225"/>
      <c r="B138" s="103" t="s">
        <v>34</v>
      </c>
      <c r="C138" s="647">
        <f>ROUND(60/60*$O$6,2)</f>
        <v>1.7</v>
      </c>
      <c r="D138" s="814">
        <v>0</v>
      </c>
      <c r="E138" s="636"/>
      <c r="F138" s="716">
        <f t="shared" si="36"/>
        <v>0</v>
      </c>
      <c r="G138" s="619">
        <f t="shared" si="11"/>
        <v>1.7</v>
      </c>
      <c r="H138" s="647">
        <f t="shared" si="37"/>
        <v>1.36</v>
      </c>
      <c r="I138" s="813">
        <f t="shared" si="38"/>
        <v>0.17</v>
      </c>
      <c r="J138" s="655">
        <f t="shared" si="35"/>
        <v>0.17</v>
      </c>
      <c r="K138" s="817"/>
      <c r="L138" s="1577"/>
      <c r="M138" s="1577"/>
      <c r="N138" s="1577"/>
      <c r="O138" s="1577"/>
      <c r="P138" s="1577"/>
    </row>
    <row r="139" spans="1:16" ht="27.6" customHeight="1" x14ac:dyDescent="0.25">
      <c r="A139" s="2225" t="s">
        <v>1318</v>
      </c>
      <c r="B139" s="103" t="s">
        <v>32</v>
      </c>
      <c r="C139" s="647">
        <f>ROUND(40/60*$O$4,2)</f>
        <v>0.8</v>
      </c>
      <c r="D139" s="814">
        <v>0</v>
      </c>
      <c r="E139" s="629">
        <f>IF($E$2=1, 0.5, 0)</f>
        <v>0</v>
      </c>
      <c r="F139" s="716">
        <f t="shared" si="36"/>
        <v>0</v>
      </c>
      <c r="G139" s="619">
        <f t="shared" si="11"/>
        <v>0.8</v>
      </c>
      <c r="H139" s="647">
        <f t="shared" si="37"/>
        <v>0.64000000000000012</v>
      </c>
      <c r="I139" s="813">
        <f t="shared" si="38"/>
        <v>8.0000000000000016E-2</v>
      </c>
      <c r="J139" s="655">
        <f t="shared" si="35"/>
        <v>8.0000000000000016E-2</v>
      </c>
      <c r="K139" s="817"/>
      <c r="L139" s="1577"/>
      <c r="M139" s="1577"/>
      <c r="N139" s="1577"/>
      <c r="O139" s="1577"/>
      <c r="P139" s="1577"/>
    </row>
    <row r="140" spans="1:16" ht="24.6" customHeight="1" x14ac:dyDescent="0.25">
      <c r="A140" s="2225"/>
      <c r="B140" s="103" t="s">
        <v>33</v>
      </c>
      <c r="C140" s="647">
        <f>ROUND(50/60*$O$5,2)</f>
        <v>1.25</v>
      </c>
      <c r="D140" s="814">
        <v>0</v>
      </c>
      <c r="E140" s="629">
        <f>IF($E$2=1, 0.6, 0)</f>
        <v>0</v>
      </c>
      <c r="F140" s="716">
        <f t="shared" si="36"/>
        <v>0</v>
      </c>
      <c r="G140" s="619">
        <f t="shared" si="11"/>
        <v>1.25</v>
      </c>
      <c r="H140" s="647">
        <f t="shared" si="37"/>
        <v>1</v>
      </c>
      <c r="I140" s="813">
        <f t="shared" si="38"/>
        <v>0.125</v>
      </c>
      <c r="J140" s="655">
        <f t="shared" si="35"/>
        <v>0.125</v>
      </c>
      <c r="K140" s="817"/>
      <c r="L140" s="1577"/>
      <c r="M140" s="1577"/>
      <c r="N140" s="1577"/>
      <c r="O140" s="1577"/>
      <c r="P140" s="1577"/>
    </row>
    <row r="141" spans="1:16" ht="23.45" customHeight="1" x14ac:dyDescent="0.25">
      <c r="A141" s="2225"/>
      <c r="B141" s="103" t="s">
        <v>34</v>
      </c>
      <c r="C141" s="647">
        <f>ROUND(60/60*$O$6,2)</f>
        <v>1.7</v>
      </c>
      <c r="D141" s="814">
        <v>0</v>
      </c>
      <c r="E141" s="629">
        <f>IF($E$2=1, 1, 0)</f>
        <v>0</v>
      </c>
      <c r="F141" s="716">
        <f t="shared" si="36"/>
        <v>0</v>
      </c>
      <c r="G141" s="619">
        <f t="shared" si="11"/>
        <v>1.7</v>
      </c>
      <c r="H141" s="647">
        <f t="shared" si="37"/>
        <v>1.36</v>
      </c>
      <c r="I141" s="813">
        <f t="shared" si="38"/>
        <v>0.17</v>
      </c>
      <c r="J141" s="655">
        <f t="shared" si="35"/>
        <v>0.17</v>
      </c>
      <c r="K141" s="817"/>
      <c r="L141" s="1577"/>
      <c r="M141" s="1577"/>
      <c r="N141" s="1577"/>
      <c r="O141" s="1577"/>
      <c r="P141" s="1577"/>
    </row>
  </sheetData>
  <mergeCells count="58">
    <mergeCell ref="A115:K115"/>
    <mergeCell ref="A116:A118"/>
    <mergeCell ref="A104:A106"/>
    <mergeCell ref="A107:K107"/>
    <mergeCell ref="A108:A110"/>
    <mergeCell ref="A111:K111"/>
    <mergeCell ref="A112:A114"/>
    <mergeCell ref="A136:A138"/>
    <mergeCell ref="A139:A141"/>
    <mergeCell ref="A119:A121"/>
    <mergeCell ref="A122:K122"/>
    <mergeCell ref="A89:A91"/>
    <mergeCell ref="A92:A94"/>
    <mergeCell ref="A95:K95"/>
    <mergeCell ref="A96:A98"/>
    <mergeCell ref="A123:A125"/>
    <mergeCell ref="A126:K126"/>
    <mergeCell ref="A127:A129"/>
    <mergeCell ref="A130:A132"/>
    <mergeCell ref="A133:A135"/>
    <mergeCell ref="A99:K99"/>
    <mergeCell ref="A100:A102"/>
    <mergeCell ref="A103:K103"/>
    <mergeCell ref="A80:A82"/>
    <mergeCell ref="A83:A85"/>
    <mergeCell ref="A56:A58"/>
    <mergeCell ref="A59:A61"/>
    <mergeCell ref="A62:A64"/>
    <mergeCell ref="A65:A67"/>
    <mergeCell ref="A68:A70"/>
    <mergeCell ref="A86:A88"/>
    <mergeCell ref="A53:A55"/>
    <mergeCell ref="A20:A22"/>
    <mergeCell ref="A23:A25"/>
    <mergeCell ref="A26:A28"/>
    <mergeCell ref="A29:A31"/>
    <mergeCell ref="A32:A34"/>
    <mergeCell ref="A35:A37"/>
    <mergeCell ref="A38:A40"/>
    <mergeCell ref="A41:A43"/>
    <mergeCell ref="A44:A46"/>
    <mergeCell ref="A47:A49"/>
    <mergeCell ref="A50:A52"/>
    <mergeCell ref="A71:A73"/>
    <mergeCell ref="A74:A76"/>
    <mergeCell ref="A77:A79"/>
    <mergeCell ref="N1:O1"/>
    <mergeCell ref="A4:A6"/>
    <mergeCell ref="A7:A9"/>
    <mergeCell ref="A10:A12"/>
    <mergeCell ref="A14:A16"/>
    <mergeCell ref="J1:J2"/>
    <mergeCell ref="K1:K2"/>
    <mergeCell ref="A17:A19"/>
    <mergeCell ref="C1:C2"/>
    <mergeCell ref="G1:G2"/>
    <mergeCell ref="H1:H2"/>
    <mergeCell ref="I1:I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Лист83"/>
  <dimension ref="A1:P92"/>
  <sheetViews>
    <sheetView workbookViewId="0">
      <selection activeCell="B3" sqref="B3"/>
    </sheetView>
  </sheetViews>
  <sheetFormatPr defaultColWidth="9.140625" defaultRowHeight="15" x14ac:dyDescent="0.25"/>
  <cols>
    <col min="1" max="1" width="36.85546875" style="1271" customWidth="1"/>
    <col min="2" max="2" width="18.5703125" style="1271" customWidth="1"/>
    <col min="3" max="3" width="16" style="1271" customWidth="1"/>
    <col min="4" max="4" width="15.7109375" style="1271" customWidth="1"/>
    <col min="5" max="5" width="14.7109375" style="1271" customWidth="1"/>
    <col min="6" max="6" width="16.28515625" style="1271" customWidth="1"/>
    <col min="7" max="10" width="9.140625" style="1271"/>
    <col min="11" max="11" width="13.85546875" style="1271" customWidth="1"/>
    <col min="12" max="16384" width="9.140625" style="1271"/>
  </cols>
  <sheetData>
    <row r="1" spans="1:16" ht="102.75" x14ac:dyDescent="0.25">
      <c r="A1" s="1303" t="s">
        <v>1227</v>
      </c>
      <c r="B1" s="1304" t="s">
        <v>1228</v>
      </c>
      <c r="C1" s="2243" t="s">
        <v>1229</v>
      </c>
      <c r="D1" s="1305" t="s">
        <v>1320</v>
      </c>
      <c r="E1" s="1305" t="s">
        <v>1231</v>
      </c>
      <c r="F1" s="1305" t="s">
        <v>1232</v>
      </c>
      <c r="G1" s="2249" t="s">
        <v>38</v>
      </c>
      <c r="H1" s="2251" t="s">
        <v>715</v>
      </c>
      <c r="I1" s="2251" t="s">
        <v>714</v>
      </c>
      <c r="J1" s="2251" t="s">
        <v>713</v>
      </c>
      <c r="K1" s="2257" t="s">
        <v>272</v>
      </c>
      <c r="L1" s="1306"/>
      <c r="M1" s="1306"/>
      <c r="N1" s="2253" t="s">
        <v>1233</v>
      </c>
      <c r="O1" s="2254"/>
      <c r="P1" s="1306"/>
    </row>
    <row r="2" spans="1:16" ht="15.75" thickBot="1" x14ac:dyDescent="0.3">
      <c r="A2" s="1307" t="s">
        <v>36</v>
      </c>
      <c r="B2" s="1308">
        <f>IF(ТрЗ_ОКиА!$M$1="Простой", 1, IF(ТрЗ_ОКиА!$M$1="Обычный",2,3))</f>
        <v>2</v>
      </c>
      <c r="C2" s="2244"/>
      <c r="D2" s="1309">
        <f>ТрЗ_ОКиА!E188</f>
        <v>1</v>
      </c>
      <c r="E2" s="1309">
        <f>IF(ТрЗ_ОКиА!E189="Да",1,0)</f>
        <v>1</v>
      </c>
      <c r="F2" s="1309">
        <f>IF(ТрЗ_ОКиА!E190="Да",1,0)</f>
        <v>1</v>
      </c>
      <c r="G2" s="2250"/>
      <c r="H2" s="2252"/>
      <c r="I2" s="2252"/>
      <c r="J2" s="2252"/>
      <c r="K2" s="2258"/>
      <c r="L2" s="1306"/>
      <c r="M2" s="1306"/>
      <c r="N2" s="1310"/>
      <c r="O2" s="1310"/>
      <c r="P2" s="1306"/>
    </row>
    <row r="3" spans="1:16" x14ac:dyDescent="0.25">
      <c r="A3" s="1311" t="s">
        <v>1236</v>
      </c>
      <c r="B3" s="1312"/>
      <c r="C3" s="1313"/>
      <c r="D3" s="1314"/>
      <c r="E3" s="1314"/>
      <c r="F3" s="1315"/>
      <c r="G3" s="1316"/>
      <c r="H3" s="1317"/>
      <c r="I3" s="1318"/>
      <c r="J3" s="1319"/>
      <c r="K3" s="1320"/>
      <c r="L3" s="1306"/>
      <c r="M3" s="1306"/>
      <c r="N3" s="1310"/>
      <c r="O3" s="1310"/>
      <c r="P3" s="1306"/>
    </row>
    <row r="4" spans="1:16" x14ac:dyDescent="0.25">
      <c r="A4" s="2255" t="s">
        <v>1238</v>
      </c>
      <c r="B4" s="1321" t="s">
        <v>32</v>
      </c>
      <c r="C4" s="446">
        <f>ROUND(60/60,2)</f>
        <v>1</v>
      </c>
      <c r="D4" s="1322">
        <v>0</v>
      </c>
      <c r="E4" s="1323">
        <v>0</v>
      </c>
      <c r="F4" s="1324">
        <v>0</v>
      </c>
      <c r="G4" s="1325">
        <f t="shared" ref="G4:G12" si="0" xml:space="preserve"> SUM(C4:F4)</f>
        <v>1</v>
      </c>
      <c r="H4" s="647">
        <f>G4*80%</f>
        <v>0.8</v>
      </c>
      <c r="I4" s="813">
        <f>G4*0.1</f>
        <v>0.1</v>
      </c>
      <c r="J4" s="655">
        <f>G4*0.1</f>
        <v>0.1</v>
      </c>
      <c r="K4" s="1326"/>
      <c r="L4" s="1306"/>
      <c r="M4" s="1306"/>
      <c r="N4" s="1310">
        <v>20</v>
      </c>
      <c r="O4" s="1310">
        <f>1+N4/100</f>
        <v>1.2</v>
      </c>
      <c r="P4" s="1306"/>
    </row>
    <row r="5" spans="1:16" x14ac:dyDescent="0.25">
      <c r="A5" s="2246"/>
      <c r="B5" s="1321" t="s">
        <v>33</v>
      </c>
      <c r="C5" s="446">
        <f>ROUND(90/60,2)</f>
        <v>1.5</v>
      </c>
      <c r="D5" s="1322">
        <v>0</v>
      </c>
      <c r="E5" s="1323">
        <v>0</v>
      </c>
      <c r="F5" s="1324">
        <v>0</v>
      </c>
      <c r="G5" s="1325">
        <f t="shared" si="0"/>
        <v>1.5</v>
      </c>
      <c r="H5" s="647">
        <f>G5*70%</f>
        <v>1.0499999999999998</v>
      </c>
      <c r="I5" s="813">
        <f>G5*20%</f>
        <v>0.30000000000000004</v>
      </c>
      <c r="J5" s="655">
        <f>G5*10%</f>
        <v>0.15000000000000002</v>
      </c>
      <c r="K5" s="1326"/>
      <c r="L5" s="1306"/>
      <c r="M5" s="1306"/>
      <c r="N5" s="1310">
        <v>50</v>
      </c>
      <c r="O5" s="1310">
        <f>1+N5/100</f>
        <v>1.5</v>
      </c>
      <c r="P5" s="1306"/>
    </row>
    <row r="6" spans="1:16" x14ac:dyDescent="0.25">
      <c r="A6" s="2256"/>
      <c r="B6" s="1321" t="s">
        <v>34</v>
      </c>
      <c r="C6" s="446">
        <f>ROUND(120/60,2)</f>
        <v>2</v>
      </c>
      <c r="D6" s="1322">
        <v>0</v>
      </c>
      <c r="E6" s="1323">
        <v>0</v>
      </c>
      <c r="F6" s="1324">
        <v>0</v>
      </c>
      <c r="G6" s="1325">
        <f t="shared" si="0"/>
        <v>2</v>
      </c>
      <c r="H6" s="647">
        <f>G6*40%</f>
        <v>0.8</v>
      </c>
      <c r="I6" s="813">
        <f>G6*30%</f>
        <v>0.6</v>
      </c>
      <c r="J6" s="655">
        <f>G6*30%</f>
        <v>0.6</v>
      </c>
      <c r="K6" s="1326"/>
      <c r="L6" s="1306"/>
      <c r="M6" s="1306"/>
      <c r="N6" s="1310">
        <v>70</v>
      </c>
      <c r="O6" s="1310">
        <f>1+N6/100</f>
        <v>1.7</v>
      </c>
      <c r="P6" s="1306"/>
    </row>
    <row r="7" spans="1:16" x14ac:dyDescent="0.25">
      <c r="A7" s="2245" t="s">
        <v>1239</v>
      </c>
      <c r="B7" s="1327" t="s">
        <v>32</v>
      </c>
      <c r="C7" s="821">
        <f>ROUND(90/60,2)</f>
        <v>1.5</v>
      </c>
      <c r="D7" s="629">
        <f>ROUND(20/60*$O$4*$D$2,2)</f>
        <v>0.4</v>
      </c>
      <c r="E7" s="1328">
        <f>IF($E$2=1, 1, 0)</f>
        <v>1</v>
      </c>
      <c r="F7" s="1324">
        <v>0</v>
      </c>
      <c r="G7" s="1325">
        <f t="shared" si="0"/>
        <v>2.9</v>
      </c>
      <c r="H7" s="647">
        <f>G7*1</f>
        <v>2.9</v>
      </c>
      <c r="I7" s="813">
        <v>0</v>
      </c>
      <c r="J7" s="655">
        <v>0</v>
      </c>
      <c r="K7" s="1326"/>
      <c r="L7" s="1306"/>
      <c r="M7" s="1306"/>
      <c r="N7" s="1306"/>
      <c r="O7" s="1306"/>
      <c r="P7" s="1306"/>
    </row>
    <row r="8" spans="1:16" x14ac:dyDescent="0.25">
      <c r="A8" s="2245"/>
      <c r="B8" s="1321" t="s">
        <v>33</v>
      </c>
      <c r="C8" s="821">
        <f>ROUND(110/60,2)</f>
        <v>1.83</v>
      </c>
      <c r="D8" s="629">
        <f>ROUND(30/60*$O$5*$D$2,2)</f>
        <v>0.75</v>
      </c>
      <c r="E8" s="1328">
        <f>IF($E$2=1, 1.5, 0)</f>
        <v>1.5</v>
      </c>
      <c r="F8" s="1324">
        <v>0</v>
      </c>
      <c r="G8" s="1325">
        <f t="shared" si="0"/>
        <v>4.08</v>
      </c>
      <c r="H8" s="647">
        <f>G8*60%</f>
        <v>2.448</v>
      </c>
      <c r="I8" s="813">
        <f>G8*30%</f>
        <v>1.224</v>
      </c>
      <c r="J8" s="655">
        <f>G8*10%</f>
        <v>0.40800000000000003</v>
      </c>
      <c r="K8" s="1326"/>
      <c r="L8" s="1306"/>
      <c r="M8" s="1306"/>
      <c r="N8" s="1306"/>
      <c r="O8" s="1306"/>
      <c r="P8" s="1306"/>
    </row>
    <row r="9" spans="1:16" x14ac:dyDescent="0.25">
      <c r="A9" s="2245"/>
      <c r="B9" s="1321" t="s">
        <v>34</v>
      </c>
      <c r="C9" s="821">
        <f>ROUND(130/60,2)</f>
        <v>2.17</v>
      </c>
      <c r="D9" s="629">
        <f>ROUND(40/60*$O$6*$D$2,2)</f>
        <v>1.1299999999999999</v>
      </c>
      <c r="E9" s="1328">
        <f>IF($E$2=1, 3, 0)</f>
        <v>3</v>
      </c>
      <c r="F9" s="1324">
        <v>0</v>
      </c>
      <c r="G9" s="1329">
        <f t="shared" si="0"/>
        <v>6.3</v>
      </c>
      <c r="H9" s="680">
        <f>G9*50%</f>
        <v>3.15</v>
      </c>
      <c r="I9" s="832">
        <f>G9*30%</f>
        <v>1.89</v>
      </c>
      <c r="J9" s="687">
        <f>G9*20%</f>
        <v>1.26</v>
      </c>
      <c r="K9" s="1330"/>
      <c r="L9" s="1306"/>
      <c r="M9" s="1306"/>
      <c r="N9" s="1306"/>
      <c r="O9" s="1306"/>
      <c r="P9" s="1306"/>
    </row>
    <row r="10" spans="1:16" x14ac:dyDescent="0.25">
      <c r="A10" s="2246" t="s">
        <v>1240</v>
      </c>
      <c r="B10" s="1327" t="s">
        <v>32</v>
      </c>
      <c r="C10" s="821">
        <v>2</v>
      </c>
      <c r="D10" s="1322">
        <v>0</v>
      </c>
      <c r="E10" s="1322">
        <v>0</v>
      </c>
      <c r="F10" s="1324">
        <v>0</v>
      </c>
      <c r="G10" s="1325">
        <f t="shared" si="0"/>
        <v>2</v>
      </c>
      <c r="H10" s="647">
        <f>G10*50%</f>
        <v>1</v>
      </c>
      <c r="I10" s="813">
        <f>G10*50%</f>
        <v>1</v>
      </c>
      <c r="J10" s="655">
        <v>0</v>
      </c>
      <c r="K10" s="1326"/>
      <c r="L10" s="1306"/>
      <c r="M10" s="1306"/>
      <c r="N10" s="1306"/>
      <c r="O10" s="1306"/>
      <c r="P10" s="1306"/>
    </row>
    <row r="11" spans="1:16" x14ac:dyDescent="0.25">
      <c r="A11" s="2246"/>
      <c r="B11" s="1321" t="s">
        <v>33</v>
      </c>
      <c r="C11" s="821">
        <v>4</v>
      </c>
      <c r="D11" s="1322">
        <v>0</v>
      </c>
      <c r="E11" s="1322">
        <v>0</v>
      </c>
      <c r="F11" s="1324">
        <v>0</v>
      </c>
      <c r="G11" s="1325">
        <f t="shared" si="0"/>
        <v>4</v>
      </c>
      <c r="H11" s="647">
        <f>G11*50%</f>
        <v>2</v>
      </c>
      <c r="I11" s="813">
        <f>G11*40%</f>
        <v>1.6</v>
      </c>
      <c r="J11" s="655">
        <f>G11*10%</f>
        <v>0.4</v>
      </c>
      <c r="K11" s="1326"/>
      <c r="L11" s="1306"/>
      <c r="M11" s="1306"/>
      <c r="N11" s="1306"/>
      <c r="O11" s="1306"/>
      <c r="P11" s="1306"/>
    </row>
    <row r="12" spans="1:16" ht="15.75" thickBot="1" x14ac:dyDescent="0.3">
      <c r="A12" s="2247"/>
      <c r="B12" s="1331" t="s">
        <v>34</v>
      </c>
      <c r="C12" s="829">
        <v>8</v>
      </c>
      <c r="D12" s="1332">
        <v>0</v>
      </c>
      <c r="E12" s="1332">
        <v>0</v>
      </c>
      <c r="F12" s="1333">
        <v>0</v>
      </c>
      <c r="G12" s="1334">
        <f t="shared" si="0"/>
        <v>8</v>
      </c>
      <c r="H12" s="1291">
        <f>G12*20%</f>
        <v>1.6</v>
      </c>
      <c r="I12" s="1292">
        <f>G12*40%</f>
        <v>3.2</v>
      </c>
      <c r="J12" s="1293">
        <f>G12*40%</f>
        <v>3.2</v>
      </c>
      <c r="K12" s="1335"/>
      <c r="L12" s="1306"/>
      <c r="M12" s="1306"/>
      <c r="N12" s="1306"/>
      <c r="O12" s="1306"/>
      <c r="P12" s="1306"/>
    </row>
    <row r="13" spans="1:16" x14ac:dyDescent="0.25">
      <c r="A13" s="1336" t="s">
        <v>1321</v>
      </c>
      <c r="B13" s="1337"/>
      <c r="C13" s="1338"/>
      <c r="D13" s="1339"/>
      <c r="E13" s="1340"/>
      <c r="F13" s="1341"/>
      <c r="G13" s="1340"/>
      <c r="H13" s="1317"/>
      <c r="I13" s="1318"/>
      <c r="J13" s="1319"/>
      <c r="K13" s="1320"/>
      <c r="L13" s="1306" t="s">
        <v>1242</v>
      </c>
      <c r="M13" s="1306" t="s">
        <v>1243</v>
      </c>
      <c r="N13" s="1306"/>
      <c r="O13" s="1306"/>
      <c r="P13" s="1306"/>
    </row>
    <row r="14" spans="1:16" ht="25.9" customHeight="1" x14ac:dyDescent="0.25">
      <c r="A14" s="2248" t="s">
        <v>1322</v>
      </c>
      <c r="B14" s="1342" t="s">
        <v>32</v>
      </c>
      <c r="C14" s="1343">
        <f>ROUND(60/60*$O$4,2)</f>
        <v>1.2</v>
      </c>
      <c r="D14" s="1322">
        <v>0</v>
      </c>
      <c r="E14" s="1328">
        <f>IF($E$2=1, 0.5, 0)</f>
        <v>0.5</v>
      </c>
      <c r="F14" s="1344">
        <f t="shared" ref="F14:F77" si="1">IF($F$2=1,ROUND(20/60,2),0)</f>
        <v>0.33</v>
      </c>
      <c r="G14" s="1345">
        <f xml:space="preserve"> SUM(C14:F14)</f>
        <v>2.0299999999999998</v>
      </c>
      <c r="H14" s="1343">
        <f>G14*80%</f>
        <v>1.6239999999999999</v>
      </c>
      <c r="I14" s="1323">
        <f>G14*20%</f>
        <v>0.40599999999999997</v>
      </c>
      <c r="J14" s="1346">
        <v>0</v>
      </c>
      <c r="K14" s="1326"/>
      <c r="L14" s="1306"/>
      <c r="M14" s="1306">
        <f t="shared" ref="M14:P16" si="2">SUM(G4,G7,G10,G14,G17,G20,G23,G26,G29,G32,G35,G38,G41,G44,G47,G50,G53,G56,G59,G62,G65,G68,G71,G74,G77,G80,G83,G87,G90)</f>
        <v>109.68000000000005</v>
      </c>
      <c r="N14" s="1306">
        <f t="shared" si="2"/>
        <v>78.617999999999995</v>
      </c>
      <c r="O14" s="1306">
        <f t="shared" si="2"/>
        <v>20.787000000000006</v>
      </c>
      <c r="P14" s="1306">
        <f t="shared" si="2"/>
        <v>10.275000000000004</v>
      </c>
    </row>
    <row r="15" spans="1:16" x14ac:dyDescent="0.25">
      <c r="A15" s="2239"/>
      <c r="B15" s="1347" t="s">
        <v>33</v>
      </c>
      <c r="C15" s="1343">
        <f>ROUND(65/60*$O$5,2)</f>
        <v>1.63</v>
      </c>
      <c r="D15" s="1322">
        <v>0</v>
      </c>
      <c r="E15" s="1328">
        <f>IF($E$2=1, 0.7, 0)</f>
        <v>0.7</v>
      </c>
      <c r="F15" s="1344">
        <f t="shared" si="1"/>
        <v>0.33</v>
      </c>
      <c r="G15" s="1345">
        <f xml:space="preserve"> SUM(C15:F15)</f>
        <v>2.66</v>
      </c>
      <c r="H15" s="1343">
        <f>G15*80%</f>
        <v>2.1280000000000001</v>
      </c>
      <c r="I15" s="1323">
        <f>G15*20%</f>
        <v>0.53200000000000003</v>
      </c>
      <c r="J15" s="1346">
        <v>0</v>
      </c>
      <c r="K15" s="1326"/>
      <c r="L15" s="1306">
        <f>(4+12)*8</f>
        <v>128</v>
      </c>
      <c r="M15" s="1306">
        <f t="shared" si="2"/>
        <v>118.64999999999999</v>
      </c>
      <c r="N15" s="1306">
        <f t="shared" si="2"/>
        <v>74.08</v>
      </c>
      <c r="O15" s="1306">
        <f t="shared" si="2"/>
        <v>32.971000000000004</v>
      </c>
      <c r="P15" s="1306">
        <f t="shared" si="2"/>
        <v>11.599000000000002</v>
      </c>
    </row>
    <row r="16" spans="1:16" x14ac:dyDescent="0.25">
      <c r="A16" s="2239"/>
      <c r="B16" s="1347" t="s">
        <v>34</v>
      </c>
      <c r="C16" s="1343">
        <f>ROUND(70/60*$O$6,2)</f>
        <v>1.98</v>
      </c>
      <c r="D16" s="1322">
        <v>0</v>
      </c>
      <c r="E16" s="1328">
        <f>IF($E$2=1, 1, 0)</f>
        <v>1</v>
      </c>
      <c r="F16" s="1344">
        <f t="shared" si="1"/>
        <v>0.33</v>
      </c>
      <c r="G16" s="1345">
        <f t="shared" ref="G16:G92" si="3" xml:space="preserve"> SUM(C16:F16)</f>
        <v>3.31</v>
      </c>
      <c r="H16" s="1343">
        <f>G16*80%</f>
        <v>2.6480000000000001</v>
      </c>
      <c r="I16" s="1323">
        <f>G16*20%</f>
        <v>0.66200000000000003</v>
      </c>
      <c r="J16" s="1346">
        <v>0</v>
      </c>
      <c r="K16" s="1326"/>
      <c r="L16" s="1306"/>
      <c r="M16" s="1306">
        <f t="shared" si="2"/>
        <v>151.51000000000002</v>
      </c>
      <c r="N16" s="1306">
        <f t="shared" si="2"/>
        <v>78.83</v>
      </c>
      <c r="O16" s="1306">
        <f t="shared" si="2"/>
        <v>45.364000000000004</v>
      </c>
      <c r="P16" s="1306">
        <f t="shared" si="2"/>
        <v>27.315999999999999</v>
      </c>
    </row>
    <row r="17" spans="1:16" x14ac:dyDescent="0.25">
      <c r="A17" s="2240" t="s">
        <v>1323</v>
      </c>
      <c r="B17" s="1347" t="s">
        <v>32</v>
      </c>
      <c r="C17" s="1343">
        <f>ROUND(100/60*$O$4,2)</f>
        <v>2</v>
      </c>
      <c r="D17" s="1328">
        <f>ROUND(20/60*$O$4*$D$2,2)</f>
        <v>0.4</v>
      </c>
      <c r="E17" s="1328">
        <f>IF($E$2=1, 0.5, 0)</f>
        <v>0.5</v>
      </c>
      <c r="F17" s="1344">
        <f t="shared" si="1"/>
        <v>0.33</v>
      </c>
      <c r="G17" s="1345">
        <f t="shared" si="3"/>
        <v>3.23</v>
      </c>
      <c r="H17" s="1343">
        <f>G17*80%</f>
        <v>2.5840000000000001</v>
      </c>
      <c r="I17" s="1323">
        <f>G17*10%</f>
        <v>0.32300000000000001</v>
      </c>
      <c r="J17" s="1346">
        <f>G17*10%</f>
        <v>0.32300000000000001</v>
      </c>
      <c r="K17" s="1326"/>
      <c r="L17" s="1306"/>
      <c r="M17" s="1306"/>
      <c r="N17" s="1306"/>
      <c r="O17" s="1306"/>
      <c r="P17" s="1306"/>
    </row>
    <row r="18" spans="1:16" x14ac:dyDescent="0.25">
      <c r="A18" s="2241"/>
      <c r="B18" s="1347" t="s">
        <v>33</v>
      </c>
      <c r="C18" s="1343">
        <f>ROUND(115/60*$O$5,2)</f>
        <v>2.88</v>
      </c>
      <c r="D18" s="1328">
        <f>ROUND(20/60*$O$5*$D$2,2)</f>
        <v>0.5</v>
      </c>
      <c r="E18" s="1328">
        <f>IF($E$2=1, 0.7, 0)</f>
        <v>0.7</v>
      </c>
      <c r="F18" s="1344">
        <f t="shared" si="1"/>
        <v>0.33</v>
      </c>
      <c r="G18" s="1345">
        <f t="shared" si="3"/>
        <v>4.41</v>
      </c>
      <c r="H18" s="1343">
        <f>G18*70%</f>
        <v>3.0869999999999997</v>
      </c>
      <c r="I18" s="1323">
        <f>G18*20%</f>
        <v>0.88200000000000012</v>
      </c>
      <c r="J18" s="1346">
        <f>G18*10%</f>
        <v>0.44100000000000006</v>
      </c>
      <c r="K18" s="1326"/>
      <c r="L18" s="1306"/>
      <c r="M18" s="1306"/>
      <c r="N18" s="1306"/>
      <c r="O18" s="1306"/>
      <c r="P18" s="1306"/>
    </row>
    <row r="19" spans="1:16" x14ac:dyDescent="0.25">
      <c r="A19" s="2242"/>
      <c r="B19" s="1348" t="s">
        <v>34</v>
      </c>
      <c r="C19" s="1343">
        <f>ROUND(130/60*$O$6,2)</f>
        <v>3.68</v>
      </c>
      <c r="D19" s="1328">
        <f>ROUND(20/60*$O$6*$D$2,2)</f>
        <v>0.56999999999999995</v>
      </c>
      <c r="E19" s="1328">
        <f>IF($E$2=1, 1, 0)</f>
        <v>1</v>
      </c>
      <c r="F19" s="1344">
        <f t="shared" si="1"/>
        <v>0.33</v>
      </c>
      <c r="G19" s="1345">
        <f t="shared" si="3"/>
        <v>5.58</v>
      </c>
      <c r="H19" s="1343">
        <f>G19*60%</f>
        <v>3.3479999999999999</v>
      </c>
      <c r="I19" s="1323">
        <f>G19*20%</f>
        <v>1.1160000000000001</v>
      </c>
      <c r="J19" s="1346">
        <f>G19*20%</f>
        <v>1.1160000000000001</v>
      </c>
      <c r="K19" s="1326"/>
      <c r="L19" s="1306"/>
      <c r="M19" s="1306"/>
      <c r="N19" s="1306"/>
      <c r="O19" s="1306"/>
      <c r="P19" s="1306"/>
    </row>
    <row r="20" spans="1:16" x14ac:dyDescent="0.25">
      <c r="A20" s="2239" t="s">
        <v>1245</v>
      </c>
      <c r="B20" s="1347" t="s">
        <v>32</v>
      </c>
      <c r="C20" s="1343">
        <f>ROUND(120/60*$O$4,2)</f>
        <v>2.4</v>
      </c>
      <c r="D20" s="1322">
        <v>0</v>
      </c>
      <c r="E20" s="1328">
        <f>IF($E$2=1, 0.5, 0)</f>
        <v>0.5</v>
      </c>
      <c r="F20" s="1344">
        <f t="shared" si="1"/>
        <v>0.33</v>
      </c>
      <c r="G20" s="1345">
        <f t="shared" si="3"/>
        <v>3.23</v>
      </c>
      <c r="H20" s="1343">
        <f>G20*70%</f>
        <v>2.2609999999999997</v>
      </c>
      <c r="I20" s="1323">
        <f>G20*20%</f>
        <v>0.64600000000000002</v>
      </c>
      <c r="J20" s="1346">
        <f>G20*10%</f>
        <v>0.32300000000000001</v>
      </c>
      <c r="K20" s="1326"/>
      <c r="L20" s="1306"/>
      <c r="M20" s="1306"/>
      <c r="N20" s="1306"/>
      <c r="O20" s="1306"/>
      <c r="P20" s="1306"/>
    </row>
    <row r="21" spans="1:16" x14ac:dyDescent="0.25">
      <c r="A21" s="2239"/>
      <c r="B21" s="1347" t="s">
        <v>33</v>
      </c>
      <c r="C21" s="1343">
        <f>ROUND(130/60*$O$5,2)</f>
        <v>3.25</v>
      </c>
      <c r="D21" s="1322">
        <v>0</v>
      </c>
      <c r="E21" s="1328">
        <f>IF($E$2=1, 0.7, 0)</f>
        <v>0.7</v>
      </c>
      <c r="F21" s="1344">
        <f t="shared" si="1"/>
        <v>0.33</v>
      </c>
      <c r="G21" s="1345">
        <f t="shared" si="3"/>
        <v>4.28</v>
      </c>
      <c r="H21" s="1343">
        <f>G21*60%</f>
        <v>2.5680000000000001</v>
      </c>
      <c r="I21" s="1323">
        <f>G21*30%</f>
        <v>1.284</v>
      </c>
      <c r="J21" s="1346">
        <f>G21*10%</f>
        <v>0.42800000000000005</v>
      </c>
      <c r="K21" s="1326"/>
      <c r="L21" s="1306"/>
      <c r="M21" s="1306"/>
      <c r="N21" s="1306"/>
      <c r="O21" s="1306"/>
      <c r="P21" s="1306"/>
    </row>
    <row r="22" spans="1:16" x14ac:dyDescent="0.25">
      <c r="A22" s="2239"/>
      <c r="B22" s="1347" t="s">
        <v>34</v>
      </c>
      <c r="C22" s="1343">
        <f>ROUND(140/60*$O$6,2)</f>
        <v>3.97</v>
      </c>
      <c r="D22" s="1322">
        <v>0</v>
      </c>
      <c r="E22" s="1328">
        <f>IF($E$2=1, 1, 0)</f>
        <v>1</v>
      </c>
      <c r="F22" s="1344">
        <f t="shared" si="1"/>
        <v>0.33</v>
      </c>
      <c r="G22" s="1345">
        <f t="shared" si="3"/>
        <v>5.3000000000000007</v>
      </c>
      <c r="H22" s="1343">
        <f>G22*50%</f>
        <v>2.6500000000000004</v>
      </c>
      <c r="I22" s="1323">
        <f>G22*30%</f>
        <v>1.59</v>
      </c>
      <c r="J22" s="1346">
        <f>G22*20%</f>
        <v>1.0600000000000003</v>
      </c>
      <c r="K22" s="1326"/>
      <c r="L22" s="1306"/>
      <c r="M22" s="1306"/>
      <c r="N22" s="1306"/>
      <c r="O22" s="1306"/>
      <c r="P22" s="1306"/>
    </row>
    <row r="23" spans="1:16" x14ac:dyDescent="0.25">
      <c r="A23" s="2239" t="s">
        <v>1246</v>
      </c>
      <c r="B23" s="1347" t="s">
        <v>32</v>
      </c>
      <c r="C23" s="1343">
        <f>ROUND(120/60*$O$4,2)</f>
        <v>2.4</v>
      </c>
      <c r="D23" s="1322">
        <v>0</v>
      </c>
      <c r="E23" s="1328">
        <f>IF($E$2=1, 0.5, 0)</f>
        <v>0.5</v>
      </c>
      <c r="F23" s="1344">
        <f t="shared" si="1"/>
        <v>0.33</v>
      </c>
      <c r="G23" s="1345">
        <f t="shared" si="3"/>
        <v>3.23</v>
      </c>
      <c r="H23" s="1343">
        <f>G23*70%</f>
        <v>2.2609999999999997</v>
      </c>
      <c r="I23" s="1323">
        <f>G23*20%</f>
        <v>0.64600000000000002</v>
      </c>
      <c r="J23" s="1346">
        <f>G23*10%</f>
        <v>0.32300000000000001</v>
      </c>
      <c r="K23" s="1326"/>
      <c r="L23" s="1306"/>
      <c r="M23" s="1306"/>
      <c r="N23" s="1306"/>
      <c r="O23" s="1306"/>
      <c r="P23" s="1306"/>
    </row>
    <row r="24" spans="1:16" x14ac:dyDescent="0.25">
      <c r="A24" s="2239"/>
      <c r="B24" s="1347" t="s">
        <v>33</v>
      </c>
      <c r="C24" s="1343">
        <f>ROUND(130/60*$O$5,2)</f>
        <v>3.25</v>
      </c>
      <c r="D24" s="1322">
        <v>0</v>
      </c>
      <c r="E24" s="1328">
        <f>IF($E$2=1, 0.7, 0)</f>
        <v>0.7</v>
      </c>
      <c r="F24" s="1344">
        <f t="shared" si="1"/>
        <v>0.33</v>
      </c>
      <c r="G24" s="1345">
        <f t="shared" si="3"/>
        <v>4.28</v>
      </c>
      <c r="H24" s="1343">
        <f>G24*60%</f>
        <v>2.5680000000000001</v>
      </c>
      <c r="I24" s="1323">
        <f>G24*30%</f>
        <v>1.284</v>
      </c>
      <c r="J24" s="1346">
        <f>G24*10%</f>
        <v>0.42800000000000005</v>
      </c>
      <c r="K24" s="1326"/>
      <c r="L24" s="1306"/>
      <c r="M24" s="1306"/>
      <c r="N24" s="1306"/>
      <c r="O24" s="1306"/>
      <c r="P24" s="1306"/>
    </row>
    <row r="25" spans="1:16" x14ac:dyDescent="0.25">
      <c r="A25" s="2239"/>
      <c r="B25" s="1348" t="s">
        <v>34</v>
      </c>
      <c r="C25" s="1343">
        <f>ROUND(140/60*$O$6,2)</f>
        <v>3.97</v>
      </c>
      <c r="D25" s="1322">
        <v>0</v>
      </c>
      <c r="E25" s="1328">
        <f>IF($E$2=1, 1, 0)</f>
        <v>1</v>
      </c>
      <c r="F25" s="1344">
        <f t="shared" si="1"/>
        <v>0.33</v>
      </c>
      <c r="G25" s="1345">
        <f t="shared" si="3"/>
        <v>5.3000000000000007</v>
      </c>
      <c r="H25" s="1343">
        <f>G25*50%</f>
        <v>2.6500000000000004</v>
      </c>
      <c r="I25" s="1323">
        <f>G25*30%</f>
        <v>1.59</v>
      </c>
      <c r="J25" s="1346">
        <f>G25*20%</f>
        <v>1.0600000000000003</v>
      </c>
      <c r="K25" s="1326"/>
      <c r="L25" s="1306"/>
      <c r="M25" s="1306"/>
      <c r="N25" s="1306"/>
      <c r="O25" s="1306"/>
      <c r="P25" s="1306"/>
    </row>
    <row r="26" spans="1:16" x14ac:dyDescent="0.25">
      <c r="A26" s="2239" t="s">
        <v>1280</v>
      </c>
      <c r="B26" s="1321" t="s">
        <v>32</v>
      </c>
      <c r="C26" s="1349">
        <f>ROUND(120/60*$O$4,2)</f>
        <v>2.4</v>
      </c>
      <c r="D26" s="1322">
        <v>0</v>
      </c>
      <c r="E26" s="1328">
        <f>IF($E$2=1, 0.5, 0)</f>
        <v>0.5</v>
      </c>
      <c r="F26" s="1344">
        <f t="shared" si="1"/>
        <v>0.33</v>
      </c>
      <c r="G26" s="1345">
        <f t="shared" si="3"/>
        <v>3.23</v>
      </c>
      <c r="H26" s="1343">
        <f>G26*70%</f>
        <v>2.2609999999999997</v>
      </c>
      <c r="I26" s="1323">
        <f>G26*20%</f>
        <v>0.64600000000000002</v>
      </c>
      <c r="J26" s="1346">
        <f>G26*10%</f>
        <v>0.32300000000000001</v>
      </c>
      <c r="K26" s="1326"/>
      <c r="L26" s="1306"/>
      <c r="M26" s="1306"/>
      <c r="N26" s="1306"/>
      <c r="O26" s="1306"/>
      <c r="P26" s="1306"/>
    </row>
    <row r="27" spans="1:16" x14ac:dyDescent="0.25">
      <c r="A27" s="2239"/>
      <c r="B27" s="1321" t="s">
        <v>33</v>
      </c>
      <c r="C27" s="1349">
        <f>ROUND(130/60*$O$5,2)</f>
        <v>3.25</v>
      </c>
      <c r="D27" s="1322">
        <v>0</v>
      </c>
      <c r="E27" s="1328">
        <f>IF($E$2=1, 0.7, 0)</f>
        <v>0.7</v>
      </c>
      <c r="F27" s="1344">
        <f t="shared" si="1"/>
        <v>0.33</v>
      </c>
      <c r="G27" s="1345">
        <f t="shared" si="3"/>
        <v>4.28</v>
      </c>
      <c r="H27" s="1343">
        <f>G27*60%</f>
        <v>2.5680000000000001</v>
      </c>
      <c r="I27" s="1323">
        <f>G27*30%</f>
        <v>1.284</v>
      </c>
      <c r="J27" s="1346">
        <f>G27*10%</f>
        <v>0.42800000000000005</v>
      </c>
      <c r="K27" s="1326"/>
      <c r="L27" s="1306"/>
      <c r="M27" s="1306"/>
      <c r="N27" s="1306"/>
      <c r="O27" s="1306"/>
      <c r="P27" s="1306"/>
    </row>
    <row r="28" spans="1:16" x14ac:dyDescent="0.25">
      <c r="A28" s="2239"/>
      <c r="B28" s="1321" t="s">
        <v>34</v>
      </c>
      <c r="C28" s="1349">
        <f>ROUND(140/60*$O$6,2)</f>
        <v>3.97</v>
      </c>
      <c r="D28" s="1322">
        <v>0</v>
      </c>
      <c r="E28" s="1328">
        <f>IF($E$2=1, 1, 0)</f>
        <v>1</v>
      </c>
      <c r="F28" s="1344">
        <f t="shared" si="1"/>
        <v>0.33</v>
      </c>
      <c r="G28" s="1345">
        <f t="shared" si="3"/>
        <v>5.3000000000000007</v>
      </c>
      <c r="H28" s="1343">
        <f>G28*50%</f>
        <v>2.6500000000000004</v>
      </c>
      <c r="I28" s="1323">
        <f>G28*30%</f>
        <v>1.59</v>
      </c>
      <c r="J28" s="1346">
        <f>G28*20%</f>
        <v>1.0600000000000003</v>
      </c>
      <c r="K28" s="1326"/>
      <c r="L28" s="1306"/>
      <c r="M28" s="1306"/>
      <c r="N28" s="1306"/>
      <c r="O28" s="1306"/>
      <c r="P28" s="1306"/>
    </row>
    <row r="29" spans="1:16" x14ac:dyDescent="0.25">
      <c r="A29" s="2239" t="s">
        <v>1247</v>
      </c>
      <c r="B29" s="1342" t="s">
        <v>32</v>
      </c>
      <c r="C29" s="1343">
        <f>ROUND(120/60*$O$4,2)</f>
        <v>2.4</v>
      </c>
      <c r="D29" s="1322">
        <v>0</v>
      </c>
      <c r="E29" s="1328">
        <f>IF($E$2=1, 0.5, 0)</f>
        <v>0.5</v>
      </c>
      <c r="F29" s="1344">
        <f t="shared" si="1"/>
        <v>0.33</v>
      </c>
      <c r="G29" s="1345">
        <f t="shared" si="3"/>
        <v>3.23</v>
      </c>
      <c r="H29" s="1343">
        <f>G29*70%</f>
        <v>2.2609999999999997</v>
      </c>
      <c r="I29" s="1323">
        <f>G29*20%</f>
        <v>0.64600000000000002</v>
      </c>
      <c r="J29" s="1346">
        <f>G29*10%</f>
        <v>0.32300000000000001</v>
      </c>
      <c r="K29" s="1326"/>
      <c r="L29" s="1306"/>
      <c r="M29" s="1306"/>
      <c r="N29" s="1306"/>
      <c r="O29" s="1306"/>
      <c r="P29" s="1306"/>
    </row>
    <row r="30" spans="1:16" x14ac:dyDescent="0.25">
      <c r="A30" s="2239"/>
      <c r="B30" s="1347" t="s">
        <v>33</v>
      </c>
      <c r="C30" s="1343">
        <f>ROUND(130/60*$O$5,2)</f>
        <v>3.25</v>
      </c>
      <c r="D30" s="1322">
        <v>0</v>
      </c>
      <c r="E30" s="1328">
        <f>IF($E$2=1, 0.7, 0)</f>
        <v>0.7</v>
      </c>
      <c r="F30" s="1344">
        <f t="shared" si="1"/>
        <v>0.33</v>
      </c>
      <c r="G30" s="1345">
        <f t="shared" si="3"/>
        <v>4.28</v>
      </c>
      <c r="H30" s="1343">
        <f>G30*60%</f>
        <v>2.5680000000000001</v>
      </c>
      <c r="I30" s="1323">
        <f>G30*30%</f>
        <v>1.284</v>
      </c>
      <c r="J30" s="1346">
        <f>G30*10%</f>
        <v>0.42800000000000005</v>
      </c>
      <c r="K30" s="1326"/>
      <c r="L30" s="1306"/>
      <c r="M30" s="1306"/>
      <c r="N30" s="1306"/>
      <c r="O30" s="1306"/>
      <c r="P30" s="1306"/>
    </row>
    <row r="31" spans="1:16" x14ac:dyDescent="0.25">
      <c r="A31" s="2239"/>
      <c r="B31" s="1347" t="s">
        <v>34</v>
      </c>
      <c r="C31" s="1343">
        <f>ROUND(140/60*$O$6,2)</f>
        <v>3.97</v>
      </c>
      <c r="D31" s="1322">
        <v>0</v>
      </c>
      <c r="E31" s="1328">
        <f>IF($E$2=1, 1, 0)</f>
        <v>1</v>
      </c>
      <c r="F31" s="1344">
        <f t="shared" si="1"/>
        <v>0.33</v>
      </c>
      <c r="G31" s="1345">
        <f t="shared" si="3"/>
        <v>5.3000000000000007</v>
      </c>
      <c r="H31" s="1343">
        <f>G31*50%</f>
        <v>2.6500000000000004</v>
      </c>
      <c r="I31" s="1323">
        <f>G31*30%</f>
        <v>1.59</v>
      </c>
      <c r="J31" s="1346">
        <f>G31*20%</f>
        <v>1.0600000000000003</v>
      </c>
      <c r="K31" s="1326"/>
      <c r="L31" s="1306"/>
      <c r="M31" s="1306"/>
      <c r="N31" s="1306"/>
      <c r="O31" s="1306" t="s">
        <v>1207</v>
      </c>
      <c r="P31" s="1306"/>
    </row>
    <row r="32" spans="1:16" x14ac:dyDescent="0.25">
      <c r="A32" s="2239" t="s">
        <v>1324</v>
      </c>
      <c r="B32" s="1347" t="s">
        <v>32</v>
      </c>
      <c r="C32" s="1343">
        <f>ROUND(120/60*$O$4,2)</f>
        <v>2.4</v>
      </c>
      <c r="D32" s="1322">
        <v>0</v>
      </c>
      <c r="E32" s="1328">
        <f>IF($E$2=1, 0.5, 0)</f>
        <v>0.5</v>
      </c>
      <c r="F32" s="1344">
        <f t="shared" si="1"/>
        <v>0.33</v>
      </c>
      <c r="G32" s="1345">
        <f t="shared" si="3"/>
        <v>3.23</v>
      </c>
      <c r="H32" s="1343">
        <f>G32*70%</f>
        <v>2.2609999999999997</v>
      </c>
      <c r="I32" s="1323">
        <f>G32*20%</f>
        <v>0.64600000000000002</v>
      </c>
      <c r="J32" s="1346">
        <f>G32*10%</f>
        <v>0.32300000000000001</v>
      </c>
      <c r="K32" s="1326"/>
      <c r="L32" s="1306"/>
      <c r="M32" s="1306"/>
      <c r="N32" s="1306"/>
      <c r="O32" s="1306"/>
      <c r="P32" s="1306"/>
    </row>
    <row r="33" spans="1:16" x14ac:dyDescent="0.25">
      <c r="A33" s="2239"/>
      <c r="B33" s="1347" t="s">
        <v>33</v>
      </c>
      <c r="C33" s="1343">
        <f>ROUND(130/60*$O$5,2)</f>
        <v>3.25</v>
      </c>
      <c r="D33" s="1322">
        <v>0</v>
      </c>
      <c r="E33" s="1328">
        <f>IF($E$2=1, 0.7, 0)</f>
        <v>0.7</v>
      </c>
      <c r="F33" s="1344">
        <f t="shared" si="1"/>
        <v>0.33</v>
      </c>
      <c r="G33" s="1345">
        <f t="shared" si="3"/>
        <v>4.28</v>
      </c>
      <c r="H33" s="1343">
        <f>G33*60%</f>
        <v>2.5680000000000001</v>
      </c>
      <c r="I33" s="1323">
        <f>G33*30%</f>
        <v>1.284</v>
      </c>
      <c r="J33" s="1346">
        <f>G33*10%</f>
        <v>0.42800000000000005</v>
      </c>
      <c r="K33" s="1326"/>
      <c r="L33" s="1306"/>
      <c r="M33" s="1306"/>
      <c r="N33" s="1306"/>
      <c r="O33" s="1306"/>
      <c r="P33" s="1306"/>
    </row>
    <row r="34" spans="1:16" x14ac:dyDescent="0.25">
      <c r="A34" s="2259"/>
      <c r="B34" s="1348" t="s">
        <v>34</v>
      </c>
      <c r="C34" s="1343">
        <f>ROUND(140/60*$O$6,2)</f>
        <v>3.97</v>
      </c>
      <c r="D34" s="1322">
        <v>0</v>
      </c>
      <c r="E34" s="1328">
        <f>IF($E$2=1, 1, 0)</f>
        <v>1</v>
      </c>
      <c r="F34" s="1344">
        <f t="shared" si="1"/>
        <v>0.33</v>
      </c>
      <c r="G34" s="1345">
        <f t="shared" si="3"/>
        <v>5.3000000000000007</v>
      </c>
      <c r="H34" s="1343">
        <f>G34*50%</f>
        <v>2.6500000000000004</v>
      </c>
      <c r="I34" s="1323">
        <f>G34*30%</f>
        <v>1.59</v>
      </c>
      <c r="J34" s="1346">
        <f>G34*20%</f>
        <v>1.0600000000000003</v>
      </c>
      <c r="K34" s="1326"/>
      <c r="L34" s="1306"/>
      <c r="M34" s="1306"/>
      <c r="N34" s="1306"/>
      <c r="O34" s="1306"/>
      <c r="P34" s="1306"/>
    </row>
    <row r="35" spans="1:16" x14ac:dyDescent="0.25">
      <c r="A35" s="2239" t="s">
        <v>1249</v>
      </c>
      <c r="B35" s="1347" t="s">
        <v>32</v>
      </c>
      <c r="C35" s="1343">
        <f>ROUND(120/60*$O$4,2)</f>
        <v>2.4</v>
      </c>
      <c r="D35" s="1322">
        <v>0</v>
      </c>
      <c r="E35" s="1328">
        <f>IF($E$2=1, 0.5, 0)</f>
        <v>0.5</v>
      </c>
      <c r="F35" s="1344">
        <f t="shared" si="1"/>
        <v>0.33</v>
      </c>
      <c r="G35" s="1345">
        <f t="shared" si="3"/>
        <v>3.23</v>
      </c>
      <c r="H35" s="1343">
        <f>G35*70%</f>
        <v>2.2609999999999997</v>
      </c>
      <c r="I35" s="1323">
        <f>G35*20%</f>
        <v>0.64600000000000002</v>
      </c>
      <c r="J35" s="1346">
        <f>G35*10%</f>
        <v>0.32300000000000001</v>
      </c>
      <c r="K35" s="1326"/>
      <c r="L35" s="1306"/>
      <c r="M35" s="1306"/>
      <c r="N35" s="1306"/>
      <c r="O35" s="1306"/>
      <c r="P35" s="1306"/>
    </row>
    <row r="36" spans="1:16" x14ac:dyDescent="0.25">
      <c r="A36" s="2239"/>
      <c r="B36" s="1347" t="s">
        <v>33</v>
      </c>
      <c r="C36" s="1343">
        <f>ROUND(130/60*$O$5,2)</f>
        <v>3.25</v>
      </c>
      <c r="D36" s="1322">
        <v>0</v>
      </c>
      <c r="E36" s="1328">
        <f>IF($E$2=1, 0.7, 0)</f>
        <v>0.7</v>
      </c>
      <c r="F36" s="1344">
        <f t="shared" si="1"/>
        <v>0.33</v>
      </c>
      <c r="G36" s="1345">
        <f t="shared" si="3"/>
        <v>4.28</v>
      </c>
      <c r="H36" s="1343">
        <f>G36*60%</f>
        <v>2.5680000000000001</v>
      </c>
      <c r="I36" s="1323">
        <f>G36*30%</f>
        <v>1.284</v>
      </c>
      <c r="J36" s="1346">
        <f>G36*10%</f>
        <v>0.42800000000000005</v>
      </c>
      <c r="K36" s="1326"/>
      <c r="L36" s="1306"/>
      <c r="M36" s="1306"/>
      <c r="N36" s="1306"/>
      <c r="O36" s="1306"/>
      <c r="P36" s="1306"/>
    </row>
    <row r="37" spans="1:16" x14ac:dyDescent="0.25">
      <c r="A37" s="2259"/>
      <c r="B37" s="1348" t="s">
        <v>34</v>
      </c>
      <c r="C37" s="1343">
        <f>ROUND(140/60*$O$6,2)</f>
        <v>3.97</v>
      </c>
      <c r="D37" s="1322">
        <v>0</v>
      </c>
      <c r="E37" s="1328">
        <f>IF($E$2=1, 1, 0)</f>
        <v>1</v>
      </c>
      <c r="F37" s="1344">
        <f t="shared" si="1"/>
        <v>0.33</v>
      </c>
      <c r="G37" s="1345">
        <f t="shared" si="3"/>
        <v>5.3000000000000007</v>
      </c>
      <c r="H37" s="1343">
        <f>G37*50%</f>
        <v>2.6500000000000004</v>
      </c>
      <c r="I37" s="1323">
        <f>G37*30%</f>
        <v>1.59</v>
      </c>
      <c r="J37" s="1346">
        <f>G37*20%</f>
        <v>1.0600000000000003</v>
      </c>
      <c r="K37" s="1326"/>
      <c r="L37" s="1306"/>
      <c r="M37" s="1306"/>
      <c r="N37" s="1306"/>
      <c r="O37" s="1306"/>
      <c r="P37" s="1306"/>
    </row>
    <row r="38" spans="1:16" x14ac:dyDescent="0.25">
      <c r="A38" s="2239" t="s">
        <v>1325</v>
      </c>
      <c r="B38" s="1347" t="s">
        <v>32</v>
      </c>
      <c r="C38" s="1343">
        <f>ROUND(1200/60*$O$4,2)</f>
        <v>24</v>
      </c>
      <c r="D38" s="1322">
        <v>0</v>
      </c>
      <c r="E38" s="1328">
        <f>IF($E$2=1, 0.5, 0)</f>
        <v>0.5</v>
      </c>
      <c r="F38" s="1344">
        <f t="shared" si="1"/>
        <v>0.33</v>
      </c>
      <c r="G38" s="1345">
        <f t="shared" si="3"/>
        <v>24.83</v>
      </c>
      <c r="H38" s="1343">
        <f>G38*70%</f>
        <v>17.380999999999997</v>
      </c>
      <c r="I38" s="1323">
        <f>G38*20%</f>
        <v>4.9660000000000002</v>
      </c>
      <c r="J38" s="1346">
        <f>G38*10%</f>
        <v>2.4830000000000001</v>
      </c>
      <c r="K38" s="1326"/>
      <c r="L38" s="1306"/>
      <c r="M38" s="1306"/>
      <c r="N38" s="1306"/>
      <c r="O38" s="1306"/>
      <c r="P38" s="1306"/>
    </row>
    <row r="39" spans="1:16" x14ac:dyDescent="0.25">
      <c r="A39" s="2239"/>
      <c r="B39" s="1347" t="s">
        <v>33</v>
      </c>
      <c r="C39" s="1343">
        <f>ROUND(130/60*$O$5,2)</f>
        <v>3.25</v>
      </c>
      <c r="D39" s="1322">
        <v>0</v>
      </c>
      <c r="E39" s="1328">
        <f>IF($E$2=1, 0.7, 0)</f>
        <v>0.7</v>
      </c>
      <c r="F39" s="1344">
        <f t="shared" si="1"/>
        <v>0.33</v>
      </c>
      <c r="G39" s="1345">
        <f t="shared" si="3"/>
        <v>4.28</v>
      </c>
      <c r="H39" s="1343">
        <f>G39*60%</f>
        <v>2.5680000000000001</v>
      </c>
      <c r="I39" s="1323">
        <f>G39*30%</f>
        <v>1.284</v>
      </c>
      <c r="J39" s="1346">
        <f>G39*10%</f>
        <v>0.42800000000000005</v>
      </c>
      <c r="K39" s="1326"/>
      <c r="L39" s="1306"/>
      <c r="M39" s="1306"/>
      <c r="N39" s="1306"/>
      <c r="O39" s="1306"/>
      <c r="P39" s="1306"/>
    </row>
    <row r="40" spans="1:16" x14ac:dyDescent="0.25">
      <c r="A40" s="2259"/>
      <c r="B40" s="1348" t="s">
        <v>34</v>
      </c>
      <c r="C40" s="1343">
        <f>ROUND(140/60*$O$6,2)</f>
        <v>3.97</v>
      </c>
      <c r="D40" s="1322">
        <v>0</v>
      </c>
      <c r="E40" s="1328">
        <f>IF($E$2=1, 1, 0)</f>
        <v>1</v>
      </c>
      <c r="F40" s="1344">
        <f t="shared" si="1"/>
        <v>0.33</v>
      </c>
      <c r="G40" s="1345">
        <f t="shared" si="3"/>
        <v>5.3000000000000007</v>
      </c>
      <c r="H40" s="1343">
        <f>G40*50%</f>
        <v>2.6500000000000004</v>
      </c>
      <c r="I40" s="1323">
        <f>G40*30%</f>
        <v>1.59</v>
      </c>
      <c r="J40" s="1346">
        <f>G40*20%</f>
        <v>1.0600000000000003</v>
      </c>
      <c r="K40" s="1326"/>
      <c r="L40" s="1306"/>
      <c r="M40" s="1306"/>
      <c r="N40" s="1306"/>
      <c r="O40" s="1306"/>
      <c r="P40" s="1306"/>
    </row>
    <row r="41" spans="1:16" x14ac:dyDescent="0.25">
      <c r="A41" s="2239" t="s">
        <v>1326</v>
      </c>
      <c r="B41" s="1347" t="s">
        <v>32</v>
      </c>
      <c r="C41" s="1343">
        <f>ROUND(120/60*$O$4,2)</f>
        <v>2.4</v>
      </c>
      <c r="D41" s="1322">
        <v>0</v>
      </c>
      <c r="E41" s="1328">
        <f>IF($E$2=1, 0.5, 0)</f>
        <v>0.5</v>
      </c>
      <c r="F41" s="1344">
        <f t="shared" si="1"/>
        <v>0.33</v>
      </c>
      <c r="G41" s="1345">
        <f t="shared" si="3"/>
        <v>3.23</v>
      </c>
      <c r="H41" s="1343">
        <f>G41*70%</f>
        <v>2.2609999999999997</v>
      </c>
      <c r="I41" s="1323">
        <f>G41*20%</f>
        <v>0.64600000000000002</v>
      </c>
      <c r="J41" s="1346">
        <f>G41*10%</f>
        <v>0.32300000000000001</v>
      </c>
      <c r="K41" s="1326"/>
      <c r="L41" s="1306"/>
      <c r="M41" s="1306"/>
      <c r="N41" s="1306"/>
      <c r="O41" s="1306"/>
      <c r="P41" s="1306"/>
    </row>
    <row r="42" spans="1:16" x14ac:dyDescent="0.25">
      <c r="A42" s="2239"/>
      <c r="B42" s="1347" t="s">
        <v>33</v>
      </c>
      <c r="C42" s="1343">
        <f>ROUND(130/60*$O$5,2)</f>
        <v>3.25</v>
      </c>
      <c r="D42" s="1322">
        <v>0</v>
      </c>
      <c r="E42" s="1328">
        <f>IF($E$2=1, 0.7, 0)</f>
        <v>0.7</v>
      </c>
      <c r="F42" s="1344">
        <f t="shared" si="1"/>
        <v>0.33</v>
      </c>
      <c r="G42" s="1345">
        <f t="shared" si="3"/>
        <v>4.28</v>
      </c>
      <c r="H42" s="1343">
        <f>G42*60%</f>
        <v>2.5680000000000001</v>
      </c>
      <c r="I42" s="1323">
        <f>G42*30%</f>
        <v>1.284</v>
      </c>
      <c r="J42" s="1346">
        <f>G42*10%</f>
        <v>0.42800000000000005</v>
      </c>
      <c r="K42" s="1326"/>
      <c r="L42" s="1306"/>
      <c r="M42" s="1306"/>
      <c r="N42" s="1306"/>
      <c r="O42" s="1306"/>
      <c r="P42" s="1306"/>
    </row>
    <row r="43" spans="1:16" x14ac:dyDescent="0.25">
      <c r="A43" s="2259"/>
      <c r="B43" s="1348" t="s">
        <v>34</v>
      </c>
      <c r="C43" s="1343">
        <f>ROUND(140/60*$O$6,2)</f>
        <v>3.97</v>
      </c>
      <c r="D43" s="1322">
        <v>0</v>
      </c>
      <c r="E43" s="1328">
        <f>IF($E$2=1, 1, 0)</f>
        <v>1</v>
      </c>
      <c r="F43" s="1344">
        <f t="shared" si="1"/>
        <v>0.33</v>
      </c>
      <c r="G43" s="1345">
        <f t="shared" si="3"/>
        <v>5.3000000000000007</v>
      </c>
      <c r="H43" s="1343">
        <f>G43*50%</f>
        <v>2.6500000000000004</v>
      </c>
      <c r="I43" s="1323">
        <f>G43*30%</f>
        <v>1.59</v>
      </c>
      <c r="J43" s="1346">
        <f>G43*20%</f>
        <v>1.0600000000000003</v>
      </c>
      <c r="K43" s="1326"/>
      <c r="L43" s="1306"/>
      <c r="M43" s="1306"/>
      <c r="N43" s="1306"/>
      <c r="O43" s="1306"/>
      <c r="P43" s="1306"/>
    </row>
    <row r="44" spans="1:16" x14ac:dyDescent="0.25">
      <c r="A44" s="2239" t="s">
        <v>1327</v>
      </c>
      <c r="B44" s="1347" t="s">
        <v>32</v>
      </c>
      <c r="C44" s="1343">
        <f>ROUND(120/60*$O$4,2)</f>
        <v>2.4</v>
      </c>
      <c r="D44" s="1322">
        <v>0</v>
      </c>
      <c r="E44" s="1328">
        <f>IF($E$2=1, 0.5, 0)</f>
        <v>0.5</v>
      </c>
      <c r="F44" s="1344">
        <f t="shared" si="1"/>
        <v>0.33</v>
      </c>
      <c r="G44" s="1345">
        <f t="shared" si="3"/>
        <v>3.23</v>
      </c>
      <c r="H44" s="1343">
        <f>G44*70%</f>
        <v>2.2609999999999997</v>
      </c>
      <c r="I44" s="1323">
        <f>G44*20%</f>
        <v>0.64600000000000002</v>
      </c>
      <c r="J44" s="1346">
        <f>G44*10%</f>
        <v>0.32300000000000001</v>
      </c>
      <c r="K44" s="1326"/>
      <c r="L44" s="1306"/>
      <c r="M44" s="1306"/>
      <c r="N44" s="1306"/>
      <c r="O44" s="1306"/>
      <c r="P44" s="1306"/>
    </row>
    <row r="45" spans="1:16" x14ac:dyDescent="0.25">
      <c r="A45" s="2239"/>
      <c r="B45" s="1347" t="s">
        <v>33</v>
      </c>
      <c r="C45" s="1343">
        <f>ROUND(130/60*$O$5,2)</f>
        <v>3.25</v>
      </c>
      <c r="D45" s="1322">
        <v>0</v>
      </c>
      <c r="E45" s="1328">
        <f>IF($E$2=1, 0.7, 0)</f>
        <v>0.7</v>
      </c>
      <c r="F45" s="1344">
        <f t="shared" si="1"/>
        <v>0.33</v>
      </c>
      <c r="G45" s="1345">
        <f t="shared" si="3"/>
        <v>4.28</v>
      </c>
      <c r="H45" s="1343">
        <f>G45*60%</f>
        <v>2.5680000000000001</v>
      </c>
      <c r="I45" s="1323">
        <f>G45*30%</f>
        <v>1.284</v>
      </c>
      <c r="J45" s="1346">
        <f>G45*10%</f>
        <v>0.42800000000000005</v>
      </c>
      <c r="K45" s="1326"/>
      <c r="L45" s="1306"/>
      <c r="M45" s="1306"/>
      <c r="N45" s="1306"/>
      <c r="O45" s="1306"/>
      <c r="P45" s="1306"/>
    </row>
    <row r="46" spans="1:16" x14ac:dyDescent="0.25">
      <c r="A46" s="2259"/>
      <c r="B46" s="1348" t="s">
        <v>34</v>
      </c>
      <c r="C46" s="1343">
        <f>ROUND(140/60*$O$6,2)</f>
        <v>3.97</v>
      </c>
      <c r="D46" s="1322">
        <v>0</v>
      </c>
      <c r="E46" s="1328">
        <f>IF($E$2=1, 1, 0)</f>
        <v>1</v>
      </c>
      <c r="F46" s="1344">
        <f t="shared" si="1"/>
        <v>0.33</v>
      </c>
      <c r="G46" s="1345">
        <f t="shared" si="3"/>
        <v>5.3000000000000007</v>
      </c>
      <c r="H46" s="1343">
        <f>G46*50%</f>
        <v>2.6500000000000004</v>
      </c>
      <c r="I46" s="1323">
        <f>G46*30%</f>
        <v>1.59</v>
      </c>
      <c r="J46" s="1346">
        <f>G46*20%</f>
        <v>1.0600000000000003</v>
      </c>
      <c r="K46" s="1326"/>
      <c r="L46" s="1306"/>
      <c r="M46" s="1306"/>
      <c r="N46" s="1306"/>
      <c r="O46" s="1306"/>
      <c r="P46" s="1306"/>
    </row>
    <row r="47" spans="1:16" x14ac:dyDescent="0.25">
      <c r="A47" s="2239" t="s">
        <v>1328</v>
      </c>
      <c r="B47" s="1347" t="s">
        <v>32</v>
      </c>
      <c r="C47" s="1343">
        <f>ROUND(120/60*$O$4,2)</f>
        <v>2.4</v>
      </c>
      <c r="D47" s="1322">
        <v>0</v>
      </c>
      <c r="E47" s="1328">
        <f>IF($E$2=1, 0.5, 0)</f>
        <v>0.5</v>
      </c>
      <c r="F47" s="1344">
        <f t="shared" si="1"/>
        <v>0.33</v>
      </c>
      <c r="G47" s="1345">
        <f t="shared" si="3"/>
        <v>3.23</v>
      </c>
      <c r="H47" s="1343">
        <f>G47*70%</f>
        <v>2.2609999999999997</v>
      </c>
      <c r="I47" s="1323">
        <f>G47*20%</f>
        <v>0.64600000000000002</v>
      </c>
      <c r="J47" s="1346">
        <f>G47*10%</f>
        <v>0.32300000000000001</v>
      </c>
      <c r="K47" s="1326"/>
      <c r="L47" s="1306"/>
      <c r="M47" s="1306"/>
      <c r="N47" s="1306"/>
      <c r="O47" s="1306"/>
      <c r="P47" s="1306"/>
    </row>
    <row r="48" spans="1:16" x14ac:dyDescent="0.25">
      <c r="A48" s="2239"/>
      <c r="B48" s="1347" t="s">
        <v>33</v>
      </c>
      <c r="C48" s="1343">
        <f>ROUND(130/60*$O$5,2)</f>
        <v>3.25</v>
      </c>
      <c r="D48" s="1322">
        <v>0</v>
      </c>
      <c r="E48" s="1328">
        <f>IF($E$2=1, 0.7, 0)</f>
        <v>0.7</v>
      </c>
      <c r="F48" s="1344">
        <f t="shared" si="1"/>
        <v>0.33</v>
      </c>
      <c r="G48" s="1345">
        <f t="shared" si="3"/>
        <v>4.28</v>
      </c>
      <c r="H48" s="1343">
        <f>G48*60%</f>
        <v>2.5680000000000001</v>
      </c>
      <c r="I48" s="1323">
        <f>G48*30%</f>
        <v>1.284</v>
      </c>
      <c r="J48" s="1346">
        <f>G48*10%</f>
        <v>0.42800000000000005</v>
      </c>
      <c r="K48" s="1326"/>
      <c r="L48" s="1306"/>
      <c r="M48" s="1306"/>
      <c r="N48" s="1306"/>
      <c r="O48" s="1306"/>
      <c r="P48" s="1306"/>
    </row>
    <row r="49" spans="1:16" x14ac:dyDescent="0.25">
      <c r="A49" s="2259"/>
      <c r="B49" s="1348" t="s">
        <v>34</v>
      </c>
      <c r="C49" s="1343">
        <f>ROUND(140/60*$O$6,2)</f>
        <v>3.97</v>
      </c>
      <c r="D49" s="1322">
        <v>0</v>
      </c>
      <c r="E49" s="1328">
        <f>IF($E$2=1, 1, 0)</f>
        <v>1</v>
      </c>
      <c r="F49" s="1344">
        <f t="shared" si="1"/>
        <v>0.33</v>
      </c>
      <c r="G49" s="1345">
        <f t="shared" si="3"/>
        <v>5.3000000000000007</v>
      </c>
      <c r="H49" s="1343">
        <f>G49*50%</f>
        <v>2.6500000000000004</v>
      </c>
      <c r="I49" s="1323">
        <f>G49*30%</f>
        <v>1.59</v>
      </c>
      <c r="J49" s="1346">
        <f>G49*20%</f>
        <v>1.0600000000000003</v>
      </c>
      <c r="K49" s="1326"/>
      <c r="L49" s="1306"/>
      <c r="M49" s="1306"/>
      <c r="N49" s="1306"/>
      <c r="O49" s="1306"/>
      <c r="P49" s="1306"/>
    </row>
    <row r="50" spans="1:16" x14ac:dyDescent="0.25">
      <c r="A50" s="2239" t="s">
        <v>1329</v>
      </c>
      <c r="B50" s="1347" t="s">
        <v>32</v>
      </c>
      <c r="C50" s="1343">
        <f>ROUND(120/60*$O$4,2)</f>
        <v>2.4</v>
      </c>
      <c r="D50" s="1322">
        <v>0</v>
      </c>
      <c r="E50" s="1328">
        <f>IF($E$2=1, 0.5, 0)</f>
        <v>0.5</v>
      </c>
      <c r="F50" s="1344">
        <f t="shared" si="1"/>
        <v>0.33</v>
      </c>
      <c r="G50" s="1345">
        <f t="shared" si="3"/>
        <v>3.23</v>
      </c>
      <c r="H50" s="1343">
        <f>G50*70%</f>
        <v>2.2609999999999997</v>
      </c>
      <c r="I50" s="1323">
        <f>G50*20%</f>
        <v>0.64600000000000002</v>
      </c>
      <c r="J50" s="1346">
        <f>G50*10%</f>
        <v>0.32300000000000001</v>
      </c>
      <c r="K50" s="1326"/>
      <c r="L50" s="1306"/>
      <c r="M50" s="1306"/>
      <c r="N50" s="1306"/>
      <c r="O50" s="1306"/>
      <c r="P50" s="1306"/>
    </row>
    <row r="51" spans="1:16" x14ac:dyDescent="0.25">
      <c r="A51" s="2239"/>
      <c r="B51" s="1347" t="s">
        <v>33</v>
      </c>
      <c r="C51" s="1343">
        <f>ROUND(130/60*$O$5,2)</f>
        <v>3.25</v>
      </c>
      <c r="D51" s="1322">
        <v>0</v>
      </c>
      <c r="E51" s="1328">
        <f>IF($E$2=1, 0.7, 0)</f>
        <v>0.7</v>
      </c>
      <c r="F51" s="1344">
        <f t="shared" si="1"/>
        <v>0.33</v>
      </c>
      <c r="G51" s="1345">
        <f t="shared" si="3"/>
        <v>4.28</v>
      </c>
      <c r="H51" s="1343">
        <f>G51*60%</f>
        <v>2.5680000000000001</v>
      </c>
      <c r="I51" s="1323">
        <f>G51*30%</f>
        <v>1.284</v>
      </c>
      <c r="J51" s="1346">
        <f>G51*10%</f>
        <v>0.42800000000000005</v>
      </c>
      <c r="K51" s="1326"/>
      <c r="L51" s="1306"/>
      <c r="M51" s="1306"/>
      <c r="N51" s="1306"/>
      <c r="O51" s="1306"/>
      <c r="P51" s="1306"/>
    </row>
    <row r="52" spans="1:16" x14ac:dyDescent="0.25">
      <c r="A52" s="2259"/>
      <c r="B52" s="1348" t="s">
        <v>34</v>
      </c>
      <c r="C52" s="1343">
        <f>ROUND(140/60*$O$6,2)</f>
        <v>3.97</v>
      </c>
      <c r="D52" s="1322">
        <v>0</v>
      </c>
      <c r="E52" s="1328">
        <f>IF($E$2=1, 1, 0)</f>
        <v>1</v>
      </c>
      <c r="F52" s="1344">
        <f t="shared" si="1"/>
        <v>0.33</v>
      </c>
      <c r="G52" s="1345">
        <f t="shared" si="3"/>
        <v>5.3000000000000007</v>
      </c>
      <c r="H52" s="1343">
        <f>G52*50%</f>
        <v>2.6500000000000004</v>
      </c>
      <c r="I52" s="1323">
        <f>G52*30%</f>
        <v>1.59</v>
      </c>
      <c r="J52" s="1346">
        <f>G52*20%</f>
        <v>1.0600000000000003</v>
      </c>
      <c r="K52" s="1326"/>
      <c r="L52" s="1306"/>
      <c r="M52" s="1306"/>
      <c r="N52" s="1306"/>
      <c r="O52" s="1306"/>
      <c r="P52" s="1306"/>
    </row>
    <row r="53" spans="1:16" x14ac:dyDescent="0.25">
      <c r="A53" s="2262" t="s">
        <v>1254</v>
      </c>
      <c r="B53" s="1347" t="s">
        <v>32</v>
      </c>
      <c r="C53" s="1343">
        <f>ROUND(120/60*$O$4,2)</f>
        <v>2.4</v>
      </c>
      <c r="D53" s="1322">
        <v>0</v>
      </c>
      <c r="E53" s="1328">
        <f>IF($E$2=1, 0.5, 0)</f>
        <v>0.5</v>
      </c>
      <c r="F53" s="1344">
        <f t="shared" si="1"/>
        <v>0.33</v>
      </c>
      <c r="G53" s="1345">
        <f t="shared" si="3"/>
        <v>3.23</v>
      </c>
      <c r="H53" s="1343">
        <f>G53*70%</f>
        <v>2.2609999999999997</v>
      </c>
      <c r="I53" s="1323">
        <f>G53*20%</f>
        <v>0.64600000000000002</v>
      </c>
      <c r="J53" s="1346">
        <f>G53*10%</f>
        <v>0.32300000000000001</v>
      </c>
      <c r="K53" s="1326"/>
      <c r="L53" s="1306"/>
      <c r="M53" s="1306"/>
      <c r="N53" s="1306"/>
      <c r="O53" s="1306"/>
      <c r="P53" s="1306"/>
    </row>
    <row r="54" spans="1:16" x14ac:dyDescent="0.25">
      <c r="A54" s="2263"/>
      <c r="B54" s="1347" t="s">
        <v>33</v>
      </c>
      <c r="C54" s="1343">
        <f>ROUND(130/60*$O$5,2)</f>
        <v>3.25</v>
      </c>
      <c r="D54" s="1322">
        <v>0</v>
      </c>
      <c r="E54" s="1328">
        <f>IF($E$2=1, 0.7, 0)</f>
        <v>0.7</v>
      </c>
      <c r="F54" s="1344">
        <f t="shared" si="1"/>
        <v>0.33</v>
      </c>
      <c r="G54" s="1345">
        <f t="shared" si="3"/>
        <v>4.28</v>
      </c>
      <c r="H54" s="1343">
        <f>G54*60%</f>
        <v>2.5680000000000001</v>
      </c>
      <c r="I54" s="1323">
        <f>G54*30%</f>
        <v>1.284</v>
      </c>
      <c r="J54" s="1346">
        <f>G54*10%</f>
        <v>0.42800000000000005</v>
      </c>
      <c r="K54" s="1326"/>
      <c r="L54" s="1306"/>
      <c r="M54" s="1306"/>
      <c r="N54" s="1306"/>
      <c r="O54" s="1306"/>
      <c r="P54" s="1306"/>
    </row>
    <row r="55" spans="1:16" x14ac:dyDescent="0.25">
      <c r="A55" s="2264"/>
      <c r="B55" s="1348" t="s">
        <v>34</v>
      </c>
      <c r="C55" s="1343">
        <f>ROUND(140/60*$O$6,2)</f>
        <v>3.97</v>
      </c>
      <c r="D55" s="1322">
        <v>0</v>
      </c>
      <c r="E55" s="1328">
        <f>IF($E$2=1, 1, 0)</f>
        <v>1</v>
      </c>
      <c r="F55" s="1344">
        <f t="shared" si="1"/>
        <v>0.33</v>
      </c>
      <c r="G55" s="1345">
        <f t="shared" si="3"/>
        <v>5.3000000000000007</v>
      </c>
      <c r="H55" s="1343">
        <f>G55*50%</f>
        <v>2.6500000000000004</v>
      </c>
      <c r="I55" s="1323">
        <f>G55*30%</f>
        <v>1.59</v>
      </c>
      <c r="J55" s="1346">
        <f>G55*20%</f>
        <v>1.0600000000000003</v>
      </c>
      <c r="K55" s="1326"/>
      <c r="L55" s="1306"/>
      <c r="M55" s="1306"/>
      <c r="N55" s="1306"/>
      <c r="O55" s="1306"/>
      <c r="P55" s="1306"/>
    </row>
    <row r="56" spans="1:16" ht="21" customHeight="1" x14ac:dyDescent="0.25">
      <c r="A56" s="2260" t="s">
        <v>1330</v>
      </c>
      <c r="B56" s="1347" t="s">
        <v>32</v>
      </c>
      <c r="C56" s="1343">
        <f>ROUND(120/60*$O$4,2)</f>
        <v>2.4</v>
      </c>
      <c r="D56" s="1322">
        <v>0</v>
      </c>
      <c r="E56" s="1328">
        <f>IF($E$2=1, 0.5, 0)</f>
        <v>0.5</v>
      </c>
      <c r="F56" s="1344">
        <f t="shared" si="1"/>
        <v>0.33</v>
      </c>
      <c r="G56" s="1345">
        <f t="shared" si="3"/>
        <v>3.23</v>
      </c>
      <c r="H56" s="1343">
        <f>G56*70%</f>
        <v>2.2609999999999997</v>
      </c>
      <c r="I56" s="1323">
        <f>G56*20%</f>
        <v>0.64600000000000002</v>
      </c>
      <c r="J56" s="1346">
        <f>G56*10%</f>
        <v>0.32300000000000001</v>
      </c>
      <c r="K56" s="1326"/>
      <c r="L56" s="1306"/>
      <c r="M56" s="1306"/>
      <c r="N56" s="1306"/>
      <c r="O56" s="1306"/>
      <c r="P56" s="1306"/>
    </row>
    <row r="57" spans="1:16" x14ac:dyDescent="0.25">
      <c r="A57" s="2261"/>
      <c r="B57" s="1347" t="s">
        <v>33</v>
      </c>
      <c r="C57" s="1343">
        <f>ROUND(135/60*$O$5,2)</f>
        <v>3.38</v>
      </c>
      <c r="D57" s="1322">
        <v>0</v>
      </c>
      <c r="E57" s="1328">
        <f>IF($E$2=1, 0.7, 0)</f>
        <v>0.7</v>
      </c>
      <c r="F57" s="1344">
        <f t="shared" si="1"/>
        <v>0.33</v>
      </c>
      <c r="G57" s="1345">
        <f t="shared" si="3"/>
        <v>4.41</v>
      </c>
      <c r="H57" s="1343">
        <f>G57*60%</f>
        <v>2.6459999999999999</v>
      </c>
      <c r="I57" s="1323">
        <f>G57*30%</f>
        <v>1.323</v>
      </c>
      <c r="J57" s="1346">
        <f>G57*10%</f>
        <v>0.44100000000000006</v>
      </c>
      <c r="K57" s="1326"/>
      <c r="L57" s="1306"/>
      <c r="M57" s="1306"/>
      <c r="N57" s="1306"/>
      <c r="O57" s="1306"/>
      <c r="P57" s="1306"/>
    </row>
    <row r="58" spans="1:16" ht="18" customHeight="1" x14ac:dyDescent="0.25">
      <c r="A58" s="2265"/>
      <c r="B58" s="1348" t="s">
        <v>34</v>
      </c>
      <c r="C58" s="1343">
        <f>ROUND(150/60*$O$6,2)</f>
        <v>4.25</v>
      </c>
      <c r="D58" s="1322">
        <v>0</v>
      </c>
      <c r="E58" s="1328">
        <f>IF($E$2=1, 1, 0)</f>
        <v>1</v>
      </c>
      <c r="F58" s="1344">
        <f t="shared" si="1"/>
        <v>0.33</v>
      </c>
      <c r="G58" s="1345">
        <f t="shared" si="3"/>
        <v>5.58</v>
      </c>
      <c r="H58" s="1343">
        <f>G58*50%</f>
        <v>2.79</v>
      </c>
      <c r="I58" s="1323">
        <f>G58*30%</f>
        <v>1.6739999999999999</v>
      </c>
      <c r="J58" s="1346">
        <f>G58*20%</f>
        <v>1.1160000000000001</v>
      </c>
      <c r="K58" s="1326"/>
      <c r="L58" s="1306"/>
      <c r="M58" s="1306"/>
      <c r="N58" s="1306"/>
      <c r="O58" s="1306"/>
      <c r="P58" s="1306"/>
    </row>
    <row r="59" spans="1:16" x14ac:dyDescent="0.25">
      <c r="A59" s="2260" t="s">
        <v>1331</v>
      </c>
      <c r="B59" s="1347" t="s">
        <v>32</v>
      </c>
      <c r="C59" s="1343">
        <f>ROUND(120/60*$O$4,2)</f>
        <v>2.4</v>
      </c>
      <c r="D59" s="1322">
        <v>0</v>
      </c>
      <c r="E59" s="1328">
        <f>IF($E$2=1, 0.5, 0)</f>
        <v>0.5</v>
      </c>
      <c r="F59" s="1344">
        <f t="shared" si="1"/>
        <v>0.33</v>
      </c>
      <c r="G59" s="1345">
        <f t="shared" si="3"/>
        <v>3.23</v>
      </c>
      <c r="H59" s="1343">
        <f>G59*70%</f>
        <v>2.2609999999999997</v>
      </c>
      <c r="I59" s="1323">
        <f>G59*20%</f>
        <v>0.64600000000000002</v>
      </c>
      <c r="J59" s="1346">
        <f>G59*10%</f>
        <v>0.32300000000000001</v>
      </c>
      <c r="K59" s="1326"/>
      <c r="L59" s="1306"/>
      <c r="M59" s="1306"/>
      <c r="N59" s="1306"/>
      <c r="O59" s="1306"/>
      <c r="P59" s="1306"/>
    </row>
    <row r="60" spans="1:16" x14ac:dyDescent="0.25">
      <c r="A60" s="2261"/>
      <c r="B60" s="1347" t="s">
        <v>33</v>
      </c>
      <c r="C60" s="1343">
        <f>ROUND(130/60*$O$5,2)</f>
        <v>3.25</v>
      </c>
      <c r="D60" s="1322">
        <v>0</v>
      </c>
      <c r="E60" s="1328">
        <f>IF($E$2=1, 0.7, 0)</f>
        <v>0.7</v>
      </c>
      <c r="F60" s="1344">
        <f t="shared" si="1"/>
        <v>0.33</v>
      </c>
      <c r="G60" s="1345">
        <f t="shared" si="3"/>
        <v>4.28</v>
      </c>
      <c r="H60" s="1343">
        <f>G60*60%</f>
        <v>2.5680000000000001</v>
      </c>
      <c r="I60" s="1323">
        <f>G60*30%</f>
        <v>1.284</v>
      </c>
      <c r="J60" s="1346">
        <f>G60*10%</f>
        <v>0.42800000000000005</v>
      </c>
      <c r="K60" s="1326"/>
      <c r="L60" s="1306"/>
      <c r="M60" s="1306"/>
      <c r="N60" s="1306"/>
      <c r="O60" s="1306"/>
      <c r="P60" s="1306"/>
    </row>
    <row r="61" spans="1:16" x14ac:dyDescent="0.25">
      <c r="A61" s="2265"/>
      <c r="B61" s="1348" t="s">
        <v>34</v>
      </c>
      <c r="C61" s="1343">
        <f>ROUND(140/60*$O$6,2)</f>
        <v>3.97</v>
      </c>
      <c r="D61" s="1322">
        <v>0</v>
      </c>
      <c r="E61" s="1328">
        <f>IF($E$2=1, 1, 0)</f>
        <v>1</v>
      </c>
      <c r="F61" s="1344">
        <f t="shared" si="1"/>
        <v>0.33</v>
      </c>
      <c r="G61" s="1345">
        <f t="shared" si="3"/>
        <v>5.3000000000000007</v>
      </c>
      <c r="H61" s="1343">
        <f>G61*50%</f>
        <v>2.6500000000000004</v>
      </c>
      <c r="I61" s="1323">
        <f>G61*30%</f>
        <v>1.59</v>
      </c>
      <c r="J61" s="1346">
        <f>G61*20%</f>
        <v>1.0600000000000003</v>
      </c>
      <c r="K61" s="1326"/>
      <c r="L61" s="1306"/>
      <c r="M61" s="1306"/>
      <c r="N61" s="1306"/>
      <c r="O61" s="1306"/>
      <c r="P61" s="1306"/>
    </row>
    <row r="62" spans="1:16" x14ac:dyDescent="0.25">
      <c r="A62" s="2260" t="s">
        <v>1332</v>
      </c>
      <c r="B62" s="1347" t="s">
        <v>32</v>
      </c>
      <c r="C62" s="1343">
        <f>ROUND(120/60*$O$4,2)</f>
        <v>2.4</v>
      </c>
      <c r="D62" s="1328">
        <f>ROUND(60/60*$O$4*$D$2,2)</f>
        <v>1.2</v>
      </c>
      <c r="E62" s="1328">
        <f>IF($E$2=1, 0.5, 0)</f>
        <v>0.5</v>
      </c>
      <c r="F62" s="1344">
        <f t="shared" si="1"/>
        <v>0.33</v>
      </c>
      <c r="G62" s="1345">
        <f t="shared" si="3"/>
        <v>4.43</v>
      </c>
      <c r="H62" s="1343">
        <f>G62*80%</f>
        <v>3.544</v>
      </c>
      <c r="I62" s="1323">
        <f>G62*10%</f>
        <v>0.443</v>
      </c>
      <c r="J62" s="1346">
        <f t="shared" ref="J62:J85" si="4">G62*10%</f>
        <v>0.443</v>
      </c>
      <c r="K62" s="1326"/>
      <c r="L62" s="1306"/>
      <c r="M62" s="1306"/>
      <c r="N62" s="1306"/>
      <c r="O62" s="1306"/>
      <c r="P62" s="1306"/>
    </row>
    <row r="63" spans="1:16" x14ac:dyDescent="0.25">
      <c r="A63" s="2261"/>
      <c r="B63" s="1347" t="s">
        <v>33</v>
      </c>
      <c r="C63" s="1343">
        <f>ROUND(135/60*$O$5,2)</f>
        <v>3.38</v>
      </c>
      <c r="D63" s="1328">
        <f>ROUND(60/60*$O$5*$D$2,2)</f>
        <v>1.5</v>
      </c>
      <c r="E63" s="1328">
        <f>IF($E$2=1, 0.7, 0)</f>
        <v>0.7</v>
      </c>
      <c r="F63" s="1344">
        <f t="shared" si="1"/>
        <v>0.33</v>
      </c>
      <c r="G63" s="1345">
        <f t="shared" si="3"/>
        <v>5.91</v>
      </c>
      <c r="H63" s="1343">
        <f>G63*70%</f>
        <v>4.1369999999999996</v>
      </c>
      <c r="I63" s="1323">
        <f>G63*20%</f>
        <v>1.1820000000000002</v>
      </c>
      <c r="J63" s="1346">
        <f t="shared" si="4"/>
        <v>0.59100000000000008</v>
      </c>
      <c r="K63" s="1326"/>
      <c r="L63" s="1306"/>
      <c r="M63" s="1306"/>
      <c r="N63" s="1306"/>
      <c r="O63" s="1306"/>
      <c r="P63" s="1306"/>
    </row>
    <row r="64" spans="1:16" x14ac:dyDescent="0.25">
      <c r="A64" s="2265"/>
      <c r="B64" s="1348" t="s">
        <v>34</v>
      </c>
      <c r="C64" s="1343">
        <f>ROUND(150/60*$O$6,2)</f>
        <v>4.25</v>
      </c>
      <c r="D64" s="1328">
        <f>ROUND(60/60*$O$6*$D$2,2)</f>
        <v>1.7</v>
      </c>
      <c r="E64" s="1328">
        <f>IF($E$2=1, 1, 0)</f>
        <v>1</v>
      </c>
      <c r="F64" s="1344">
        <f t="shared" si="1"/>
        <v>0.33</v>
      </c>
      <c r="G64" s="1345">
        <f t="shared" si="3"/>
        <v>7.28</v>
      </c>
      <c r="H64" s="1343">
        <f>G64*60%</f>
        <v>4.3680000000000003</v>
      </c>
      <c r="I64" s="1323">
        <f>G64*30%</f>
        <v>2.1840000000000002</v>
      </c>
      <c r="J64" s="1346">
        <f t="shared" si="4"/>
        <v>0.72800000000000009</v>
      </c>
      <c r="K64" s="1326"/>
      <c r="L64" s="1306"/>
      <c r="M64" s="1306"/>
      <c r="N64" s="1306"/>
      <c r="O64" s="1306"/>
      <c r="P64" s="1306"/>
    </row>
    <row r="65" spans="1:16" x14ac:dyDescent="0.25">
      <c r="A65" s="2260" t="s">
        <v>1333</v>
      </c>
      <c r="B65" s="1347" t="s">
        <v>32</v>
      </c>
      <c r="C65" s="1343">
        <f>ROUND(110/60*$O$4,2)</f>
        <v>2.2000000000000002</v>
      </c>
      <c r="D65" s="1328">
        <f>ROUND(20/60*$O$4*$D$2,2)</f>
        <v>0.4</v>
      </c>
      <c r="E65" s="1328">
        <f>IF($E$2=1, 0.5, 0)</f>
        <v>0.5</v>
      </c>
      <c r="F65" s="1344">
        <f t="shared" si="1"/>
        <v>0.33</v>
      </c>
      <c r="G65" s="1345">
        <f xml:space="preserve"> SUM(C65:F65)</f>
        <v>3.43</v>
      </c>
      <c r="H65" s="1343">
        <f>G65*80%</f>
        <v>2.7440000000000002</v>
      </c>
      <c r="I65" s="1323">
        <f>G65*10%</f>
        <v>0.34300000000000003</v>
      </c>
      <c r="J65" s="1346">
        <f t="shared" si="4"/>
        <v>0.34300000000000003</v>
      </c>
      <c r="K65" s="1326"/>
      <c r="L65" s="1306"/>
      <c r="M65" s="1306"/>
      <c r="N65" s="1306"/>
      <c r="O65" s="1306"/>
      <c r="P65" s="1306"/>
    </row>
    <row r="66" spans="1:16" x14ac:dyDescent="0.25">
      <c r="A66" s="2261"/>
      <c r="B66" s="1347" t="s">
        <v>33</v>
      </c>
      <c r="C66" s="1343">
        <f>ROUND(120/60*$O$5,2)</f>
        <v>3</v>
      </c>
      <c r="D66" s="1328">
        <f>ROUND(25/60*$O$5*$D$2,2)</f>
        <v>0.63</v>
      </c>
      <c r="E66" s="1328">
        <f>IF($E$2=1, 0.7, 0)</f>
        <v>0.7</v>
      </c>
      <c r="F66" s="1344">
        <f t="shared" si="1"/>
        <v>0.33</v>
      </c>
      <c r="G66" s="1345">
        <f xml:space="preserve"> SUM(C66:F66)</f>
        <v>4.66</v>
      </c>
      <c r="H66" s="1343">
        <f>G66*70%</f>
        <v>3.262</v>
      </c>
      <c r="I66" s="1323">
        <f>G66*20%</f>
        <v>0.93200000000000005</v>
      </c>
      <c r="J66" s="1346">
        <f t="shared" si="4"/>
        <v>0.46600000000000003</v>
      </c>
      <c r="K66" s="1326"/>
      <c r="L66" s="1306"/>
      <c r="M66" s="1306"/>
      <c r="N66" s="1306"/>
      <c r="O66" s="1306"/>
      <c r="P66" s="1306"/>
    </row>
    <row r="67" spans="1:16" x14ac:dyDescent="0.25">
      <c r="A67" s="2265"/>
      <c r="B67" s="1348" t="s">
        <v>34</v>
      </c>
      <c r="C67" s="1343">
        <f>ROUND(130/60*$O$6,2)</f>
        <v>3.68</v>
      </c>
      <c r="D67" s="1328">
        <f>ROUND(30/60*$O$6*$D$2,2)</f>
        <v>0.85</v>
      </c>
      <c r="E67" s="1328">
        <f>IF($E$2=1, 1, 0)</f>
        <v>1</v>
      </c>
      <c r="F67" s="1344">
        <f t="shared" si="1"/>
        <v>0.33</v>
      </c>
      <c r="G67" s="1345">
        <f xml:space="preserve"> SUM(C67:F67)</f>
        <v>5.86</v>
      </c>
      <c r="H67" s="1343">
        <f>G67*60%</f>
        <v>3.516</v>
      </c>
      <c r="I67" s="1323">
        <f>G67*30%</f>
        <v>1.758</v>
      </c>
      <c r="J67" s="1346">
        <f t="shared" si="4"/>
        <v>0.58600000000000008</v>
      </c>
      <c r="K67" s="1326"/>
      <c r="L67" s="1306"/>
      <c r="M67" s="1306"/>
      <c r="N67" s="1306"/>
      <c r="O67" s="1306"/>
      <c r="P67" s="1306"/>
    </row>
    <row r="68" spans="1:16" x14ac:dyDescent="0.25">
      <c r="A68" s="2260" t="s">
        <v>1295</v>
      </c>
      <c r="B68" s="1347" t="s">
        <v>32</v>
      </c>
      <c r="C68" s="1343">
        <f>ROUND(120/60*$O$4,2)</f>
        <v>2.4</v>
      </c>
      <c r="D68" s="1322">
        <v>0</v>
      </c>
      <c r="E68" s="1328">
        <f>IF($E$2=1, 0.5, 0)</f>
        <v>0.5</v>
      </c>
      <c r="F68" s="1344">
        <f t="shared" si="1"/>
        <v>0.33</v>
      </c>
      <c r="G68" s="1345">
        <f t="shared" si="3"/>
        <v>3.23</v>
      </c>
      <c r="H68" s="1343">
        <f>G68*80%</f>
        <v>2.5840000000000001</v>
      </c>
      <c r="I68" s="1323">
        <f>G68*10%</f>
        <v>0.32300000000000001</v>
      </c>
      <c r="J68" s="1346">
        <f t="shared" si="4"/>
        <v>0.32300000000000001</v>
      </c>
      <c r="K68" s="1326"/>
      <c r="L68" s="1306"/>
      <c r="M68" s="1306"/>
      <c r="N68" s="1306"/>
      <c r="O68" s="1306"/>
      <c r="P68" s="1306"/>
    </row>
    <row r="69" spans="1:16" x14ac:dyDescent="0.25">
      <c r="A69" s="2261"/>
      <c r="B69" s="1347" t="s">
        <v>33</v>
      </c>
      <c r="C69" s="1343">
        <f>ROUND(125/60*$O$5,2)</f>
        <v>3.13</v>
      </c>
      <c r="D69" s="1322">
        <v>0</v>
      </c>
      <c r="E69" s="1328">
        <f>IF($E$2=1, 0.7, 0)</f>
        <v>0.7</v>
      </c>
      <c r="F69" s="1344">
        <f t="shared" si="1"/>
        <v>0.33</v>
      </c>
      <c r="G69" s="1345">
        <f t="shared" si="3"/>
        <v>4.16</v>
      </c>
      <c r="H69" s="1343">
        <f>G69*70%</f>
        <v>2.9119999999999999</v>
      </c>
      <c r="I69" s="1323">
        <f>G69*20%</f>
        <v>0.83200000000000007</v>
      </c>
      <c r="J69" s="1346">
        <f t="shared" si="4"/>
        <v>0.41600000000000004</v>
      </c>
      <c r="K69" s="1326"/>
      <c r="L69" s="1306"/>
      <c r="M69" s="1306"/>
      <c r="N69" s="1306"/>
      <c r="O69" s="1306"/>
      <c r="P69" s="1306"/>
    </row>
    <row r="70" spans="1:16" x14ac:dyDescent="0.25">
      <c r="A70" s="2265"/>
      <c r="B70" s="1348" t="s">
        <v>34</v>
      </c>
      <c r="C70" s="1343">
        <f>ROUND(130/60*$O$6,2)</f>
        <v>3.68</v>
      </c>
      <c r="D70" s="1322">
        <v>0</v>
      </c>
      <c r="E70" s="1328">
        <f>IF($E$2=1, 1, 0)</f>
        <v>1</v>
      </c>
      <c r="F70" s="1344">
        <f t="shared" si="1"/>
        <v>0.33</v>
      </c>
      <c r="G70" s="1345">
        <f t="shared" si="3"/>
        <v>5.01</v>
      </c>
      <c r="H70" s="1343">
        <f>G70*60%</f>
        <v>3.0059999999999998</v>
      </c>
      <c r="I70" s="1323">
        <f>G70*30%</f>
        <v>1.5029999999999999</v>
      </c>
      <c r="J70" s="1346">
        <f t="shared" si="4"/>
        <v>0.501</v>
      </c>
      <c r="K70" s="1326"/>
      <c r="L70" s="1306"/>
      <c r="M70" s="1306"/>
      <c r="N70" s="1306"/>
      <c r="O70" s="1306"/>
      <c r="P70" s="1306"/>
    </row>
    <row r="71" spans="1:16" x14ac:dyDescent="0.25">
      <c r="A71" s="2260" t="s">
        <v>1334</v>
      </c>
      <c r="B71" s="1347" t="s">
        <v>32</v>
      </c>
      <c r="C71" s="1343">
        <f>ROUND(120/60*$O$4,2)</f>
        <v>2.4</v>
      </c>
      <c r="D71" s="1322">
        <v>0</v>
      </c>
      <c r="E71" s="1328">
        <f>IF($E$2=1, 0.5, 0)</f>
        <v>0.5</v>
      </c>
      <c r="F71" s="1344">
        <f t="shared" si="1"/>
        <v>0.33</v>
      </c>
      <c r="G71" s="1345">
        <f t="shared" ref="G71:G82" si="5" xml:space="preserve"> SUM(C71:F71)</f>
        <v>3.23</v>
      </c>
      <c r="H71" s="1343">
        <f>G71*80%</f>
        <v>2.5840000000000001</v>
      </c>
      <c r="I71" s="1323">
        <f>G71*10%</f>
        <v>0.32300000000000001</v>
      </c>
      <c r="J71" s="1346">
        <f t="shared" si="4"/>
        <v>0.32300000000000001</v>
      </c>
      <c r="K71" s="1326"/>
      <c r="L71" s="1306"/>
      <c r="M71" s="1306"/>
      <c r="N71" s="1306"/>
      <c r="O71" s="1306"/>
      <c r="P71" s="1306"/>
    </row>
    <row r="72" spans="1:16" x14ac:dyDescent="0.25">
      <c r="A72" s="2261"/>
      <c r="B72" s="1347" t="s">
        <v>33</v>
      </c>
      <c r="C72" s="1343">
        <f>ROUND(125/60*$O$5,2)</f>
        <v>3.13</v>
      </c>
      <c r="D72" s="1322">
        <v>0</v>
      </c>
      <c r="E72" s="1328">
        <f>IF($E$2=1, 0.7, 0)</f>
        <v>0.7</v>
      </c>
      <c r="F72" s="1344">
        <f t="shared" si="1"/>
        <v>0.33</v>
      </c>
      <c r="G72" s="1345">
        <f t="shared" si="5"/>
        <v>4.16</v>
      </c>
      <c r="H72" s="1343">
        <f>G72*70%</f>
        <v>2.9119999999999999</v>
      </c>
      <c r="I72" s="1323">
        <f>G72*20%</f>
        <v>0.83200000000000007</v>
      </c>
      <c r="J72" s="1346">
        <f t="shared" si="4"/>
        <v>0.41600000000000004</v>
      </c>
      <c r="K72" s="1326"/>
      <c r="L72" s="1306"/>
      <c r="M72" s="1306"/>
      <c r="N72" s="1306"/>
      <c r="O72" s="1306"/>
      <c r="P72" s="1306"/>
    </row>
    <row r="73" spans="1:16" x14ac:dyDescent="0.25">
      <c r="A73" s="2261"/>
      <c r="B73" s="1348" t="s">
        <v>34</v>
      </c>
      <c r="C73" s="1350">
        <f>ROUND(130/60*$O$6,2)</f>
        <v>3.68</v>
      </c>
      <c r="D73" s="1351">
        <v>0</v>
      </c>
      <c r="E73" s="1352">
        <f>IF($E$2=1, 1, 0)</f>
        <v>1</v>
      </c>
      <c r="F73" s="1353">
        <f t="shared" si="1"/>
        <v>0.33</v>
      </c>
      <c r="G73" s="1354">
        <f t="shared" si="5"/>
        <v>5.01</v>
      </c>
      <c r="H73" s="1350">
        <f>G73*60%</f>
        <v>3.0059999999999998</v>
      </c>
      <c r="I73" s="1355">
        <f>G73*30%</f>
        <v>1.5029999999999999</v>
      </c>
      <c r="J73" s="1356">
        <f t="shared" si="4"/>
        <v>0.501</v>
      </c>
      <c r="K73" s="1330"/>
      <c r="L73" s="1306"/>
      <c r="M73" s="1306"/>
      <c r="N73" s="1306"/>
      <c r="O73" s="1306"/>
      <c r="P73" s="1306"/>
    </row>
    <row r="74" spans="1:16" x14ac:dyDescent="0.25">
      <c r="A74" s="2260" t="s">
        <v>1275</v>
      </c>
      <c r="B74" s="1347" t="s">
        <v>32</v>
      </c>
      <c r="C74" s="1343">
        <f>ROUND(120/60*$O$4,2)</f>
        <v>2.4</v>
      </c>
      <c r="D74" s="1351">
        <v>0</v>
      </c>
      <c r="E74" s="1328">
        <f>IF($E$2=1, 0.5, 0)</f>
        <v>0.5</v>
      </c>
      <c r="F74" s="1344">
        <f t="shared" si="1"/>
        <v>0.33</v>
      </c>
      <c r="G74" s="1354">
        <f t="shared" si="5"/>
        <v>3.23</v>
      </c>
      <c r="H74" s="1350">
        <f t="shared" ref="H74:H82" si="6">G74*60%</f>
        <v>1.9379999999999999</v>
      </c>
      <c r="I74" s="1355">
        <f t="shared" ref="I74:I82" si="7">G74*30%</f>
        <v>0.96899999999999997</v>
      </c>
      <c r="J74" s="1356">
        <f t="shared" si="4"/>
        <v>0.32300000000000001</v>
      </c>
      <c r="K74" s="1330"/>
      <c r="L74" s="1306"/>
      <c r="M74" s="1306"/>
      <c r="N74" s="1306"/>
      <c r="O74" s="1306"/>
      <c r="P74" s="1306"/>
    </row>
    <row r="75" spans="1:16" x14ac:dyDescent="0.25">
      <c r="A75" s="2261"/>
      <c r="B75" s="1347" t="s">
        <v>33</v>
      </c>
      <c r="C75" s="1343">
        <f>ROUND(125/60*$O$5,2)</f>
        <v>3.13</v>
      </c>
      <c r="D75" s="1351">
        <v>0</v>
      </c>
      <c r="E75" s="1328">
        <f>IF($E$2=1, 0.7, 0)</f>
        <v>0.7</v>
      </c>
      <c r="F75" s="1344">
        <f t="shared" si="1"/>
        <v>0.33</v>
      </c>
      <c r="G75" s="1354">
        <f t="shared" si="5"/>
        <v>4.16</v>
      </c>
      <c r="H75" s="1350">
        <f t="shared" si="6"/>
        <v>2.496</v>
      </c>
      <c r="I75" s="1355">
        <f t="shared" si="7"/>
        <v>1.248</v>
      </c>
      <c r="J75" s="1356">
        <f t="shared" si="4"/>
        <v>0.41600000000000004</v>
      </c>
      <c r="K75" s="1330"/>
      <c r="L75" s="1306"/>
      <c r="M75" s="1306"/>
      <c r="N75" s="1306"/>
      <c r="O75" s="1306"/>
      <c r="P75" s="1306"/>
    </row>
    <row r="76" spans="1:16" x14ac:dyDescent="0.25">
      <c r="A76" s="2265"/>
      <c r="B76" s="1348" t="s">
        <v>34</v>
      </c>
      <c r="C76" s="1343">
        <f>ROUND(130/60*$O$6,2)</f>
        <v>3.68</v>
      </c>
      <c r="D76" s="1351">
        <v>0</v>
      </c>
      <c r="E76" s="1352">
        <f>IF($E$2=1, 1, 0)</f>
        <v>1</v>
      </c>
      <c r="F76" s="1353">
        <f t="shared" si="1"/>
        <v>0.33</v>
      </c>
      <c r="G76" s="1354">
        <f t="shared" si="5"/>
        <v>5.01</v>
      </c>
      <c r="H76" s="1350">
        <f t="shared" si="6"/>
        <v>3.0059999999999998</v>
      </c>
      <c r="I76" s="1355">
        <f t="shared" si="7"/>
        <v>1.5029999999999999</v>
      </c>
      <c r="J76" s="1356">
        <f t="shared" si="4"/>
        <v>0.501</v>
      </c>
      <c r="K76" s="1330"/>
      <c r="L76" s="1306"/>
      <c r="M76" s="1306"/>
      <c r="N76" s="1306"/>
      <c r="O76" s="1306"/>
      <c r="P76" s="1306"/>
    </row>
    <row r="77" spans="1:16" x14ac:dyDescent="0.25">
      <c r="A77" s="2260" t="s">
        <v>1335</v>
      </c>
      <c r="B77" s="1347" t="s">
        <v>32</v>
      </c>
      <c r="C77" s="1343">
        <f>ROUND(90/60*$O$4,2)</f>
        <v>1.8</v>
      </c>
      <c r="D77" s="1351">
        <v>0</v>
      </c>
      <c r="E77" s="1328">
        <f>IF($E$2=1, 0.5, 0)</f>
        <v>0.5</v>
      </c>
      <c r="F77" s="1344">
        <f t="shared" si="1"/>
        <v>0.33</v>
      </c>
      <c r="G77" s="1354">
        <f t="shared" si="5"/>
        <v>2.63</v>
      </c>
      <c r="H77" s="1350">
        <f t="shared" si="6"/>
        <v>1.5779999999999998</v>
      </c>
      <c r="I77" s="1355">
        <f t="shared" si="7"/>
        <v>0.78899999999999992</v>
      </c>
      <c r="J77" s="1356">
        <f t="shared" si="4"/>
        <v>0.26300000000000001</v>
      </c>
      <c r="K77" s="1330"/>
      <c r="L77" s="1306"/>
      <c r="M77" s="1306"/>
      <c r="N77" s="1306"/>
      <c r="O77" s="1306"/>
      <c r="P77" s="1306"/>
    </row>
    <row r="78" spans="1:16" x14ac:dyDescent="0.25">
      <c r="A78" s="2261"/>
      <c r="B78" s="1347" t="s">
        <v>33</v>
      </c>
      <c r="C78" s="1343">
        <f>ROUND(100/60*$O$5,2)</f>
        <v>2.5</v>
      </c>
      <c r="D78" s="1351">
        <v>0</v>
      </c>
      <c r="E78" s="1328">
        <f>IF($E$2=1, 0.7, 0)</f>
        <v>0.7</v>
      </c>
      <c r="F78" s="1344">
        <f t="shared" ref="F78:F92" si="8">IF($F$2=1,ROUND(20/60,2),0)</f>
        <v>0.33</v>
      </c>
      <c r="G78" s="1354">
        <f t="shared" si="5"/>
        <v>3.5300000000000002</v>
      </c>
      <c r="H78" s="1350">
        <f t="shared" si="6"/>
        <v>2.1179999999999999</v>
      </c>
      <c r="I78" s="1355">
        <f t="shared" si="7"/>
        <v>1.0589999999999999</v>
      </c>
      <c r="J78" s="1356">
        <f t="shared" si="4"/>
        <v>0.35300000000000004</v>
      </c>
      <c r="K78" s="1330"/>
      <c r="L78" s="1306"/>
      <c r="M78" s="1306"/>
      <c r="N78" s="1306"/>
      <c r="O78" s="1306"/>
      <c r="P78" s="1306"/>
    </row>
    <row r="79" spans="1:16" x14ac:dyDescent="0.25">
      <c r="A79" s="2265"/>
      <c r="B79" s="1348" t="s">
        <v>34</v>
      </c>
      <c r="C79" s="1343">
        <f>ROUND(110/60*$O$6,2)</f>
        <v>3.12</v>
      </c>
      <c r="D79" s="1351">
        <v>0</v>
      </c>
      <c r="E79" s="1352">
        <f>IF($E$2=1, 1, 0)</f>
        <v>1</v>
      </c>
      <c r="F79" s="1353">
        <f t="shared" si="8"/>
        <v>0.33</v>
      </c>
      <c r="G79" s="1354">
        <f t="shared" si="5"/>
        <v>4.45</v>
      </c>
      <c r="H79" s="1350">
        <f t="shared" si="6"/>
        <v>2.67</v>
      </c>
      <c r="I79" s="1355">
        <f t="shared" si="7"/>
        <v>1.335</v>
      </c>
      <c r="J79" s="1356">
        <f t="shared" si="4"/>
        <v>0.44500000000000006</v>
      </c>
      <c r="K79" s="1330"/>
      <c r="L79" s="1306"/>
      <c r="M79" s="1306"/>
      <c r="N79" s="1306"/>
      <c r="O79" s="1306"/>
      <c r="P79" s="1306"/>
    </row>
    <row r="80" spans="1:16" ht="19.899999999999999" customHeight="1" x14ac:dyDescent="0.25">
      <c r="A80" s="2260" t="s">
        <v>1336</v>
      </c>
      <c r="B80" s="1347" t="s">
        <v>32</v>
      </c>
      <c r="C80" s="1343">
        <f>ROUND(90/60*$O$4,2)</f>
        <v>1.8</v>
      </c>
      <c r="D80" s="1328">
        <f>ROUND(20/60*$O$4*$D$2,2)</f>
        <v>0.4</v>
      </c>
      <c r="E80" s="1328">
        <f>IF($E$2=1, 0.5, 0)</f>
        <v>0.5</v>
      </c>
      <c r="F80" s="1344">
        <f t="shared" si="8"/>
        <v>0.33</v>
      </c>
      <c r="G80" s="1354">
        <f t="shared" si="5"/>
        <v>3.0300000000000002</v>
      </c>
      <c r="H80" s="1350">
        <f t="shared" si="6"/>
        <v>1.8180000000000001</v>
      </c>
      <c r="I80" s="1355">
        <f t="shared" si="7"/>
        <v>0.90900000000000003</v>
      </c>
      <c r="J80" s="1356">
        <f t="shared" si="4"/>
        <v>0.30300000000000005</v>
      </c>
      <c r="K80" s="1330"/>
      <c r="L80" s="1306"/>
      <c r="M80" s="1306"/>
      <c r="N80" s="1306"/>
      <c r="O80" s="1306"/>
      <c r="P80" s="1306"/>
    </row>
    <row r="81" spans="1:16" ht="23.45" customHeight="1" x14ac:dyDescent="0.25">
      <c r="A81" s="2261"/>
      <c r="B81" s="1347" t="s">
        <v>33</v>
      </c>
      <c r="C81" s="1343">
        <f>ROUND(100/60*$O$5,2)</f>
        <v>2.5</v>
      </c>
      <c r="D81" s="1328">
        <f>ROUND(20/60*$O$5*$D$2,2)</f>
        <v>0.5</v>
      </c>
      <c r="E81" s="1328">
        <f>IF($E$2=1, 0.7, 0)</f>
        <v>0.7</v>
      </c>
      <c r="F81" s="1344">
        <f t="shared" si="8"/>
        <v>0.33</v>
      </c>
      <c r="G81" s="1354">
        <f t="shared" si="5"/>
        <v>4.03</v>
      </c>
      <c r="H81" s="1350">
        <f t="shared" si="6"/>
        <v>2.4180000000000001</v>
      </c>
      <c r="I81" s="1355">
        <f t="shared" si="7"/>
        <v>1.2090000000000001</v>
      </c>
      <c r="J81" s="1356">
        <f t="shared" si="4"/>
        <v>0.40300000000000002</v>
      </c>
      <c r="K81" s="1330"/>
      <c r="L81" s="1306"/>
      <c r="M81" s="1306"/>
      <c r="N81" s="1306"/>
      <c r="O81" s="1306"/>
      <c r="P81" s="1306"/>
    </row>
    <row r="82" spans="1:16" ht="25.15" customHeight="1" x14ac:dyDescent="0.25">
      <c r="A82" s="2265"/>
      <c r="B82" s="1348" t="s">
        <v>34</v>
      </c>
      <c r="C82" s="1343">
        <f>ROUND(110/60*$O$6,2)</f>
        <v>3.12</v>
      </c>
      <c r="D82" s="1328">
        <f>ROUND(20/60*$O$6*$D$2,2)</f>
        <v>0.56999999999999995</v>
      </c>
      <c r="E82" s="1352">
        <f>IF($E$2=1, 1, 0)</f>
        <v>1</v>
      </c>
      <c r="F82" s="1353">
        <f t="shared" si="8"/>
        <v>0.33</v>
      </c>
      <c r="G82" s="1354">
        <f t="shared" si="5"/>
        <v>5.0199999999999996</v>
      </c>
      <c r="H82" s="1350">
        <f t="shared" si="6"/>
        <v>3.0119999999999996</v>
      </c>
      <c r="I82" s="1355">
        <f t="shared" si="7"/>
        <v>1.5059999999999998</v>
      </c>
      <c r="J82" s="1356">
        <f t="shared" si="4"/>
        <v>0.502</v>
      </c>
      <c r="K82" s="1330"/>
      <c r="L82" s="1306"/>
      <c r="M82" s="1306"/>
      <c r="N82" s="1306"/>
      <c r="O82" s="1306"/>
      <c r="P82" s="1306"/>
    </row>
    <row r="83" spans="1:16" x14ac:dyDescent="0.25">
      <c r="A83" s="2260" t="s">
        <v>1337</v>
      </c>
      <c r="B83" s="1347" t="s">
        <v>32</v>
      </c>
      <c r="C83" s="1343">
        <f>ROUND(60/60*$O$4,2)</f>
        <v>1.2</v>
      </c>
      <c r="D83" s="1322">
        <v>0</v>
      </c>
      <c r="E83" s="1328">
        <f>IF($E$2=1, 0.5, 0)</f>
        <v>0.5</v>
      </c>
      <c r="F83" s="1344">
        <f t="shared" si="8"/>
        <v>0.33</v>
      </c>
      <c r="G83" s="1345">
        <f t="shared" si="3"/>
        <v>2.0299999999999998</v>
      </c>
      <c r="H83" s="1343">
        <f>G83*80%</f>
        <v>1.6239999999999999</v>
      </c>
      <c r="I83" s="1323">
        <f>G83*10%</f>
        <v>0.20299999999999999</v>
      </c>
      <c r="J83" s="1346">
        <f t="shared" si="4"/>
        <v>0.20299999999999999</v>
      </c>
      <c r="K83" s="1326"/>
      <c r="L83" s="1306"/>
      <c r="M83" s="1306"/>
      <c r="N83" s="1306"/>
      <c r="O83" s="1306"/>
      <c r="P83" s="1306"/>
    </row>
    <row r="84" spans="1:16" x14ac:dyDescent="0.25">
      <c r="A84" s="2261"/>
      <c r="B84" s="1347" t="s">
        <v>33</v>
      </c>
      <c r="C84" s="1343">
        <f>ROUND(70/60*$O$5,2)</f>
        <v>1.75</v>
      </c>
      <c r="D84" s="1322">
        <v>0</v>
      </c>
      <c r="E84" s="1328">
        <f>IF($E$2=1, 0.7, 0)</f>
        <v>0.7</v>
      </c>
      <c r="F84" s="1344">
        <f t="shared" si="8"/>
        <v>0.33</v>
      </c>
      <c r="G84" s="1345">
        <f t="shared" si="3"/>
        <v>2.7800000000000002</v>
      </c>
      <c r="H84" s="1343">
        <f>G84*70%</f>
        <v>1.946</v>
      </c>
      <c r="I84" s="1323">
        <f>G84*20%</f>
        <v>0.55600000000000005</v>
      </c>
      <c r="J84" s="1346">
        <f t="shared" si="4"/>
        <v>0.27800000000000002</v>
      </c>
      <c r="K84" s="1326"/>
      <c r="L84" s="1306"/>
      <c r="M84" s="1306"/>
      <c r="N84" s="1306"/>
      <c r="O84" s="1306"/>
      <c r="P84" s="1306"/>
    </row>
    <row r="85" spans="1:16" ht="15.75" thickBot="1" x14ac:dyDescent="0.3">
      <c r="A85" s="2261"/>
      <c r="B85" s="1348" t="s">
        <v>34</v>
      </c>
      <c r="C85" s="1350">
        <f>ROUND(80/60*$O$6,2)</f>
        <v>2.27</v>
      </c>
      <c r="D85" s="1351">
        <v>0</v>
      </c>
      <c r="E85" s="1352">
        <f>IF($E$2=1, 1, 0)</f>
        <v>1</v>
      </c>
      <c r="F85" s="1353">
        <f t="shared" si="8"/>
        <v>0.33</v>
      </c>
      <c r="G85" s="1354">
        <f t="shared" si="3"/>
        <v>3.6</v>
      </c>
      <c r="H85" s="1350">
        <f>G85*60%</f>
        <v>2.16</v>
      </c>
      <c r="I85" s="1355">
        <f>G85*30%</f>
        <v>1.08</v>
      </c>
      <c r="J85" s="1356">
        <f t="shared" si="4"/>
        <v>0.36000000000000004</v>
      </c>
      <c r="K85" s="1330"/>
      <c r="L85" s="1306"/>
      <c r="M85" s="1306"/>
      <c r="N85" s="1306"/>
      <c r="O85" s="1306"/>
      <c r="P85" s="1306"/>
    </row>
    <row r="86" spans="1:16" ht="15.75" thickBot="1" x14ac:dyDescent="0.3">
      <c r="A86" s="2268" t="s">
        <v>1338</v>
      </c>
      <c r="B86" s="2269"/>
      <c r="C86" s="2269"/>
      <c r="D86" s="2269"/>
      <c r="E86" s="2269"/>
      <c r="F86" s="2269"/>
      <c r="G86" s="2269"/>
      <c r="H86" s="2269"/>
      <c r="I86" s="2269"/>
      <c r="J86" s="2269"/>
      <c r="K86" s="2270"/>
      <c r="L86" s="1306"/>
      <c r="M86" s="1306"/>
      <c r="N86" s="1306"/>
      <c r="O86" s="1306"/>
      <c r="P86" s="1306"/>
    </row>
    <row r="87" spans="1:16" x14ac:dyDescent="0.25">
      <c r="A87" s="2248" t="s">
        <v>1339</v>
      </c>
      <c r="B87" s="1342" t="s">
        <v>32</v>
      </c>
      <c r="C87" s="1357">
        <f>ROUND(120/60*$O$4,2)</f>
        <v>2.4</v>
      </c>
      <c r="D87" s="1358">
        <v>0</v>
      </c>
      <c r="E87" s="1359">
        <f>IF($E$2=1, 0.5, 0)</f>
        <v>0.5</v>
      </c>
      <c r="F87" s="1360">
        <f t="shared" si="8"/>
        <v>0.33</v>
      </c>
      <c r="G87" s="1361">
        <f t="shared" si="3"/>
        <v>3.23</v>
      </c>
      <c r="H87" s="1357">
        <f>G87*70%</f>
        <v>2.2609999999999997</v>
      </c>
      <c r="I87" s="1362">
        <f>G87*20%</f>
        <v>0.64600000000000002</v>
      </c>
      <c r="J87" s="1363">
        <f>G87*10%</f>
        <v>0.32300000000000001</v>
      </c>
      <c r="K87" s="1364"/>
      <c r="L87" s="1306"/>
      <c r="M87" s="1306"/>
      <c r="N87" s="1306"/>
      <c r="O87" s="1306"/>
      <c r="P87" s="1306"/>
    </row>
    <row r="88" spans="1:16" x14ac:dyDescent="0.25">
      <c r="A88" s="2239"/>
      <c r="B88" s="1347" t="s">
        <v>33</v>
      </c>
      <c r="C88" s="1343">
        <f>ROUND(130/60*$O$5,2)</f>
        <v>3.25</v>
      </c>
      <c r="D88" s="1322">
        <v>0</v>
      </c>
      <c r="E88" s="1328">
        <f>IF($E$2=1, 0.7, 0)</f>
        <v>0.7</v>
      </c>
      <c r="F88" s="1344">
        <f t="shared" si="8"/>
        <v>0.33</v>
      </c>
      <c r="G88" s="1345">
        <f t="shared" si="3"/>
        <v>4.28</v>
      </c>
      <c r="H88" s="1343">
        <f>G88*60%</f>
        <v>2.5680000000000001</v>
      </c>
      <c r="I88" s="1323">
        <f>G88*30%</f>
        <v>1.284</v>
      </c>
      <c r="J88" s="1346">
        <f>G88*10%</f>
        <v>0.42800000000000005</v>
      </c>
      <c r="K88" s="1326"/>
      <c r="L88" s="1306"/>
      <c r="M88" s="1306"/>
      <c r="N88" s="1306"/>
      <c r="O88" s="1306"/>
      <c r="P88" s="1306"/>
    </row>
    <row r="89" spans="1:16" x14ac:dyDescent="0.25">
      <c r="A89" s="2259"/>
      <c r="B89" s="1348" t="s">
        <v>34</v>
      </c>
      <c r="C89" s="1343">
        <f>ROUND(140/60*$O$6,2)</f>
        <v>3.97</v>
      </c>
      <c r="D89" s="1322">
        <v>0</v>
      </c>
      <c r="E89" s="1328">
        <f>IF($E$2=1, 1, 0)</f>
        <v>1</v>
      </c>
      <c r="F89" s="1344">
        <f t="shared" si="8"/>
        <v>0.33</v>
      </c>
      <c r="G89" s="1345">
        <f t="shared" si="3"/>
        <v>5.3000000000000007</v>
      </c>
      <c r="H89" s="1343">
        <f>G89*50%</f>
        <v>2.6500000000000004</v>
      </c>
      <c r="I89" s="1323">
        <f>G89*30%</f>
        <v>1.59</v>
      </c>
      <c r="J89" s="1346">
        <f>G89*20%</f>
        <v>1.0600000000000003</v>
      </c>
      <c r="K89" s="1326"/>
      <c r="L89" s="1306"/>
      <c r="M89" s="1306"/>
      <c r="N89" s="1306"/>
      <c r="O89" s="1306"/>
      <c r="P89" s="1306"/>
    </row>
    <row r="90" spans="1:16" x14ac:dyDescent="0.25">
      <c r="A90" s="2266" t="s">
        <v>1251</v>
      </c>
      <c r="B90" s="1347" t="s">
        <v>32</v>
      </c>
      <c r="C90" s="1343">
        <f>ROUND(120/60*$O$4,2)</f>
        <v>2.4</v>
      </c>
      <c r="D90" s="1322">
        <v>0</v>
      </c>
      <c r="E90" s="1328">
        <f>IF($E$2=1, 0.5, 0)</f>
        <v>0.5</v>
      </c>
      <c r="F90" s="1344">
        <f t="shared" si="8"/>
        <v>0.33</v>
      </c>
      <c r="G90" s="1345">
        <f t="shared" si="3"/>
        <v>3.23</v>
      </c>
      <c r="H90" s="1343">
        <f>G90*70%</f>
        <v>2.2609999999999997</v>
      </c>
      <c r="I90" s="1323">
        <f>G90*20%</f>
        <v>0.64600000000000002</v>
      </c>
      <c r="J90" s="1346">
        <f>G90*10%</f>
        <v>0.32300000000000001</v>
      </c>
      <c r="K90" s="1326"/>
      <c r="L90" s="1306"/>
      <c r="M90" s="1306"/>
      <c r="N90" s="1306"/>
      <c r="O90" s="1306"/>
      <c r="P90" s="1306"/>
    </row>
    <row r="91" spans="1:16" x14ac:dyDescent="0.25">
      <c r="A91" s="2266"/>
      <c r="B91" s="1347" t="s">
        <v>33</v>
      </c>
      <c r="C91" s="1343">
        <f>ROUND(130/60*$O$5,2)</f>
        <v>3.25</v>
      </c>
      <c r="D91" s="1322">
        <v>0</v>
      </c>
      <c r="E91" s="1328">
        <f>IF($E$2=1, 0.7, 0)</f>
        <v>0.7</v>
      </c>
      <c r="F91" s="1344">
        <f t="shared" si="8"/>
        <v>0.33</v>
      </c>
      <c r="G91" s="1345">
        <f t="shared" si="3"/>
        <v>4.28</v>
      </c>
      <c r="H91" s="1343">
        <f>G91*60%</f>
        <v>2.5680000000000001</v>
      </c>
      <c r="I91" s="1323">
        <f>G91*30%</f>
        <v>1.284</v>
      </c>
      <c r="J91" s="1346">
        <f>G91*10%</f>
        <v>0.42800000000000005</v>
      </c>
      <c r="K91" s="1326"/>
      <c r="L91" s="1306"/>
      <c r="M91" s="1306"/>
      <c r="N91" s="1306"/>
      <c r="O91" s="1306"/>
      <c r="P91" s="1306"/>
    </row>
    <row r="92" spans="1:16" ht="15.75" thickBot="1" x14ac:dyDescent="0.3">
      <c r="A92" s="2267"/>
      <c r="B92" s="1365" t="s">
        <v>34</v>
      </c>
      <c r="C92" s="1366">
        <f>ROUND(140/60*$O$6,2)</f>
        <v>3.97</v>
      </c>
      <c r="D92" s="1332">
        <v>0</v>
      </c>
      <c r="E92" s="1367">
        <f>IF($E$2=1, 1, 0)</f>
        <v>1</v>
      </c>
      <c r="F92" s="1368">
        <f t="shared" si="8"/>
        <v>0.33</v>
      </c>
      <c r="G92" s="1369">
        <f t="shared" si="3"/>
        <v>5.3000000000000007</v>
      </c>
      <c r="H92" s="1366">
        <f>G92*50%</f>
        <v>2.6500000000000004</v>
      </c>
      <c r="I92" s="1370">
        <f>G92*30%</f>
        <v>1.59</v>
      </c>
      <c r="J92" s="1371">
        <f>G92*20%</f>
        <v>1.0600000000000003</v>
      </c>
      <c r="K92" s="1335"/>
      <c r="L92" s="1306"/>
      <c r="M92" s="1306"/>
      <c r="N92" s="1306"/>
      <c r="O92" s="1306"/>
      <c r="P92" s="1306"/>
    </row>
  </sheetData>
  <mergeCells count="37">
    <mergeCell ref="A90:A92"/>
    <mergeCell ref="A74:A76"/>
    <mergeCell ref="A77:A79"/>
    <mergeCell ref="A80:A82"/>
    <mergeCell ref="A83:A85"/>
    <mergeCell ref="A86:K86"/>
    <mergeCell ref="A87:A89"/>
    <mergeCell ref="A29:A31"/>
    <mergeCell ref="A32:A34"/>
    <mergeCell ref="A71:A73"/>
    <mergeCell ref="A38:A40"/>
    <mergeCell ref="A41:A43"/>
    <mergeCell ref="A44:A46"/>
    <mergeCell ref="A47:A49"/>
    <mergeCell ref="A50:A52"/>
    <mergeCell ref="A53:A55"/>
    <mergeCell ref="A56:A58"/>
    <mergeCell ref="A59:A61"/>
    <mergeCell ref="A62:A64"/>
    <mergeCell ref="A65:A67"/>
    <mergeCell ref="A68:A70"/>
    <mergeCell ref="A35:A37"/>
    <mergeCell ref="G1:G2"/>
    <mergeCell ref="H1:H2"/>
    <mergeCell ref="I1:I2"/>
    <mergeCell ref="N1:O1"/>
    <mergeCell ref="A4:A6"/>
    <mergeCell ref="J1:J2"/>
    <mergeCell ref="K1:K2"/>
    <mergeCell ref="A20:A22"/>
    <mergeCell ref="A23:A25"/>
    <mergeCell ref="A26:A28"/>
    <mergeCell ref="A17:A19"/>
    <mergeCell ref="C1:C2"/>
    <mergeCell ref="A7:A9"/>
    <mergeCell ref="A10:A12"/>
    <mergeCell ref="A14:A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Лист84"/>
  <dimension ref="A1:P46"/>
  <sheetViews>
    <sheetView workbookViewId="0">
      <selection activeCell="N20" sqref="N20"/>
    </sheetView>
  </sheetViews>
  <sheetFormatPr defaultColWidth="9.140625" defaultRowHeight="15" x14ac:dyDescent="0.25"/>
  <cols>
    <col min="1" max="1" width="47" style="1271" customWidth="1"/>
    <col min="2" max="2" width="18.5703125" style="1271" customWidth="1"/>
    <col min="3" max="3" width="15.42578125" style="1271" customWidth="1"/>
    <col min="4" max="4" width="9.140625" style="1271"/>
    <col min="5" max="5" width="15" style="1271" customWidth="1"/>
    <col min="6" max="6" width="17.85546875" style="1271" customWidth="1"/>
    <col min="7" max="16384" width="9.140625" style="1271"/>
  </cols>
  <sheetData>
    <row r="1" spans="1:16" ht="55.5" customHeight="1" x14ac:dyDescent="0.25">
      <c r="A1" s="1303" t="s">
        <v>1227</v>
      </c>
      <c r="B1" s="1304" t="s">
        <v>1228</v>
      </c>
      <c r="C1" s="2243" t="s">
        <v>1229</v>
      </c>
      <c r="D1" s="1305" t="s">
        <v>1340</v>
      </c>
      <c r="E1" s="1305" t="s">
        <v>1231</v>
      </c>
      <c r="F1" s="1305" t="s">
        <v>1232</v>
      </c>
      <c r="G1" s="2249" t="s">
        <v>38</v>
      </c>
      <c r="H1" s="2251" t="s">
        <v>715</v>
      </c>
      <c r="I1" s="2251" t="s">
        <v>714</v>
      </c>
      <c r="J1" s="2251" t="s">
        <v>713</v>
      </c>
      <c r="K1" s="2257" t="s">
        <v>272</v>
      </c>
      <c r="L1" s="1306"/>
      <c r="M1" s="1306"/>
      <c r="N1" s="2253" t="s">
        <v>1233</v>
      </c>
      <c r="O1" s="2254"/>
      <c r="P1" s="1306"/>
    </row>
    <row r="2" spans="1:16" ht="15.75" thickBot="1" x14ac:dyDescent="0.3">
      <c r="A2" s="1307" t="s">
        <v>36</v>
      </c>
      <c r="B2" s="1308">
        <f>IF(ТрЗ_ОКиА!$M$1="Простой", 1, IF(ТрЗ_ОКиА!$M$1="Обычный",2,3))</f>
        <v>2</v>
      </c>
      <c r="C2" s="2244"/>
      <c r="D2" s="1309">
        <f>ТрЗ_ОКиА!E256</f>
        <v>1</v>
      </c>
      <c r="E2" s="1309">
        <f>IF(ТрЗ_ОКиА!E257="Да",1,0)</f>
        <v>1</v>
      </c>
      <c r="F2" s="1309">
        <f>IF(ТрЗ_ОКиА!E258="Да",1,0)</f>
        <v>1</v>
      </c>
      <c r="G2" s="2250"/>
      <c r="H2" s="2252"/>
      <c r="I2" s="2252"/>
      <c r="J2" s="2252"/>
      <c r="K2" s="2258"/>
      <c r="L2" s="1306"/>
      <c r="M2" s="1306"/>
      <c r="N2" s="1310"/>
      <c r="O2" s="1310"/>
      <c r="P2" s="1306"/>
    </row>
    <row r="3" spans="1:16" x14ac:dyDescent="0.25">
      <c r="A3" s="1311" t="s">
        <v>1236</v>
      </c>
      <c r="B3" s="1312"/>
      <c r="C3" s="1313"/>
      <c r="D3" s="1314"/>
      <c r="E3" s="1314"/>
      <c r="F3" s="1315"/>
      <c r="G3" s="1316"/>
      <c r="H3" s="1317"/>
      <c r="I3" s="1318"/>
      <c r="J3" s="1319"/>
      <c r="K3" s="1320"/>
      <c r="L3" s="1306"/>
      <c r="M3" s="1306"/>
      <c r="N3" s="1310"/>
      <c r="O3" s="1310"/>
      <c r="P3" s="1306"/>
    </row>
    <row r="4" spans="1:16" x14ac:dyDescent="0.25">
      <c r="A4" s="2255" t="s">
        <v>1238</v>
      </c>
      <c r="B4" s="1321" t="s">
        <v>32</v>
      </c>
      <c r="C4" s="1349">
        <f>ROUND(60/60,2)</f>
        <v>1</v>
      </c>
      <c r="D4" s="1322">
        <v>0</v>
      </c>
      <c r="E4" s="1323">
        <v>0</v>
      </c>
      <c r="F4" s="1324">
        <v>0</v>
      </c>
      <c r="G4" s="1325">
        <f t="shared" ref="G4:G12" si="0" xml:space="preserve"> SUM(C4:F4)</f>
        <v>1</v>
      </c>
      <c r="H4" s="1343">
        <f>G4*80%</f>
        <v>0.8</v>
      </c>
      <c r="I4" s="1323">
        <f>G4*0.1</f>
        <v>0.1</v>
      </c>
      <c r="J4" s="1346">
        <f>G4*0.1</f>
        <v>0.1</v>
      </c>
      <c r="K4" s="1326"/>
      <c r="L4" s="1306"/>
      <c r="M4" s="1306"/>
      <c r="N4" s="1310">
        <v>20</v>
      </c>
      <c r="O4" s="1310">
        <f>1+N4/100</f>
        <v>1.2</v>
      </c>
      <c r="P4" s="1306"/>
    </row>
    <row r="5" spans="1:16" x14ac:dyDescent="0.25">
      <c r="A5" s="2246"/>
      <c r="B5" s="1321" t="s">
        <v>33</v>
      </c>
      <c r="C5" s="1349">
        <f>ROUND(90/60,2)</f>
        <v>1.5</v>
      </c>
      <c r="D5" s="1322">
        <v>0</v>
      </c>
      <c r="E5" s="1323">
        <v>0</v>
      </c>
      <c r="F5" s="1324">
        <v>0</v>
      </c>
      <c r="G5" s="1325">
        <f t="shared" si="0"/>
        <v>1.5</v>
      </c>
      <c r="H5" s="1343">
        <f>G5*70%</f>
        <v>1.0499999999999998</v>
      </c>
      <c r="I5" s="1323">
        <f>G5*20%</f>
        <v>0.30000000000000004</v>
      </c>
      <c r="J5" s="1346">
        <f>G5*10%</f>
        <v>0.15000000000000002</v>
      </c>
      <c r="K5" s="1326"/>
      <c r="L5" s="1306"/>
      <c r="M5" s="1306"/>
      <c r="N5" s="1310">
        <v>50</v>
      </c>
      <c r="O5" s="1310">
        <f>1+N5/100</f>
        <v>1.5</v>
      </c>
      <c r="P5" s="1306"/>
    </row>
    <row r="6" spans="1:16" x14ac:dyDescent="0.25">
      <c r="A6" s="2256"/>
      <c r="B6" s="1321" t="s">
        <v>34</v>
      </c>
      <c r="C6" s="1349">
        <f>ROUND(120/60,2)</f>
        <v>2</v>
      </c>
      <c r="D6" s="1322">
        <v>0</v>
      </c>
      <c r="E6" s="1323">
        <v>0</v>
      </c>
      <c r="F6" s="1324">
        <v>0</v>
      </c>
      <c r="G6" s="1325">
        <f t="shared" si="0"/>
        <v>2</v>
      </c>
      <c r="H6" s="1343">
        <f>G6*40%</f>
        <v>0.8</v>
      </c>
      <c r="I6" s="1323">
        <f>G6*30%</f>
        <v>0.6</v>
      </c>
      <c r="J6" s="1346">
        <f>G6*30%</f>
        <v>0.6</v>
      </c>
      <c r="K6" s="1326"/>
      <c r="L6" s="1306"/>
      <c r="M6" s="1306"/>
      <c r="N6" s="1310">
        <v>70</v>
      </c>
      <c r="O6" s="1310">
        <f>1+N6/100</f>
        <v>1.7</v>
      </c>
      <c r="P6" s="1306"/>
    </row>
    <row r="7" spans="1:16" x14ac:dyDescent="0.25">
      <c r="A7" s="2245" t="s">
        <v>1239</v>
      </c>
      <c r="B7" s="1327" t="s">
        <v>32</v>
      </c>
      <c r="C7" s="1372">
        <f>ROUND(90/60,2)</f>
        <v>1.5</v>
      </c>
      <c r="D7" s="629">
        <f>ROUND(20/60*$O$4*$D$2,2)</f>
        <v>0.4</v>
      </c>
      <c r="E7" s="1328">
        <f>IF($E$2=1, 1.5, 0)</f>
        <v>1.5</v>
      </c>
      <c r="F7" s="1324">
        <v>0</v>
      </c>
      <c r="G7" s="1325">
        <f t="shared" si="0"/>
        <v>3.4</v>
      </c>
      <c r="H7" s="1343">
        <f>G7*1</f>
        <v>3.4</v>
      </c>
      <c r="I7" s="1323">
        <v>0</v>
      </c>
      <c r="J7" s="1346">
        <v>0</v>
      </c>
      <c r="K7" s="1326"/>
      <c r="L7" s="1306"/>
      <c r="M7" s="1306"/>
      <c r="N7" s="1306"/>
      <c r="O7" s="1306"/>
      <c r="P7" s="1306"/>
    </row>
    <row r="8" spans="1:16" x14ac:dyDescent="0.25">
      <c r="A8" s="2245"/>
      <c r="B8" s="1321" t="s">
        <v>33</v>
      </c>
      <c r="C8" s="1372">
        <f>ROUND(120/60,2)</f>
        <v>2</v>
      </c>
      <c r="D8" s="629">
        <f>ROUND(30/60*$O$5*$D$2,2)</f>
        <v>0.75</v>
      </c>
      <c r="E8" s="1328">
        <f>IF($E$2=1, 2, 0)</f>
        <v>2</v>
      </c>
      <c r="F8" s="1324">
        <v>0</v>
      </c>
      <c r="G8" s="1325">
        <f t="shared" si="0"/>
        <v>4.75</v>
      </c>
      <c r="H8" s="1343">
        <f>G8*60%</f>
        <v>2.85</v>
      </c>
      <c r="I8" s="1323">
        <f>G8*30%</f>
        <v>1.425</v>
      </c>
      <c r="J8" s="1346">
        <f>G8*10%</f>
        <v>0.47500000000000003</v>
      </c>
      <c r="K8" s="1326"/>
      <c r="L8" s="1306"/>
      <c r="M8" s="1306"/>
      <c r="N8" s="1306"/>
      <c r="O8" s="1306"/>
      <c r="P8" s="1306"/>
    </row>
    <row r="9" spans="1:16" x14ac:dyDescent="0.25">
      <c r="A9" s="2245"/>
      <c r="B9" s="1321" t="s">
        <v>34</v>
      </c>
      <c r="C9" s="1372">
        <f>ROUND(150/60,2)</f>
        <v>2.5</v>
      </c>
      <c r="D9" s="629">
        <f>ROUND(40/60*$O$6*$D$2,2)</f>
        <v>1.1299999999999999</v>
      </c>
      <c r="E9" s="1328">
        <f>IF($E$2=1, 2.5, 0)</f>
        <v>2.5</v>
      </c>
      <c r="F9" s="1324">
        <v>0</v>
      </c>
      <c r="G9" s="1329">
        <f t="shared" si="0"/>
        <v>6.13</v>
      </c>
      <c r="H9" s="1350">
        <f>G9*50%</f>
        <v>3.0649999999999999</v>
      </c>
      <c r="I9" s="1355">
        <f>G9*30%</f>
        <v>1.839</v>
      </c>
      <c r="J9" s="1356">
        <f>G9*20%</f>
        <v>1.226</v>
      </c>
      <c r="K9" s="1330"/>
      <c r="L9" s="1306"/>
      <c r="M9" s="1306"/>
      <c r="N9" s="1306"/>
      <c r="O9" s="1306"/>
      <c r="P9" s="1306"/>
    </row>
    <row r="10" spans="1:16" x14ac:dyDescent="0.25">
      <c r="A10" s="2246" t="s">
        <v>1240</v>
      </c>
      <c r="B10" s="1327" t="s">
        <v>32</v>
      </c>
      <c r="C10" s="1372">
        <v>2</v>
      </c>
      <c r="D10" s="1322">
        <v>0</v>
      </c>
      <c r="E10" s="1322">
        <v>0</v>
      </c>
      <c r="F10" s="1324">
        <v>0</v>
      </c>
      <c r="G10" s="1325">
        <f t="shared" si="0"/>
        <v>2</v>
      </c>
      <c r="H10" s="1343">
        <f>G10*50%</f>
        <v>1</v>
      </c>
      <c r="I10" s="1323">
        <f>G10*50%</f>
        <v>1</v>
      </c>
      <c r="J10" s="1346">
        <v>0</v>
      </c>
      <c r="K10" s="1326"/>
      <c r="L10" s="1306"/>
      <c r="M10" s="1306"/>
      <c r="N10" s="1306"/>
      <c r="O10" s="1306"/>
      <c r="P10" s="1306"/>
    </row>
    <row r="11" spans="1:16" x14ac:dyDescent="0.25">
      <c r="A11" s="2246"/>
      <c r="B11" s="1321" t="s">
        <v>33</v>
      </c>
      <c r="C11" s="1372">
        <v>4</v>
      </c>
      <c r="D11" s="1322">
        <v>0</v>
      </c>
      <c r="E11" s="1322">
        <v>0</v>
      </c>
      <c r="F11" s="1324">
        <v>0</v>
      </c>
      <c r="G11" s="1325">
        <f t="shared" si="0"/>
        <v>4</v>
      </c>
      <c r="H11" s="1343">
        <f>G11*50%</f>
        <v>2</v>
      </c>
      <c r="I11" s="1323">
        <f>G11*40%</f>
        <v>1.6</v>
      </c>
      <c r="J11" s="1346">
        <f>G11*10%</f>
        <v>0.4</v>
      </c>
      <c r="K11" s="1326"/>
      <c r="L11" s="1306"/>
      <c r="M11" s="1306"/>
      <c r="N11" s="1306"/>
      <c r="O11" s="1306"/>
      <c r="P11" s="1306"/>
    </row>
    <row r="12" spans="1:16" ht="15.75" thickBot="1" x14ac:dyDescent="0.3">
      <c r="A12" s="2247"/>
      <c r="B12" s="1331" t="s">
        <v>34</v>
      </c>
      <c r="C12" s="1373">
        <v>8</v>
      </c>
      <c r="D12" s="1332">
        <v>0</v>
      </c>
      <c r="E12" s="1332">
        <v>0</v>
      </c>
      <c r="F12" s="1333">
        <v>0</v>
      </c>
      <c r="G12" s="1334">
        <f t="shared" si="0"/>
        <v>8</v>
      </c>
      <c r="H12" s="1366">
        <f>G12*20%</f>
        <v>1.6</v>
      </c>
      <c r="I12" s="1370">
        <f>G12*40%</f>
        <v>3.2</v>
      </c>
      <c r="J12" s="1371">
        <f>G12*40%</f>
        <v>3.2</v>
      </c>
      <c r="K12" s="1335"/>
      <c r="L12" s="1306"/>
      <c r="M12" s="1306"/>
      <c r="N12" s="1306"/>
      <c r="O12" s="1306"/>
      <c r="P12" s="1306"/>
    </row>
    <row r="13" spans="1:16" x14ac:dyDescent="0.25">
      <c r="A13" s="1336" t="s">
        <v>1283</v>
      </c>
      <c r="B13" s="1337"/>
      <c r="C13" s="1338"/>
      <c r="D13" s="1339"/>
      <c r="E13" s="1340"/>
      <c r="F13" s="1341"/>
      <c r="G13" s="1340"/>
      <c r="H13" s="1317"/>
      <c r="I13" s="1318"/>
      <c r="J13" s="1319"/>
      <c r="K13" s="1320"/>
      <c r="L13" s="1306" t="s">
        <v>1242</v>
      </c>
      <c r="M13" s="1306" t="s">
        <v>1243</v>
      </c>
      <c r="N13" s="1306"/>
      <c r="O13" s="1306"/>
      <c r="P13" s="1306"/>
    </row>
    <row r="14" spans="1:16" x14ac:dyDescent="0.25">
      <c r="A14" s="2271" t="s">
        <v>1341</v>
      </c>
      <c r="B14" s="1342" t="s">
        <v>32</v>
      </c>
      <c r="C14" s="1343">
        <f>ROUND(60/60*$O$4,2)</f>
        <v>1.2</v>
      </c>
      <c r="D14" s="1374">
        <v>0</v>
      </c>
      <c r="E14" s="1374"/>
      <c r="F14" s="1344">
        <f t="shared" ref="F14:F46" si="1">IF($F$2=1,ROUND(10/60,2),0)</f>
        <v>0.17</v>
      </c>
      <c r="G14" s="1345">
        <f xml:space="preserve"> SUM(C14:F14)</f>
        <v>1.3699999999999999</v>
      </c>
      <c r="H14" s="1343">
        <f>G14*80%</f>
        <v>1.0959999999999999</v>
      </c>
      <c r="I14" s="1323">
        <f>G14*20%</f>
        <v>0.27399999999999997</v>
      </c>
      <c r="J14" s="1346">
        <v>0</v>
      </c>
      <c r="K14" s="1326"/>
      <c r="L14" s="1306"/>
      <c r="M14" s="1306">
        <f>SUM(G4,G7,G10,G14,G17,G20,G23,G26,G29,G32,G35,G38,G41,G44)</f>
        <v>47.57</v>
      </c>
      <c r="N14" s="1306">
        <f t="shared" ref="N14:P16" si="2">SUM(H4,H7,H10,H14,H17,H20,H32,H35,H38,H41,H44)</f>
        <v>25.607999999999997</v>
      </c>
      <c r="O14" s="1306">
        <f t="shared" si="2"/>
        <v>5.644000000000001</v>
      </c>
      <c r="P14" s="1306">
        <f t="shared" si="2"/>
        <v>1.9079999999999999</v>
      </c>
    </row>
    <row r="15" spans="1:16" x14ac:dyDescent="0.25">
      <c r="A15" s="2272"/>
      <c r="B15" s="1347" t="s">
        <v>33</v>
      </c>
      <c r="C15" s="1343">
        <f>ROUND(70/60*$O$5,2)</f>
        <v>1.75</v>
      </c>
      <c r="D15" s="1374">
        <v>0</v>
      </c>
      <c r="E15" s="1374"/>
      <c r="F15" s="1344">
        <f t="shared" si="1"/>
        <v>0.17</v>
      </c>
      <c r="G15" s="1345">
        <f t="shared" ref="G15:G46" si="3" xml:space="preserve"> SUM(C15:F15)</f>
        <v>1.92</v>
      </c>
      <c r="H15" s="1343">
        <f>G15*80%</f>
        <v>1.536</v>
      </c>
      <c r="I15" s="1323">
        <f>G15*20%</f>
        <v>0.38400000000000001</v>
      </c>
      <c r="J15" s="1346">
        <v>0</v>
      </c>
      <c r="K15" s="1326"/>
      <c r="L15" s="1306">
        <f>(4+12)*8</f>
        <v>128</v>
      </c>
      <c r="M15" s="1306">
        <f>SUM(G5,G8,G11,G15,G18,G21,G24,G27,G30,G33,G36,G39,G42,G45)</f>
        <v>68.649999999999991</v>
      </c>
      <c r="N15" s="1306">
        <f t="shared" si="2"/>
        <v>33.268999999999998</v>
      </c>
      <c r="O15" s="1306">
        <f t="shared" si="2"/>
        <v>9.554000000000002</v>
      </c>
      <c r="P15" s="1306">
        <f t="shared" si="2"/>
        <v>4.3869999999999996</v>
      </c>
    </row>
    <row r="16" spans="1:16" x14ac:dyDescent="0.25">
      <c r="A16" s="2273"/>
      <c r="B16" s="1347" t="s">
        <v>34</v>
      </c>
      <c r="C16" s="1343">
        <f>ROUND(80/60*$O$6,2)</f>
        <v>2.27</v>
      </c>
      <c r="D16" s="1374">
        <v>0</v>
      </c>
      <c r="E16" s="1374"/>
      <c r="F16" s="1344">
        <f t="shared" si="1"/>
        <v>0.17</v>
      </c>
      <c r="G16" s="1345">
        <f t="shared" si="3"/>
        <v>2.44</v>
      </c>
      <c r="H16" s="1343">
        <f>G16*80%</f>
        <v>1.952</v>
      </c>
      <c r="I16" s="1323">
        <f>G16*20%</f>
        <v>0.48799999999999999</v>
      </c>
      <c r="J16" s="1346">
        <v>0</v>
      </c>
      <c r="K16" s="1326"/>
      <c r="L16" s="1306"/>
      <c r="M16" s="1306">
        <f>SUM(G6,G9,G12,G16,G19,G22,G25,G28,G31,G34,G37,G40,G43,G46)</f>
        <v>91.89</v>
      </c>
      <c r="N16" s="1306">
        <f t="shared" si="2"/>
        <v>38.025999999999996</v>
      </c>
      <c r="O16" s="1306">
        <f t="shared" si="2"/>
        <v>14.899000000000001</v>
      </c>
      <c r="P16" s="1306">
        <f t="shared" si="2"/>
        <v>11.375</v>
      </c>
    </row>
    <row r="17" spans="1:16" x14ac:dyDescent="0.25">
      <c r="A17" s="2271" t="s">
        <v>1342</v>
      </c>
      <c r="B17" s="1347" t="s">
        <v>32</v>
      </c>
      <c r="C17" s="1343">
        <f>ROUND(90/60*$O$4,2)</f>
        <v>1.8</v>
      </c>
      <c r="D17" s="1328">
        <f>ROUND(20/60*$O$4*$D$2,2)</f>
        <v>0.4</v>
      </c>
      <c r="E17" s="1328">
        <f>IF($E$2=1, 0.5, 0)</f>
        <v>0.5</v>
      </c>
      <c r="F17" s="1344">
        <f t="shared" si="1"/>
        <v>0.17</v>
      </c>
      <c r="G17" s="1345">
        <f t="shared" si="3"/>
        <v>2.87</v>
      </c>
      <c r="H17" s="1343">
        <f>G17*70%</f>
        <v>2.0089999999999999</v>
      </c>
      <c r="I17" s="1323">
        <f t="shared" ref="I17:I25" si="4">G17*20%</f>
        <v>0.57400000000000007</v>
      </c>
      <c r="J17" s="1346">
        <f>G17*10%</f>
        <v>0.28700000000000003</v>
      </c>
      <c r="K17" s="1326"/>
      <c r="L17" s="1306"/>
      <c r="M17" s="1306"/>
      <c r="N17" s="1306"/>
      <c r="O17" s="1306"/>
      <c r="P17" s="1306"/>
    </row>
    <row r="18" spans="1:16" x14ac:dyDescent="0.25">
      <c r="A18" s="2272"/>
      <c r="B18" s="1347" t="s">
        <v>33</v>
      </c>
      <c r="C18" s="1343">
        <f>ROUND(100/60*$O$5,2)</f>
        <v>2.5</v>
      </c>
      <c r="D18" s="1328">
        <f>ROUND(20/60*$O$5*$D$2,2)</f>
        <v>0.5</v>
      </c>
      <c r="E18" s="1328">
        <f>IF($E$2=1, 0.6, 0)</f>
        <v>0.6</v>
      </c>
      <c r="F18" s="1344">
        <f t="shared" si="1"/>
        <v>0.17</v>
      </c>
      <c r="G18" s="1345">
        <f t="shared" si="3"/>
        <v>3.77</v>
      </c>
      <c r="H18" s="1343">
        <f>G18*70%</f>
        <v>2.6389999999999998</v>
      </c>
      <c r="I18" s="1323">
        <f t="shared" si="4"/>
        <v>0.754</v>
      </c>
      <c r="J18" s="1346">
        <f>G18*10%</f>
        <v>0.377</v>
      </c>
      <c r="K18" s="1326"/>
      <c r="L18" s="1306"/>
      <c r="M18" s="1306"/>
      <c r="N18" s="1306"/>
      <c r="O18" s="1306"/>
      <c r="P18" s="1306"/>
    </row>
    <row r="19" spans="1:16" x14ac:dyDescent="0.25">
      <c r="A19" s="2273"/>
      <c r="B19" s="1347" t="s">
        <v>34</v>
      </c>
      <c r="C19" s="1343">
        <f>ROUND(110/60*$O$6,2)</f>
        <v>3.12</v>
      </c>
      <c r="D19" s="1328">
        <f>ROUND(20/60*$O$6*$D$2,2)</f>
        <v>0.56999999999999995</v>
      </c>
      <c r="E19" s="1328">
        <f>IF($E$2=1, 1, 0)</f>
        <v>1</v>
      </c>
      <c r="F19" s="1344">
        <f t="shared" si="1"/>
        <v>0.17</v>
      </c>
      <c r="G19" s="1345">
        <f t="shared" si="3"/>
        <v>4.8599999999999994</v>
      </c>
      <c r="H19" s="1343">
        <f>G19*60%</f>
        <v>2.9159999999999995</v>
      </c>
      <c r="I19" s="1323">
        <f t="shared" si="4"/>
        <v>0.97199999999999998</v>
      </c>
      <c r="J19" s="1346">
        <f>G19*20%</f>
        <v>0.97199999999999998</v>
      </c>
      <c r="K19" s="1326"/>
      <c r="L19" s="1306"/>
      <c r="M19" s="1306"/>
      <c r="N19" s="1306"/>
      <c r="O19" s="1306"/>
      <c r="P19" s="1306"/>
    </row>
    <row r="20" spans="1:16" x14ac:dyDescent="0.25">
      <c r="A20" s="2239" t="s">
        <v>1343</v>
      </c>
      <c r="B20" s="1347" t="s">
        <v>32</v>
      </c>
      <c r="C20" s="1343">
        <f>ROUND(420/60*$O$4,2)</f>
        <v>8.4</v>
      </c>
      <c r="D20" s="1322">
        <v>0</v>
      </c>
      <c r="E20" s="1328">
        <f>IF($E$2=1, 0.5, 0)</f>
        <v>0.5</v>
      </c>
      <c r="F20" s="1344">
        <f t="shared" si="1"/>
        <v>0.17</v>
      </c>
      <c r="G20" s="1345">
        <f t="shared" si="3"/>
        <v>9.07</v>
      </c>
      <c r="H20" s="1343">
        <f>G20*70%</f>
        <v>6.3490000000000002</v>
      </c>
      <c r="I20" s="1323">
        <f t="shared" si="4"/>
        <v>1.8140000000000001</v>
      </c>
      <c r="J20" s="1346">
        <f>G20*10%</f>
        <v>0.90700000000000003</v>
      </c>
      <c r="K20" s="1326"/>
      <c r="L20" s="1306"/>
      <c r="M20" s="1306"/>
      <c r="N20" s="1306"/>
      <c r="O20" s="1306"/>
      <c r="P20" s="1306"/>
    </row>
    <row r="21" spans="1:16" x14ac:dyDescent="0.25">
      <c r="A21" s="2239"/>
      <c r="B21" s="1347" t="s">
        <v>33</v>
      </c>
      <c r="C21" s="1343">
        <f>ROUND(450/60*$O$5,2)</f>
        <v>11.25</v>
      </c>
      <c r="D21" s="1322">
        <v>0</v>
      </c>
      <c r="E21" s="1328">
        <f>IF($E$2=1, 0.6, 0)</f>
        <v>0.6</v>
      </c>
      <c r="F21" s="1344">
        <f t="shared" si="1"/>
        <v>0.17</v>
      </c>
      <c r="G21" s="1345">
        <f t="shared" si="3"/>
        <v>12.02</v>
      </c>
      <c r="H21" s="1343">
        <f>G21*70%</f>
        <v>8.4139999999999997</v>
      </c>
      <c r="I21" s="1323">
        <f t="shared" si="4"/>
        <v>2.4039999999999999</v>
      </c>
      <c r="J21" s="1346">
        <f>G21*10%</f>
        <v>1.202</v>
      </c>
      <c r="K21" s="1326"/>
      <c r="L21" s="1306"/>
      <c r="M21" s="1306"/>
      <c r="N21" s="1306"/>
      <c r="O21" s="1306"/>
      <c r="P21" s="1306"/>
    </row>
    <row r="22" spans="1:16" x14ac:dyDescent="0.25">
      <c r="A22" s="2239"/>
      <c r="B22" s="1347" t="s">
        <v>34</v>
      </c>
      <c r="C22" s="1343">
        <f>ROUND(480/60*$O$6,2)</f>
        <v>13.6</v>
      </c>
      <c r="D22" s="1322">
        <v>0</v>
      </c>
      <c r="E22" s="1328">
        <f>IF($E$2=1, 1, 0)</f>
        <v>1</v>
      </c>
      <c r="F22" s="1344">
        <f t="shared" si="1"/>
        <v>0.17</v>
      </c>
      <c r="G22" s="1345">
        <f t="shared" si="3"/>
        <v>14.77</v>
      </c>
      <c r="H22" s="1343">
        <f>G22*60%</f>
        <v>8.8620000000000001</v>
      </c>
      <c r="I22" s="1323">
        <f t="shared" si="4"/>
        <v>2.9540000000000002</v>
      </c>
      <c r="J22" s="1346">
        <f>G22*20%</f>
        <v>2.9540000000000002</v>
      </c>
      <c r="K22" s="1326"/>
      <c r="L22" s="1306"/>
      <c r="M22" s="1306"/>
      <c r="N22" s="1306"/>
      <c r="O22" s="1306"/>
      <c r="P22" s="1306"/>
    </row>
    <row r="23" spans="1:16" ht="18.75" customHeight="1" x14ac:dyDescent="0.25">
      <c r="A23" s="2271" t="s">
        <v>1344</v>
      </c>
      <c r="B23" s="1347" t="s">
        <v>32</v>
      </c>
      <c r="C23" s="1343">
        <f>ROUND(150/60*$O$4,2)</f>
        <v>3</v>
      </c>
      <c r="D23" s="1328">
        <f>ROUND(20/60*$O$4*$D$2,2)</f>
        <v>0.4</v>
      </c>
      <c r="E23" s="1328">
        <f>IF($E$2=1, 0.5, 0)</f>
        <v>0.5</v>
      </c>
      <c r="F23" s="1344">
        <f t="shared" si="1"/>
        <v>0.17</v>
      </c>
      <c r="G23" s="1345">
        <f t="shared" si="3"/>
        <v>4.07</v>
      </c>
      <c r="H23" s="1343">
        <f>G23*80%</f>
        <v>3.2560000000000002</v>
      </c>
      <c r="I23" s="1323">
        <f>G23*10%</f>
        <v>0.40700000000000003</v>
      </c>
      <c r="J23" s="1346">
        <f>G23*10%</f>
        <v>0.40700000000000003</v>
      </c>
      <c r="K23" s="1326"/>
      <c r="L23" s="1306"/>
      <c r="M23" s="1306"/>
      <c r="N23" s="1306"/>
      <c r="O23" s="1306"/>
      <c r="P23" s="1306"/>
    </row>
    <row r="24" spans="1:16" ht="18.75" customHeight="1" x14ac:dyDescent="0.25">
      <c r="A24" s="2272"/>
      <c r="B24" s="1347" t="s">
        <v>33</v>
      </c>
      <c r="C24" s="1343">
        <f>ROUND(170/60*$O$5,2)</f>
        <v>4.25</v>
      </c>
      <c r="D24" s="1328">
        <f>ROUND(25/60*$O$5*$D$2,2)</f>
        <v>0.63</v>
      </c>
      <c r="E24" s="1328">
        <f>IF($E$2=1, 0.6, 0)</f>
        <v>0.6</v>
      </c>
      <c r="F24" s="1344">
        <f t="shared" si="1"/>
        <v>0.17</v>
      </c>
      <c r="G24" s="1345">
        <f t="shared" si="3"/>
        <v>5.6499999999999995</v>
      </c>
      <c r="H24" s="1343">
        <f>G24*70%</f>
        <v>3.9549999999999992</v>
      </c>
      <c r="I24" s="1323">
        <f t="shared" si="4"/>
        <v>1.1299999999999999</v>
      </c>
      <c r="J24" s="1346">
        <f>G24*10%</f>
        <v>0.56499999999999995</v>
      </c>
      <c r="K24" s="1326"/>
      <c r="L24" s="1306"/>
      <c r="M24" s="1306"/>
      <c r="N24" s="1306"/>
      <c r="O24" s="1306"/>
      <c r="P24" s="1306"/>
    </row>
    <row r="25" spans="1:16" ht="18" customHeight="1" x14ac:dyDescent="0.25">
      <c r="A25" s="2273"/>
      <c r="B25" s="1347" t="s">
        <v>34</v>
      </c>
      <c r="C25" s="1343">
        <f>ROUND(190/60*$O$6,2)</f>
        <v>5.38</v>
      </c>
      <c r="D25" s="1328">
        <f>ROUND(30/60*$O$6*$D$2,2)</f>
        <v>0.85</v>
      </c>
      <c r="E25" s="1328">
        <f>IF($E$2=1, 1, 0)</f>
        <v>1</v>
      </c>
      <c r="F25" s="1344">
        <f t="shared" si="1"/>
        <v>0.17</v>
      </c>
      <c r="G25" s="1345">
        <f t="shared" si="3"/>
        <v>7.3999999999999995</v>
      </c>
      <c r="H25" s="1343">
        <f>G25*60%</f>
        <v>4.4399999999999995</v>
      </c>
      <c r="I25" s="1323">
        <f t="shared" si="4"/>
        <v>1.48</v>
      </c>
      <c r="J25" s="1346">
        <f>G25*20%</f>
        <v>1.48</v>
      </c>
      <c r="K25" s="1326"/>
      <c r="L25" s="1306"/>
      <c r="M25" s="1306"/>
      <c r="N25" s="1306"/>
      <c r="O25" s="1306"/>
      <c r="P25" s="1306"/>
    </row>
    <row r="26" spans="1:16" ht="15.75" customHeight="1" x14ac:dyDescent="0.25">
      <c r="A26" s="2271" t="s">
        <v>1345</v>
      </c>
      <c r="B26" s="1347" t="s">
        <v>32</v>
      </c>
      <c r="C26" s="1343">
        <f>ROUND(240/60*$O$4,2)</f>
        <v>4.8</v>
      </c>
      <c r="D26" s="1322">
        <v>0</v>
      </c>
      <c r="E26" s="1328">
        <f>IF($E$2=1, 0.5, 0)</f>
        <v>0.5</v>
      </c>
      <c r="F26" s="1344">
        <f t="shared" si="1"/>
        <v>0.17</v>
      </c>
      <c r="G26" s="1345">
        <f t="shared" si="3"/>
        <v>5.47</v>
      </c>
      <c r="H26" s="1343">
        <f>G26*80%</f>
        <v>4.3760000000000003</v>
      </c>
      <c r="I26" s="1323">
        <f>G26*10%</f>
        <v>0.54700000000000004</v>
      </c>
      <c r="J26" s="1346">
        <f>G26*10%</f>
        <v>0.54700000000000004</v>
      </c>
      <c r="K26" s="1326"/>
      <c r="L26" s="1306"/>
      <c r="M26" s="1306"/>
      <c r="N26" s="1306"/>
      <c r="O26" s="1306"/>
      <c r="P26" s="1306"/>
    </row>
    <row r="27" spans="1:16" ht="17.25" customHeight="1" x14ac:dyDescent="0.25">
      <c r="A27" s="2272"/>
      <c r="B27" s="1347" t="s">
        <v>33</v>
      </c>
      <c r="C27" s="1343">
        <f>ROUND(300/60*$O$5,2)</f>
        <v>7.5</v>
      </c>
      <c r="D27" s="1322">
        <v>0</v>
      </c>
      <c r="E27" s="1328">
        <f>IF($E$2=1, 0.6, 0)</f>
        <v>0.6</v>
      </c>
      <c r="F27" s="1344">
        <f t="shared" si="1"/>
        <v>0.17</v>
      </c>
      <c r="G27" s="1345">
        <f t="shared" si="3"/>
        <v>8.27</v>
      </c>
      <c r="H27" s="1343">
        <f>G27*70%</f>
        <v>5.7889999999999997</v>
      </c>
      <c r="I27" s="1323">
        <f>G27*20%</f>
        <v>1.6539999999999999</v>
      </c>
      <c r="J27" s="1346">
        <f>G27*10%</f>
        <v>0.82699999999999996</v>
      </c>
      <c r="K27" s="1326"/>
      <c r="L27" s="1306"/>
      <c r="M27" s="1306"/>
      <c r="N27" s="1306"/>
      <c r="O27" s="1306"/>
      <c r="P27" s="1306"/>
    </row>
    <row r="28" spans="1:16" ht="15.75" customHeight="1" x14ac:dyDescent="0.25">
      <c r="A28" s="2273"/>
      <c r="B28" s="1347" t="s">
        <v>34</v>
      </c>
      <c r="C28" s="1343">
        <f>ROUND(330/60*$O$6,2)</f>
        <v>9.35</v>
      </c>
      <c r="D28" s="1322">
        <v>0</v>
      </c>
      <c r="E28" s="1328">
        <f>IF($E$2=1, 1, 0)</f>
        <v>1</v>
      </c>
      <c r="F28" s="1344">
        <f t="shared" si="1"/>
        <v>0.17</v>
      </c>
      <c r="G28" s="1345">
        <f t="shared" si="3"/>
        <v>10.52</v>
      </c>
      <c r="H28" s="1343">
        <f>G28*60%</f>
        <v>6.3119999999999994</v>
      </c>
      <c r="I28" s="1323">
        <f>G28*20%</f>
        <v>2.1040000000000001</v>
      </c>
      <c r="J28" s="1346">
        <f>G28*20%</f>
        <v>2.1040000000000001</v>
      </c>
      <c r="K28" s="1326"/>
      <c r="L28" s="1306"/>
      <c r="M28" s="1306"/>
      <c r="N28" s="1306"/>
      <c r="O28" s="1306"/>
      <c r="P28" s="1306"/>
    </row>
    <row r="29" spans="1:16" ht="15.75" customHeight="1" x14ac:dyDescent="0.25">
      <c r="A29" s="2271" t="s">
        <v>1346</v>
      </c>
      <c r="B29" s="1347" t="s">
        <v>32</v>
      </c>
      <c r="C29" s="1343">
        <f>ROUND(210/60*$O$4,2)</f>
        <v>4.2</v>
      </c>
      <c r="D29" s="1322">
        <v>0</v>
      </c>
      <c r="E29" s="1328">
        <f>IF($E$2=1, 0.5, 0)</f>
        <v>0.5</v>
      </c>
      <c r="F29" s="1344">
        <f t="shared" si="1"/>
        <v>0.17</v>
      </c>
      <c r="G29" s="1345">
        <f t="shared" si="3"/>
        <v>4.87</v>
      </c>
      <c r="H29" s="1343">
        <f>G29*80%</f>
        <v>3.8960000000000004</v>
      </c>
      <c r="I29" s="1323">
        <f>G29*10%</f>
        <v>0.48700000000000004</v>
      </c>
      <c r="J29" s="1346">
        <f>G29*10%</f>
        <v>0.48700000000000004</v>
      </c>
      <c r="K29" s="1326"/>
      <c r="L29" s="1306"/>
      <c r="M29" s="1306"/>
      <c r="N29" s="1306"/>
      <c r="O29" s="1306"/>
      <c r="P29" s="1306"/>
    </row>
    <row r="30" spans="1:16" ht="15.75" customHeight="1" x14ac:dyDescent="0.25">
      <c r="A30" s="2272"/>
      <c r="B30" s="1347" t="s">
        <v>33</v>
      </c>
      <c r="C30" s="1343">
        <f>ROUND(270/60*$O$5,2)</f>
        <v>6.75</v>
      </c>
      <c r="D30" s="1322">
        <v>0</v>
      </c>
      <c r="E30" s="1328">
        <f>IF($E$2=1, 0.6, 0)</f>
        <v>0.6</v>
      </c>
      <c r="F30" s="1344">
        <f t="shared" si="1"/>
        <v>0.17</v>
      </c>
      <c r="G30" s="1345">
        <f t="shared" si="3"/>
        <v>7.52</v>
      </c>
      <c r="H30" s="1343">
        <f>G30*70%</f>
        <v>5.2639999999999993</v>
      </c>
      <c r="I30" s="1323">
        <f>G30*20%</f>
        <v>1.504</v>
      </c>
      <c r="J30" s="1346">
        <f>G30*10%</f>
        <v>0.752</v>
      </c>
      <c r="K30" s="1326"/>
      <c r="L30" s="1306"/>
      <c r="M30" s="1306"/>
      <c r="N30" s="1306"/>
      <c r="O30" s="1306"/>
      <c r="P30" s="1306"/>
    </row>
    <row r="31" spans="1:16" ht="15.75" customHeight="1" x14ac:dyDescent="0.25">
      <c r="A31" s="2273"/>
      <c r="B31" s="1347" t="s">
        <v>34</v>
      </c>
      <c r="C31" s="1343">
        <f>ROUND(300/60*$O$6,2)</f>
        <v>8.5</v>
      </c>
      <c r="D31" s="1322">
        <v>0</v>
      </c>
      <c r="E31" s="1328">
        <f>IF($E$2=1, 1, 0)</f>
        <v>1</v>
      </c>
      <c r="F31" s="1344">
        <f t="shared" si="1"/>
        <v>0.17</v>
      </c>
      <c r="G31" s="1345">
        <f t="shared" si="3"/>
        <v>9.67</v>
      </c>
      <c r="H31" s="1343">
        <f>G31*60%</f>
        <v>5.8019999999999996</v>
      </c>
      <c r="I31" s="1323">
        <f>G31*20%</f>
        <v>1.9340000000000002</v>
      </c>
      <c r="J31" s="1346">
        <f>G31*20%</f>
        <v>1.9340000000000002</v>
      </c>
      <c r="K31" s="1326"/>
      <c r="L31" s="1306"/>
      <c r="M31" s="1306"/>
      <c r="N31" s="1306"/>
      <c r="O31" s="1306"/>
      <c r="P31" s="1306"/>
    </row>
    <row r="32" spans="1:16" x14ac:dyDescent="0.25">
      <c r="A32" s="2239" t="s">
        <v>1347</v>
      </c>
      <c r="B32" s="1347" t="s">
        <v>32</v>
      </c>
      <c r="C32" s="1343">
        <f>ROUND(120/60*$O$4,2)</f>
        <v>2.4</v>
      </c>
      <c r="D32" s="1322">
        <v>0</v>
      </c>
      <c r="E32" s="1328">
        <f>IF($E$2=1, 0.5, 0)</f>
        <v>0.5</v>
      </c>
      <c r="F32" s="1344">
        <f t="shared" si="1"/>
        <v>0.17</v>
      </c>
      <c r="G32" s="1345">
        <f t="shared" si="3"/>
        <v>3.07</v>
      </c>
      <c r="H32" s="1343">
        <f>G32*80%</f>
        <v>2.456</v>
      </c>
      <c r="I32" s="1323">
        <f>G32*10%</f>
        <v>0.307</v>
      </c>
      <c r="J32" s="1346">
        <f t="shared" ref="J32:J37" si="5">G32*10%</f>
        <v>0.307</v>
      </c>
      <c r="K32" s="1326"/>
      <c r="L32" s="1306"/>
      <c r="M32" s="1306"/>
      <c r="N32" s="1306"/>
      <c r="O32" s="1306"/>
      <c r="P32" s="1306"/>
    </row>
    <row r="33" spans="1:16" x14ac:dyDescent="0.25">
      <c r="A33" s="2239"/>
      <c r="B33" s="1347" t="s">
        <v>33</v>
      </c>
      <c r="C33" s="1343">
        <f>ROUND(150/60*$O$5,2)</f>
        <v>3.75</v>
      </c>
      <c r="D33" s="1322">
        <v>0</v>
      </c>
      <c r="E33" s="1328">
        <f>IF($E$2=1, 0.6, 0)</f>
        <v>0.6</v>
      </c>
      <c r="F33" s="1344">
        <f t="shared" si="1"/>
        <v>0.17</v>
      </c>
      <c r="G33" s="1345">
        <f t="shared" si="3"/>
        <v>4.5199999999999996</v>
      </c>
      <c r="H33" s="1343">
        <f>G33*70%</f>
        <v>3.1639999999999997</v>
      </c>
      <c r="I33" s="1323">
        <f>G33*20%</f>
        <v>0.90399999999999991</v>
      </c>
      <c r="J33" s="1346">
        <f t="shared" si="5"/>
        <v>0.45199999999999996</v>
      </c>
      <c r="K33" s="1326"/>
      <c r="L33" s="1306"/>
      <c r="M33" s="1306"/>
      <c r="N33" s="1306"/>
      <c r="O33" s="1306"/>
      <c r="P33" s="1306"/>
    </row>
    <row r="34" spans="1:16" x14ac:dyDescent="0.25">
      <c r="A34" s="2239"/>
      <c r="B34" s="1347" t="s">
        <v>34</v>
      </c>
      <c r="C34" s="1343">
        <f>ROUND(180/60*$O$6,2)</f>
        <v>5.0999999999999996</v>
      </c>
      <c r="D34" s="1322">
        <v>0</v>
      </c>
      <c r="E34" s="1328">
        <f>IF($E$2=1, 1, 0)</f>
        <v>1</v>
      </c>
      <c r="F34" s="1344">
        <f t="shared" si="1"/>
        <v>0.17</v>
      </c>
      <c r="G34" s="1345">
        <f t="shared" si="3"/>
        <v>6.27</v>
      </c>
      <c r="H34" s="1343">
        <f>G34*70%</f>
        <v>4.3889999999999993</v>
      </c>
      <c r="I34" s="1323">
        <f>G34*20%</f>
        <v>1.254</v>
      </c>
      <c r="J34" s="1346">
        <f t="shared" si="5"/>
        <v>0.627</v>
      </c>
      <c r="K34" s="1326"/>
      <c r="L34" s="1306"/>
      <c r="M34" s="1306"/>
      <c r="N34" s="1306"/>
      <c r="O34" s="1306"/>
      <c r="P34" s="1306"/>
    </row>
    <row r="35" spans="1:16" x14ac:dyDescent="0.25">
      <c r="A35" s="2239" t="s">
        <v>1348</v>
      </c>
      <c r="B35" s="1347" t="s">
        <v>32</v>
      </c>
      <c r="C35" s="1343">
        <f>ROUND(120/60*$O$4,2)</f>
        <v>2.4</v>
      </c>
      <c r="D35" s="1322">
        <v>0</v>
      </c>
      <c r="E35" s="1328">
        <f>IF($E$2=1, 0.5, 0)</f>
        <v>0.5</v>
      </c>
      <c r="F35" s="1344">
        <f t="shared" si="1"/>
        <v>0.17</v>
      </c>
      <c r="G35" s="1345">
        <f t="shared" si="3"/>
        <v>3.07</v>
      </c>
      <c r="H35" s="1343">
        <f>G35*80%</f>
        <v>2.456</v>
      </c>
      <c r="I35" s="1323">
        <f>G35*10%</f>
        <v>0.307</v>
      </c>
      <c r="J35" s="1346">
        <f t="shared" si="5"/>
        <v>0.307</v>
      </c>
      <c r="K35" s="1326"/>
      <c r="L35" s="1306"/>
      <c r="M35" s="1306"/>
      <c r="N35" s="1306"/>
      <c r="O35" s="1306"/>
      <c r="P35" s="1306"/>
    </row>
    <row r="36" spans="1:16" x14ac:dyDescent="0.25">
      <c r="A36" s="2239"/>
      <c r="B36" s="1347" t="s">
        <v>33</v>
      </c>
      <c r="C36" s="1343">
        <f>ROUND(150/60*$O$5,2)</f>
        <v>3.75</v>
      </c>
      <c r="D36" s="1322">
        <v>0</v>
      </c>
      <c r="E36" s="1328">
        <f>IF($E$2=1, 0.6, 0)</f>
        <v>0.6</v>
      </c>
      <c r="F36" s="1344">
        <f t="shared" si="1"/>
        <v>0.17</v>
      </c>
      <c r="G36" s="1345">
        <f t="shared" si="3"/>
        <v>4.5199999999999996</v>
      </c>
      <c r="H36" s="1343">
        <f>G36*70%</f>
        <v>3.1639999999999997</v>
      </c>
      <c r="I36" s="1323">
        <f>G36*20%</f>
        <v>0.90399999999999991</v>
      </c>
      <c r="J36" s="1346">
        <f t="shared" si="5"/>
        <v>0.45199999999999996</v>
      </c>
      <c r="K36" s="1326"/>
      <c r="L36" s="1306"/>
      <c r="M36" s="1306"/>
      <c r="N36" s="1306"/>
      <c r="O36" s="1306"/>
      <c r="P36" s="1306"/>
    </row>
    <row r="37" spans="1:16" x14ac:dyDescent="0.25">
      <c r="A37" s="2239"/>
      <c r="B37" s="1347" t="s">
        <v>34</v>
      </c>
      <c r="C37" s="1343">
        <f>ROUND(180/60*$O$6,2)</f>
        <v>5.0999999999999996</v>
      </c>
      <c r="D37" s="1322">
        <v>0</v>
      </c>
      <c r="E37" s="1328">
        <f>IF($E$2=1, 1, 0)</f>
        <v>1</v>
      </c>
      <c r="F37" s="1344">
        <f t="shared" si="1"/>
        <v>0.17</v>
      </c>
      <c r="G37" s="1345">
        <f t="shared" si="3"/>
        <v>6.27</v>
      </c>
      <c r="H37" s="1343">
        <f>G37*70%</f>
        <v>4.3889999999999993</v>
      </c>
      <c r="I37" s="1323">
        <f>G37*20%</f>
        <v>1.254</v>
      </c>
      <c r="J37" s="1346">
        <f t="shared" si="5"/>
        <v>0.627</v>
      </c>
      <c r="K37" s="1326"/>
      <c r="L37" s="1306"/>
      <c r="M37" s="1306"/>
      <c r="N37" s="1306"/>
      <c r="O37" s="1306"/>
      <c r="P37" s="1306"/>
    </row>
    <row r="38" spans="1:16" x14ac:dyDescent="0.25">
      <c r="A38" s="2239" t="s">
        <v>1349</v>
      </c>
      <c r="B38" s="1347" t="s">
        <v>32</v>
      </c>
      <c r="C38" s="1343">
        <f>ROUND(100/60*$O$4,2)</f>
        <v>2</v>
      </c>
      <c r="D38" s="1322">
        <v>0</v>
      </c>
      <c r="E38" s="1328">
        <f>IF($E$2=1, 0.5, 0)</f>
        <v>0.5</v>
      </c>
      <c r="F38" s="1344">
        <f t="shared" si="1"/>
        <v>0.17</v>
      </c>
      <c r="G38" s="1345">
        <f t="shared" si="3"/>
        <v>2.67</v>
      </c>
      <c r="H38" s="1343">
        <f>G38*80%</f>
        <v>2.1360000000000001</v>
      </c>
      <c r="I38" s="1323">
        <f>G38*20%</f>
        <v>0.53400000000000003</v>
      </c>
      <c r="J38" s="1346">
        <v>0</v>
      </c>
      <c r="K38" s="1326"/>
      <c r="L38" s="1306"/>
      <c r="M38" s="1306"/>
      <c r="N38" s="1306"/>
      <c r="O38" s="1306"/>
      <c r="P38" s="1306"/>
    </row>
    <row r="39" spans="1:16" x14ac:dyDescent="0.25">
      <c r="A39" s="2239"/>
      <c r="B39" s="1347" t="s">
        <v>33</v>
      </c>
      <c r="C39" s="1343">
        <f>ROUND(120/60*$O$5,2)</f>
        <v>3</v>
      </c>
      <c r="D39" s="1322">
        <v>0</v>
      </c>
      <c r="E39" s="1328">
        <f>IF($E$2=1, 0.6, 0)</f>
        <v>0.6</v>
      </c>
      <c r="F39" s="1344">
        <f t="shared" si="1"/>
        <v>0.17</v>
      </c>
      <c r="G39" s="1345">
        <f t="shared" si="3"/>
        <v>3.77</v>
      </c>
      <c r="H39" s="1343">
        <f>G39*80%</f>
        <v>3.016</v>
      </c>
      <c r="I39" s="1323">
        <f>G39*10%</f>
        <v>0.377</v>
      </c>
      <c r="J39" s="1346">
        <f>G39*10%</f>
        <v>0.377</v>
      </c>
      <c r="K39" s="1326"/>
      <c r="L39" s="1306"/>
      <c r="M39" s="1306"/>
      <c r="N39" s="1306"/>
      <c r="O39" s="1306"/>
      <c r="P39" s="1306"/>
    </row>
    <row r="40" spans="1:16" x14ac:dyDescent="0.25">
      <c r="A40" s="2239"/>
      <c r="B40" s="1347" t="s">
        <v>34</v>
      </c>
      <c r="C40" s="1343">
        <f>ROUND(140/60*$O$6,2)</f>
        <v>3.97</v>
      </c>
      <c r="D40" s="1322">
        <v>0</v>
      </c>
      <c r="E40" s="1328">
        <f>IF($E$2=1, 1, 0)</f>
        <v>1</v>
      </c>
      <c r="F40" s="1344">
        <f t="shared" si="1"/>
        <v>0.17</v>
      </c>
      <c r="G40" s="1345">
        <f t="shared" si="3"/>
        <v>5.1400000000000006</v>
      </c>
      <c r="H40" s="1343">
        <f>G40*70%</f>
        <v>3.5980000000000003</v>
      </c>
      <c r="I40" s="1323">
        <f>G40*20%</f>
        <v>1.0280000000000002</v>
      </c>
      <c r="J40" s="1346">
        <f>G40*10%</f>
        <v>0.51400000000000012</v>
      </c>
      <c r="K40" s="1326"/>
      <c r="L40" s="1306"/>
      <c r="M40" s="1306"/>
      <c r="N40" s="1306"/>
      <c r="O40" s="1306"/>
      <c r="P40" s="1306"/>
    </row>
    <row r="41" spans="1:16" x14ac:dyDescent="0.25">
      <c r="A41" s="2239" t="s">
        <v>1350</v>
      </c>
      <c r="B41" s="1347" t="s">
        <v>32</v>
      </c>
      <c r="C41" s="1343">
        <f>ROUND(150/60*$O$4,2)</f>
        <v>3</v>
      </c>
      <c r="D41" s="1322">
        <v>0</v>
      </c>
      <c r="E41" s="1328">
        <f>IF($E$2=1, 0.5, 0)</f>
        <v>0.5</v>
      </c>
      <c r="F41" s="1344">
        <f t="shared" si="1"/>
        <v>0.17</v>
      </c>
      <c r="G41" s="1345">
        <f t="shared" si="3"/>
        <v>3.67</v>
      </c>
      <c r="H41" s="1343">
        <f>G41*80%</f>
        <v>2.9359999999999999</v>
      </c>
      <c r="I41" s="1323">
        <f>G41*20%</f>
        <v>0.73399999999999999</v>
      </c>
      <c r="J41" s="1346">
        <v>0</v>
      </c>
      <c r="K41" s="1326"/>
      <c r="L41" s="1306"/>
      <c r="M41" s="1306"/>
      <c r="N41" s="1306"/>
      <c r="O41" s="1306"/>
      <c r="P41" s="1306"/>
    </row>
    <row r="42" spans="1:16" x14ac:dyDescent="0.25">
      <c r="A42" s="2239"/>
      <c r="B42" s="1347" t="s">
        <v>33</v>
      </c>
      <c r="C42" s="1343">
        <f>ROUND(170/60*$O$5,2)</f>
        <v>4.25</v>
      </c>
      <c r="D42" s="1322">
        <v>0</v>
      </c>
      <c r="E42" s="1328">
        <f>IF($E$2=1, 0.6, 0)</f>
        <v>0.6</v>
      </c>
      <c r="F42" s="1344">
        <f t="shared" si="1"/>
        <v>0.17</v>
      </c>
      <c r="G42" s="1345">
        <f t="shared" si="3"/>
        <v>5.0199999999999996</v>
      </c>
      <c r="H42" s="1343">
        <f>G42*80%</f>
        <v>4.016</v>
      </c>
      <c r="I42" s="1323">
        <f>G42*10%</f>
        <v>0.502</v>
      </c>
      <c r="J42" s="1346">
        <f>G42*10%</f>
        <v>0.502</v>
      </c>
      <c r="K42" s="1326"/>
      <c r="L42" s="1306"/>
      <c r="M42" s="1306"/>
      <c r="N42" s="1306"/>
      <c r="O42" s="1306"/>
      <c r="P42" s="1306"/>
    </row>
    <row r="43" spans="1:16" x14ac:dyDescent="0.25">
      <c r="A43" s="2259"/>
      <c r="B43" s="1348" t="s">
        <v>34</v>
      </c>
      <c r="C43" s="1343">
        <f>ROUND(190/60*$O$6,2)</f>
        <v>5.38</v>
      </c>
      <c r="D43" s="1322">
        <v>0</v>
      </c>
      <c r="E43" s="1328">
        <f>IF($E$2=1, 1, 0)</f>
        <v>1</v>
      </c>
      <c r="F43" s="1344">
        <f t="shared" si="1"/>
        <v>0.17</v>
      </c>
      <c r="G43" s="1345">
        <f t="shared" si="3"/>
        <v>6.55</v>
      </c>
      <c r="H43" s="1343">
        <f>G43*70%</f>
        <v>4.585</v>
      </c>
      <c r="I43" s="1323">
        <f>G43*20%</f>
        <v>1.31</v>
      </c>
      <c r="J43" s="1346">
        <f>G43*10%</f>
        <v>0.65500000000000003</v>
      </c>
      <c r="K43" s="1326"/>
      <c r="L43" s="1306"/>
      <c r="M43" s="1306"/>
      <c r="N43" s="1306"/>
      <c r="O43" s="1306"/>
      <c r="P43" s="1306"/>
    </row>
    <row r="44" spans="1:16" x14ac:dyDescent="0.25">
      <c r="A44" s="2266" t="s">
        <v>1351</v>
      </c>
      <c r="B44" s="1347" t="s">
        <v>32</v>
      </c>
      <c r="C44" s="1343">
        <f>ROUND(40/60*$O$4,2)</f>
        <v>0.8</v>
      </c>
      <c r="D44" s="1322">
        <v>0</v>
      </c>
      <c r="E44" s="1374"/>
      <c r="F44" s="1344">
        <f t="shared" si="1"/>
        <v>0.17</v>
      </c>
      <c r="G44" s="1345">
        <f t="shared" si="3"/>
        <v>0.97000000000000008</v>
      </c>
      <c r="H44" s="1343">
        <f>G44*1</f>
        <v>0.97000000000000008</v>
      </c>
      <c r="I44" s="1323">
        <v>0</v>
      </c>
      <c r="J44" s="1346">
        <v>0</v>
      </c>
      <c r="K44" s="1326"/>
      <c r="L44" s="1306"/>
      <c r="M44" s="1306"/>
      <c r="N44" s="1306"/>
      <c r="O44" s="1306"/>
      <c r="P44" s="1306"/>
    </row>
    <row r="45" spans="1:16" x14ac:dyDescent="0.25">
      <c r="A45" s="2266"/>
      <c r="B45" s="1347" t="s">
        <v>33</v>
      </c>
      <c r="C45" s="1343">
        <f>ROUND(50/60*$O$5,2)</f>
        <v>1.25</v>
      </c>
      <c r="D45" s="1322">
        <v>0</v>
      </c>
      <c r="E45" s="1374"/>
      <c r="F45" s="1344">
        <f t="shared" si="1"/>
        <v>0.17</v>
      </c>
      <c r="G45" s="1345">
        <f t="shared" si="3"/>
        <v>1.42</v>
      </c>
      <c r="H45" s="1343">
        <f>G45*1</f>
        <v>1.42</v>
      </c>
      <c r="I45" s="1323">
        <v>0</v>
      </c>
      <c r="J45" s="1346">
        <v>0</v>
      </c>
      <c r="K45" s="1326"/>
      <c r="L45" s="1306"/>
      <c r="M45" s="1306"/>
      <c r="N45" s="1306"/>
      <c r="O45" s="1306"/>
      <c r="P45" s="1306"/>
    </row>
    <row r="46" spans="1:16" ht="15.75" thickBot="1" x14ac:dyDescent="0.3">
      <c r="A46" s="2267"/>
      <c r="B46" s="1365" t="s">
        <v>34</v>
      </c>
      <c r="C46" s="1366">
        <f>ROUND(60/60*$O$6,2)</f>
        <v>1.7</v>
      </c>
      <c r="D46" s="1332">
        <v>0</v>
      </c>
      <c r="E46" s="1375"/>
      <c r="F46" s="1368">
        <f t="shared" si="1"/>
        <v>0.17</v>
      </c>
      <c r="G46" s="1369">
        <f t="shared" si="3"/>
        <v>1.8699999999999999</v>
      </c>
      <c r="H46" s="1366">
        <f>G46*1</f>
        <v>1.8699999999999999</v>
      </c>
      <c r="I46" s="1370">
        <v>0</v>
      </c>
      <c r="J46" s="1371">
        <v>0</v>
      </c>
      <c r="K46" s="1335"/>
      <c r="L46" s="1306"/>
      <c r="M46" s="1306"/>
      <c r="N46" s="1306"/>
      <c r="O46" s="1306"/>
      <c r="P46" s="1306"/>
    </row>
  </sheetData>
  <mergeCells count="21">
    <mergeCell ref="A38:A40"/>
    <mergeCell ref="A41:A43"/>
    <mergeCell ref="A44:A46"/>
    <mergeCell ref="A20:A22"/>
    <mergeCell ref="A23:A25"/>
    <mergeCell ref="A26:A28"/>
    <mergeCell ref="A29:A31"/>
    <mergeCell ref="A32:A34"/>
    <mergeCell ref="A35:A37"/>
    <mergeCell ref="N1:O1"/>
    <mergeCell ref="A4:A6"/>
    <mergeCell ref="A7:A9"/>
    <mergeCell ref="A10:A12"/>
    <mergeCell ref="A14:A16"/>
    <mergeCell ref="J1:J2"/>
    <mergeCell ref="K1:K2"/>
    <mergeCell ref="A17:A19"/>
    <mergeCell ref="C1:C2"/>
    <mergeCell ref="G1:G2"/>
    <mergeCell ref="H1:H2"/>
    <mergeCell ref="I1:I2"/>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Лист85"/>
  <dimension ref="A1:T29"/>
  <sheetViews>
    <sheetView zoomScale="80" zoomScaleNormal="80" workbookViewId="0">
      <selection activeCell="B17" sqref="B17"/>
    </sheetView>
  </sheetViews>
  <sheetFormatPr defaultColWidth="9.140625" defaultRowHeight="15" x14ac:dyDescent="0.25"/>
  <cols>
    <col min="1" max="1" width="64.42578125" style="1271" customWidth="1"/>
    <col min="2" max="2" width="23.5703125" style="1271" bestFit="1" customWidth="1"/>
    <col min="3" max="3" width="23.5703125" style="1271" customWidth="1"/>
    <col min="4" max="4" width="26.28515625" style="1271" bestFit="1" customWidth="1"/>
    <col min="5" max="5" width="19" style="1271" bestFit="1" customWidth="1"/>
    <col min="6" max="6" width="39.42578125" style="1271" customWidth="1"/>
    <col min="7" max="7" width="10.85546875" style="1271" customWidth="1"/>
    <col min="8" max="8" width="11.28515625" style="1271" customWidth="1"/>
    <col min="9" max="9" width="11.42578125" style="1271" customWidth="1"/>
    <col min="10" max="10" width="11.5703125" style="1271" customWidth="1"/>
    <col min="11" max="11" width="28.7109375" style="1271" customWidth="1"/>
    <col min="12" max="12" width="9.140625" style="1271"/>
    <col min="13" max="13" width="39.42578125" style="1271" customWidth="1"/>
    <col min="14" max="16384" width="9.140625" style="1271"/>
  </cols>
  <sheetData>
    <row r="1" spans="1:20" ht="15.75" x14ac:dyDescent="0.25">
      <c r="A1" s="2164" t="s">
        <v>1352</v>
      </c>
      <c r="B1" s="2165"/>
      <c r="C1" s="2165"/>
      <c r="D1" s="2165"/>
      <c r="E1" s="2165"/>
      <c r="F1" s="2165"/>
      <c r="G1" s="2165"/>
      <c r="H1" s="2165"/>
      <c r="I1" s="2165"/>
      <c r="J1" s="2165"/>
      <c r="K1" s="2166"/>
      <c r="L1" s="323"/>
      <c r="M1" s="323"/>
      <c r="N1" s="323"/>
      <c r="O1" s="323"/>
      <c r="P1" s="323"/>
      <c r="Q1" s="323"/>
      <c r="R1" s="323"/>
      <c r="S1" s="323"/>
      <c r="T1" s="323"/>
    </row>
    <row r="2" spans="1:20" x14ac:dyDescent="0.25">
      <c r="A2" s="2160" t="s">
        <v>1353</v>
      </c>
      <c r="B2" s="129" t="s">
        <v>32</v>
      </c>
      <c r="C2" s="658">
        <v>4</v>
      </c>
      <c r="D2" s="658">
        <v>0</v>
      </c>
      <c r="E2" s="658">
        <v>0</v>
      </c>
      <c r="F2" s="658">
        <v>0</v>
      </c>
      <c r="G2" s="814">
        <f t="shared" ref="G2:G7" si="0" xml:space="preserve"> SUM(C2:F2)</f>
        <v>4</v>
      </c>
      <c r="H2" s="813">
        <f>G2*80%</f>
        <v>3.2</v>
      </c>
      <c r="I2" s="813">
        <f>G2*20%</f>
        <v>0.8</v>
      </c>
      <c r="J2" s="813">
        <f>G2*0</f>
        <v>0</v>
      </c>
      <c r="K2" s="2159"/>
      <c r="L2" s="323"/>
      <c r="M2" s="323"/>
      <c r="N2" s="323"/>
      <c r="O2" s="323"/>
      <c r="P2" s="323"/>
      <c r="Q2" s="323"/>
      <c r="R2" s="323"/>
      <c r="S2" s="323"/>
      <c r="T2" s="323"/>
    </row>
    <row r="3" spans="1:20" x14ac:dyDescent="0.25">
      <c r="A3" s="2160"/>
      <c r="B3" s="129" t="s">
        <v>33</v>
      </c>
      <c r="C3" s="813">
        <v>8</v>
      </c>
      <c r="D3" s="658">
        <v>0</v>
      </c>
      <c r="E3" s="658">
        <v>0</v>
      </c>
      <c r="F3" s="658">
        <v>0</v>
      </c>
      <c r="G3" s="814">
        <f t="shared" si="0"/>
        <v>8</v>
      </c>
      <c r="H3" s="813">
        <f>G3*60%</f>
        <v>4.8</v>
      </c>
      <c r="I3" s="813">
        <f>G3*30%</f>
        <v>2.4</v>
      </c>
      <c r="J3" s="813">
        <f>G3*10%</f>
        <v>0.8</v>
      </c>
      <c r="K3" s="2159"/>
      <c r="L3" s="323"/>
      <c r="M3" s="323"/>
      <c r="N3" s="323"/>
      <c r="O3" s="323"/>
      <c r="P3" s="323"/>
      <c r="Q3" s="323"/>
      <c r="R3" s="323"/>
      <c r="S3" s="323"/>
      <c r="T3" s="323"/>
    </row>
    <row r="4" spans="1:20" ht="15" customHeight="1" x14ac:dyDescent="0.25">
      <c r="A4" s="2160"/>
      <c r="B4" s="129" t="s">
        <v>34</v>
      </c>
      <c r="C4" s="813">
        <v>12</v>
      </c>
      <c r="D4" s="658">
        <v>0</v>
      </c>
      <c r="E4" s="658">
        <v>0</v>
      </c>
      <c r="F4" s="658">
        <v>0</v>
      </c>
      <c r="G4" s="814">
        <f t="shared" si="0"/>
        <v>12</v>
      </c>
      <c r="H4" s="813">
        <f>G4*50%</f>
        <v>6</v>
      </c>
      <c r="I4" s="813">
        <f>G4*30%</f>
        <v>3.5999999999999996</v>
      </c>
      <c r="J4" s="813">
        <f>G4*20%</f>
        <v>2.4000000000000004</v>
      </c>
      <c r="K4" s="2159"/>
      <c r="L4" s="323"/>
      <c r="M4" s="323"/>
      <c r="N4" s="323"/>
      <c r="O4" s="323"/>
      <c r="P4" s="323"/>
      <c r="Q4" s="323"/>
      <c r="R4" s="323"/>
      <c r="S4" s="323"/>
      <c r="T4" s="323"/>
    </row>
    <row r="5" spans="1:20" ht="15" customHeight="1" x14ac:dyDescent="0.25">
      <c r="A5" s="2167" t="s">
        <v>1354</v>
      </c>
      <c r="B5" s="129" t="s">
        <v>32</v>
      </c>
      <c r="C5" s="658">
        <v>4</v>
      </c>
      <c r="D5" s="658">
        <v>0</v>
      </c>
      <c r="E5" s="658">
        <v>0</v>
      </c>
      <c r="F5" s="658">
        <v>0</v>
      </c>
      <c r="G5" s="814">
        <f t="shared" si="0"/>
        <v>4</v>
      </c>
      <c r="H5" s="813">
        <f>G5*80%</f>
        <v>3.2</v>
      </c>
      <c r="I5" s="813">
        <f>G5*20%</f>
        <v>0.8</v>
      </c>
      <c r="J5" s="813">
        <v>0</v>
      </c>
      <c r="K5" s="2159"/>
      <c r="L5" s="323"/>
      <c r="M5" s="323"/>
      <c r="N5" s="323"/>
      <c r="O5" s="323"/>
      <c r="P5" s="323"/>
      <c r="Q5" s="323"/>
      <c r="R5" s="323"/>
      <c r="S5" s="323"/>
      <c r="T5" s="323"/>
    </row>
    <row r="6" spans="1:20" ht="15" customHeight="1" x14ac:dyDescent="0.25">
      <c r="A6" s="2168"/>
      <c r="B6" s="129" t="s">
        <v>33</v>
      </c>
      <c r="C6" s="813">
        <v>8</v>
      </c>
      <c r="D6" s="658">
        <v>0</v>
      </c>
      <c r="E6" s="658">
        <v>0</v>
      </c>
      <c r="F6" s="658">
        <v>0</v>
      </c>
      <c r="G6" s="814">
        <f t="shared" si="0"/>
        <v>8</v>
      </c>
      <c r="H6" s="813">
        <f>G6*60%</f>
        <v>4.8</v>
      </c>
      <c r="I6" s="813">
        <f>G6*30%</f>
        <v>2.4</v>
      </c>
      <c r="J6" s="813">
        <f>G6*10%</f>
        <v>0.8</v>
      </c>
      <c r="K6" s="2159"/>
      <c r="L6" s="323"/>
      <c r="M6" s="323"/>
      <c r="N6" s="323"/>
      <c r="O6" s="323"/>
      <c r="P6" s="323"/>
      <c r="R6" s="323"/>
      <c r="S6" s="323"/>
      <c r="T6" s="323"/>
    </row>
    <row r="7" spans="1:20" ht="15" customHeight="1" x14ac:dyDescent="0.25">
      <c r="A7" s="2169"/>
      <c r="B7" s="129" t="s">
        <v>34</v>
      </c>
      <c r="C7" s="813">
        <v>12</v>
      </c>
      <c r="D7" s="658">
        <v>0</v>
      </c>
      <c r="E7" s="658">
        <v>0</v>
      </c>
      <c r="F7" s="658">
        <v>0</v>
      </c>
      <c r="G7" s="814">
        <f t="shared" si="0"/>
        <v>12</v>
      </c>
      <c r="H7" s="813">
        <f>G7*50%</f>
        <v>6</v>
      </c>
      <c r="I7" s="813">
        <f>G7*30%</f>
        <v>3.5999999999999996</v>
      </c>
      <c r="J7" s="813">
        <f>G7*20%</f>
        <v>2.4000000000000004</v>
      </c>
      <c r="K7" s="2159"/>
      <c r="L7" s="323"/>
      <c r="M7" s="323"/>
      <c r="N7" s="323"/>
      <c r="O7" s="323"/>
      <c r="P7" s="323"/>
      <c r="Q7" s="323"/>
      <c r="R7" s="323"/>
      <c r="S7" s="323"/>
      <c r="T7" s="323"/>
    </row>
    <row r="8" spans="1:20" ht="15" customHeight="1" x14ac:dyDescent="0.25">
      <c r="A8" s="2170" t="s">
        <v>1355</v>
      </c>
      <c r="B8" s="2171"/>
      <c r="C8" s="2171"/>
      <c r="D8" s="2171"/>
      <c r="E8" s="2171"/>
      <c r="F8" s="2171"/>
      <c r="G8" s="2171"/>
      <c r="H8" s="2171"/>
      <c r="I8" s="2171"/>
      <c r="J8" s="2171"/>
      <c r="K8" s="2172"/>
      <c r="L8" s="323"/>
      <c r="M8" s="323"/>
      <c r="N8" s="323"/>
      <c r="O8" s="323"/>
      <c r="P8" s="323"/>
      <c r="Q8" s="323"/>
      <c r="R8" s="323"/>
      <c r="S8" s="323"/>
      <c r="T8" s="323"/>
    </row>
    <row r="9" spans="1:20" ht="97.15" customHeight="1" x14ac:dyDescent="0.25">
      <c r="A9" s="879" t="s">
        <v>1356</v>
      </c>
      <c r="B9" s="1376" t="s">
        <v>1228</v>
      </c>
      <c r="C9" s="2173" t="s">
        <v>1357</v>
      </c>
      <c r="D9" s="1377" t="s">
        <v>876</v>
      </c>
      <c r="E9" s="1377" t="s">
        <v>1358</v>
      </c>
      <c r="F9" s="1378" t="s">
        <v>1359</v>
      </c>
      <c r="G9" s="2158" t="s">
        <v>38</v>
      </c>
      <c r="H9" s="2156" t="s">
        <v>715</v>
      </c>
      <c r="I9" s="2156" t="s">
        <v>714</v>
      </c>
      <c r="J9" s="2156" t="s">
        <v>713</v>
      </c>
      <c r="K9" s="2156" t="s">
        <v>272</v>
      </c>
      <c r="L9" s="323"/>
      <c r="M9" s="323"/>
      <c r="N9" s="323"/>
      <c r="O9" s="323"/>
      <c r="P9" s="323"/>
      <c r="Q9" s="323"/>
      <c r="R9" s="323"/>
      <c r="S9" s="323"/>
      <c r="T9" s="323"/>
    </row>
    <row r="10" spans="1:20" ht="15" customHeight="1" x14ac:dyDescent="0.25">
      <c r="A10" s="1379" t="s">
        <v>36</v>
      </c>
      <c r="B10" s="206">
        <f>IF(ТрЗ_ОКиА!$M$1="Простой", 1, IF(ТрЗ_ОКиА!$M$1="Обычный",2,3))</f>
        <v>2</v>
      </c>
      <c r="C10" s="2173"/>
      <c r="D10" s="184">
        <f>ТрЗ_ОКиА!E25</f>
        <v>1</v>
      </c>
      <c r="E10" s="184">
        <f>ТрЗ_ОКиА!E26</f>
        <v>20</v>
      </c>
      <c r="F10" s="184">
        <f>IF(ТрЗ_ОКиА!E27="Да",1,0)</f>
        <v>1</v>
      </c>
      <c r="G10" s="2158"/>
      <c r="H10" s="2156"/>
      <c r="I10" s="2156"/>
      <c r="J10" s="2156"/>
      <c r="K10" s="2156"/>
      <c r="L10" s="323"/>
      <c r="M10" s="323"/>
      <c r="N10" s="323"/>
      <c r="O10" s="323"/>
      <c r="P10" s="323"/>
      <c r="Q10" s="323"/>
      <c r="R10" s="323"/>
      <c r="S10" s="323"/>
      <c r="T10" s="323"/>
    </row>
    <row r="11" spans="1:20" ht="15" customHeight="1" x14ac:dyDescent="0.25">
      <c r="A11" s="2174" t="s">
        <v>1360</v>
      </c>
      <c r="B11" s="129" t="s">
        <v>32</v>
      </c>
      <c r="C11" s="814">
        <v>2</v>
      </c>
      <c r="D11" s="629">
        <f>$D$10*2</f>
        <v>2</v>
      </c>
      <c r="E11" s="629">
        <f>C11*$E$10</f>
        <v>40</v>
      </c>
      <c r="F11" s="629">
        <f>IF($F$10=0,SUM(D11:E11)*0.5,0)</f>
        <v>0</v>
      </c>
      <c r="G11" s="814">
        <f xml:space="preserve"> SUM(D11:F11)*$N$13</f>
        <v>42</v>
      </c>
      <c r="H11" s="813">
        <f>G11*50%</f>
        <v>21</v>
      </c>
      <c r="I11" s="813">
        <f>G11*50%</f>
        <v>21</v>
      </c>
      <c r="J11" s="813">
        <v>0</v>
      </c>
      <c r="K11" s="129"/>
      <c r="L11" s="323"/>
      <c r="M11" s="323"/>
      <c r="N11" s="323"/>
      <c r="O11" s="323"/>
      <c r="P11" s="323"/>
      <c r="Q11" s="323"/>
      <c r="R11" s="323"/>
      <c r="S11" s="323"/>
      <c r="T11" s="323"/>
    </row>
    <row r="12" spans="1:20" ht="15" customHeight="1" x14ac:dyDescent="0.25">
      <c r="A12" s="2175"/>
      <c r="B12" s="129" t="s">
        <v>33</v>
      </c>
      <c r="C12" s="814">
        <v>2.5</v>
      </c>
      <c r="D12" s="629">
        <f>$D$10*2</f>
        <v>2</v>
      </c>
      <c r="E12" s="629">
        <f>C12*$E$10</f>
        <v>50</v>
      </c>
      <c r="F12" s="629">
        <f>IF($F$10=0,SUM(D12:E12)*0.5,0)</f>
        <v>0</v>
      </c>
      <c r="G12" s="814">
        <f xml:space="preserve"> SUM(D12:F12)*$N$13</f>
        <v>52</v>
      </c>
      <c r="H12" s="813">
        <f>G12*50%</f>
        <v>26</v>
      </c>
      <c r="I12" s="813">
        <f>G12*40%</f>
        <v>20.8</v>
      </c>
      <c r="J12" s="813">
        <f>G12*10%</f>
        <v>5.2</v>
      </c>
      <c r="K12" s="129"/>
      <c r="L12" s="323"/>
      <c r="M12" s="1380" t="s">
        <v>1361</v>
      </c>
      <c r="N12" s="1196"/>
      <c r="O12" s="323"/>
      <c r="P12" s="323"/>
      <c r="Q12" s="323"/>
      <c r="R12" s="323"/>
      <c r="S12" s="323"/>
      <c r="T12" s="323"/>
    </row>
    <row r="13" spans="1:20" ht="30.75" customHeight="1" x14ac:dyDescent="0.25">
      <c r="A13" s="2176"/>
      <c r="B13" s="129" t="s">
        <v>34</v>
      </c>
      <c r="C13" s="814">
        <v>3</v>
      </c>
      <c r="D13" s="629">
        <f>$D$10*2</f>
        <v>2</v>
      </c>
      <c r="E13" s="629">
        <f>C13*$E$10</f>
        <v>60</v>
      </c>
      <c r="F13" s="629">
        <f>IF($F$10=0,SUM(D13:E13)*0.5,0)</f>
        <v>0</v>
      </c>
      <c r="G13" s="814">
        <f xml:space="preserve"> SUM(D13:F13)*$N$13</f>
        <v>62</v>
      </c>
      <c r="H13" s="813">
        <f>G13*20%</f>
        <v>12.4</v>
      </c>
      <c r="I13" s="813">
        <f>G13*40%</f>
        <v>24.8</v>
      </c>
      <c r="J13" s="813">
        <f>G13*40%</f>
        <v>24.8</v>
      </c>
      <c r="K13" s="129"/>
      <c r="L13" s="323"/>
      <c r="M13" s="1381" t="s">
        <v>639</v>
      </c>
      <c r="N13" s="1382">
        <v>1</v>
      </c>
      <c r="O13" s="323"/>
      <c r="P13" s="323"/>
      <c r="Q13" s="323"/>
      <c r="R13" s="323"/>
      <c r="S13" s="323"/>
      <c r="T13" s="323"/>
    </row>
    <row r="14" spans="1:20" ht="29.25" customHeight="1" x14ac:dyDescent="0.25">
      <c r="A14" s="2170" t="s">
        <v>1362</v>
      </c>
      <c r="B14" s="2171"/>
      <c r="C14" s="2171"/>
      <c r="D14" s="2171"/>
      <c r="E14" s="2171"/>
      <c r="F14" s="2171"/>
      <c r="G14" s="2171"/>
      <c r="H14" s="2171"/>
      <c r="I14" s="2171"/>
      <c r="J14" s="2171"/>
      <c r="K14" s="2172"/>
      <c r="L14" s="323"/>
      <c r="M14" s="323"/>
      <c r="N14" s="323"/>
      <c r="O14" s="323"/>
      <c r="P14" s="323"/>
      <c r="Q14" s="323"/>
      <c r="R14" s="323"/>
      <c r="S14" s="323"/>
      <c r="T14" s="323"/>
    </row>
    <row r="15" spans="1:20" ht="15" customHeight="1" x14ac:dyDescent="0.25">
      <c r="A15" s="879"/>
      <c r="B15" s="1376" t="s">
        <v>1228</v>
      </c>
      <c r="C15" s="2173" t="s">
        <v>1363</v>
      </c>
      <c r="D15" s="1377" t="s">
        <v>876</v>
      </c>
      <c r="E15" s="1377"/>
      <c r="F15" s="1377"/>
      <c r="G15" s="2158" t="s">
        <v>38</v>
      </c>
      <c r="H15" s="2156" t="s">
        <v>715</v>
      </c>
      <c r="I15" s="2156" t="s">
        <v>714</v>
      </c>
      <c r="J15" s="2156" t="s">
        <v>713</v>
      </c>
      <c r="K15" s="2156" t="s">
        <v>272</v>
      </c>
      <c r="L15" s="323"/>
      <c r="M15" s="323"/>
      <c r="N15" s="323"/>
      <c r="O15" s="323"/>
      <c r="P15" s="323"/>
      <c r="Q15" s="323"/>
      <c r="R15" s="323"/>
      <c r="S15" s="323"/>
      <c r="T15" s="323"/>
    </row>
    <row r="16" spans="1:20" ht="43.9" customHeight="1" x14ac:dyDescent="0.25">
      <c r="A16" s="1379" t="s">
        <v>36</v>
      </c>
      <c r="B16" s="206">
        <f>IF(ТрЗ_ОКиА!$M$1="Простой", 1, IF(ТрЗ_ОКиА!$M$1="Обычный",2,3))</f>
        <v>2</v>
      </c>
      <c r="C16" s="2173"/>
      <c r="D16" s="184">
        <f>ТрЗ_ОКиА!E25</f>
        <v>1</v>
      </c>
      <c r="E16" s="184">
        <v>0</v>
      </c>
      <c r="F16" s="184">
        <v>0</v>
      </c>
      <c r="G16" s="2158"/>
      <c r="H16" s="2156"/>
      <c r="I16" s="2156"/>
      <c r="J16" s="2156"/>
      <c r="K16" s="2156"/>
      <c r="L16" s="323"/>
      <c r="M16" s="323"/>
      <c r="N16" s="323"/>
      <c r="O16" s="323"/>
      <c r="P16" s="323"/>
      <c r="Q16" s="323"/>
      <c r="R16" s="323"/>
      <c r="S16" s="323"/>
      <c r="T16" s="323"/>
    </row>
    <row r="17" spans="1:20" ht="32.25" customHeight="1" x14ac:dyDescent="0.25">
      <c r="A17" s="2167" t="s">
        <v>1364</v>
      </c>
      <c r="B17" s="129" t="s">
        <v>32</v>
      </c>
      <c r="C17" s="814">
        <v>8</v>
      </c>
      <c r="D17" s="629">
        <f>$D$16*C17</f>
        <v>8</v>
      </c>
      <c r="E17" s="658">
        <v>0</v>
      </c>
      <c r="F17" s="658">
        <v>0</v>
      </c>
      <c r="G17" s="814">
        <f xml:space="preserve"> SUM(D17:F17)</f>
        <v>8</v>
      </c>
      <c r="H17" s="813">
        <f>G17*20%</f>
        <v>1.6</v>
      </c>
      <c r="I17" s="813">
        <f>G17*40%</f>
        <v>3.2</v>
      </c>
      <c r="J17" s="813">
        <f>G17*40%</f>
        <v>3.2</v>
      </c>
      <c r="K17" s="129"/>
      <c r="L17" s="323"/>
      <c r="M17" s="323"/>
      <c r="N17" s="323"/>
      <c r="O17" s="323"/>
      <c r="P17" s="323"/>
      <c r="Q17" s="323"/>
      <c r="R17" s="323"/>
      <c r="S17" s="323"/>
      <c r="T17" s="323"/>
    </row>
    <row r="18" spans="1:20" ht="32.25" customHeight="1" x14ac:dyDescent="0.25">
      <c r="A18" s="2168"/>
      <c r="B18" s="129" t="s">
        <v>33</v>
      </c>
      <c r="C18" s="814">
        <v>12</v>
      </c>
      <c r="D18" s="629">
        <f>$D$16*C18</f>
        <v>12</v>
      </c>
      <c r="E18" s="658">
        <v>0</v>
      </c>
      <c r="F18" s="658">
        <v>0</v>
      </c>
      <c r="G18" s="814">
        <f xml:space="preserve"> SUM(D18:F18)</f>
        <v>12</v>
      </c>
      <c r="H18" s="813">
        <f>G18*20%</f>
        <v>2.4000000000000004</v>
      </c>
      <c r="I18" s="813">
        <f>G18*40%</f>
        <v>4.8000000000000007</v>
      </c>
      <c r="J18" s="813">
        <f>G18*40%</f>
        <v>4.8000000000000007</v>
      </c>
      <c r="K18" s="129"/>
      <c r="L18" s="323"/>
      <c r="M18" s="323"/>
      <c r="N18" s="323"/>
      <c r="O18" s="323"/>
      <c r="P18" s="323"/>
      <c r="Q18" s="323"/>
      <c r="R18" s="323"/>
      <c r="S18" s="323"/>
      <c r="T18" s="323"/>
    </row>
    <row r="19" spans="1:20" ht="32.25" customHeight="1" x14ac:dyDescent="0.25">
      <c r="A19" s="2169"/>
      <c r="B19" s="129" t="s">
        <v>34</v>
      </c>
      <c r="C19" s="814">
        <v>16</v>
      </c>
      <c r="D19" s="629">
        <f>$D$16*C19</f>
        <v>16</v>
      </c>
      <c r="E19" s="658">
        <v>0</v>
      </c>
      <c r="F19" s="658">
        <v>0</v>
      </c>
      <c r="G19" s="814">
        <f xml:space="preserve"> SUM(D19:F19)</f>
        <v>16</v>
      </c>
      <c r="H19" s="813">
        <f>G19*20%</f>
        <v>3.2</v>
      </c>
      <c r="I19" s="813">
        <f>G19*40%</f>
        <v>6.4</v>
      </c>
      <c r="J19" s="813">
        <f>G19*40%</f>
        <v>6.4</v>
      </c>
      <c r="K19" s="129"/>
      <c r="L19" s="323"/>
      <c r="M19" s="323"/>
      <c r="N19" s="323"/>
      <c r="O19" s="323"/>
      <c r="P19" s="323"/>
      <c r="Q19" s="323"/>
      <c r="R19" s="323"/>
      <c r="S19" s="323"/>
      <c r="T19" s="323"/>
    </row>
    <row r="20" spans="1:20" ht="15.75" x14ac:dyDescent="0.25">
      <c r="A20" s="2170" t="s">
        <v>1365</v>
      </c>
      <c r="B20" s="2171"/>
      <c r="C20" s="2171"/>
      <c r="D20" s="2171"/>
      <c r="E20" s="2171"/>
      <c r="F20" s="2171"/>
      <c r="G20" s="2171"/>
      <c r="H20" s="2171"/>
      <c r="I20" s="2171"/>
      <c r="J20" s="2171"/>
      <c r="K20" s="2172"/>
      <c r="L20" s="323"/>
      <c r="M20" s="323"/>
      <c r="N20" s="323"/>
      <c r="O20" s="323"/>
      <c r="P20" s="323"/>
      <c r="Q20" s="323"/>
      <c r="R20" s="323"/>
      <c r="S20" s="323"/>
      <c r="T20" s="323"/>
    </row>
    <row r="21" spans="1:20" x14ac:dyDescent="0.25">
      <c r="A21" s="2167" t="s">
        <v>1365</v>
      </c>
      <c r="B21" s="129" t="s">
        <v>32</v>
      </c>
      <c r="C21" s="2189" t="s">
        <v>1366</v>
      </c>
      <c r="D21" s="2274"/>
      <c r="E21" s="2274"/>
      <c r="F21" s="2191"/>
      <c r="G21" s="814">
        <f>G11+G17</f>
        <v>50</v>
      </c>
      <c r="H21" s="813">
        <f>G21*50%</f>
        <v>25</v>
      </c>
      <c r="I21" s="813">
        <f>G21*50%</f>
        <v>25</v>
      </c>
      <c r="J21" s="813">
        <v>0</v>
      </c>
      <c r="K21" s="1846" t="s">
        <v>1367</v>
      </c>
      <c r="L21" s="323"/>
      <c r="M21" s="323"/>
      <c r="N21" s="323"/>
      <c r="O21" s="323"/>
      <c r="P21" s="323"/>
      <c r="Q21" s="323"/>
      <c r="R21" s="323"/>
      <c r="S21" s="323"/>
      <c r="T21" s="323"/>
    </row>
    <row r="22" spans="1:20" x14ac:dyDescent="0.25">
      <c r="A22" s="2168"/>
      <c r="B22" s="129" t="s">
        <v>33</v>
      </c>
      <c r="C22" s="2189"/>
      <c r="D22" s="2274"/>
      <c r="E22" s="2274"/>
      <c r="F22" s="2191"/>
      <c r="G22" s="814">
        <f>G12+G18</f>
        <v>64</v>
      </c>
      <c r="H22" s="813">
        <f>G22*50%</f>
        <v>32</v>
      </c>
      <c r="I22" s="813">
        <f>G22*40%</f>
        <v>25.6</v>
      </c>
      <c r="J22" s="813">
        <f>G22*10%</f>
        <v>6.4</v>
      </c>
      <c r="K22" s="1847"/>
      <c r="L22" s="323"/>
      <c r="M22" s="323"/>
      <c r="N22" s="323"/>
      <c r="O22" s="323"/>
      <c r="P22" s="323"/>
      <c r="Q22" s="323"/>
      <c r="R22" s="323"/>
      <c r="S22" s="323"/>
      <c r="T22" s="323"/>
    </row>
    <row r="23" spans="1:20" x14ac:dyDescent="0.25">
      <c r="A23" s="2169"/>
      <c r="B23" s="129" t="s">
        <v>34</v>
      </c>
      <c r="C23" s="2189"/>
      <c r="D23" s="2274"/>
      <c r="E23" s="2274"/>
      <c r="F23" s="2191"/>
      <c r="G23" s="814">
        <f>G13+G19</f>
        <v>78</v>
      </c>
      <c r="H23" s="813">
        <f>G23*20%</f>
        <v>15.600000000000001</v>
      </c>
      <c r="I23" s="813">
        <f>G23*40%</f>
        <v>31.200000000000003</v>
      </c>
      <c r="J23" s="813">
        <f>G23*40%</f>
        <v>31.200000000000003</v>
      </c>
      <c r="K23" s="1848"/>
      <c r="L23" s="323"/>
      <c r="M23" s="323"/>
      <c r="N23" s="323"/>
      <c r="O23" s="323"/>
      <c r="P23" s="323"/>
      <c r="Q23" s="323"/>
      <c r="R23" s="323"/>
      <c r="S23" s="323"/>
      <c r="T23" s="323"/>
    </row>
    <row r="24" spans="1:20" ht="15.75" x14ac:dyDescent="0.25">
      <c r="A24" s="2170" t="s">
        <v>1368</v>
      </c>
      <c r="B24" s="2171"/>
      <c r="C24" s="2171"/>
      <c r="D24" s="2171"/>
      <c r="E24" s="2171"/>
      <c r="F24" s="2171"/>
      <c r="G24" s="2171"/>
      <c r="H24" s="2171"/>
      <c r="I24" s="2171"/>
      <c r="J24" s="2171"/>
      <c r="K24" s="2172"/>
      <c r="M24" s="323"/>
      <c r="N24" s="323"/>
      <c r="O24" s="323"/>
      <c r="P24" s="323"/>
      <c r="Q24" s="323"/>
    </row>
    <row r="25" spans="1:20" ht="30" x14ac:dyDescent="0.25">
      <c r="A25" s="2198"/>
      <c r="B25" s="2199"/>
      <c r="C25" s="2199"/>
      <c r="D25" s="2199"/>
      <c r="E25" s="2199"/>
      <c r="F25" s="2200"/>
      <c r="G25" s="2158" t="s">
        <v>38</v>
      </c>
      <c r="H25" s="2156" t="s">
        <v>715</v>
      </c>
      <c r="I25" s="2156" t="s">
        <v>714</v>
      </c>
      <c r="J25" s="2156" t="s">
        <v>713</v>
      </c>
      <c r="K25" s="2156" t="s">
        <v>272</v>
      </c>
      <c r="M25" s="1383" t="s">
        <v>1369</v>
      </c>
      <c r="N25" s="1196"/>
      <c r="Q25" s="323"/>
    </row>
    <row r="26" spans="1:20" x14ac:dyDescent="0.25">
      <c r="A26" s="2201"/>
      <c r="B26" s="2202"/>
      <c r="C26" s="2202"/>
      <c r="D26" s="2202"/>
      <c r="E26" s="2202"/>
      <c r="F26" s="2203"/>
      <c r="G26" s="2158"/>
      <c r="H26" s="2156"/>
      <c r="I26" s="2156"/>
      <c r="J26" s="2156"/>
      <c r="K26" s="2156"/>
      <c r="M26" s="1381" t="s">
        <v>1370</v>
      </c>
      <c r="N26" s="1382">
        <v>1.4</v>
      </c>
    </row>
    <row r="27" spans="1:20" x14ac:dyDescent="0.25">
      <c r="A27" s="2167" t="s">
        <v>1368</v>
      </c>
      <c r="B27" s="129" t="s">
        <v>32</v>
      </c>
      <c r="C27" s="2192" t="s">
        <v>1371</v>
      </c>
      <c r="D27" s="2193"/>
      <c r="E27" s="2193"/>
      <c r="F27" s="2194"/>
      <c r="G27" s="814">
        <f>(G11+G17)*$N$26</f>
        <v>70</v>
      </c>
      <c r="H27" s="813">
        <f>G27*50%</f>
        <v>35</v>
      </c>
      <c r="I27" s="813">
        <f>G27*50%</f>
        <v>35</v>
      </c>
      <c r="J27" s="813">
        <v>0</v>
      </c>
      <c r="K27" s="1846" t="s">
        <v>1367</v>
      </c>
      <c r="M27" s="323"/>
      <c r="N27" s="323"/>
    </row>
    <row r="28" spans="1:20" x14ac:dyDescent="0.25">
      <c r="A28" s="2168"/>
      <c r="B28" s="129" t="s">
        <v>33</v>
      </c>
      <c r="C28" s="2195"/>
      <c r="D28" s="2275"/>
      <c r="E28" s="2275"/>
      <c r="F28" s="2197"/>
      <c r="G28" s="814">
        <f>(G12+G18)*$N$26</f>
        <v>89.6</v>
      </c>
      <c r="H28" s="813">
        <f>G28*50%</f>
        <v>44.8</v>
      </c>
      <c r="I28" s="813">
        <f>G28*40%</f>
        <v>35.839999999999996</v>
      </c>
      <c r="J28" s="813">
        <f>G28*10%</f>
        <v>8.9599999999999991</v>
      </c>
      <c r="K28" s="1847"/>
    </row>
    <row r="29" spans="1:20" x14ac:dyDescent="0.25">
      <c r="A29" s="2169"/>
      <c r="B29" s="129" t="s">
        <v>34</v>
      </c>
      <c r="C29" s="2195"/>
      <c r="D29" s="2275"/>
      <c r="E29" s="2275"/>
      <c r="F29" s="2197"/>
      <c r="G29" s="814">
        <f>(G13+G19)*$N$26</f>
        <v>109.19999999999999</v>
      </c>
      <c r="H29" s="813">
        <f>G29*20%</f>
        <v>21.84</v>
      </c>
      <c r="I29" s="813">
        <f>G29*40%</f>
        <v>43.68</v>
      </c>
      <c r="J29" s="813">
        <f>G29*40%</f>
        <v>43.68</v>
      </c>
      <c r="K29" s="1848"/>
    </row>
  </sheetData>
  <mergeCells count="35">
    <mergeCell ref="A27:A29"/>
    <mergeCell ref="C27:F29"/>
    <mergeCell ref="K27:K29"/>
    <mergeCell ref="A25:F26"/>
    <mergeCell ref="G25:G26"/>
    <mergeCell ref="H25:H26"/>
    <mergeCell ref="I25:I26"/>
    <mergeCell ref="J25:J26"/>
    <mergeCell ref="K25:K26"/>
    <mergeCell ref="A24:K24"/>
    <mergeCell ref="A11:A13"/>
    <mergeCell ref="A14:K14"/>
    <mergeCell ref="C15:C16"/>
    <mergeCell ref="G15:G16"/>
    <mergeCell ref="H15:H16"/>
    <mergeCell ref="I15:I16"/>
    <mergeCell ref="J15:J16"/>
    <mergeCell ref="K15:K16"/>
    <mergeCell ref="A17:A19"/>
    <mergeCell ref="A20:K20"/>
    <mergeCell ref="A21:A23"/>
    <mergeCell ref="C21:F23"/>
    <mergeCell ref="K21:K23"/>
    <mergeCell ref="K9:K10"/>
    <mergeCell ref="A1:K1"/>
    <mergeCell ref="A2:A4"/>
    <mergeCell ref="K2:K4"/>
    <mergeCell ref="A5:A7"/>
    <mergeCell ref="K5:K7"/>
    <mergeCell ref="A8:K8"/>
    <mergeCell ref="C9:C10"/>
    <mergeCell ref="G9:G10"/>
    <mergeCell ref="H9:H10"/>
    <mergeCell ref="I9:I10"/>
    <mergeCell ref="J9:J10"/>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Лист86"/>
  <dimension ref="A1:U35"/>
  <sheetViews>
    <sheetView zoomScale="55" zoomScaleNormal="55" workbookViewId="0">
      <selection activeCell="E22" sqref="E22"/>
    </sheetView>
  </sheetViews>
  <sheetFormatPr defaultColWidth="9.140625" defaultRowHeight="15" x14ac:dyDescent="0.25"/>
  <cols>
    <col min="1" max="1" width="55.5703125" style="1271" customWidth="1"/>
    <col min="2" max="2" width="27.7109375" style="1271" customWidth="1"/>
    <col min="3" max="3" width="21.7109375" style="1271" customWidth="1"/>
    <col min="4" max="4" width="29.7109375" style="1271" customWidth="1"/>
    <col min="5" max="5" width="25.42578125" style="1271" customWidth="1"/>
    <col min="6" max="6" width="37.42578125" style="1271" customWidth="1"/>
    <col min="7" max="7" width="12.140625" style="1271" customWidth="1"/>
    <col min="8" max="8" width="11.28515625" style="1271" customWidth="1"/>
    <col min="9" max="9" width="12.28515625" style="1271" customWidth="1"/>
    <col min="10" max="10" width="12" style="1271" customWidth="1"/>
    <col min="11" max="11" width="24.28515625" style="1271" customWidth="1"/>
    <col min="12" max="12" width="9.140625" style="1271"/>
    <col min="13" max="13" width="30" style="1271" customWidth="1"/>
    <col min="14" max="16384" width="9.140625" style="1271"/>
  </cols>
  <sheetData>
    <row r="1" spans="1:19" ht="31.15" customHeight="1" x14ac:dyDescent="0.25">
      <c r="A1" s="2164" t="s">
        <v>1382</v>
      </c>
      <c r="B1" s="2165"/>
      <c r="C1" s="2165"/>
      <c r="D1" s="2165"/>
      <c r="E1" s="2165"/>
      <c r="F1" s="2165"/>
      <c r="G1" s="2165"/>
      <c r="H1" s="2165"/>
      <c r="I1" s="2165"/>
      <c r="J1" s="2165"/>
      <c r="K1" s="2166"/>
    </row>
    <row r="2" spans="1:19" x14ac:dyDescent="0.25">
      <c r="A2" s="2160" t="s">
        <v>1353</v>
      </c>
      <c r="B2" s="129" t="s">
        <v>32</v>
      </c>
      <c r="C2" s="658">
        <v>4</v>
      </c>
      <c r="D2" s="658">
        <v>0</v>
      </c>
      <c r="E2" s="658">
        <v>0</v>
      </c>
      <c r="F2" s="658">
        <v>0</v>
      </c>
      <c r="G2" s="814">
        <f t="shared" ref="G2:G7" si="0" xml:space="preserve"> SUM(C2:F2)</f>
        <v>4</v>
      </c>
      <c r="H2" s="813">
        <f>G2*80%</f>
        <v>3.2</v>
      </c>
      <c r="I2" s="813">
        <f>G2*20%</f>
        <v>0.8</v>
      </c>
      <c r="J2" s="813">
        <f>G2*0</f>
        <v>0</v>
      </c>
      <c r="K2" s="2159"/>
      <c r="M2" s="323"/>
      <c r="N2" s="323"/>
      <c r="O2" s="323"/>
      <c r="P2" s="323"/>
    </row>
    <row r="3" spans="1:19" x14ac:dyDescent="0.25">
      <c r="A3" s="2160"/>
      <c r="B3" s="129" t="s">
        <v>33</v>
      </c>
      <c r="C3" s="813">
        <v>8</v>
      </c>
      <c r="D3" s="658">
        <v>0</v>
      </c>
      <c r="E3" s="658">
        <v>0</v>
      </c>
      <c r="F3" s="658">
        <v>0</v>
      </c>
      <c r="G3" s="814">
        <f t="shared" si="0"/>
        <v>8</v>
      </c>
      <c r="H3" s="813">
        <f>G3*60%</f>
        <v>4.8</v>
      </c>
      <c r="I3" s="813">
        <f>G3*30%</f>
        <v>2.4</v>
      </c>
      <c r="J3" s="813">
        <f>G3*10%</f>
        <v>0.8</v>
      </c>
      <c r="K3" s="2159"/>
      <c r="M3" s="323"/>
      <c r="N3" s="323"/>
      <c r="O3" s="323"/>
      <c r="P3" s="323"/>
    </row>
    <row r="4" spans="1:19" x14ac:dyDescent="0.25">
      <c r="A4" s="2160"/>
      <c r="B4" s="129" t="s">
        <v>34</v>
      </c>
      <c r="C4" s="813">
        <v>12</v>
      </c>
      <c r="D4" s="658">
        <v>0</v>
      </c>
      <c r="E4" s="658">
        <v>0</v>
      </c>
      <c r="F4" s="658">
        <v>0</v>
      </c>
      <c r="G4" s="814">
        <f t="shared" si="0"/>
        <v>12</v>
      </c>
      <c r="H4" s="813">
        <f>G4*50%</f>
        <v>6</v>
      </c>
      <c r="I4" s="813">
        <f>G4*30%</f>
        <v>3.5999999999999996</v>
      </c>
      <c r="J4" s="813">
        <f>G4*20%</f>
        <v>2.4000000000000004</v>
      </c>
      <c r="K4" s="2159"/>
      <c r="M4" s="323"/>
      <c r="N4" s="323"/>
      <c r="O4" s="323"/>
      <c r="P4" s="323"/>
    </row>
    <row r="5" spans="1:19" x14ac:dyDescent="0.25">
      <c r="A5" s="2167" t="s">
        <v>1354</v>
      </c>
      <c r="B5" s="129" t="s">
        <v>32</v>
      </c>
      <c r="C5" s="658">
        <v>4</v>
      </c>
      <c r="D5" s="658">
        <v>0</v>
      </c>
      <c r="E5" s="658">
        <v>0</v>
      </c>
      <c r="F5" s="658">
        <v>0</v>
      </c>
      <c r="G5" s="814">
        <f t="shared" si="0"/>
        <v>4</v>
      </c>
      <c r="H5" s="813">
        <f>G5*80%</f>
        <v>3.2</v>
      </c>
      <c r="I5" s="813">
        <f>G5*20%</f>
        <v>0.8</v>
      </c>
      <c r="J5" s="813">
        <v>0</v>
      </c>
      <c r="K5" s="2159"/>
      <c r="M5" s="323"/>
      <c r="N5" s="323"/>
      <c r="O5" s="323"/>
      <c r="P5" s="323"/>
    </row>
    <row r="6" spans="1:19" x14ac:dyDescent="0.25">
      <c r="A6" s="2168"/>
      <c r="B6" s="129" t="s">
        <v>33</v>
      </c>
      <c r="C6" s="813">
        <v>8</v>
      </c>
      <c r="D6" s="658">
        <v>0</v>
      </c>
      <c r="E6" s="658">
        <v>0</v>
      </c>
      <c r="F6" s="658">
        <v>0</v>
      </c>
      <c r="G6" s="814">
        <f t="shared" si="0"/>
        <v>8</v>
      </c>
      <c r="H6" s="813">
        <f>G6*60%</f>
        <v>4.8</v>
      </c>
      <c r="I6" s="813">
        <f>G6*30%</f>
        <v>2.4</v>
      </c>
      <c r="J6" s="813">
        <f>G6*10%</f>
        <v>0.8</v>
      </c>
      <c r="K6" s="2159"/>
      <c r="L6" s="323"/>
      <c r="M6" s="323"/>
      <c r="N6" s="323"/>
      <c r="O6" s="323"/>
      <c r="P6" s="323"/>
      <c r="Q6" s="323"/>
      <c r="R6" s="323"/>
      <c r="S6" s="323"/>
    </row>
    <row r="7" spans="1:19" x14ac:dyDescent="0.25">
      <c r="A7" s="2169"/>
      <c r="B7" s="129" t="s">
        <v>34</v>
      </c>
      <c r="C7" s="813">
        <v>12</v>
      </c>
      <c r="D7" s="658">
        <v>0</v>
      </c>
      <c r="E7" s="658">
        <v>0</v>
      </c>
      <c r="F7" s="658">
        <v>0</v>
      </c>
      <c r="G7" s="814">
        <f t="shared" si="0"/>
        <v>12</v>
      </c>
      <c r="H7" s="813">
        <f>G7*50%</f>
        <v>6</v>
      </c>
      <c r="I7" s="813">
        <f>G7*30%</f>
        <v>3.5999999999999996</v>
      </c>
      <c r="J7" s="813">
        <f>G7*20%</f>
        <v>2.4000000000000004</v>
      </c>
      <c r="K7" s="2159"/>
      <c r="L7" s="323"/>
      <c r="M7" s="323"/>
      <c r="N7" s="323"/>
      <c r="O7" s="323"/>
      <c r="P7" s="323"/>
      <c r="Q7" s="323"/>
      <c r="R7" s="323"/>
      <c r="S7" s="323"/>
    </row>
    <row r="8" spans="1:19" ht="26.45" customHeight="1" x14ac:dyDescent="0.25">
      <c r="A8" s="2170" t="s">
        <v>1381</v>
      </c>
      <c r="B8" s="2171"/>
      <c r="C8" s="2171"/>
      <c r="D8" s="2171"/>
      <c r="E8" s="2171"/>
      <c r="F8" s="2171"/>
      <c r="G8" s="2171"/>
      <c r="H8" s="2171"/>
      <c r="I8" s="2171"/>
      <c r="J8" s="2171"/>
      <c r="K8" s="2172"/>
      <c r="L8" s="323"/>
      <c r="M8" s="323"/>
      <c r="N8" s="323"/>
      <c r="O8" s="323"/>
      <c r="P8" s="323"/>
      <c r="Q8" s="323"/>
      <c r="R8" s="323"/>
      <c r="S8" s="323"/>
    </row>
    <row r="9" spans="1:19" ht="96" customHeight="1" x14ac:dyDescent="0.25">
      <c r="A9" s="879" t="s">
        <v>1356</v>
      </c>
      <c r="B9" s="1376" t="s">
        <v>1228</v>
      </c>
      <c r="C9" s="2173" t="s">
        <v>1357</v>
      </c>
      <c r="D9" s="1377" t="s">
        <v>876</v>
      </c>
      <c r="E9" s="1377" t="s">
        <v>1282</v>
      </c>
      <c r="F9" s="1378" t="s">
        <v>1359</v>
      </c>
      <c r="G9" s="2158" t="s">
        <v>38</v>
      </c>
      <c r="H9" s="2156" t="s">
        <v>715</v>
      </c>
      <c r="I9" s="2156" t="s">
        <v>714</v>
      </c>
      <c r="J9" s="2156" t="s">
        <v>713</v>
      </c>
      <c r="K9" s="2156" t="s">
        <v>272</v>
      </c>
      <c r="L9" s="323"/>
      <c r="M9" s="323"/>
      <c r="N9" s="323"/>
      <c r="O9" s="323"/>
      <c r="P9" s="323"/>
      <c r="Q9" s="323"/>
      <c r="R9" s="323"/>
      <c r="S9" s="323"/>
    </row>
    <row r="10" spans="1:19" ht="26.45" customHeight="1" x14ac:dyDescent="0.25">
      <c r="A10" s="1379" t="s">
        <v>36</v>
      </c>
      <c r="B10" s="206">
        <v>1</v>
      </c>
      <c r="C10" s="2173"/>
      <c r="D10" s="184">
        <f>ТрЗ_ОКиА!E89</f>
        <v>1</v>
      </c>
      <c r="E10" s="184">
        <f>ТрЗ_ОКиА!E90</f>
        <v>10</v>
      </c>
      <c r="F10" s="184">
        <f>IF(ТрЗ_ОКиА!E91="Да",1,0)</f>
        <v>1</v>
      </c>
      <c r="G10" s="2158"/>
      <c r="H10" s="2156"/>
      <c r="I10" s="2156"/>
      <c r="J10" s="2156"/>
      <c r="K10" s="2156"/>
      <c r="L10" s="323"/>
      <c r="M10" s="323"/>
      <c r="N10" s="323"/>
      <c r="O10" s="323"/>
      <c r="P10" s="323"/>
      <c r="Q10" s="323"/>
      <c r="R10" s="323"/>
      <c r="S10" s="323"/>
    </row>
    <row r="11" spans="1:19" x14ac:dyDescent="0.25">
      <c r="A11" s="2174" t="s">
        <v>1380</v>
      </c>
      <c r="B11" s="129" t="s">
        <v>32</v>
      </c>
      <c r="C11" s="814">
        <v>2</v>
      </c>
      <c r="D11" s="629">
        <f>$D$10*2</f>
        <v>2</v>
      </c>
      <c r="E11" s="629">
        <f>C11*$E$10</f>
        <v>20</v>
      </c>
      <c r="F11" s="629">
        <f>IF($F$10=0,SUM(D11:E11)*0.5,0)</f>
        <v>0</v>
      </c>
      <c r="G11" s="814">
        <f xml:space="preserve"> SUM(D11:F11)*$N$12</f>
        <v>26.4</v>
      </c>
      <c r="H11" s="813">
        <f>G11*50%</f>
        <v>13.2</v>
      </c>
      <c r="I11" s="813">
        <f>G11*50%</f>
        <v>13.2</v>
      </c>
      <c r="J11" s="813">
        <v>0</v>
      </c>
      <c r="K11" s="129"/>
      <c r="L11" s="323"/>
      <c r="M11" s="1380" t="s">
        <v>1361</v>
      </c>
      <c r="N11" s="1196"/>
      <c r="O11" s="323"/>
      <c r="P11" s="323"/>
      <c r="Q11" s="323"/>
      <c r="R11" s="323"/>
      <c r="S11" s="323"/>
    </row>
    <row r="12" spans="1:19" x14ac:dyDescent="0.25">
      <c r="A12" s="2175"/>
      <c r="B12" s="129" t="s">
        <v>33</v>
      </c>
      <c r="C12" s="814">
        <v>2.5</v>
      </c>
      <c r="D12" s="629">
        <f>$D$10*2</f>
        <v>2</v>
      </c>
      <c r="E12" s="629">
        <f>C12*$E$10</f>
        <v>25</v>
      </c>
      <c r="F12" s="629">
        <f>IF($F$10=0,SUM(D12:E12)*0.5,0)</f>
        <v>0</v>
      </c>
      <c r="G12" s="814">
        <f xml:space="preserve"> SUM(D12:F12)*$N$12</f>
        <v>32.4</v>
      </c>
      <c r="H12" s="813">
        <f>G12*50%</f>
        <v>16.2</v>
      </c>
      <c r="I12" s="813">
        <f>G12*40%</f>
        <v>12.96</v>
      </c>
      <c r="J12" s="813">
        <f>G12*10%</f>
        <v>3.24</v>
      </c>
      <c r="K12" s="129"/>
      <c r="L12" s="323"/>
      <c r="M12" s="1381" t="s">
        <v>1373</v>
      </c>
      <c r="N12" s="1382">
        <v>1.2</v>
      </c>
      <c r="O12" s="323"/>
      <c r="P12" s="323"/>
      <c r="Q12" s="323"/>
      <c r="R12" s="323"/>
      <c r="S12" s="323"/>
    </row>
    <row r="13" spans="1:19" x14ac:dyDescent="0.25">
      <c r="A13" s="2176"/>
      <c r="B13" s="129" t="s">
        <v>34</v>
      </c>
      <c r="C13" s="814">
        <v>3</v>
      </c>
      <c r="D13" s="629">
        <f>$D$10*2</f>
        <v>2</v>
      </c>
      <c r="E13" s="629">
        <f>C13*$E$10</f>
        <v>30</v>
      </c>
      <c r="F13" s="629">
        <f>IF($F$10=0,SUM(D13:E13)*0.5,0)</f>
        <v>0</v>
      </c>
      <c r="G13" s="814">
        <f xml:space="preserve"> SUM(D13:F13)*$N$12</f>
        <v>38.4</v>
      </c>
      <c r="H13" s="813">
        <f>G13*20%</f>
        <v>7.68</v>
      </c>
      <c r="I13" s="813">
        <f>G13*40%</f>
        <v>15.36</v>
      </c>
      <c r="J13" s="813">
        <f>G13*40%</f>
        <v>15.36</v>
      </c>
      <c r="K13" s="129"/>
      <c r="L13" s="323"/>
      <c r="M13" s="323"/>
      <c r="N13" s="323"/>
      <c r="O13" s="323"/>
      <c r="P13" s="323"/>
      <c r="Q13" s="323"/>
      <c r="R13" s="323"/>
      <c r="S13" s="323"/>
    </row>
    <row r="14" spans="1:19" ht="33" customHeight="1" x14ac:dyDescent="0.25">
      <c r="A14" s="2170" t="s">
        <v>1362</v>
      </c>
      <c r="B14" s="2171"/>
      <c r="C14" s="2171"/>
      <c r="D14" s="2171"/>
      <c r="E14" s="2171"/>
      <c r="F14" s="2171"/>
      <c r="G14" s="2171"/>
      <c r="H14" s="2171"/>
      <c r="I14" s="2171"/>
      <c r="J14" s="2171"/>
      <c r="K14" s="2172"/>
      <c r="L14" s="323"/>
      <c r="M14" s="323"/>
      <c r="N14" s="323"/>
      <c r="O14" s="323"/>
      <c r="P14" s="323"/>
      <c r="Q14" s="323"/>
      <c r="R14" s="323"/>
      <c r="S14" s="323"/>
    </row>
    <row r="15" spans="1:19" ht="15.75" x14ac:dyDescent="0.25">
      <c r="A15" s="879"/>
      <c r="B15" s="1376" t="s">
        <v>1228</v>
      </c>
      <c r="C15" s="2173" t="s">
        <v>1363</v>
      </c>
      <c r="D15" s="1377" t="s">
        <v>876</v>
      </c>
      <c r="E15" s="1377"/>
      <c r="F15" s="1377"/>
      <c r="G15" s="2158" t="s">
        <v>38</v>
      </c>
      <c r="H15" s="2156" t="s">
        <v>715</v>
      </c>
      <c r="I15" s="2156" t="s">
        <v>714</v>
      </c>
      <c r="J15" s="2156" t="s">
        <v>713</v>
      </c>
      <c r="K15" s="2156" t="s">
        <v>272</v>
      </c>
      <c r="L15" s="323"/>
      <c r="M15" s="323"/>
      <c r="N15" s="323"/>
      <c r="O15" s="323"/>
      <c r="P15" s="323"/>
      <c r="Q15" s="323"/>
      <c r="R15" s="323"/>
      <c r="S15" s="323"/>
    </row>
    <row r="16" spans="1:19" ht="15.75" x14ac:dyDescent="0.25">
      <c r="A16" s="1379" t="s">
        <v>36</v>
      </c>
      <c r="B16" s="206">
        <v>1</v>
      </c>
      <c r="C16" s="2173"/>
      <c r="D16" s="184">
        <f>ТрЗ_ОКиА!E89</f>
        <v>1</v>
      </c>
      <c r="E16" s="184">
        <v>0</v>
      </c>
      <c r="F16" s="184">
        <v>0</v>
      </c>
      <c r="G16" s="2158"/>
      <c r="H16" s="2156"/>
      <c r="I16" s="2156"/>
      <c r="J16" s="2156"/>
      <c r="K16" s="2156"/>
      <c r="L16" s="323"/>
      <c r="M16" s="323"/>
      <c r="N16" s="323"/>
      <c r="O16" s="323"/>
      <c r="P16" s="323"/>
      <c r="Q16" s="323"/>
      <c r="R16" s="323"/>
      <c r="S16" s="323"/>
    </row>
    <row r="17" spans="1:21" ht="14.45" customHeight="1" x14ac:dyDescent="0.25">
      <c r="A17" s="2167" t="s">
        <v>1364</v>
      </c>
      <c r="B17" s="129" t="s">
        <v>32</v>
      </c>
      <c r="C17" s="814">
        <v>8</v>
      </c>
      <c r="D17" s="629">
        <f>$D$16*C17</f>
        <v>8</v>
      </c>
      <c r="E17" s="658">
        <v>0</v>
      </c>
      <c r="F17" s="658">
        <v>0</v>
      </c>
      <c r="G17" s="814">
        <f xml:space="preserve"> SUM(D17:F17)</f>
        <v>8</v>
      </c>
      <c r="H17" s="813">
        <f>G17*20%</f>
        <v>1.6</v>
      </c>
      <c r="I17" s="813">
        <f>G17*40%</f>
        <v>3.2</v>
      </c>
      <c r="J17" s="813">
        <f>G17*40%</f>
        <v>3.2</v>
      </c>
      <c r="K17" s="129"/>
      <c r="L17" s="323"/>
      <c r="M17" s="323"/>
      <c r="N17" s="323"/>
      <c r="O17" s="323"/>
      <c r="P17" s="323"/>
      <c r="Q17" s="323"/>
      <c r="R17" s="323"/>
      <c r="S17" s="323"/>
    </row>
    <row r="18" spans="1:21" ht="14.45" customHeight="1" x14ac:dyDescent="0.25">
      <c r="A18" s="2168"/>
      <c r="B18" s="129" t="s">
        <v>33</v>
      </c>
      <c r="C18" s="814">
        <v>12</v>
      </c>
      <c r="D18" s="629">
        <f>$D$16*C18</f>
        <v>12</v>
      </c>
      <c r="E18" s="658">
        <v>0</v>
      </c>
      <c r="F18" s="658">
        <v>0</v>
      </c>
      <c r="G18" s="814">
        <f xml:space="preserve"> SUM(D18:F18)</f>
        <v>12</v>
      </c>
      <c r="H18" s="813">
        <f>G18*20%</f>
        <v>2.4000000000000004</v>
      </c>
      <c r="I18" s="813">
        <f>G18*40%</f>
        <v>4.8000000000000007</v>
      </c>
      <c r="J18" s="813">
        <f>G18*40%</f>
        <v>4.8000000000000007</v>
      </c>
      <c r="K18" s="129"/>
      <c r="L18" s="323"/>
      <c r="M18" s="323"/>
      <c r="N18" s="323"/>
      <c r="O18" s="323"/>
      <c r="P18" s="323"/>
      <c r="Q18" s="323"/>
      <c r="R18" s="323"/>
      <c r="S18" s="323"/>
    </row>
    <row r="19" spans="1:21" ht="14.45" customHeight="1" x14ac:dyDescent="0.25">
      <c r="A19" s="2169"/>
      <c r="B19" s="129" t="s">
        <v>34</v>
      </c>
      <c r="C19" s="814">
        <v>16</v>
      </c>
      <c r="D19" s="629">
        <f>$D$16*C19</f>
        <v>16</v>
      </c>
      <c r="E19" s="658">
        <v>0</v>
      </c>
      <c r="F19" s="658">
        <v>0</v>
      </c>
      <c r="G19" s="814">
        <f xml:space="preserve"> SUM(D19:F19)</f>
        <v>16</v>
      </c>
      <c r="H19" s="813">
        <f>G19*20%</f>
        <v>3.2</v>
      </c>
      <c r="I19" s="813">
        <f>G19*40%</f>
        <v>6.4</v>
      </c>
      <c r="J19" s="813">
        <f>G19*40%</f>
        <v>6.4</v>
      </c>
      <c r="K19" s="129"/>
      <c r="L19" s="323"/>
      <c r="M19" s="323"/>
      <c r="N19" s="323"/>
      <c r="O19" s="323"/>
      <c r="P19" s="323"/>
      <c r="Q19" s="323"/>
      <c r="R19" s="323"/>
      <c r="S19" s="323"/>
    </row>
    <row r="20" spans="1:21" ht="28.15" customHeight="1" x14ac:dyDescent="0.25">
      <c r="A20" s="2170" t="s">
        <v>1379</v>
      </c>
      <c r="B20" s="2171"/>
      <c r="C20" s="2171"/>
      <c r="D20" s="2171"/>
      <c r="E20" s="2171"/>
      <c r="F20" s="2171"/>
      <c r="G20" s="2171"/>
      <c r="H20" s="2171"/>
      <c r="I20" s="2171"/>
      <c r="J20" s="2171"/>
      <c r="K20" s="2172"/>
      <c r="L20" s="323"/>
      <c r="M20" s="323"/>
      <c r="N20" s="323"/>
      <c r="O20" s="323"/>
      <c r="P20" s="323"/>
      <c r="Q20" s="323"/>
      <c r="R20" s="323"/>
      <c r="S20" s="323"/>
    </row>
    <row r="21" spans="1:21" ht="33" customHeight="1" x14ac:dyDescent="0.25">
      <c r="A21" s="879"/>
      <c r="B21" s="1376" t="s">
        <v>1228</v>
      </c>
      <c r="C21" s="2173" t="s">
        <v>1378</v>
      </c>
      <c r="D21" s="1377" t="s">
        <v>876</v>
      </c>
      <c r="E21" s="1377" t="s">
        <v>1377</v>
      </c>
      <c r="F21" s="1377"/>
      <c r="G21" s="2158" t="s">
        <v>38</v>
      </c>
      <c r="H21" s="2156" t="s">
        <v>715</v>
      </c>
      <c r="I21" s="2156" t="s">
        <v>714</v>
      </c>
      <c r="J21" s="2156" t="s">
        <v>713</v>
      </c>
      <c r="K21" s="2156" t="s">
        <v>272</v>
      </c>
      <c r="L21" s="323"/>
      <c r="M21" s="323"/>
      <c r="N21" s="323"/>
      <c r="O21" s="323"/>
      <c r="P21" s="323"/>
      <c r="Q21" s="323"/>
      <c r="R21" s="323"/>
      <c r="S21" s="323"/>
    </row>
    <row r="22" spans="1:21" ht="19.899999999999999" customHeight="1" x14ac:dyDescent="0.25">
      <c r="A22" s="1379" t="s">
        <v>36</v>
      </c>
      <c r="B22" s="206">
        <v>1</v>
      </c>
      <c r="C22" s="2173"/>
      <c r="D22" s="184">
        <f>ТрЗ_ОКиА!E89</f>
        <v>1</v>
      </c>
      <c r="E22" s="184">
        <f>ТрЗ_ОКиА!E99</f>
        <v>1</v>
      </c>
      <c r="F22" s="184">
        <v>0</v>
      </c>
      <c r="G22" s="2158"/>
      <c r="H22" s="2156"/>
      <c r="I22" s="2156"/>
      <c r="J22" s="2156"/>
      <c r="K22" s="2156"/>
      <c r="L22" s="323"/>
      <c r="M22" s="323"/>
      <c r="N22" s="323"/>
      <c r="O22" s="323"/>
      <c r="P22" s="323"/>
      <c r="Q22" s="323"/>
      <c r="R22" s="323"/>
      <c r="S22" s="323"/>
    </row>
    <row r="23" spans="1:21" ht="26.45" customHeight="1" x14ac:dyDescent="0.25">
      <c r="A23" s="2183" t="s">
        <v>1376</v>
      </c>
      <c r="B23" s="129" t="s">
        <v>32</v>
      </c>
      <c r="C23" s="814">
        <v>2</v>
      </c>
      <c r="D23" s="629">
        <f>$D$22*2</f>
        <v>2</v>
      </c>
      <c r="E23" s="629">
        <f>C23*$E$22</f>
        <v>2</v>
      </c>
      <c r="F23" s="658">
        <v>0</v>
      </c>
      <c r="G23" s="814">
        <f xml:space="preserve"> SUM(D23:F23)*$N$12</f>
        <v>4.8</v>
      </c>
      <c r="H23" s="813">
        <f>G23*20%</f>
        <v>0.96</v>
      </c>
      <c r="I23" s="813">
        <f>G23*40%</f>
        <v>1.92</v>
      </c>
      <c r="J23" s="813">
        <f>G23*40%</f>
        <v>1.92</v>
      </c>
      <c r="K23" s="2186" t="s">
        <v>1375</v>
      </c>
      <c r="L23" s="323"/>
      <c r="M23" s="323"/>
      <c r="N23" s="323"/>
      <c r="O23" s="323"/>
      <c r="P23" s="323"/>
      <c r="Q23" s="323"/>
      <c r="R23" s="323"/>
      <c r="S23" s="323"/>
    </row>
    <row r="24" spans="1:21" ht="21.6" customHeight="1" x14ac:dyDescent="0.25">
      <c r="A24" s="2184"/>
      <c r="B24" s="129" t="s">
        <v>33</v>
      </c>
      <c r="C24" s="814">
        <v>3</v>
      </c>
      <c r="D24" s="629">
        <f>$D$22*2</f>
        <v>2</v>
      </c>
      <c r="E24" s="629">
        <f>C24*$E$22</f>
        <v>3</v>
      </c>
      <c r="F24" s="658">
        <v>0</v>
      </c>
      <c r="G24" s="814">
        <f xml:space="preserve"> SUM(D24:F24)*$N$12</f>
        <v>6</v>
      </c>
      <c r="H24" s="813">
        <f>G24*20%</f>
        <v>1.2000000000000002</v>
      </c>
      <c r="I24" s="813">
        <f>G24*40%</f>
        <v>2.4000000000000004</v>
      </c>
      <c r="J24" s="813">
        <f>G24*40%</f>
        <v>2.4000000000000004</v>
      </c>
      <c r="K24" s="2187"/>
      <c r="L24" s="323"/>
      <c r="M24" s="323"/>
      <c r="N24" s="323"/>
      <c r="O24" s="323"/>
      <c r="P24" s="323"/>
      <c r="Q24" s="323"/>
      <c r="R24" s="323"/>
      <c r="S24" s="323"/>
    </row>
    <row r="25" spans="1:21" ht="26.45" customHeight="1" x14ac:dyDescent="0.25">
      <c r="A25" s="2185"/>
      <c r="B25" s="129" t="s">
        <v>34</v>
      </c>
      <c r="C25" s="814">
        <v>4</v>
      </c>
      <c r="D25" s="629">
        <f>$D$22*2</f>
        <v>2</v>
      </c>
      <c r="E25" s="629">
        <f>C25*$E$22</f>
        <v>4</v>
      </c>
      <c r="F25" s="658">
        <v>0</v>
      </c>
      <c r="G25" s="814">
        <f xml:space="preserve"> SUM(D25:F25)*$N$12</f>
        <v>7.1999999999999993</v>
      </c>
      <c r="H25" s="813">
        <f>G25*20%</f>
        <v>1.44</v>
      </c>
      <c r="I25" s="813">
        <f>G25*40%</f>
        <v>2.88</v>
      </c>
      <c r="J25" s="813">
        <f>G25*40%</f>
        <v>2.88</v>
      </c>
      <c r="K25" s="2188"/>
      <c r="L25" s="323"/>
      <c r="M25" s="323"/>
      <c r="N25" s="323"/>
      <c r="O25" s="323"/>
      <c r="P25" s="323"/>
      <c r="Q25" s="323"/>
      <c r="R25" s="323"/>
      <c r="S25" s="323"/>
      <c r="T25" s="323"/>
    </row>
    <row r="26" spans="1:21" ht="26.45" customHeight="1" x14ac:dyDescent="0.25">
      <c r="A26" s="2170" t="s">
        <v>1365</v>
      </c>
      <c r="B26" s="2171"/>
      <c r="C26" s="2171"/>
      <c r="D26" s="2171"/>
      <c r="E26" s="2171"/>
      <c r="F26" s="2171"/>
      <c r="G26" s="2171"/>
      <c r="H26" s="2171"/>
      <c r="I26" s="2171"/>
      <c r="J26" s="2171"/>
      <c r="K26" s="2172"/>
      <c r="L26" s="323"/>
      <c r="M26" s="323"/>
      <c r="N26" s="323"/>
      <c r="O26" s="323"/>
      <c r="P26" s="323"/>
      <c r="Q26" s="323"/>
      <c r="R26" s="323"/>
      <c r="S26" s="323"/>
      <c r="T26" s="323"/>
    </row>
    <row r="27" spans="1:21" x14ac:dyDescent="0.25">
      <c r="A27" s="2167" t="s">
        <v>1374</v>
      </c>
      <c r="B27" s="129" t="s">
        <v>32</v>
      </c>
      <c r="C27" s="2189" t="s">
        <v>1366</v>
      </c>
      <c r="D27" s="2274"/>
      <c r="E27" s="2274"/>
      <c r="F27" s="2191"/>
      <c r="G27" s="814">
        <f>G11+G23+G17</f>
        <v>39.200000000000003</v>
      </c>
      <c r="H27" s="813">
        <f>G27*50%</f>
        <v>19.600000000000001</v>
      </c>
      <c r="I27" s="813">
        <f>G27*50%</f>
        <v>19.600000000000001</v>
      </c>
      <c r="J27" s="813">
        <v>0</v>
      </c>
      <c r="K27" s="1846" t="s">
        <v>1367</v>
      </c>
      <c r="L27" s="323"/>
      <c r="M27" s="323"/>
      <c r="N27" s="323"/>
      <c r="O27" s="323"/>
      <c r="P27" s="323"/>
      <c r="Q27" s="323"/>
      <c r="R27" s="323"/>
      <c r="S27" s="323"/>
      <c r="T27" s="323"/>
    </row>
    <row r="28" spans="1:21" x14ac:dyDescent="0.25">
      <c r="A28" s="2168"/>
      <c r="B28" s="129" t="s">
        <v>33</v>
      </c>
      <c r="C28" s="2189"/>
      <c r="D28" s="2274"/>
      <c r="E28" s="2274"/>
      <c r="F28" s="2191"/>
      <c r="G28" s="814">
        <f>G12+G24+G18</f>
        <v>50.4</v>
      </c>
      <c r="H28" s="813">
        <f>G28*50%</f>
        <v>25.2</v>
      </c>
      <c r="I28" s="813">
        <f>G28*40%</f>
        <v>20.16</v>
      </c>
      <c r="J28" s="813">
        <f>G28*10%</f>
        <v>5.04</v>
      </c>
      <c r="K28" s="1847"/>
      <c r="L28" s="323"/>
      <c r="M28" s="323"/>
      <c r="N28" s="323"/>
      <c r="O28" s="323"/>
      <c r="P28" s="323"/>
      <c r="Q28" s="323"/>
      <c r="R28" s="323"/>
      <c r="S28" s="323"/>
      <c r="T28" s="323"/>
      <c r="U28" s="323"/>
    </row>
    <row r="29" spans="1:21" x14ac:dyDescent="0.25">
      <c r="A29" s="2169"/>
      <c r="B29" s="129" t="s">
        <v>34</v>
      </c>
      <c r="C29" s="2189"/>
      <c r="D29" s="2274"/>
      <c r="E29" s="2274"/>
      <c r="F29" s="2191"/>
      <c r="G29" s="814">
        <f>G13+G25+G19</f>
        <v>61.599999999999994</v>
      </c>
      <c r="H29" s="813">
        <f>G29*20%</f>
        <v>12.32</v>
      </c>
      <c r="I29" s="813">
        <f>G29*40%</f>
        <v>24.64</v>
      </c>
      <c r="J29" s="813">
        <f>G29*40%</f>
        <v>24.64</v>
      </c>
      <c r="K29" s="1848"/>
      <c r="L29" s="323"/>
      <c r="M29" s="323"/>
      <c r="N29" s="323"/>
      <c r="O29" s="323"/>
      <c r="P29" s="323"/>
      <c r="Q29" s="323"/>
      <c r="R29" s="323"/>
      <c r="S29" s="323"/>
      <c r="T29" s="323"/>
      <c r="U29" s="323"/>
    </row>
    <row r="30" spans="1:21" ht="36.6" customHeight="1" x14ac:dyDescent="0.25">
      <c r="A30" s="2170" t="s">
        <v>1368</v>
      </c>
      <c r="B30" s="2171"/>
      <c r="C30" s="2171"/>
      <c r="D30" s="2171"/>
      <c r="E30" s="2171"/>
      <c r="F30" s="2171"/>
      <c r="G30" s="2171"/>
      <c r="H30" s="2171"/>
      <c r="I30" s="2171"/>
      <c r="J30" s="2171"/>
      <c r="K30" s="2172"/>
      <c r="M30" s="1383" t="s">
        <v>1369</v>
      </c>
      <c r="N30" s="1196"/>
      <c r="Q30" s="323"/>
      <c r="R30" s="323"/>
      <c r="S30" s="323"/>
      <c r="T30" s="323"/>
      <c r="U30" s="323"/>
    </row>
    <row r="31" spans="1:21" x14ac:dyDescent="0.25">
      <c r="A31" s="2198"/>
      <c r="B31" s="2199"/>
      <c r="C31" s="2199"/>
      <c r="D31" s="2199"/>
      <c r="E31" s="2199"/>
      <c r="F31" s="2200"/>
      <c r="G31" s="2158" t="s">
        <v>38</v>
      </c>
      <c r="H31" s="2156" t="s">
        <v>715</v>
      </c>
      <c r="I31" s="2156" t="s">
        <v>714</v>
      </c>
      <c r="J31" s="2156" t="s">
        <v>713</v>
      </c>
      <c r="K31" s="2156" t="s">
        <v>272</v>
      </c>
      <c r="M31" s="1381" t="s">
        <v>1373</v>
      </c>
      <c r="N31" s="1382">
        <v>1.5</v>
      </c>
    </row>
    <row r="32" spans="1:21" x14ac:dyDescent="0.25">
      <c r="A32" s="2201"/>
      <c r="B32" s="2202"/>
      <c r="C32" s="2202"/>
      <c r="D32" s="2202"/>
      <c r="E32" s="2202"/>
      <c r="F32" s="2203"/>
      <c r="G32" s="2158"/>
      <c r="H32" s="2156"/>
      <c r="I32" s="2156"/>
      <c r="J32" s="2156"/>
      <c r="K32" s="2156"/>
      <c r="M32" s="323"/>
      <c r="N32" s="323"/>
    </row>
    <row r="33" spans="1:14" ht="14.45" customHeight="1" x14ac:dyDescent="0.25">
      <c r="A33" s="2167" t="s">
        <v>1368</v>
      </c>
      <c r="B33" s="129" t="s">
        <v>32</v>
      </c>
      <c r="C33" s="2192" t="s">
        <v>1372</v>
      </c>
      <c r="D33" s="2193"/>
      <c r="E33" s="2193"/>
      <c r="F33" s="2194"/>
      <c r="G33" s="814">
        <f>(G11+G17+G23)*$N$31</f>
        <v>58.8</v>
      </c>
      <c r="H33" s="813">
        <f>G33*50%</f>
        <v>29.4</v>
      </c>
      <c r="I33" s="813">
        <f>G33*50%</f>
        <v>29.4</v>
      </c>
      <c r="J33" s="813">
        <v>0</v>
      </c>
      <c r="K33" s="1846" t="s">
        <v>1367</v>
      </c>
      <c r="M33" s="323"/>
      <c r="N33" s="323"/>
    </row>
    <row r="34" spans="1:14" ht="14.45" customHeight="1" x14ac:dyDescent="0.25">
      <c r="A34" s="2168"/>
      <c r="B34" s="129" t="s">
        <v>33</v>
      </c>
      <c r="C34" s="2195"/>
      <c r="D34" s="2275"/>
      <c r="E34" s="2275"/>
      <c r="F34" s="2197"/>
      <c r="G34" s="814">
        <f>(G12+G18+G24)*$N$31</f>
        <v>75.599999999999994</v>
      </c>
      <c r="H34" s="813">
        <f>G34*50%</f>
        <v>37.799999999999997</v>
      </c>
      <c r="I34" s="813">
        <f>G34*40%</f>
        <v>30.24</v>
      </c>
      <c r="J34" s="813">
        <f>G34*10%</f>
        <v>7.56</v>
      </c>
      <c r="K34" s="1847"/>
      <c r="M34" s="323"/>
      <c r="N34" s="323"/>
    </row>
    <row r="35" spans="1:14" ht="14.45" customHeight="1" x14ac:dyDescent="0.25">
      <c r="A35" s="2169"/>
      <c r="B35" s="129" t="s">
        <v>34</v>
      </c>
      <c r="C35" s="2195"/>
      <c r="D35" s="2275"/>
      <c r="E35" s="2275"/>
      <c r="F35" s="2197"/>
      <c r="G35" s="814">
        <f>(G13+G19+G25)*$N$31</f>
        <v>92.399999999999991</v>
      </c>
      <c r="H35" s="813">
        <f>G35*20%</f>
        <v>18.48</v>
      </c>
      <c r="I35" s="813">
        <f>G35*40%</f>
        <v>36.96</v>
      </c>
      <c r="J35" s="813">
        <f>G35*40%</f>
        <v>36.96</v>
      </c>
      <c r="K35" s="1848"/>
      <c r="M35" s="323"/>
      <c r="N35" s="323"/>
    </row>
  </sheetData>
  <mergeCells count="44">
    <mergeCell ref="A33:A35"/>
    <mergeCell ref="C33:F35"/>
    <mergeCell ref="K33:K35"/>
    <mergeCell ref="A30:K30"/>
    <mergeCell ref="A31:F32"/>
    <mergeCell ref="G31:G32"/>
    <mergeCell ref="H31:H32"/>
    <mergeCell ref="I31:I32"/>
    <mergeCell ref="J31:J32"/>
    <mergeCell ref="K31:K32"/>
    <mergeCell ref="A23:A25"/>
    <mergeCell ref="K23:K25"/>
    <mergeCell ref="A26:K26"/>
    <mergeCell ref="A27:A29"/>
    <mergeCell ref="C27:F29"/>
    <mergeCell ref="K27:K29"/>
    <mergeCell ref="A17:A19"/>
    <mergeCell ref="A20:K20"/>
    <mergeCell ref="C21:C22"/>
    <mergeCell ref="G21:G22"/>
    <mergeCell ref="H21:H22"/>
    <mergeCell ref="I21:I22"/>
    <mergeCell ref="J21:J22"/>
    <mergeCell ref="K21:K22"/>
    <mergeCell ref="A11:A13"/>
    <mergeCell ref="A14:K14"/>
    <mergeCell ref="C15:C16"/>
    <mergeCell ref="G15:G16"/>
    <mergeCell ref="H15:H16"/>
    <mergeCell ref="I15:I16"/>
    <mergeCell ref="J15:J16"/>
    <mergeCell ref="K15:K16"/>
    <mergeCell ref="A8:K8"/>
    <mergeCell ref="C9:C10"/>
    <mergeCell ref="G9:G10"/>
    <mergeCell ref="H9:H10"/>
    <mergeCell ref="A1:K1"/>
    <mergeCell ref="A2:A4"/>
    <mergeCell ref="K2:K4"/>
    <mergeCell ref="A5:A7"/>
    <mergeCell ref="K5:K7"/>
    <mergeCell ref="I9:I10"/>
    <mergeCell ref="J9:J10"/>
    <mergeCell ref="K9:K10"/>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Лист87"/>
  <dimension ref="A1:S49"/>
  <sheetViews>
    <sheetView zoomScale="80" zoomScaleNormal="80" workbookViewId="0">
      <selection activeCell="E22" sqref="E22"/>
    </sheetView>
  </sheetViews>
  <sheetFormatPr defaultColWidth="9.140625" defaultRowHeight="15" x14ac:dyDescent="0.25"/>
  <cols>
    <col min="1" max="1" width="41.28515625" style="1271" customWidth="1"/>
    <col min="2" max="2" width="23.7109375" style="1271" customWidth="1"/>
    <col min="3" max="3" width="19.28515625" style="1271" customWidth="1"/>
    <col min="4" max="4" width="20.140625" style="1271" customWidth="1"/>
    <col min="5" max="5" width="16.7109375" style="1271" customWidth="1"/>
    <col min="6" max="6" width="23.7109375" style="1271" customWidth="1"/>
    <col min="7" max="7" width="21.28515625" style="1271" customWidth="1"/>
    <col min="8" max="8" width="14.42578125" style="1271" customWidth="1"/>
    <col min="9" max="9" width="15.5703125" style="1271" customWidth="1"/>
    <col min="10" max="10" width="18.7109375" style="1271" customWidth="1"/>
    <col min="11" max="11" width="16" style="1271" customWidth="1"/>
    <col min="12" max="16384" width="9.140625" style="1271"/>
  </cols>
  <sheetData>
    <row r="1" spans="1:19" ht="15.75" x14ac:dyDescent="0.25">
      <c r="A1" s="2164" t="s">
        <v>1382</v>
      </c>
      <c r="B1" s="2165"/>
      <c r="C1" s="2165"/>
      <c r="D1" s="2165"/>
      <c r="E1" s="2165"/>
      <c r="F1" s="2165"/>
      <c r="G1" s="2165"/>
      <c r="H1" s="2165"/>
      <c r="I1" s="2165"/>
      <c r="J1" s="2165"/>
      <c r="K1" s="2166"/>
    </row>
    <row r="2" spans="1:19" x14ac:dyDescent="0.25">
      <c r="A2" s="2160" t="s">
        <v>1353</v>
      </c>
      <c r="B2" s="129" t="s">
        <v>32</v>
      </c>
      <c r="C2" s="658">
        <v>4</v>
      </c>
      <c r="D2" s="658">
        <v>0</v>
      </c>
      <c r="E2" s="658">
        <v>0</v>
      </c>
      <c r="F2" s="658">
        <v>0</v>
      </c>
      <c r="G2" s="814">
        <f t="shared" ref="G2:G7" si="0" xml:space="preserve"> SUM(C2:F2)</f>
        <v>4</v>
      </c>
      <c r="H2" s="813">
        <f>G2*80%</f>
        <v>3.2</v>
      </c>
      <c r="I2" s="813">
        <f>G2*20%</f>
        <v>0.8</v>
      </c>
      <c r="J2" s="813">
        <f>G2*0</f>
        <v>0</v>
      </c>
      <c r="K2" s="2159"/>
      <c r="M2" s="323"/>
      <c r="N2" s="323"/>
    </row>
    <row r="3" spans="1:19" x14ac:dyDescent="0.25">
      <c r="A3" s="2160"/>
      <c r="B3" s="129" t="s">
        <v>33</v>
      </c>
      <c r="C3" s="813">
        <v>8</v>
      </c>
      <c r="D3" s="658">
        <v>0</v>
      </c>
      <c r="E3" s="658">
        <v>0</v>
      </c>
      <c r="F3" s="658">
        <v>0</v>
      </c>
      <c r="G3" s="814">
        <f t="shared" si="0"/>
        <v>8</v>
      </c>
      <c r="H3" s="813">
        <f>G3*60%</f>
        <v>4.8</v>
      </c>
      <c r="I3" s="813">
        <f>G3*30%</f>
        <v>2.4</v>
      </c>
      <c r="J3" s="813">
        <f>G3*10%</f>
        <v>0.8</v>
      </c>
      <c r="K3" s="2159"/>
      <c r="M3" s="323"/>
      <c r="N3" s="323"/>
    </row>
    <row r="4" spans="1:19" ht="14.45" customHeight="1" x14ac:dyDescent="0.25">
      <c r="A4" s="2160"/>
      <c r="B4" s="129" t="s">
        <v>34</v>
      </c>
      <c r="C4" s="813">
        <v>12</v>
      </c>
      <c r="D4" s="658">
        <v>0</v>
      </c>
      <c r="E4" s="658">
        <v>0</v>
      </c>
      <c r="F4" s="658">
        <v>0</v>
      </c>
      <c r="G4" s="814">
        <f t="shared" si="0"/>
        <v>12</v>
      </c>
      <c r="H4" s="813">
        <f>G4*50%</f>
        <v>6</v>
      </c>
      <c r="I4" s="813">
        <f>G4*30%</f>
        <v>3.5999999999999996</v>
      </c>
      <c r="J4" s="813">
        <f>G4*20%</f>
        <v>2.4000000000000004</v>
      </c>
      <c r="K4" s="2159"/>
      <c r="M4" s="323"/>
      <c r="N4" s="323"/>
    </row>
    <row r="5" spans="1:19" ht="14.45" customHeight="1" x14ac:dyDescent="0.25">
      <c r="A5" s="2167" t="s">
        <v>1354</v>
      </c>
      <c r="B5" s="129" t="s">
        <v>32</v>
      </c>
      <c r="C5" s="658">
        <v>4</v>
      </c>
      <c r="D5" s="658">
        <v>0</v>
      </c>
      <c r="E5" s="658">
        <v>0</v>
      </c>
      <c r="F5" s="658">
        <v>0</v>
      </c>
      <c r="G5" s="814">
        <f t="shared" si="0"/>
        <v>4</v>
      </c>
      <c r="H5" s="813">
        <f>G5*80%</f>
        <v>3.2</v>
      </c>
      <c r="I5" s="813">
        <f>G5*20%</f>
        <v>0.8</v>
      </c>
      <c r="J5" s="813">
        <v>0</v>
      </c>
      <c r="K5" s="2159"/>
      <c r="M5" s="323"/>
      <c r="N5" s="323"/>
    </row>
    <row r="6" spans="1:19" ht="14.45" customHeight="1" x14ac:dyDescent="0.25">
      <c r="A6" s="2168"/>
      <c r="B6" s="129" t="s">
        <v>33</v>
      </c>
      <c r="C6" s="813">
        <v>8</v>
      </c>
      <c r="D6" s="658">
        <v>0</v>
      </c>
      <c r="E6" s="658">
        <v>0</v>
      </c>
      <c r="F6" s="658">
        <v>0</v>
      </c>
      <c r="G6" s="814">
        <f t="shared" si="0"/>
        <v>8</v>
      </c>
      <c r="H6" s="813">
        <f>G6*60%</f>
        <v>4.8</v>
      </c>
      <c r="I6" s="813">
        <f>G6*30%</f>
        <v>2.4</v>
      </c>
      <c r="J6" s="813">
        <f>G6*10%</f>
        <v>0.8</v>
      </c>
      <c r="K6" s="2159"/>
      <c r="L6" s="323"/>
      <c r="M6" s="323"/>
      <c r="N6" s="323"/>
    </row>
    <row r="7" spans="1:19" ht="37.9" customHeight="1" x14ac:dyDescent="0.25">
      <c r="A7" s="2169"/>
      <c r="B7" s="129" t="s">
        <v>34</v>
      </c>
      <c r="C7" s="813">
        <v>12</v>
      </c>
      <c r="D7" s="658">
        <v>0</v>
      </c>
      <c r="E7" s="658">
        <v>0</v>
      </c>
      <c r="F7" s="658">
        <v>0</v>
      </c>
      <c r="G7" s="814">
        <f t="shared" si="0"/>
        <v>12</v>
      </c>
      <c r="H7" s="813">
        <f>G7*50%</f>
        <v>6</v>
      </c>
      <c r="I7" s="813">
        <f>G7*30%</f>
        <v>3.5999999999999996</v>
      </c>
      <c r="J7" s="813">
        <f>G7*20%</f>
        <v>2.4000000000000004</v>
      </c>
      <c r="K7" s="2159"/>
      <c r="L7" s="323"/>
      <c r="M7" s="323"/>
      <c r="N7" s="323"/>
    </row>
    <row r="8" spans="1:19" ht="34.15" customHeight="1" x14ac:dyDescent="0.25">
      <c r="A8" s="2170" t="s">
        <v>1383</v>
      </c>
      <c r="B8" s="2171"/>
      <c r="C8" s="2171"/>
      <c r="D8" s="2171"/>
      <c r="E8" s="2171"/>
      <c r="F8" s="2171"/>
      <c r="G8" s="2171"/>
      <c r="H8" s="2171"/>
      <c r="I8" s="2171"/>
      <c r="J8" s="2171"/>
      <c r="K8" s="2172"/>
      <c r="L8" s="323"/>
      <c r="M8" s="323"/>
      <c r="N8" s="323"/>
      <c r="R8" s="323"/>
      <c r="S8" s="323"/>
    </row>
    <row r="9" spans="1:19" ht="83.45" customHeight="1" x14ac:dyDescent="0.25">
      <c r="A9" s="879" t="s">
        <v>1356</v>
      </c>
      <c r="B9" s="1376" t="s">
        <v>1228</v>
      </c>
      <c r="C9" s="2173" t="s">
        <v>1357</v>
      </c>
      <c r="D9" s="1377" t="s">
        <v>876</v>
      </c>
      <c r="E9" s="1377" t="s">
        <v>1384</v>
      </c>
      <c r="F9" s="1378" t="s">
        <v>1359</v>
      </c>
      <c r="G9" s="2158" t="s">
        <v>38</v>
      </c>
      <c r="H9" s="2156" t="s">
        <v>715</v>
      </c>
      <c r="I9" s="2156" t="s">
        <v>714</v>
      </c>
      <c r="J9" s="2156" t="s">
        <v>713</v>
      </c>
      <c r="K9" s="2156" t="s">
        <v>272</v>
      </c>
      <c r="L9" s="323"/>
      <c r="M9" s="323"/>
      <c r="N9" s="323"/>
      <c r="R9" s="323"/>
      <c r="S9" s="323"/>
    </row>
    <row r="10" spans="1:19" ht="14.45" customHeight="1" x14ac:dyDescent="0.25">
      <c r="A10" s="1379" t="s">
        <v>36</v>
      </c>
      <c r="B10" s="206">
        <v>1</v>
      </c>
      <c r="C10" s="2173"/>
      <c r="D10" s="184">
        <f>ТрЗ_ОКиА!E238</f>
        <v>1</v>
      </c>
      <c r="E10" s="184">
        <f>ТрЗ_ОКиА!E239</f>
        <v>1</v>
      </c>
      <c r="F10" s="184">
        <f>IF(ТрЗ_ОКиА!E240="Да",1,0)</f>
        <v>1</v>
      </c>
      <c r="G10" s="2158"/>
      <c r="H10" s="2156"/>
      <c r="I10" s="2156"/>
      <c r="J10" s="2156"/>
      <c r="K10" s="2156"/>
      <c r="L10" s="323"/>
      <c r="M10" s="323"/>
      <c r="N10" s="323"/>
      <c r="R10" s="323"/>
      <c r="S10" s="323"/>
    </row>
    <row r="11" spans="1:19" ht="14.45" customHeight="1" x14ac:dyDescent="0.25">
      <c r="A11" s="2167" t="s">
        <v>1385</v>
      </c>
      <c r="B11" s="129" t="s">
        <v>32</v>
      </c>
      <c r="C11" s="814">
        <v>2</v>
      </c>
      <c r="D11" s="629">
        <f>$D$10*2</f>
        <v>2</v>
      </c>
      <c r="E11" s="629">
        <f>C11*$E$10</f>
        <v>2</v>
      </c>
      <c r="F11" s="629">
        <f>IF($F$10=0,SUM(D11:E11)*0.5,0)</f>
        <v>0</v>
      </c>
      <c r="G11" s="814">
        <f xml:space="preserve"> SUM(D11:F11)*$N$12</f>
        <v>4.8</v>
      </c>
      <c r="H11" s="813">
        <f>G11*50%</f>
        <v>2.4</v>
      </c>
      <c r="I11" s="813">
        <f>G11*50%</f>
        <v>2.4</v>
      </c>
      <c r="J11" s="813">
        <v>0</v>
      </c>
      <c r="K11" s="129"/>
      <c r="L11" s="323"/>
      <c r="M11" s="1380" t="s">
        <v>1361</v>
      </c>
      <c r="N11" s="1196"/>
      <c r="R11" s="323"/>
      <c r="S11" s="323"/>
    </row>
    <row r="12" spans="1:19" ht="14.45" customHeight="1" x14ac:dyDescent="0.25">
      <c r="A12" s="2168"/>
      <c r="B12" s="129" t="s">
        <v>33</v>
      </c>
      <c r="C12" s="814">
        <v>2.5</v>
      </c>
      <c r="D12" s="629">
        <f>$D$10*2</f>
        <v>2</v>
      </c>
      <c r="E12" s="629">
        <f>C12*$E$10</f>
        <v>2.5</v>
      </c>
      <c r="F12" s="629">
        <f>IF($F$10=0,SUM(D12:E12)*0.5,0)</f>
        <v>0</v>
      </c>
      <c r="G12" s="814">
        <f xml:space="preserve"> SUM(D12:F12)*$N$12</f>
        <v>5.3999999999999995</v>
      </c>
      <c r="H12" s="813">
        <f>G12*50%</f>
        <v>2.6999999999999997</v>
      </c>
      <c r="I12" s="813">
        <f>G12*40%</f>
        <v>2.1599999999999997</v>
      </c>
      <c r="J12" s="813">
        <f>G12*10%</f>
        <v>0.53999999999999992</v>
      </c>
      <c r="K12" s="129"/>
      <c r="L12" s="323"/>
      <c r="M12" s="1381" t="s">
        <v>1386</v>
      </c>
      <c r="N12" s="1382">
        <v>1.2</v>
      </c>
      <c r="R12" s="323"/>
      <c r="S12" s="323"/>
    </row>
    <row r="13" spans="1:19" ht="14.45" customHeight="1" x14ac:dyDescent="0.25">
      <c r="A13" s="2169"/>
      <c r="B13" s="129" t="s">
        <v>34</v>
      </c>
      <c r="C13" s="814">
        <v>3</v>
      </c>
      <c r="D13" s="629">
        <f>$D$10*2</f>
        <v>2</v>
      </c>
      <c r="E13" s="629">
        <f>C13*$E$10</f>
        <v>3</v>
      </c>
      <c r="F13" s="629">
        <f>IF($F$10=0,SUM(D13:E13)*0.5,0)</f>
        <v>0</v>
      </c>
      <c r="G13" s="814">
        <f xml:space="preserve"> SUM(D13:F13)*$N$12</f>
        <v>6</v>
      </c>
      <c r="H13" s="813">
        <f>G13*20%</f>
        <v>1.2000000000000002</v>
      </c>
      <c r="I13" s="813">
        <f>G13*40%</f>
        <v>2.4000000000000004</v>
      </c>
      <c r="J13" s="813">
        <f>G13*40%</f>
        <v>2.4000000000000004</v>
      </c>
      <c r="K13" s="129"/>
      <c r="L13" s="323"/>
      <c r="M13" s="323"/>
      <c r="N13" s="323"/>
      <c r="R13" s="323"/>
      <c r="S13" s="323"/>
    </row>
    <row r="14" spans="1:19" ht="14.45" customHeight="1" x14ac:dyDescent="0.25">
      <c r="A14" s="2170" t="s">
        <v>1362</v>
      </c>
      <c r="B14" s="2171"/>
      <c r="C14" s="2171"/>
      <c r="D14" s="2171"/>
      <c r="E14" s="2171"/>
      <c r="F14" s="2171"/>
      <c r="G14" s="2171"/>
      <c r="H14" s="2171"/>
      <c r="I14" s="2171"/>
      <c r="J14" s="2171"/>
      <c r="K14" s="2172"/>
      <c r="L14" s="323"/>
      <c r="M14" s="323"/>
      <c r="N14" s="323"/>
      <c r="R14" s="323"/>
      <c r="S14" s="323"/>
    </row>
    <row r="15" spans="1:19" ht="31.5" x14ac:dyDescent="0.25">
      <c r="A15" s="879"/>
      <c r="B15" s="1376" t="s">
        <v>1228</v>
      </c>
      <c r="C15" s="2173" t="s">
        <v>1363</v>
      </c>
      <c r="D15" s="1377" t="s">
        <v>876</v>
      </c>
      <c r="E15" s="1377"/>
      <c r="F15" s="1377"/>
      <c r="G15" s="2158" t="s">
        <v>38</v>
      </c>
      <c r="H15" s="2156" t="s">
        <v>715</v>
      </c>
      <c r="I15" s="2156" t="s">
        <v>714</v>
      </c>
      <c r="J15" s="2156" t="s">
        <v>713</v>
      </c>
      <c r="K15" s="2156" t="s">
        <v>272</v>
      </c>
      <c r="L15" s="323"/>
      <c r="M15" s="323"/>
      <c r="N15" s="323"/>
      <c r="R15" s="323"/>
      <c r="S15" s="323"/>
    </row>
    <row r="16" spans="1:19" ht="14.45" customHeight="1" x14ac:dyDescent="0.25">
      <c r="A16" s="1379" t="s">
        <v>36</v>
      </c>
      <c r="B16" s="206">
        <v>1</v>
      </c>
      <c r="C16" s="2173"/>
      <c r="D16" s="184">
        <f>ТрЗ_ОКиА!E238</f>
        <v>1</v>
      </c>
      <c r="E16" s="184">
        <v>0</v>
      </c>
      <c r="F16" s="184">
        <v>0</v>
      </c>
      <c r="G16" s="2158"/>
      <c r="H16" s="2156"/>
      <c r="I16" s="2156"/>
      <c r="J16" s="2156"/>
      <c r="K16" s="2156"/>
      <c r="L16" s="323"/>
      <c r="M16" s="323"/>
      <c r="N16" s="323"/>
      <c r="R16" s="323"/>
      <c r="S16" s="323"/>
    </row>
    <row r="17" spans="1:19" ht="14.45" customHeight="1" x14ac:dyDescent="0.25">
      <c r="A17" s="2167" t="s">
        <v>1364</v>
      </c>
      <c r="B17" s="129" t="s">
        <v>32</v>
      </c>
      <c r="C17" s="814">
        <v>8</v>
      </c>
      <c r="D17" s="629">
        <f>$D$16*C17</f>
        <v>8</v>
      </c>
      <c r="E17" s="658">
        <v>0</v>
      </c>
      <c r="F17" s="658">
        <v>0</v>
      </c>
      <c r="G17" s="814">
        <f xml:space="preserve"> SUM(D17:F17)</f>
        <v>8</v>
      </c>
      <c r="H17" s="813">
        <f>G17*20%</f>
        <v>1.6</v>
      </c>
      <c r="I17" s="813">
        <f>G17*40%</f>
        <v>3.2</v>
      </c>
      <c r="J17" s="813">
        <f>G17*40%</f>
        <v>3.2</v>
      </c>
      <c r="K17" s="129"/>
      <c r="L17" s="323"/>
      <c r="M17" s="323"/>
      <c r="N17" s="323"/>
      <c r="R17" s="323"/>
      <c r="S17" s="323"/>
    </row>
    <row r="18" spans="1:19" ht="14.45" customHeight="1" x14ac:dyDescent="0.25">
      <c r="A18" s="2168"/>
      <c r="B18" s="129" t="s">
        <v>33</v>
      </c>
      <c r="C18" s="814">
        <v>12</v>
      </c>
      <c r="D18" s="629">
        <f>$D$16*C18</f>
        <v>12</v>
      </c>
      <c r="E18" s="658">
        <v>0</v>
      </c>
      <c r="F18" s="658">
        <v>0</v>
      </c>
      <c r="G18" s="814">
        <f xml:space="preserve"> SUM(D18:F18)</f>
        <v>12</v>
      </c>
      <c r="H18" s="813">
        <f>G18*20%</f>
        <v>2.4000000000000004</v>
      </c>
      <c r="I18" s="813">
        <f>G18*40%</f>
        <v>4.8000000000000007</v>
      </c>
      <c r="J18" s="813">
        <f>G18*40%</f>
        <v>4.8000000000000007</v>
      </c>
      <c r="K18" s="129"/>
      <c r="L18" s="323"/>
      <c r="M18" s="323"/>
      <c r="N18" s="323"/>
      <c r="R18" s="323"/>
      <c r="S18" s="323"/>
    </row>
    <row r="19" spans="1:19" ht="31.15" customHeight="1" x14ac:dyDescent="0.25">
      <c r="A19" s="2169"/>
      <c r="B19" s="129" t="s">
        <v>34</v>
      </c>
      <c r="C19" s="814">
        <v>16</v>
      </c>
      <c r="D19" s="629">
        <f>$D$16*C19</f>
        <v>16</v>
      </c>
      <c r="E19" s="658">
        <v>0</v>
      </c>
      <c r="F19" s="658">
        <v>0</v>
      </c>
      <c r="G19" s="814">
        <f xml:space="preserve"> SUM(D19:F19)</f>
        <v>16</v>
      </c>
      <c r="H19" s="813">
        <f>G19*20%</f>
        <v>3.2</v>
      </c>
      <c r="I19" s="813">
        <f>G19*40%</f>
        <v>6.4</v>
      </c>
      <c r="J19" s="813">
        <f>G19*40%</f>
        <v>6.4</v>
      </c>
      <c r="K19" s="129"/>
      <c r="L19" s="323"/>
      <c r="M19" s="323"/>
      <c r="N19" s="323"/>
      <c r="R19" s="323"/>
      <c r="S19" s="323"/>
    </row>
    <row r="20" spans="1:19" ht="14.45" customHeight="1" x14ac:dyDescent="0.25">
      <c r="A20" s="2170" t="s">
        <v>1387</v>
      </c>
      <c r="B20" s="2171"/>
      <c r="C20" s="2171"/>
      <c r="D20" s="2171"/>
      <c r="E20" s="2171"/>
      <c r="F20" s="2171"/>
      <c r="G20" s="2171"/>
      <c r="H20" s="2171"/>
      <c r="I20" s="2171"/>
      <c r="J20" s="2171"/>
      <c r="K20" s="2172"/>
      <c r="L20" s="323"/>
      <c r="M20" s="323"/>
      <c r="N20" s="323"/>
      <c r="R20" s="323"/>
      <c r="S20" s="323"/>
    </row>
    <row r="21" spans="1:19" ht="47.25" x14ac:dyDescent="0.25">
      <c r="A21" s="879"/>
      <c r="B21" s="1376" t="s">
        <v>1228</v>
      </c>
      <c r="C21" s="2173" t="s">
        <v>1378</v>
      </c>
      <c r="D21" s="1377" t="s">
        <v>876</v>
      </c>
      <c r="E21" s="1377" t="s">
        <v>1377</v>
      </c>
      <c r="F21" s="1377"/>
      <c r="G21" s="2158" t="s">
        <v>38</v>
      </c>
      <c r="H21" s="2156" t="s">
        <v>715</v>
      </c>
      <c r="I21" s="2156" t="s">
        <v>714</v>
      </c>
      <c r="J21" s="2156" t="s">
        <v>713</v>
      </c>
      <c r="K21" s="2156" t="s">
        <v>272</v>
      </c>
      <c r="L21" s="323"/>
      <c r="M21" s="323"/>
      <c r="N21" s="323"/>
      <c r="R21" s="323"/>
      <c r="S21" s="323"/>
    </row>
    <row r="22" spans="1:19" ht="15.75" x14ac:dyDescent="0.25">
      <c r="A22" s="1379" t="s">
        <v>36</v>
      </c>
      <c r="B22" s="206">
        <v>1</v>
      </c>
      <c r="C22" s="2173"/>
      <c r="D22" s="184">
        <f>ТрЗ_ОКиА!E238</f>
        <v>1</v>
      </c>
      <c r="E22" s="184">
        <f>ТрЗ_ОКиА!E248</f>
        <v>1</v>
      </c>
      <c r="F22" s="184">
        <v>0</v>
      </c>
      <c r="G22" s="2158"/>
      <c r="H22" s="2156"/>
      <c r="I22" s="2156"/>
      <c r="J22" s="2156"/>
      <c r="K22" s="2156"/>
      <c r="L22" s="323"/>
      <c r="M22" s="323"/>
      <c r="N22" s="323"/>
      <c r="R22" s="323"/>
      <c r="S22" s="323"/>
    </row>
    <row r="23" spans="1:19" ht="14.45" customHeight="1" x14ac:dyDescent="0.25">
      <c r="A23" s="2276" t="s">
        <v>1388</v>
      </c>
      <c r="B23" s="129" t="s">
        <v>32</v>
      </c>
      <c r="C23" s="814">
        <v>0.5</v>
      </c>
      <c r="D23" s="629">
        <f>$D$22*2</f>
        <v>2</v>
      </c>
      <c r="E23" s="629">
        <f>C23*$E$22</f>
        <v>0.5</v>
      </c>
      <c r="F23" s="658">
        <v>0</v>
      </c>
      <c r="G23" s="814">
        <f xml:space="preserve"> SUM(D23:F23)*$N$12</f>
        <v>3</v>
      </c>
      <c r="H23" s="813">
        <f>G23*20%</f>
        <v>0.60000000000000009</v>
      </c>
      <c r="I23" s="813">
        <f>G23*40%</f>
        <v>1.2000000000000002</v>
      </c>
      <c r="J23" s="813">
        <f>G23*40%</f>
        <v>1.2000000000000002</v>
      </c>
      <c r="K23" s="2279" t="s">
        <v>1375</v>
      </c>
      <c r="L23" s="323"/>
      <c r="M23" s="323"/>
      <c r="N23" s="323"/>
      <c r="R23" s="323"/>
      <c r="S23" s="323"/>
    </row>
    <row r="24" spans="1:19" ht="14.45" customHeight="1" x14ac:dyDescent="0.25">
      <c r="A24" s="2277"/>
      <c r="B24" s="129" t="s">
        <v>33</v>
      </c>
      <c r="C24" s="814">
        <v>1</v>
      </c>
      <c r="D24" s="629">
        <f>$D$22*2</f>
        <v>2</v>
      </c>
      <c r="E24" s="629">
        <f>C24*$E$22</f>
        <v>1</v>
      </c>
      <c r="F24" s="658">
        <v>0</v>
      </c>
      <c r="G24" s="814">
        <f xml:space="preserve"> SUM(D24:F24)*$N$12</f>
        <v>3.5999999999999996</v>
      </c>
      <c r="H24" s="813">
        <f>G24*20%</f>
        <v>0.72</v>
      </c>
      <c r="I24" s="813">
        <f>G24*40%</f>
        <v>1.44</v>
      </c>
      <c r="J24" s="813">
        <f>G24*40%</f>
        <v>1.44</v>
      </c>
      <c r="K24" s="2280"/>
      <c r="L24" s="323"/>
      <c r="M24" s="323"/>
      <c r="N24" s="323"/>
      <c r="R24" s="323"/>
      <c r="S24" s="323"/>
    </row>
    <row r="25" spans="1:19" ht="14.45" customHeight="1" x14ac:dyDescent="0.25">
      <c r="A25" s="2278"/>
      <c r="B25" s="129" t="s">
        <v>34</v>
      </c>
      <c r="C25" s="814">
        <v>1.5</v>
      </c>
      <c r="D25" s="629">
        <f>$D$22*2</f>
        <v>2</v>
      </c>
      <c r="E25" s="629">
        <f>C25*$E$22</f>
        <v>1.5</v>
      </c>
      <c r="F25" s="658">
        <v>0</v>
      </c>
      <c r="G25" s="814">
        <f xml:space="preserve"> SUM(D25:F25)*$N$12</f>
        <v>4.2</v>
      </c>
      <c r="H25" s="813">
        <f>G25*20%</f>
        <v>0.84000000000000008</v>
      </c>
      <c r="I25" s="813">
        <f>G25*40%</f>
        <v>1.6800000000000002</v>
      </c>
      <c r="J25" s="813">
        <f>G25*40%</f>
        <v>1.6800000000000002</v>
      </c>
      <c r="K25" s="2281"/>
      <c r="L25" s="323"/>
      <c r="M25" s="323"/>
      <c r="N25" s="323"/>
      <c r="R25" s="323"/>
      <c r="S25" s="323"/>
    </row>
    <row r="26" spans="1:19" ht="14.45" customHeight="1" x14ac:dyDescent="0.25">
      <c r="A26" s="2170" t="s">
        <v>1365</v>
      </c>
      <c r="B26" s="2171"/>
      <c r="C26" s="2171"/>
      <c r="D26" s="2171"/>
      <c r="E26" s="2171"/>
      <c r="F26" s="2171"/>
      <c r="G26" s="2171"/>
      <c r="H26" s="2171"/>
      <c r="I26" s="2171"/>
      <c r="J26" s="2171"/>
      <c r="K26" s="2172"/>
      <c r="L26" s="323"/>
      <c r="M26" s="323"/>
      <c r="N26" s="323"/>
      <c r="R26" s="323"/>
      <c r="S26" s="323"/>
    </row>
    <row r="27" spans="1:19" ht="14.45" customHeight="1" x14ac:dyDescent="0.25">
      <c r="A27" s="2167" t="s">
        <v>1365</v>
      </c>
      <c r="B27" s="129" t="s">
        <v>32</v>
      </c>
      <c r="C27" s="2189" t="s">
        <v>1366</v>
      </c>
      <c r="D27" s="2274"/>
      <c r="E27" s="2274"/>
      <c r="F27" s="2191"/>
      <c r="G27" s="814">
        <f>G11+G23+G17</f>
        <v>15.8</v>
      </c>
      <c r="H27" s="813">
        <f>G27*50%</f>
        <v>7.9</v>
      </c>
      <c r="I27" s="813">
        <f>G27*50%</f>
        <v>7.9</v>
      </c>
      <c r="J27" s="813">
        <v>0</v>
      </c>
      <c r="K27" s="1846" t="s">
        <v>1367</v>
      </c>
      <c r="L27" s="323"/>
      <c r="M27" s="323"/>
      <c r="N27" s="323"/>
      <c r="R27" s="323"/>
      <c r="S27" s="323"/>
    </row>
    <row r="28" spans="1:19" ht="14.45" customHeight="1" x14ac:dyDescent="0.25">
      <c r="A28" s="2168"/>
      <c r="B28" s="129" t="s">
        <v>33</v>
      </c>
      <c r="C28" s="2189"/>
      <c r="D28" s="2274"/>
      <c r="E28" s="2274"/>
      <c r="F28" s="2191"/>
      <c r="G28" s="814">
        <f>G12+G24+G18</f>
        <v>21</v>
      </c>
      <c r="H28" s="813">
        <f>G28*50%</f>
        <v>10.5</v>
      </c>
      <c r="I28" s="813">
        <f>G28*40%</f>
        <v>8.4</v>
      </c>
      <c r="J28" s="813">
        <f>G28*10%</f>
        <v>2.1</v>
      </c>
      <c r="K28" s="1847"/>
      <c r="L28" s="323"/>
      <c r="M28" s="323"/>
      <c r="N28" s="323"/>
      <c r="R28" s="323"/>
      <c r="S28" s="323"/>
    </row>
    <row r="29" spans="1:19" ht="46.15" customHeight="1" x14ac:dyDescent="0.25">
      <c r="A29" s="2169"/>
      <c r="B29" s="129" t="s">
        <v>34</v>
      </c>
      <c r="C29" s="2189"/>
      <c r="D29" s="2274"/>
      <c r="E29" s="2274"/>
      <c r="F29" s="2191"/>
      <c r="G29" s="814">
        <f>G13+G25+G19</f>
        <v>26.2</v>
      </c>
      <c r="H29" s="813">
        <f>G29*20%</f>
        <v>5.24</v>
      </c>
      <c r="I29" s="813">
        <f>G29*40%</f>
        <v>10.48</v>
      </c>
      <c r="J29" s="813">
        <f>G29*40%</f>
        <v>10.48</v>
      </c>
      <c r="K29" s="1848"/>
      <c r="L29" s="323"/>
      <c r="M29" s="323"/>
      <c r="N29" s="323"/>
      <c r="R29" s="323"/>
      <c r="S29" s="323"/>
    </row>
    <row r="30" spans="1:19" ht="14.45" customHeight="1" x14ac:dyDescent="0.25">
      <c r="A30" s="2170" t="s">
        <v>1368</v>
      </c>
      <c r="B30" s="2171"/>
      <c r="C30" s="2171"/>
      <c r="D30" s="2171"/>
      <c r="E30" s="2171"/>
      <c r="F30" s="2171"/>
      <c r="G30" s="2171"/>
      <c r="H30" s="2171"/>
      <c r="I30" s="2171"/>
      <c r="J30" s="2171"/>
      <c r="K30" s="2172"/>
      <c r="M30" s="1383" t="s">
        <v>1369</v>
      </c>
      <c r="N30" s="1196"/>
      <c r="R30" s="323"/>
      <c r="S30" s="323"/>
    </row>
    <row r="31" spans="1:19" ht="14.45" customHeight="1" x14ac:dyDescent="0.25">
      <c r="A31" s="2198"/>
      <c r="B31" s="2199"/>
      <c r="C31" s="2199"/>
      <c r="D31" s="2199"/>
      <c r="E31" s="2199"/>
      <c r="F31" s="2200"/>
      <c r="G31" s="2158" t="s">
        <v>38</v>
      </c>
      <c r="H31" s="2156" t="s">
        <v>715</v>
      </c>
      <c r="I31" s="2156" t="s">
        <v>714</v>
      </c>
      <c r="J31" s="2156" t="s">
        <v>713</v>
      </c>
      <c r="K31" s="2156" t="s">
        <v>272</v>
      </c>
      <c r="M31" s="1381" t="s">
        <v>1389</v>
      </c>
      <c r="N31" s="1382">
        <v>1.5</v>
      </c>
    </row>
    <row r="32" spans="1:19" ht="14.45" customHeight="1" x14ac:dyDescent="0.25">
      <c r="A32" s="2201"/>
      <c r="B32" s="2202"/>
      <c r="C32" s="2202"/>
      <c r="D32" s="2202"/>
      <c r="E32" s="2202"/>
      <c r="F32" s="2203"/>
      <c r="G32" s="2158"/>
      <c r="H32" s="2156"/>
      <c r="I32" s="2156"/>
      <c r="J32" s="2156"/>
      <c r="K32" s="2156"/>
      <c r="M32" s="323"/>
      <c r="N32" s="323"/>
    </row>
    <row r="33" spans="1:14" ht="14.45" customHeight="1" x14ac:dyDescent="0.25">
      <c r="A33" s="2167" t="s">
        <v>1368</v>
      </c>
      <c r="B33" s="129" t="s">
        <v>32</v>
      </c>
      <c r="C33" s="2192" t="s">
        <v>1390</v>
      </c>
      <c r="D33" s="2193"/>
      <c r="E33" s="2193"/>
      <c r="F33" s="2194"/>
      <c r="G33" s="814">
        <f>(G11+G17+G23)*$N$31</f>
        <v>23.700000000000003</v>
      </c>
      <c r="H33" s="813">
        <f>G33*50%</f>
        <v>11.850000000000001</v>
      </c>
      <c r="I33" s="813">
        <f>G33*50%</f>
        <v>11.850000000000001</v>
      </c>
      <c r="J33" s="813">
        <v>0</v>
      </c>
      <c r="K33" s="1846" t="s">
        <v>1367</v>
      </c>
      <c r="M33" s="323"/>
      <c r="N33" s="323"/>
    </row>
    <row r="34" spans="1:14" ht="14.45" customHeight="1" x14ac:dyDescent="0.25">
      <c r="A34" s="2168"/>
      <c r="B34" s="129" t="s">
        <v>33</v>
      </c>
      <c r="C34" s="2195"/>
      <c r="D34" s="2275"/>
      <c r="E34" s="2275"/>
      <c r="F34" s="2197"/>
      <c r="G34" s="814">
        <f>(G12+G18+G24)*$N$31</f>
        <v>31.5</v>
      </c>
      <c r="H34" s="813">
        <f>G34*50%</f>
        <v>15.75</v>
      </c>
      <c r="I34" s="813">
        <f>G34*40%</f>
        <v>12.600000000000001</v>
      </c>
      <c r="J34" s="813">
        <f>G34*10%</f>
        <v>3.1500000000000004</v>
      </c>
      <c r="K34" s="1847"/>
      <c r="M34" s="323"/>
      <c r="N34" s="323"/>
    </row>
    <row r="35" spans="1:14" ht="47.45" customHeight="1" x14ac:dyDescent="0.25">
      <c r="A35" s="2169"/>
      <c r="B35" s="129" t="s">
        <v>34</v>
      </c>
      <c r="C35" s="2195"/>
      <c r="D35" s="2275"/>
      <c r="E35" s="2275"/>
      <c r="F35" s="2197"/>
      <c r="G35" s="814">
        <f>(G13+G19+G25)*$N$31</f>
        <v>39.299999999999997</v>
      </c>
      <c r="H35" s="813">
        <f>G35*20%</f>
        <v>7.8599999999999994</v>
      </c>
      <c r="I35" s="813">
        <f>G35*40%</f>
        <v>15.719999999999999</v>
      </c>
      <c r="J35" s="813">
        <f>G35*40%</f>
        <v>15.719999999999999</v>
      </c>
      <c r="K35" s="1848"/>
      <c r="M35" s="323"/>
      <c r="N35" s="323"/>
    </row>
    <row r="36" spans="1:14" ht="14.45" customHeight="1" x14ac:dyDescent="0.25"/>
    <row r="37" spans="1:14" ht="14.45" customHeight="1" x14ac:dyDescent="0.25"/>
    <row r="38" spans="1:14" ht="14.45" customHeight="1" x14ac:dyDescent="0.25"/>
    <row r="39" spans="1:14" ht="14.45" customHeight="1" x14ac:dyDescent="0.25"/>
    <row r="40" spans="1:14" ht="14.45" customHeight="1" x14ac:dyDescent="0.25"/>
    <row r="41" spans="1:14" ht="14.45" customHeight="1" x14ac:dyDescent="0.25"/>
    <row r="42" spans="1:14" ht="14.45" customHeight="1" x14ac:dyDescent="0.25"/>
    <row r="43" spans="1:14" ht="14.45" customHeight="1" x14ac:dyDescent="0.25"/>
    <row r="44" spans="1:14" ht="14.45" customHeight="1" x14ac:dyDescent="0.25"/>
    <row r="45" spans="1:14" ht="14.45" customHeight="1" x14ac:dyDescent="0.25"/>
    <row r="46" spans="1:14" ht="14.45" customHeight="1" x14ac:dyDescent="0.25"/>
    <row r="47" spans="1:14" ht="14.45" customHeight="1" x14ac:dyDescent="0.25"/>
    <row r="48" spans="1:14" ht="14.45" customHeight="1" x14ac:dyDescent="0.25"/>
    <row r="49" ht="14.45" customHeight="1" x14ac:dyDescent="0.25"/>
  </sheetData>
  <mergeCells count="44">
    <mergeCell ref="A33:A35"/>
    <mergeCell ref="C33:F35"/>
    <mergeCell ref="K33:K35"/>
    <mergeCell ref="A30:K30"/>
    <mergeCell ref="A31:F32"/>
    <mergeCell ref="G31:G32"/>
    <mergeCell ref="H31:H32"/>
    <mergeCell ref="I31:I32"/>
    <mergeCell ref="J31:J32"/>
    <mergeCell ref="K31:K32"/>
    <mergeCell ref="A23:A25"/>
    <mergeCell ref="K23:K25"/>
    <mergeCell ref="A26:K26"/>
    <mergeCell ref="A27:A29"/>
    <mergeCell ref="C27:F29"/>
    <mergeCell ref="K27:K29"/>
    <mergeCell ref="A17:A19"/>
    <mergeCell ref="A20:K20"/>
    <mergeCell ref="C21:C22"/>
    <mergeCell ref="G21:G22"/>
    <mergeCell ref="H21:H22"/>
    <mergeCell ref="I21:I22"/>
    <mergeCell ref="J21:J22"/>
    <mergeCell ref="K21:K22"/>
    <mergeCell ref="A11:A13"/>
    <mergeCell ref="A14:K14"/>
    <mergeCell ref="C15:C16"/>
    <mergeCell ref="G15:G16"/>
    <mergeCell ref="H15:H16"/>
    <mergeCell ref="I15:I16"/>
    <mergeCell ref="J15:J16"/>
    <mergeCell ref="K15:K16"/>
    <mergeCell ref="K9:K10"/>
    <mergeCell ref="A1:K1"/>
    <mergeCell ref="A2:A4"/>
    <mergeCell ref="K2:K4"/>
    <mergeCell ref="A5:A7"/>
    <mergeCell ref="K5:K7"/>
    <mergeCell ref="A8:K8"/>
    <mergeCell ref="C9:C10"/>
    <mergeCell ref="G9:G10"/>
    <mergeCell ref="H9:H10"/>
    <mergeCell ref="I9:I10"/>
    <mergeCell ref="J9:J10"/>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Лист89"/>
  <dimension ref="A1:K23"/>
  <sheetViews>
    <sheetView zoomScale="80" zoomScaleNormal="80" workbookViewId="0">
      <selection activeCell="C11" sqref="C11"/>
    </sheetView>
  </sheetViews>
  <sheetFormatPr defaultColWidth="9.140625" defaultRowHeight="15" x14ac:dyDescent="0.25"/>
  <cols>
    <col min="1" max="1" width="53.42578125" style="1271" bestFit="1" customWidth="1"/>
    <col min="2" max="2" width="23.5703125" style="1271" bestFit="1" customWidth="1"/>
    <col min="3" max="3" width="23.5703125" style="1271" customWidth="1"/>
    <col min="4" max="4" width="26.28515625" style="1271" bestFit="1" customWidth="1"/>
    <col min="5" max="5" width="19" style="1271" bestFit="1" customWidth="1"/>
    <col min="6" max="6" width="28.7109375" style="1271" bestFit="1" customWidth="1"/>
    <col min="7" max="7" width="7.5703125" style="1271" bestFit="1" customWidth="1"/>
    <col min="8" max="8" width="11.28515625" style="1271" customWidth="1"/>
    <col min="9" max="9" width="11.42578125" style="1271" customWidth="1"/>
    <col min="10" max="10" width="11.5703125" style="1271" customWidth="1"/>
    <col min="11" max="11" width="28.7109375" style="1271" customWidth="1"/>
    <col min="12" max="16384" width="9.140625" style="1271"/>
  </cols>
  <sheetData>
    <row r="1" spans="1:11" ht="105" x14ac:dyDescent="0.25">
      <c r="A1" s="879" t="s">
        <v>1409</v>
      </c>
      <c r="B1" s="1376" t="s">
        <v>1228</v>
      </c>
      <c r="C1" s="2157" t="s">
        <v>1229</v>
      </c>
      <c r="D1" s="1377" t="s">
        <v>1282</v>
      </c>
      <c r="E1" s="1377" t="s">
        <v>1320</v>
      </c>
      <c r="F1" s="1377" t="s">
        <v>1410</v>
      </c>
      <c r="G1" s="2158" t="s">
        <v>38</v>
      </c>
      <c r="H1" s="2156" t="s">
        <v>715</v>
      </c>
      <c r="I1" s="2156" t="s">
        <v>714</v>
      </c>
      <c r="J1" s="2156" t="s">
        <v>713</v>
      </c>
      <c r="K1" s="2156" t="s">
        <v>272</v>
      </c>
    </row>
    <row r="2" spans="1:11" ht="15.75" x14ac:dyDescent="0.25">
      <c r="A2" s="1379" t="s">
        <v>36</v>
      </c>
      <c r="B2" s="206">
        <v>2</v>
      </c>
      <c r="C2" s="2157"/>
      <c r="D2" s="184">
        <f>ТрЗ_ОКиА!E107</f>
        <v>10</v>
      </c>
      <c r="E2" s="184">
        <f>ТрЗ_ОКиА!E185</f>
        <v>1</v>
      </c>
      <c r="F2" s="184">
        <f>ТрЗ_ОКиА!E276</f>
        <v>1</v>
      </c>
      <c r="G2" s="2158"/>
      <c r="H2" s="2156"/>
      <c r="I2" s="2156"/>
      <c r="J2" s="2156"/>
      <c r="K2" s="2156"/>
    </row>
    <row r="3" spans="1:11" ht="15.75" x14ac:dyDescent="0.25">
      <c r="A3" s="1384" t="s">
        <v>1411</v>
      </c>
      <c r="B3" s="1384"/>
      <c r="C3" s="1384"/>
      <c r="D3" s="1384"/>
      <c r="E3" s="1384"/>
      <c r="F3" s="1384"/>
      <c r="G3" s="1384"/>
      <c r="H3" s="1385"/>
      <c r="I3" s="1385"/>
      <c r="J3" s="1385"/>
      <c r="K3" s="1385"/>
    </row>
    <row r="4" spans="1:11" x14ac:dyDescent="0.25">
      <c r="A4" s="2160" t="s">
        <v>1412</v>
      </c>
      <c r="B4" s="129" t="s">
        <v>32</v>
      </c>
      <c r="C4" s="658">
        <v>1</v>
      </c>
      <c r="D4" s="629">
        <f>ROUND(20/60*$D$2,2)</f>
        <v>3.33</v>
      </c>
      <c r="E4" s="764">
        <v>0</v>
      </c>
      <c r="F4" s="764">
        <v>0</v>
      </c>
      <c r="G4" s="814">
        <f t="shared" ref="G4:G9" si="0" xml:space="preserve"> SUM(C4:F4)</f>
        <v>4.33</v>
      </c>
      <c r="H4" s="813">
        <f>G4*50%</f>
        <v>2.165</v>
      </c>
      <c r="I4" s="813">
        <f>G4*30%</f>
        <v>1.2989999999999999</v>
      </c>
      <c r="J4" s="813">
        <f>G4*20%</f>
        <v>0.8660000000000001</v>
      </c>
      <c r="K4" s="1846" t="s">
        <v>1413</v>
      </c>
    </row>
    <row r="5" spans="1:11" x14ac:dyDescent="0.25">
      <c r="A5" s="2160"/>
      <c r="B5" s="129" t="s">
        <v>33</v>
      </c>
      <c r="C5" s="813">
        <v>1.5</v>
      </c>
      <c r="D5" s="629">
        <f>ROUND(30/60*$D$2,2)</f>
        <v>5</v>
      </c>
      <c r="E5" s="764">
        <v>0</v>
      </c>
      <c r="F5" s="764">
        <v>0</v>
      </c>
      <c r="G5" s="814">
        <f t="shared" si="0"/>
        <v>6.5</v>
      </c>
      <c r="H5" s="813">
        <f>G5*30%</f>
        <v>1.95</v>
      </c>
      <c r="I5" s="813">
        <f>G5*40%</f>
        <v>2.6</v>
      </c>
      <c r="J5" s="813">
        <f>G5*30%</f>
        <v>1.95</v>
      </c>
      <c r="K5" s="1847"/>
    </row>
    <row r="6" spans="1:11" x14ac:dyDescent="0.25">
      <c r="A6" s="2160"/>
      <c r="B6" s="129" t="s">
        <v>34</v>
      </c>
      <c r="C6" s="813">
        <v>2</v>
      </c>
      <c r="D6" s="629">
        <f>ROUND(40/60*$D$2,2)</f>
        <v>6.67</v>
      </c>
      <c r="E6" s="764">
        <v>0</v>
      </c>
      <c r="F6" s="764">
        <v>0</v>
      </c>
      <c r="G6" s="814">
        <f t="shared" si="0"/>
        <v>8.67</v>
      </c>
      <c r="H6" s="813">
        <f>G6*10%</f>
        <v>0.86699999999999999</v>
      </c>
      <c r="I6" s="813">
        <f>G6*40%</f>
        <v>3.468</v>
      </c>
      <c r="J6" s="813">
        <f>G6*50%</f>
        <v>4.335</v>
      </c>
      <c r="K6" s="1848"/>
    </row>
    <row r="7" spans="1:11" x14ac:dyDescent="0.25">
      <c r="A7" s="1974" t="s">
        <v>1414</v>
      </c>
      <c r="B7" s="129" t="s">
        <v>32</v>
      </c>
      <c r="C7" s="814">
        <f>ROUND(10/60,2)</f>
        <v>0.17</v>
      </c>
      <c r="D7" s="629">
        <f>ROUND(15/60*$D$2,2)</f>
        <v>2.5</v>
      </c>
      <c r="E7" s="764">
        <v>0</v>
      </c>
      <c r="F7" s="764">
        <v>0</v>
      </c>
      <c r="G7" s="814">
        <f t="shared" si="0"/>
        <v>2.67</v>
      </c>
      <c r="H7" s="813">
        <f>G7*70%</f>
        <v>1.8689999999999998</v>
      </c>
      <c r="I7" s="813">
        <f>G7*20%</f>
        <v>0.53400000000000003</v>
      </c>
      <c r="J7" s="813">
        <f>G7*10%</f>
        <v>0.26700000000000002</v>
      </c>
      <c r="K7" s="129"/>
    </row>
    <row r="8" spans="1:11" x14ac:dyDescent="0.25">
      <c r="A8" s="1974"/>
      <c r="B8" s="129" t="s">
        <v>33</v>
      </c>
      <c r="C8" s="814">
        <f>ROUND(15/60,2)</f>
        <v>0.25</v>
      </c>
      <c r="D8" s="629">
        <f>ROUND(30/60*$D$2,2)</f>
        <v>5</v>
      </c>
      <c r="E8" s="764">
        <v>0</v>
      </c>
      <c r="F8" s="764">
        <v>0</v>
      </c>
      <c r="G8" s="814">
        <f t="shared" si="0"/>
        <v>5.25</v>
      </c>
      <c r="H8" s="813">
        <f>G8*60%</f>
        <v>3.15</v>
      </c>
      <c r="I8" s="813">
        <f>G8*25%</f>
        <v>1.3125</v>
      </c>
      <c r="J8" s="813">
        <f>G8*15%</f>
        <v>0.78749999999999998</v>
      </c>
      <c r="K8" s="129"/>
    </row>
    <row r="9" spans="1:11" x14ac:dyDescent="0.25">
      <c r="A9" s="1974"/>
      <c r="B9" s="129" t="s">
        <v>34</v>
      </c>
      <c r="C9" s="814">
        <f>ROUND(20/60,2)</f>
        <v>0.33</v>
      </c>
      <c r="D9" s="629">
        <f>ROUND(45/60*$D$2,2)</f>
        <v>7.5</v>
      </c>
      <c r="E9" s="764">
        <v>0</v>
      </c>
      <c r="F9" s="764">
        <v>0</v>
      </c>
      <c r="G9" s="814">
        <f t="shared" si="0"/>
        <v>7.83</v>
      </c>
      <c r="H9" s="813">
        <f>G9*40%</f>
        <v>3.1320000000000001</v>
      </c>
      <c r="I9" s="813">
        <f>G9*30%</f>
        <v>2.3489999999999998</v>
      </c>
      <c r="J9" s="813">
        <f>G9*30%</f>
        <v>2.3489999999999998</v>
      </c>
      <c r="K9" s="129"/>
    </row>
    <row r="10" spans="1:11" ht="15.75" x14ac:dyDescent="0.25">
      <c r="A10" s="1384" t="s">
        <v>1415</v>
      </c>
      <c r="B10" s="1384"/>
      <c r="C10" s="1384"/>
      <c r="D10" s="1384"/>
      <c r="E10" s="1384"/>
      <c r="F10" s="1384"/>
      <c r="G10" s="1384"/>
      <c r="H10" s="1385"/>
      <c r="I10" s="1385"/>
      <c r="J10" s="1385"/>
      <c r="K10" s="1385"/>
    </row>
    <row r="11" spans="1:11" x14ac:dyDescent="0.25">
      <c r="A11" s="2160" t="s">
        <v>1416</v>
      </c>
      <c r="B11" s="129" t="s">
        <v>32</v>
      </c>
      <c r="C11" s="658">
        <v>1</v>
      </c>
      <c r="D11" s="764">
        <v>0</v>
      </c>
      <c r="E11" s="629">
        <f>ROUND(20/60*$E$2,2)</f>
        <v>0.33</v>
      </c>
      <c r="F11" s="764">
        <v>0</v>
      </c>
      <c r="G11" s="814">
        <f t="shared" ref="G11:G16" si="1" xml:space="preserve"> SUM(C11:F11)</f>
        <v>1.33</v>
      </c>
      <c r="H11" s="813">
        <f>G11*50%</f>
        <v>0.66500000000000004</v>
      </c>
      <c r="I11" s="813">
        <f>G11*30%</f>
        <v>0.39900000000000002</v>
      </c>
      <c r="J11" s="813">
        <f>G11*20%</f>
        <v>0.26600000000000001</v>
      </c>
      <c r="K11" s="905"/>
    </row>
    <row r="12" spans="1:11" x14ac:dyDescent="0.25">
      <c r="A12" s="2160"/>
      <c r="B12" s="129" t="s">
        <v>33</v>
      </c>
      <c r="C12" s="813">
        <v>1.5</v>
      </c>
      <c r="D12" s="764">
        <v>0</v>
      </c>
      <c r="E12" s="629">
        <f>ROUND(30/60*$E$2,2)</f>
        <v>0.5</v>
      </c>
      <c r="F12" s="764">
        <v>0</v>
      </c>
      <c r="G12" s="814">
        <f t="shared" si="1"/>
        <v>2</v>
      </c>
      <c r="H12" s="813">
        <f>G12*30%</f>
        <v>0.6</v>
      </c>
      <c r="I12" s="813">
        <f>G12*40%</f>
        <v>0.8</v>
      </c>
      <c r="J12" s="813">
        <f>G12*30%</f>
        <v>0.6</v>
      </c>
      <c r="K12" s="905"/>
    </row>
    <row r="13" spans="1:11" x14ac:dyDescent="0.25">
      <c r="A13" s="2160"/>
      <c r="B13" s="129" t="s">
        <v>34</v>
      </c>
      <c r="C13" s="813">
        <v>2</v>
      </c>
      <c r="D13" s="764">
        <v>0</v>
      </c>
      <c r="E13" s="629">
        <f>ROUND(40/60*$E$2,2)</f>
        <v>0.67</v>
      </c>
      <c r="F13" s="764">
        <v>0</v>
      </c>
      <c r="G13" s="814">
        <f t="shared" si="1"/>
        <v>2.67</v>
      </c>
      <c r="H13" s="813">
        <f>G13*10%</f>
        <v>0.26700000000000002</v>
      </c>
      <c r="I13" s="813">
        <f>G13*40%</f>
        <v>1.0680000000000001</v>
      </c>
      <c r="J13" s="813">
        <f>G13*50%</f>
        <v>1.335</v>
      </c>
      <c r="K13" s="905"/>
    </row>
    <row r="14" spans="1:11" x14ac:dyDescent="0.25">
      <c r="A14" s="1974" t="s">
        <v>1417</v>
      </c>
      <c r="B14" s="129" t="s">
        <v>32</v>
      </c>
      <c r="C14" s="814">
        <f>ROUND(10/60,2)</f>
        <v>0.17</v>
      </c>
      <c r="D14" s="764">
        <v>0</v>
      </c>
      <c r="E14" s="629">
        <f>ROUND(15/60*$E$2,2)</f>
        <v>0.25</v>
      </c>
      <c r="F14" s="764">
        <v>0</v>
      </c>
      <c r="G14" s="814">
        <f t="shared" si="1"/>
        <v>0.42000000000000004</v>
      </c>
      <c r="H14" s="813">
        <f>G14*70%</f>
        <v>0.29399999999999998</v>
      </c>
      <c r="I14" s="813">
        <f>G14*20%</f>
        <v>8.4000000000000019E-2</v>
      </c>
      <c r="J14" s="813">
        <f>G14*10%</f>
        <v>4.200000000000001E-2</v>
      </c>
      <c r="K14" s="129"/>
    </row>
    <row r="15" spans="1:11" x14ac:dyDescent="0.25">
      <c r="A15" s="1974"/>
      <c r="B15" s="129" t="s">
        <v>33</v>
      </c>
      <c r="C15" s="814">
        <f>ROUND(15/60,2)</f>
        <v>0.25</v>
      </c>
      <c r="D15" s="764">
        <v>0</v>
      </c>
      <c r="E15" s="629">
        <f>ROUND(30/60*$E$2,2)</f>
        <v>0.5</v>
      </c>
      <c r="F15" s="764">
        <v>0</v>
      </c>
      <c r="G15" s="814">
        <f t="shared" si="1"/>
        <v>0.75</v>
      </c>
      <c r="H15" s="813">
        <f>G15*60%</f>
        <v>0.44999999999999996</v>
      </c>
      <c r="I15" s="813">
        <f>G15*25%</f>
        <v>0.1875</v>
      </c>
      <c r="J15" s="813">
        <f>G15*15%</f>
        <v>0.11249999999999999</v>
      </c>
      <c r="K15" s="129"/>
    </row>
    <row r="16" spans="1:11" x14ac:dyDescent="0.25">
      <c r="A16" s="1974"/>
      <c r="B16" s="129" t="s">
        <v>34</v>
      </c>
      <c r="C16" s="814">
        <f>ROUND(20/60,2)</f>
        <v>0.33</v>
      </c>
      <c r="D16" s="764">
        <v>0</v>
      </c>
      <c r="E16" s="629">
        <f>ROUND(45/60*$E$2,2)</f>
        <v>0.75</v>
      </c>
      <c r="F16" s="764">
        <v>0</v>
      </c>
      <c r="G16" s="814">
        <f t="shared" si="1"/>
        <v>1.08</v>
      </c>
      <c r="H16" s="813">
        <f>G16*40%</f>
        <v>0.43200000000000005</v>
      </c>
      <c r="I16" s="813">
        <f>G16*30%</f>
        <v>0.32400000000000001</v>
      </c>
      <c r="J16" s="813">
        <f>G16*30%</f>
        <v>0.32400000000000001</v>
      </c>
      <c r="K16" s="129"/>
    </row>
    <row r="17" spans="1:11" ht="15.75" x14ac:dyDescent="0.25">
      <c r="A17" s="1384" t="s">
        <v>1418</v>
      </c>
      <c r="B17" s="1384"/>
      <c r="C17" s="1384"/>
      <c r="D17" s="1384"/>
      <c r="E17" s="1384"/>
      <c r="F17" s="1384"/>
      <c r="G17" s="1384"/>
      <c r="H17" s="1385"/>
      <c r="I17" s="1385"/>
      <c r="J17" s="1385"/>
      <c r="K17" s="1385"/>
    </row>
    <row r="18" spans="1:11" x14ac:dyDescent="0.25">
      <c r="A18" s="2160" t="s">
        <v>1419</v>
      </c>
      <c r="B18" s="129" t="s">
        <v>32</v>
      </c>
      <c r="C18" s="658">
        <v>0.5</v>
      </c>
      <c r="D18" s="764">
        <v>0</v>
      </c>
      <c r="E18" s="764">
        <v>0</v>
      </c>
      <c r="F18" s="629">
        <f>ROUND(20/60*$F$2,2)</f>
        <v>0.33</v>
      </c>
      <c r="G18" s="814">
        <f t="shared" ref="G18:G23" si="2" xml:space="preserve"> SUM(C18:F18)</f>
        <v>0.83000000000000007</v>
      </c>
      <c r="H18" s="813">
        <f>G18*50%</f>
        <v>0.41500000000000004</v>
      </c>
      <c r="I18" s="813">
        <f>G18*30%</f>
        <v>0.249</v>
      </c>
      <c r="J18" s="813">
        <f>G18*20%</f>
        <v>0.16600000000000004</v>
      </c>
      <c r="K18" s="905"/>
    </row>
    <row r="19" spans="1:11" x14ac:dyDescent="0.25">
      <c r="A19" s="2160"/>
      <c r="B19" s="129" t="s">
        <v>33</v>
      </c>
      <c r="C19" s="813">
        <v>0.5</v>
      </c>
      <c r="D19" s="764">
        <v>0</v>
      </c>
      <c r="E19" s="764">
        <v>0</v>
      </c>
      <c r="F19" s="629">
        <f>ROUND(30/60*$F$2,2)</f>
        <v>0.5</v>
      </c>
      <c r="G19" s="814">
        <f t="shared" si="2"/>
        <v>1</v>
      </c>
      <c r="H19" s="813">
        <f>G19*30%</f>
        <v>0.3</v>
      </c>
      <c r="I19" s="813">
        <f>G19*40%</f>
        <v>0.4</v>
      </c>
      <c r="J19" s="813">
        <f>G19*30%</f>
        <v>0.3</v>
      </c>
      <c r="K19" s="905"/>
    </row>
    <row r="20" spans="1:11" ht="67.5" customHeight="1" x14ac:dyDescent="0.25">
      <c r="A20" s="2160"/>
      <c r="B20" s="129" t="s">
        <v>34</v>
      </c>
      <c r="C20" s="813">
        <v>1</v>
      </c>
      <c r="D20" s="764">
        <v>0</v>
      </c>
      <c r="E20" s="764">
        <v>0</v>
      </c>
      <c r="F20" s="629">
        <f>ROUND(40/60*$F$2,2)</f>
        <v>0.67</v>
      </c>
      <c r="G20" s="814">
        <f t="shared" si="2"/>
        <v>1.67</v>
      </c>
      <c r="H20" s="813">
        <f>G20*10%</f>
        <v>0.16700000000000001</v>
      </c>
      <c r="I20" s="813">
        <f>G20*40%</f>
        <v>0.66800000000000004</v>
      </c>
      <c r="J20" s="813">
        <f>G20*50%</f>
        <v>0.83499999999999996</v>
      </c>
      <c r="K20" s="905"/>
    </row>
    <row r="21" spans="1:11" x14ac:dyDescent="0.25">
      <c r="A21" s="1974" t="s">
        <v>1420</v>
      </c>
      <c r="B21" s="129" t="s">
        <v>32</v>
      </c>
      <c r="C21" s="814">
        <f>ROUND(10/60,2)</f>
        <v>0.17</v>
      </c>
      <c r="D21" s="764">
        <v>0</v>
      </c>
      <c r="E21" s="764">
        <v>0</v>
      </c>
      <c r="F21" s="629">
        <f>ROUND(15/60*$F$2,2)</f>
        <v>0.25</v>
      </c>
      <c r="G21" s="814">
        <f t="shared" si="2"/>
        <v>0.42000000000000004</v>
      </c>
      <c r="H21" s="813">
        <f>G21*70%</f>
        <v>0.29399999999999998</v>
      </c>
      <c r="I21" s="813">
        <f>G21*20%</f>
        <v>8.4000000000000019E-2</v>
      </c>
      <c r="J21" s="813">
        <f>G21*10%</f>
        <v>4.200000000000001E-2</v>
      </c>
      <c r="K21" s="129"/>
    </row>
    <row r="22" spans="1:11" x14ac:dyDescent="0.25">
      <c r="A22" s="1974"/>
      <c r="B22" s="129" t="s">
        <v>33</v>
      </c>
      <c r="C22" s="814">
        <f>ROUND(15/60,2)</f>
        <v>0.25</v>
      </c>
      <c r="D22" s="764">
        <v>0</v>
      </c>
      <c r="E22" s="764">
        <v>0</v>
      </c>
      <c r="F22" s="629">
        <f>ROUND(30/60*$F$2,2)</f>
        <v>0.5</v>
      </c>
      <c r="G22" s="814">
        <f t="shared" si="2"/>
        <v>0.75</v>
      </c>
      <c r="H22" s="813">
        <f>G22*60%</f>
        <v>0.44999999999999996</v>
      </c>
      <c r="I22" s="813">
        <f>G22*25%</f>
        <v>0.1875</v>
      </c>
      <c r="J22" s="813">
        <f>G22*15%</f>
        <v>0.11249999999999999</v>
      </c>
      <c r="K22" s="129"/>
    </row>
    <row r="23" spans="1:11" x14ac:dyDescent="0.25">
      <c r="A23" s="1974"/>
      <c r="B23" s="129" t="s">
        <v>34</v>
      </c>
      <c r="C23" s="814">
        <f>ROUND(20/60,2)</f>
        <v>0.33</v>
      </c>
      <c r="D23" s="764">
        <v>0</v>
      </c>
      <c r="E23" s="764">
        <v>0</v>
      </c>
      <c r="F23" s="629">
        <f>ROUND(45/60*$F$2,2)</f>
        <v>0.75</v>
      </c>
      <c r="G23" s="814">
        <f t="shared" si="2"/>
        <v>1.08</v>
      </c>
      <c r="H23" s="813">
        <f>G23*40%</f>
        <v>0.43200000000000005</v>
      </c>
      <c r="I23" s="813">
        <f>G23*30%</f>
        <v>0.32400000000000001</v>
      </c>
      <c r="J23" s="813">
        <f>G23*30%</f>
        <v>0.32400000000000001</v>
      </c>
      <c r="K23" s="129"/>
    </row>
  </sheetData>
  <mergeCells count="13">
    <mergeCell ref="A21:A23"/>
    <mergeCell ref="A4:A6"/>
    <mergeCell ref="K4:K6"/>
    <mergeCell ref="A7:A9"/>
    <mergeCell ref="A11:A13"/>
    <mergeCell ref="A14:A16"/>
    <mergeCell ref="A18:A20"/>
    <mergeCell ref="K1:K2"/>
    <mergeCell ref="C1:C2"/>
    <mergeCell ref="G1:G2"/>
    <mergeCell ref="H1:H2"/>
    <mergeCell ref="I1:I2"/>
    <mergeCell ref="J1:J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Лист90"/>
  <dimension ref="A1:K6"/>
  <sheetViews>
    <sheetView zoomScale="80" zoomScaleNormal="80" workbookViewId="0">
      <selection activeCell="H23" sqref="H23"/>
    </sheetView>
  </sheetViews>
  <sheetFormatPr defaultColWidth="9.140625" defaultRowHeight="15" x14ac:dyDescent="0.25"/>
  <cols>
    <col min="1" max="1" width="53.42578125" style="1271" bestFit="1" customWidth="1"/>
    <col min="2" max="2" width="23.5703125" style="1271" bestFit="1" customWidth="1"/>
    <col min="3" max="3" width="23.5703125" style="1271" customWidth="1"/>
    <col min="4" max="4" width="26.28515625" style="1271" bestFit="1" customWidth="1"/>
    <col min="5" max="5" width="19" style="1271" bestFit="1" customWidth="1"/>
    <col min="6" max="6" width="28.7109375" style="1271" bestFit="1" customWidth="1"/>
    <col min="7" max="7" width="7.5703125" style="1271" bestFit="1" customWidth="1"/>
    <col min="8" max="8" width="11.28515625" style="1271" customWidth="1"/>
    <col min="9" max="9" width="11.42578125" style="1271" customWidth="1"/>
    <col min="10" max="10" width="11.5703125" style="1271" customWidth="1"/>
    <col min="11" max="11" width="28.7109375" style="1271" customWidth="1"/>
    <col min="12" max="16384" width="9.140625" style="1271"/>
  </cols>
  <sheetData>
    <row r="1" spans="1:11" ht="60" x14ac:dyDescent="0.25">
      <c r="A1" s="879" t="s">
        <v>1391</v>
      </c>
      <c r="B1" s="1376" t="s">
        <v>1228</v>
      </c>
      <c r="C1" s="2157" t="s">
        <v>1229</v>
      </c>
      <c r="D1" s="1377" t="s">
        <v>1421</v>
      </c>
      <c r="E1" s="1377" t="s">
        <v>1422</v>
      </c>
      <c r="F1" s="1386" t="s">
        <v>1423</v>
      </c>
      <c r="G1" s="2158" t="s">
        <v>38</v>
      </c>
      <c r="H1" s="2156" t="s">
        <v>715</v>
      </c>
      <c r="I1" s="2156" t="s">
        <v>714</v>
      </c>
      <c r="J1" s="2156" t="s">
        <v>713</v>
      </c>
      <c r="K1" s="2156" t="s">
        <v>272</v>
      </c>
    </row>
    <row r="2" spans="1:11" ht="15.75" x14ac:dyDescent="0.25">
      <c r="A2" s="1379" t="s">
        <v>36</v>
      </c>
      <c r="B2" s="206">
        <v>2</v>
      </c>
      <c r="C2" s="2157"/>
      <c r="D2" s="184">
        <f>ТрЗ_ОКиА!E38</f>
        <v>1</v>
      </c>
      <c r="E2" s="184">
        <f>ТрЗ_ОКиА!E39</f>
        <v>1</v>
      </c>
      <c r="F2" s="184">
        <f>IF(ТрЗ_ОКиА!E40="Да",1,0)</f>
        <v>1</v>
      </c>
      <c r="G2" s="2158"/>
      <c r="H2" s="2156"/>
      <c r="I2" s="2156"/>
      <c r="J2" s="2156"/>
      <c r="K2" s="2156"/>
    </row>
    <row r="3" spans="1:11" ht="15.75" x14ac:dyDescent="0.25">
      <c r="A3" s="1387" t="s">
        <v>1424</v>
      </c>
      <c r="B3" s="1387"/>
      <c r="C3" s="1387"/>
      <c r="D3" s="1387"/>
      <c r="E3" s="1387"/>
      <c r="F3" s="1387"/>
      <c r="G3" s="1387"/>
      <c r="H3" s="1385"/>
      <c r="I3" s="1385"/>
      <c r="J3" s="1385"/>
      <c r="K3" s="1385"/>
    </row>
    <row r="4" spans="1:11" x14ac:dyDescent="0.25">
      <c r="A4" s="1974" t="s">
        <v>1425</v>
      </c>
      <c r="B4" s="129" t="s">
        <v>32</v>
      </c>
      <c r="C4" s="658">
        <v>0</v>
      </c>
      <c r="D4" s="629">
        <f>6*($D$2-$E$2)</f>
        <v>0</v>
      </c>
      <c r="E4" s="630">
        <f>32*$E$2</f>
        <v>32</v>
      </c>
      <c r="F4" s="629">
        <f>IF($F$2=1,-4,0)</f>
        <v>-4</v>
      </c>
      <c r="G4" s="814">
        <f xml:space="preserve"> SUM(C4:F4)</f>
        <v>28</v>
      </c>
      <c r="H4" s="813">
        <f>G4*50%</f>
        <v>14</v>
      </c>
      <c r="I4" s="813">
        <f>G4*30%</f>
        <v>8.4</v>
      </c>
      <c r="J4" s="813">
        <f>G4*20%</f>
        <v>5.6000000000000005</v>
      </c>
      <c r="K4" s="2282" t="s">
        <v>1426</v>
      </c>
    </row>
    <row r="5" spans="1:11" x14ac:dyDescent="0.25">
      <c r="A5" s="1974"/>
      <c r="B5" s="129" t="s">
        <v>33</v>
      </c>
      <c r="C5" s="813">
        <v>0</v>
      </c>
      <c r="D5" s="629">
        <f>8*($D$2-$E$2)</f>
        <v>0</v>
      </c>
      <c r="E5" s="630">
        <f>40*$E$2</f>
        <v>40</v>
      </c>
      <c r="F5" s="629">
        <f>IF($F$2=1,-4,0)</f>
        <v>-4</v>
      </c>
      <c r="G5" s="814">
        <f xml:space="preserve"> SUM(C5:F5)</f>
        <v>36</v>
      </c>
      <c r="H5" s="813">
        <f>G5*30%</f>
        <v>10.799999999999999</v>
      </c>
      <c r="I5" s="813">
        <f>G5*40%</f>
        <v>14.4</v>
      </c>
      <c r="J5" s="813">
        <f>G5*30%</f>
        <v>10.799999999999999</v>
      </c>
      <c r="K5" s="2283"/>
    </row>
    <row r="6" spans="1:11" x14ac:dyDescent="0.25">
      <c r="A6" s="1974"/>
      <c r="B6" s="129" t="s">
        <v>34</v>
      </c>
      <c r="C6" s="813">
        <v>0</v>
      </c>
      <c r="D6" s="629">
        <f>12*($D$2-$E$2)</f>
        <v>0</v>
      </c>
      <c r="E6" s="630">
        <f>48*$E$2</f>
        <v>48</v>
      </c>
      <c r="F6" s="629">
        <f>IF($F$2=1,-6,0)</f>
        <v>-6</v>
      </c>
      <c r="G6" s="814">
        <f xml:space="preserve"> SUM(C6:F6)</f>
        <v>42</v>
      </c>
      <c r="H6" s="813">
        <f>G6*20%</f>
        <v>8.4</v>
      </c>
      <c r="I6" s="813">
        <f>G6*20%</f>
        <v>8.4</v>
      </c>
      <c r="J6" s="813">
        <f>G6*60%</f>
        <v>25.2</v>
      </c>
      <c r="K6" s="2284"/>
    </row>
  </sheetData>
  <mergeCells count="8">
    <mergeCell ref="A4:A6"/>
    <mergeCell ref="K4:K6"/>
    <mergeCell ref="C1:C2"/>
    <mergeCell ref="G1:G2"/>
    <mergeCell ref="H1:H2"/>
    <mergeCell ref="I1:I2"/>
    <mergeCell ref="J1:J2"/>
    <mergeCell ref="K1:K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Лист91"/>
  <dimension ref="A1:K6"/>
  <sheetViews>
    <sheetView workbookViewId="0">
      <selection activeCell="E2" sqref="E2"/>
    </sheetView>
  </sheetViews>
  <sheetFormatPr defaultColWidth="9.140625" defaultRowHeight="15" x14ac:dyDescent="0.25"/>
  <cols>
    <col min="1" max="1" width="43.7109375" style="1271" customWidth="1"/>
    <col min="2" max="2" width="21.7109375" style="1271" customWidth="1"/>
    <col min="3" max="3" width="9.140625" style="1271"/>
    <col min="4" max="4" width="13.7109375" style="1271" customWidth="1"/>
    <col min="5" max="5" width="16.7109375" style="1271" customWidth="1"/>
    <col min="6" max="6" width="21.85546875" style="1271" customWidth="1"/>
    <col min="7" max="7" width="13.42578125" style="1271" customWidth="1"/>
    <col min="8" max="8" width="13.28515625" style="1271" customWidth="1"/>
    <col min="9" max="9" width="17.7109375" style="1271" customWidth="1"/>
    <col min="10" max="10" width="16.7109375" style="1271" customWidth="1"/>
    <col min="11" max="11" width="14.5703125" style="1271" customWidth="1"/>
    <col min="12" max="16384" width="9.140625" style="1271"/>
  </cols>
  <sheetData>
    <row r="1" spans="1:11" ht="60" x14ac:dyDescent="0.25">
      <c r="A1" s="879" t="s">
        <v>1391</v>
      </c>
      <c r="B1" s="1376" t="s">
        <v>1228</v>
      </c>
      <c r="C1" s="2157" t="s">
        <v>1229</v>
      </c>
      <c r="D1" s="1377" t="s">
        <v>1421</v>
      </c>
      <c r="E1" s="1377" t="s">
        <v>1422</v>
      </c>
      <c r="F1" s="1386" t="s">
        <v>1427</v>
      </c>
      <c r="G1" s="2158" t="s">
        <v>38</v>
      </c>
      <c r="H1" s="2156" t="s">
        <v>715</v>
      </c>
      <c r="I1" s="2156" t="s">
        <v>714</v>
      </c>
      <c r="J1" s="2156" t="s">
        <v>713</v>
      </c>
      <c r="K1" s="2156" t="s">
        <v>272</v>
      </c>
    </row>
    <row r="2" spans="1:11" ht="15.75" x14ac:dyDescent="0.25">
      <c r="A2" s="1379" t="s">
        <v>36</v>
      </c>
      <c r="B2" s="206">
        <v>2</v>
      </c>
      <c r="C2" s="2157"/>
      <c r="D2" s="184">
        <f>ТрЗ_ОКиА!E104</f>
        <v>1</v>
      </c>
      <c r="E2" s="184">
        <f>ТрЗ_ОКиА!E105</f>
        <v>1</v>
      </c>
      <c r="F2" s="184"/>
      <c r="G2" s="2158"/>
      <c r="H2" s="2156"/>
      <c r="I2" s="2156"/>
      <c r="J2" s="2156"/>
      <c r="K2" s="2156"/>
    </row>
    <row r="3" spans="1:11" ht="15.75" x14ac:dyDescent="0.25">
      <c r="A3" s="1387" t="s">
        <v>1424</v>
      </c>
      <c r="B3" s="1387"/>
      <c r="C3" s="1387"/>
      <c r="D3" s="1387"/>
      <c r="E3" s="1387"/>
      <c r="F3" s="1387"/>
      <c r="G3" s="1387"/>
      <c r="H3" s="1385"/>
      <c r="I3" s="1385"/>
      <c r="J3" s="1385"/>
      <c r="K3" s="1385"/>
    </row>
    <row r="4" spans="1:11" x14ac:dyDescent="0.25">
      <c r="A4" s="1974" t="s">
        <v>1428</v>
      </c>
      <c r="B4" s="129" t="s">
        <v>32</v>
      </c>
      <c r="C4" s="658">
        <v>0</v>
      </c>
      <c r="D4" s="629">
        <f>6*($D$2-$E$2)</f>
        <v>0</v>
      </c>
      <c r="E4" s="630">
        <f>40*$E$2</f>
        <v>40</v>
      </c>
      <c r="F4" s="658">
        <v>0</v>
      </c>
      <c r="G4" s="814">
        <f xml:space="preserve"> SUM(C4:F4)</f>
        <v>40</v>
      </c>
      <c r="H4" s="813">
        <f>G4*50%</f>
        <v>20</v>
      </c>
      <c r="I4" s="813">
        <f>G4*30%</f>
        <v>12</v>
      </c>
      <c r="J4" s="813">
        <f>G4*20%</f>
        <v>8</v>
      </c>
      <c r="K4" s="2282" t="s">
        <v>1429</v>
      </c>
    </row>
    <row r="5" spans="1:11" x14ac:dyDescent="0.25">
      <c r="A5" s="1974"/>
      <c r="B5" s="129" t="s">
        <v>33</v>
      </c>
      <c r="C5" s="658">
        <v>0</v>
      </c>
      <c r="D5" s="629">
        <f>8*($D$2-$E$2)</f>
        <v>0</v>
      </c>
      <c r="E5" s="630">
        <f>48*$E$2</f>
        <v>48</v>
      </c>
      <c r="F5" s="658">
        <v>0</v>
      </c>
      <c r="G5" s="814">
        <f xml:space="preserve"> SUM(C5:F5)</f>
        <v>48</v>
      </c>
      <c r="H5" s="813">
        <f>G5*30%</f>
        <v>14.399999999999999</v>
      </c>
      <c r="I5" s="813">
        <f>G5*40%</f>
        <v>19.200000000000003</v>
      </c>
      <c r="J5" s="813">
        <f>G5*30%</f>
        <v>14.399999999999999</v>
      </c>
      <c r="K5" s="2283"/>
    </row>
    <row r="6" spans="1:11" x14ac:dyDescent="0.25">
      <c r="A6" s="1974"/>
      <c r="B6" s="129" t="s">
        <v>34</v>
      </c>
      <c r="C6" s="658">
        <v>0</v>
      </c>
      <c r="D6" s="629">
        <f>12*($D$2-$E$2)</f>
        <v>0</v>
      </c>
      <c r="E6" s="630">
        <f>56*$E$2</f>
        <v>56</v>
      </c>
      <c r="F6" s="658">
        <v>0</v>
      </c>
      <c r="G6" s="814">
        <f xml:space="preserve"> SUM(C6:F6)</f>
        <v>56</v>
      </c>
      <c r="H6" s="813">
        <f>G6*20%</f>
        <v>11.200000000000001</v>
      </c>
      <c r="I6" s="813">
        <f>G6*20%</f>
        <v>11.200000000000001</v>
      </c>
      <c r="J6" s="813">
        <f>G6*60%</f>
        <v>33.6</v>
      </c>
      <c r="K6" s="2284"/>
    </row>
  </sheetData>
  <mergeCells count="8">
    <mergeCell ref="A4:A6"/>
    <mergeCell ref="K4:K6"/>
    <mergeCell ref="C1:C2"/>
    <mergeCell ref="G1:G2"/>
    <mergeCell ref="H1:H2"/>
    <mergeCell ref="I1:I2"/>
    <mergeCell ref="J1:J2"/>
    <mergeCell ref="K1:K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92"/>
  <dimension ref="A1:K6"/>
  <sheetViews>
    <sheetView workbookViewId="0">
      <selection activeCell="E6" sqref="E6"/>
    </sheetView>
  </sheetViews>
  <sheetFormatPr defaultColWidth="9.140625" defaultRowHeight="15" x14ac:dyDescent="0.25"/>
  <cols>
    <col min="1" max="1" width="35" style="1271" customWidth="1"/>
    <col min="2" max="2" width="9.140625" style="1271"/>
    <col min="3" max="3" width="19.28515625" style="1271" customWidth="1"/>
    <col min="4" max="4" width="13" style="1271" customWidth="1"/>
    <col min="5" max="5" width="14.28515625" style="1271" customWidth="1"/>
    <col min="6" max="6" width="15.7109375" style="1271" customWidth="1"/>
    <col min="7" max="7" width="16.85546875" style="1271" customWidth="1"/>
    <col min="8" max="8" width="11.7109375" style="1271" customWidth="1"/>
    <col min="9" max="9" width="13.140625" style="1271" customWidth="1"/>
    <col min="10" max="10" width="11.5703125" style="1271" customWidth="1"/>
    <col min="11" max="11" width="15.140625" style="1271" customWidth="1"/>
    <col min="12" max="16384" width="9.140625" style="1271"/>
  </cols>
  <sheetData>
    <row r="1" spans="1:11" ht="60" x14ac:dyDescent="0.25">
      <c r="A1" s="879" t="s">
        <v>1391</v>
      </c>
      <c r="B1" s="1376" t="s">
        <v>1228</v>
      </c>
      <c r="C1" s="2157" t="s">
        <v>1229</v>
      </c>
      <c r="D1" s="1377" t="s">
        <v>1421</v>
      </c>
      <c r="E1" s="1377" t="s">
        <v>1422</v>
      </c>
      <c r="F1" s="1386" t="s">
        <v>1427</v>
      </c>
      <c r="G1" s="2158" t="s">
        <v>38</v>
      </c>
      <c r="H1" s="2156" t="s">
        <v>715</v>
      </c>
      <c r="I1" s="2156" t="s">
        <v>714</v>
      </c>
      <c r="J1" s="2156" t="s">
        <v>713</v>
      </c>
      <c r="K1" s="2156" t="s">
        <v>272</v>
      </c>
    </row>
    <row r="2" spans="1:11" ht="15.75" x14ac:dyDescent="0.25">
      <c r="A2" s="1379" t="s">
        <v>36</v>
      </c>
      <c r="B2" s="206">
        <v>2</v>
      </c>
      <c r="C2" s="2157"/>
      <c r="D2" s="184">
        <f>ТрЗ_ОКиА!E182</f>
        <v>1</v>
      </c>
      <c r="E2" s="184">
        <f>ТрЗ_ОКиА!E183</f>
        <v>1</v>
      </c>
      <c r="F2" s="184"/>
      <c r="G2" s="2158"/>
      <c r="H2" s="2156"/>
      <c r="I2" s="2156"/>
      <c r="J2" s="2156"/>
      <c r="K2" s="2156"/>
    </row>
    <row r="3" spans="1:11" ht="15.75" x14ac:dyDescent="0.25">
      <c r="A3" s="1387" t="s">
        <v>1424</v>
      </c>
      <c r="B3" s="1387"/>
      <c r="C3" s="1387"/>
      <c r="D3" s="1387"/>
      <c r="E3" s="1387"/>
      <c r="F3" s="1387"/>
      <c r="G3" s="1387"/>
      <c r="H3" s="1385"/>
      <c r="I3" s="1385"/>
      <c r="J3" s="1385"/>
      <c r="K3" s="1385"/>
    </row>
    <row r="4" spans="1:11" x14ac:dyDescent="0.25">
      <c r="A4" s="2160" t="s">
        <v>1430</v>
      </c>
      <c r="B4" s="129" t="s">
        <v>32</v>
      </c>
      <c r="C4" s="658">
        <v>0</v>
      </c>
      <c r="D4" s="629">
        <f>6*($D$2-$E$2)</f>
        <v>0</v>
      </c>
      <c r="E4" s="630">
        <f>56*$E$2</f>
        <v>56</v>
      </c>
      <c r="F4" s="658">
        <v>0</v>
      </c>
      <c r="G4" s="814">
        <f xml:space="preserve"> SUM(C4:F4)</f>
        <v>56</v>
      </c>
      <c r="H4" s="813">
        <f>G4*50%</f>
        <v>28</v>
      </c>
      <c r="I4" s="813">
        <f>G4*30%</f>
        <v>16.8</v>
      </c>
      <c r="J4" s="813">
        <f>G4*20%</f>
        <v>11.200000000000001</v>
      </c>
      <c r="K4" s="2282" t="s">
        <v>1429</v>
      </c>
    </row>
    <row r="5" spans="1:11" x14ac:dyDescent="0.25">
      <c r="A5" s="2160"/>
      <c r="B5" s="129" t="s">
        <v>33</v>
      </c>
      <c r="C5" s="658">
        <v>0</v>
      </c>
      <c r="D5" s="629">
        <f>8*($D$2-$E$2)</f>
        <v>0</v>
      </c>
      <c r="E5" s="630">
        <f>64*$E$2</f>
        <v>64</v>
      </c>
      <c r="F5" s="658">
        <v>0</v>
      </c>
      <c r="G5" s="814">
        <f xml:space="preserve"> SUM(C5:F5)</f>
        <v>64</v>
      </c>
      <c r="H5" s="813">
        <f>G5*30%</f>
        <v>19.2</v>
      </c>
      <c r="I5" s="813">
        <f>G5*40%</f>
        <v>25.6</v>
      </c>
      <c r="J5" s="813">
        <f>G5*30%</f>
        <v>19.2</v>
      </c>
      <c r="K5" s="2283"/>
    </row>
    <row r="6" spans="1:11" x14ac:dyDescent="0.25">
      <c r="A6" s="2160"/>
      <c r="B6" s="129" t="s">
        <v>34</v>
      </c>
      <c r="C6" s="658">
        <v>0</v>
      </c>
      <c r="D6" s="629">
        <f>12*($D$2-$E$2)</f>
        <v>0</v>
      </c>
      <c r="E6" s="630">
        <f>72*$E$2</f>
        <v>72</v>
      </c>
      <c r="F6" s="658">
        <v>0</v>
      </c>
      <c r="G6" s="814">
        <f xml:space="preserve"> SUM(C6:F6)</f>
        <v>72</v>
      </c>
      <c r="H6" s="813">
        <f>G6*20%</f>
        <v>14.4</v>
      </c>
      <c r="I6" s="813">
        <f>G6*20%</f>
        <v>14.4</v>
      </c>
      <c r="J6" s="813">
        <f>G6*60%</f>
        <v>43.199999999999996</v>
      </c>
      <c r="K6" s="2284"/>
    </row>
  </sheetData>
  <mergeCells count="8">
    <mergeCell ref="A4:A6"/>
    <mergeCell ref="K4:K6"/>
    <mergeCell ref="C1:C2"/>
    <mergeCell ref="G1:G2"/>
    <mergeCell ref="H1:H2"/>
    <mergeCell ref="I1:I2"/>
    <mergeCell ref="J1:J2"/>
    <mergeCell ref="K1:K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Лист93"/>
  <dimension ref="A1:K6"/>
  <sheetViews>
    <sheetView workbookViewId="0">
      <selection activeCell="D2" sqref="D2"/>
    </sheetView>
  </sheetViews>
  <sheetFormatPr defaultColWidth="9.140625" defaultRowHeight="15" x14ac:dyDescent="0.25"/>
  <cols>
    <col min="1" max="1" width="44.7109375" style="1271" customWidth="1"/>
    <col min="2" max="3" width="9.140625" style="1271"/>
    <col min="4" max="4" width="11.7109375" style="1271" customWidth="1"/>
    <col min="5" max="5" width="16.5703125" style="1271" customWidth="1"/>
    <col min="6" max="16384" width="9.140625" style="1271"/>
  </cols>
  <sheetData>
    <row r="1" spans="1:11" ht="78.75" x14ac:dyDescent="0.25">
      <c r="A1" s="879" t="s">
        <v>1391</v>
      </c>
      <c r="B1" s="1376" t="s">
        <v>1228</v>
      </c>
      <c r="C1" s="2157" t="s">
        <v>1229</v>
      </c>
      <c r="D1" s="1377" t="s">
        <v>1421</v>
      </c>
      <c r="E1" s="1377" t="s">
        <v>1422</v>
      </c>
      <c r="F1" s="1386" t="s">
        <v>1427</v>
      </c>
      <c r="G1" s="2158" t="s">
        <v>38</v>
      </c>
      <c r="H1" s="2156" t="s">
        <v>715</v>
      </c>
      <c r="I1" s="2156" t="s">
        <v>714</v>
      </c>
      <c r="J1" s="2156" t="s">
        <v>713</v>
      </c>
      <c r="K1" s="2156" t="s">
        <v>272</v>
      </c>
    </row>
    <row r="2" spans="1:11" ht="15.75" x14ac:dyDescent="0.25">
      <c r="A2" s="1379" t="s">
        <v>36</v>
      </c>
      <c r="B2" s="206">
        <v>2</v>
      </c>
      <c r="C2" s="2157"/>
      <c r="D2" s="184">
        <f>ТрЗ_ОКиА!E288</f>
        <v>1</v>
      </c>
      <c r="E2" s="184">
        <f>ТрЗ_ОКиА!E289</f>
        <v>1</v>
      </c>
      <c r="F2" s="184"/>
      <c r="G2" s="2158"/>
      <c r="H2" s="2156"/>
      <c r="I2" s="2156"/>
      <c r="J2" s="2156"/>
      <c r="K2" s="2156"/>
    </row>
    <row r="3" spans="1:11" ht="15.75" x14ac:dyDescent="0.25">
      <c r="A3" s="1387" t="s">
        <v>1424</v>
      </c>
      <c r="B3" s="1387"/>
      <c r="C3" s="1387"/>
      <c r="D3" s="1387"/>
      <c r="E3" s="1387"/>
      <c r="F3" s="1387"/>
      <c r="G3" s="1387"/>
      <c r="H3" s="1385"/>
      <c r="I3" s="1385"/>
      <c r="J3" s="1385"/>
      <c r="K3" s="1385"/>
    </row>
    <row r="4" spans="1:11" x14ac:dyDescent="0.25">
      <c r="A4" s="1974" t="s">
        <v>1431</v>
      </c>
      <c r="B4" s="129" t="s">
        <v>32</v>
      </c>
      <c r="C4" s="658">
        <v>0</v>
      </c>
      <c r="D4" s="629">
        <f>8*($D$2-$E$2)</f>
        <v>0</v>
      </c>
      <c r="E4" s="630">
        <f>64*$E$2</f>
        <v>64</v>
      </c>
      <c r="F4" s="658">
        <v>0</v>
      </c>
      <c r="G4" s="814">
        <f xml:space="preserve"> SUM(C4:F4)</f>
        <v>64</v>
      </c>
      <c r="H4" s="813">
        <f>G4*50%</f>
        <v>32</v>
      </c>
      <c r="I4" s="813">
        <f>G4*30%</f>
        <v>19.2</v>
      </c>
      <c r="J4" s="813">
        <f>G4*20%</f>
        <v>12.8</v>
      </c>
      <c r="K4" s="2282" t="s">
        <v>1432</v>
      </c>
    </row>
    <row r="5" spans="1:11" x14ac:dyDescent="0.25">
      <c r="A5" s="1974"/>
      <c r="B5" s="129" t="s">
        <v>33</v>
      </c>
      <c r="C5" s="658">
        <v>0</v>
      </c>
      <c r="D5" s="629">
        <f>10*($D$2-$E$2)</f>
        <v>0</v>
      </c>
      <c r="E5" s="630">
        <f>72*$E$2</f>
        <v>72</v>
      </c>
      <c r="F5" s="658">
        <v>0</v>
      </c>
      <c r="G5" s="814">
        <f xml:space="preserve"> SUM(C5:F5)</f>
        <v>72</v>
      </c>
      <c r="H5" s="813">
        <f>G5*30%</f>
        <v>21.599999999999998</v>
      </c>
      <c r="I5" s="813">
        <f>G5*40%</f>
        <v>28.8</v>
      </c>
      <c r="J5" s="813">
        <f>G5*30%</f>
        <v>21.599999999999998</v>
      </c>
      <c r="K5" s="2283"/>
    </row>
    <row r="6" spans="1:11" x14ac:dyDescent="0.25">
      <c r="A6" s="1974"/>
      <c r="B6" s="129" t="s">
        <v>34</v>
      </c>
      <c r="C6" s="658">
        <v>0</v>
      </c>
      <c r="D6" s="629">
        <f>15*($D$2-$E$2)</f>
        <v>0</v>
      </c>
      <c r="E6" s="630">
        <f>80*$E$2</f>
        <v>80</v>
      </c>
      <c r="F6" s="658">
        <v>0</v>
      </c>
      <c r="G6" s="814">
        <f xml:space="preserve"> SUM(C6:F6)</f>
        <v>80</v>
      </c>
      <c r="H6" s="813">
        <f>G6*20%</f>
        <v>16</v>
      </c>
      <c r="I6" s="813">
        <f>G6*20%</f>
        <v>16</v>
      </c>
      <c r="J6" s="813">
        <f>G6*60%</f>
        <v>48</v>
      </c>
      <c r="K6" s="2284"/>
    </row>
  </sheetData>
  <mergeCells count="8">
    <mergeCell ref="A4:A6"/>
    <mergeCell ref="K4:K6"/>
    <mergeCell ref="C1:C2"/>
    <mergeCell ref="G1:G2"/>
    <mergeCell ref="H1:H2"/>
    <mergeCell ref="I1:I2"/>
    <mergeCell ref="J1:J2"/>
    <mergeCell ref="K1:K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Лист94"/>
  <dimension ref="A1:K6"/>
  <sheetViews>
    <sheetView workbookViewId="0">
      <selection activeCell="F2" sqref="F2"/>
    </sheetView>
  </sheetViews>
  <sheetFormatPr defaultColWidth="9.140625" defaultRowHeight="15" x14ac:dyDescent="0.25"/>
  <cols>
    <col min="1" max="1" width="36" style="1271" customWidth="1"/>
    <col min="2" max="2" width="13.140625" style="1271" customWidth="1"/>
    <col min="3" max="3" width="17.7109375" style="1271" customWidth="1"/>
    <col min="4" max="4" width="16.5703125" style="1271" customWidth="1"/>
    <col min="5" max="5" width="15.28515625" style="1271" customWidth="1"/>
    <col min="6" max="6" width="17.140625" style="1271" customWidth="1"/>
    <col min="7" max="7" width="12.5703125" style="1271" customWidth="1"/>
    <col min="8" max="8" width="15.42578125" style="1271" customWidth="1"/>
    <col min="9" max="9" width="14.7109375" style="1271" customWidth="1"/>
    <col min="10" max="10" width="12.85546875" style="1271" customWidth="1"/>
    <col min="11" max="16384" width="9.140625" style="1271"/>
  </cols>
  <sheetData>
    <row r="1" spans="1:11" ht="60" x14ac:dyDescent="0.25">
      <c r="A1" s="879" t="s">
        <v>1391</v>
      </c>
      <c r="B1" s="1389" t="s">
        <v>1228</v>
      </c>
      <c r="C1" s="2173" t="s">
        <v>1229</v>
      </c>
      <c r="D1" s="1377" t="s">
        <v>1421</v>
      </c>
      <c r="E1" s="1377" t="s">
        <v>1422</v>
      </c>
      <c r="F1" s="1386" t="s">
        <v>1427</v>
      </c>
      <c r="G1" s="2158" t="s">
        <v>38</v>
      </c>
      <c r="H1" s="2156" t="s">
        <v>715</v>
      </c>
      <c r="I1" s="2156" t="s">
        <v>714</v>
      </c>
      <c r="J1" s="2156" t="s">
        <v>713</v>
      </c>
      <c r="K1" s="2156" t="s">
        <v>272</v>
      </c>
    </row>
    <row r="2" spans="1:11" ht="15.75" x14ac:dyDescent="0.25">
      <c r="A2" s="1379" t="s">
        <v>36</v>
      </c>
      <c r="B2" s="1388">
        <v>2</v>
      </c>
      <c r="C2" s="2173"/>
      <c r="D2" s="184">
        <f>ТрЗ_ОКиА!E253</f>
        <v>2</v>
      </c>
      <c r="E2" s="184">
        <f>ТрЗ_ОКиА!E254</f>
        <v>2</v>
      </c>
      <c r="F2" s="184">
        <f>ТрЗ_ОКиА!E254</f>
        <v>2</v>
      </c>
      <c r="G2" s="2158"/>
      <c r="H2" s="2156"/>
      <c r="I2" s="2156"/>
      <c r="J2" s="2156"/>
      <c r="K2" s="2156"/>
    </row>
    <row r="3" spans="1:11" ht="15.75" x14ac:dyDescent="0.25">
      <c r="A3" s="1387" t="s">
        <v>1424</v>
      </c>
      <c r="B3" s="1387"/>
      <c r="C3" s="1387"/>
      <c r="D3" s="1387"/>
      <c r="E3" s="1387"/>
      <c r="F3" s="1387"/>
      <c r="G3" s="1387"/>
      <c r="H3" s="1385"/>
      <c r="I3" s="1385"/>
      <c r="J3" s="1385"/>
      <c r="K3" s="1385"/>
    </row>
    <row r="4" spans="1:11" x14ac:dyDescent="0.25">
      <c r="A4" s="1974" t="s">
        <v>1433</v>
      </c>
      <c r="B4" s="129" t="s">
        <v>32</v>
      </c>
      <c r="C4" s="658">
        <v>0</v>
      </c>
      <c r="D4" s="629">
        <f>6*($D$2-$E$2)</f>
        <v>0</v>
      </c>
      <c r="E4" s="630">
        <f>48*$E$2</f>
        <v>96</v>
      </c>
      <c r="F4" s="658">
        <v>0</v>
      </c>
      <c r="G4" s="814">
        <f xml:space="preserve"> SUM(C4:F4)</f>
        <v>96</v>
      </c>
      <c r="H4" s="813">
        <f>G4*50%</f>
        <v>48</v>
      </c>
      <c r="I4" s="813">
        <f>G4*30%</f>
        <v>28.799999999999997</v>
      </c>
      <c r="J4" s="813">
        <f>G4*20%</f>
        <v>19.200000000000003</v>
      </c>
      <c r="K4" s="2282" t="s">
        <v>1429</v>
      </c>
    </row>
    <row r="5" spans="1:11" x14ac:dyDescent="0.25">
      <c r="A5" s="1974"/>
      <c r="B5" s="129" t="s">
        <v>33</v>
      </c>
      <c r="C5" s="658">
        <v>0</v>
      </c>
      <c r="D5" s="629">
        <f>8*($D$2-$E$2)</f>
        <v>0</v>
      </c>
      <c r="E5" s="630">
        <f>56*$E$2</f>
        <v>112</v>
      </c>
      <c r="F5" s="658">
        <v>0</v>
      </c>
      <c r="G5" s="814">
        <f xml:space="preserve"> SUM(C5:F5)</f>
        <v>112</v>
      </c>
      <c r="H5" s="813">
        <f>G5*30%</f>
        <v>33.6</v>
      </c>
      <c r="I5" s="813">
        <f>G5*40%</f>
        <v>44.800000000000004</v>
      </c>
      <c r="J5" s="813">
        <f>G5*30%</f>
        <v>33.6</v>
      </c>
      <c r="K5" s="2283"/>
    </row>
    <row r="6" spans="1:11" x14ac:dyDescent="0.25">
      <c r="A6" s="1974"/>
      <c r="B6" s="129" t="s">
        <v>34</v>
      </c>
      <c r="C6" s="658">
        <v>0</v>
      </c>
      <c r="D6" s="629">
        <f>12*($D$2-$E$2)</f>
        <v>0</v>
      </c>
      <c r="E6" s="630">
        <f>64*$E$2</f>
        <v>128</v>
      </c>
      <c r="F6" s="658">
        <v>0</v>
      </c>
      <c r="G6" s="814">
        <f xml:space="preserve"> SUM(C6:F6)</f>
        <v>128</v>
      </c>
      <c r="H6" s="813">
        <f>G6*20%</f>
        <v>25.6</v>
      </c>
      <c r="I6" s="813">
        <f>G6*20%</f>
        <v>25.6</v>
      </c>
      <c r="J6" s="813">
        <f>G6*60%</f>
        <v>76.8</v>
      </c>
      <c r="K6" s="2284"/>
    </row>
  </sheetData>
  <mergeCells count="8">
    <mergeCell ref="A4:A6"/>
    <mergeCell ref="K4:K6"/>
    <mergeCell ref="C1:C2"/>
    <mergeCell ref="G1:G2"/>
    <mergeCell ref="H1:H2"/>
    <mergeCell ref="I1:I2"/>
    <mergeCell ref="J1:J2"/>
    <mergeCell ref="K1:K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Лист95"/>
  <dimension ref="A1:K16"/>
  <sheetViews>
    <sheetView workbookViewId="0">
      <selection activeCell="C32" sqref="C32"/>
    </sheetView>
  </sheetViews>
  <sheetFormatPr defaultColWidth="9.140625" defaultRowHeight="15" x14ac:dyDescent="0.25"/>
  <cols>
    <col min="1" max="1" width="53.42578125" style="1271" bestFit="1" customWidth="1"/>
    <col min="2" max="2" width="20.7109375" style="1271" customWidth="1"/>
    <col min="3" max="3" width="14" style="1271" customWidth="1"/>
    <col min="4" max="4" width="26.28515625" style="1271" bestFit="1" customWidth="1"/>
    <col min="5" max="5" width="19" style="1271" bestFit="1" customWidth="1"/>
    <col min="6" max="6" width="21.28515625" style="1271" customWidth="1"/>
    <col min="7" max="7" width="7.5703125" style="1271" bestFit="1" customWidth="1"/>
    <col min="8" max="8" width="11.28515625" style="1271" customWidth="1"/>
    <col min="9" max="9" width="11.42578125" style="1271" customWidth="1"/>
    <col min="10" max="10" width="11.5703125" style="1271" customWidth="1"/>
    <col min="11" max="11" width="39.85546875" style="1271" customWidth="1"/>
    <col min="12" max="16384" width="9.140625" style="1271"/>
  </cols>
  <sheetData>
    <row r="1" spans="1:11" ht="120" x14ac:dyDescent="0.25">
      <c r="A1" s="879" t="s">
        <v>1356</v>
      </c>
      <c r="B1" s="1376" t="s">
        <v>1228</v>
      </c>
      <c r="C1" s="2157" t="s">
        <v>1229</v>
      </c>
      <c r="D1" s="1377" t="s">
        <v>1434</v>
      </c>
      <c r="E1" s="1377" t="s">
        <v>1427</v>
      </c>
      <c r="F1" s="1377" t="s">
        <v>1427</v>
      </c>
      <c r="G1" s="2158" t="s">
        <v>38</v>
      </c>
      <c r="H1" s="2156" t="s">
        <v>715</v>
      </c>
      <c r="I1" s="2156" t="s">
        <v>714</v>
      </c>
      <c r="J1" s="2156" t="s">
        <v>713</v>
      </c>
      <c r="K1" s="2156" t="s">
        <v>272</v>
      </c>
    </row>
    <row r="2" spans="1:11" ht="15.75" x14ac:dyDescent="0.25">
      <c r="A2" s="1379" t="s">
        <v>36</v>
      </c>
      <c r="B2" s="206">
        <v>2</v>
      </c>
      <c r="C2" s="2157"/>
      <c r="D2" s="184">
        <f>ТрЗ_ОКиА!E280</f>
        <v>3</v>
      </c>
      <c r="E2" s="184">
        <v>0</v>
      </c>
      <c r="F2" s="184">
        <v>0</v>
      </c>
      <c r="G2" s="2158"/>
      <c r="H2" s="2156"/>
      <c r="I2" s="2156"/>
      <c r="J2" s="2156"/>
      <c r="K2" s="2156"/>
    </row>
    <row r="3" spans="1:11" ht="15.75" x14ac:dyDescent="0.25">
      <c r="A3" s="1387" t="s">
        <v>1435</v>
      </c>
      <c r="B3" s="1387"/>
      <c r="C3" s="1387"/>
      <c r="D3" s="1387"/>
      <c r="E3" s="1387"/>
      <c r="F3" s="1387"/>
      <c r="G3" s="1387"/>
      <c r="H3" s="1385"/>
      <c r="I3" s="1385"/>
      <c r="J3" s="1385"/>
      <c r="K3" s="1385"/>
    </row>
    <row r="4" spans="1:11" ht="15" customHeight="1" x14ac:dyDescent="0.25">
      <c r="A4" s="1974" t="s">
        <v>1435</v>
      </c>
      <c r="B4" s="129" t="s">
        <v>32</v>
      </c>
      <c r="C4" s="814">
        <v>0.5</v>
      </c>
      <c r="D4" s="629">
        <f>C4*$D$2</f>
        <v>1.5</v>
      </c>
      <c r="E4" s="813">
        <v>0</v>
      </c>
      <c r="F4" s="813">
        <v>0</v>
      </c>
      <c r="G4" s="814">
        <f xml:space="preserve"> SUM(D4:F4)</f>
        <v>1.5</v>
      </c>
      <c r="H4" s="813">
        <f>G4*50%</f>
        <v>0.75</v>
      </c>
      <c r="I4" s="813">
        <f>G4*50%</f>
        <v>0.75</v>
      </c>
      <c r="J4" s="813">
        <v>0</v>
      </c>
      <c r="K4" s="1846"/>
    </row>
    <row r="5" spans="1:11" ht="15" customHeight="1" x14ac:dyDescent="0.25">
      <c r="A5" s="1974"/>
      <c r="B5" s="129" t="s">
        <v>33</v>
      </c>
      <c r="C5" s="814">
        <v>0.5</v>
      </c>
      <c r="D5" s="629">
        <f t="shared" ref="D5:D16" si="0">C5*$D$2</f>
        <v>1.5</v>
      </c>
      <c r="E5" s="813">
        <v>0</v>
      </c>
      <c r="F5" s="813">
        <v>0</v>
      </c>
      <c r="G5" s="814">
        <f t="shared" ref="G5:G9" si="1" xml:space="preserve"> SUM(D5:F5)</f>
        <v>1.5</v>
      </c>
      <c r="H5" s="813">
        <f>G5*50%</f>
        <v>0.75</v>
      </c>
      <c r="I5" s="813">
        <f>G5*40%</f>
        <v>0.60000000000000009</v>
      </c>
      <c r="J5" s="813">
        <f>G5*10%</f>
        <v>0.15000000000000002</v>
      </c>
      <c r="K5" s="1847"/>
    </row>
    <row r="6" spans="1:11" ht="15" customHeight="1" x14ac:dyDescent="0.25">
      <c r="A6" s="1974"/>
      <c r="B6" s="129" t="s">
        <v>34</v>
      </c>
      <c r="C6" s="814">
        <v>0.5</v>
      </c>
      <c r="D6" s="629">
        <f t="shared" si="0"/>
        <v>1.5</v>
      </c>
      <c r="E6" s="813">
        <v>0</v>
      </c>
      <c r="F6" s="813">
        <v>0</v>
      </c>
      <c r="G6" s="814">
        <f t="shared" si="1"/>
        <v>1.5</v>
      </c>
      <c r="H6" s="813">
        <f>G6*20%</f>
        <v>0.30000000000000004</v>
      </c>
      <c r="I6" s="813">
        <f>G6*40%</f>
        <v>0.60000000000000009</v>
      </c>
      <c r="J6" s="813">
        <f>G6*40%</f>
        <v>0.60000000000000009</v>
      </c>
      <c r="K6" s="1848"/>
    </row>
    <row r="7" spans="1:11" ht="15" customHeight="1" x14ac:dyDescent="0.25">
      <c r="A7" s="2160" t="s">
        <v>1436</v>
      </c>
      <c r="B7" s="129" t="s">
        <v>32</v>
      </c>
      <c r="C7" s="814">
        <v>0.05</v>
      </c>
      <c r="D7" s="629">
        <f t="shared" si="0"/>
        <v>0.15000000000000002</v>
      </c>
      <c r="E7" s="813">
        <v>0</v>
      </c>
      <c r="F7" s="813">
        <v>0</v>
      </c>
      <c r="G7" s="814">
        <f t="shared" si="1"/>
        <v>0.15000000000000002</v>
      </c>
      <c r="H7" s="813">
        <f>G7*50%</f>
        <v>7.5000000000000011E-2</v>
      </c>
      <c r="I7" s="813">
        <f>G7*50%</f>
        <v>7.5000000000000011E-2</v>
      </c>
      <c r="J7" s="813">
        <v>0</v>
      </c>
      <c r="K7" s="1846"/>
    </row>
    <row r="8" spans="1:11" ht="15" customHeight="1" x14ac:dyDescent="0.25">
      <c r="A8" s="2160"/>
      <c r="B8" s="129" t="s">
        <v>33</v>
      </c>
      <c r="C8" s="814">
        <v>7.4999999999999997E-2</v>
      </c>
      <c r="D8" s="629">
        <f t="shared" si="0"/>
        <v>0.22499999999999998</v>
      </c>
      <c r="E8" s="813">
        <v>0</v>
      </c>
      <c r="F8" s="813">
        <v>0</v>
      </c>
      <c r="G8" s="814">
        <f t="shared" si="1"/>
        <v>0.22499999999999998</v>
      </c>
      <c r="H8" s="813">
        <f>G8*50%</f>
        <v>0.11249999999999999</v>
      </c>
      <c r="I8" s="813">
        <f>G8*40%</f>
        <v>0.09</v>
      </c>
      <c r="J8" s="813">
        <f>G8*10%</f>
        <v>2.2499999999999999E-2</v>
      </c>
      <c r="K8" s="1847"/>
    </row>
    <row r="9" spans="1:11" ht="15" customHeight="1" x14ac:dyDescent="0.25">
      <c r="A9" s="2160"/>
      <c r="B9" s="129" t="s">
        <v>34</v>
      </c>
      <c r="C9" s="814">
        <v>0.1</v>
      </c>
      <c r="D9" s="629">
        <f t="shared" si="0"/>
        <v>0.30000000000000004</v>
      </c>
      <c r="E9" s="813">
        <v>0</v>
      </c>
      <c r="F9" s="813">
        <v>0</v>
      </c>
      <c r="G9" s="814">
        <f t="shared" si="1"/>
        <v>0.30000000000000004</v>
      </c>
      <c r="H9" s="813">
        <f>G9*20%</f>
        <v>6.0000000000000012E-2</v>
      </c>
      <c r="I9" s="813">
        <f>G9*40%</f>
        <v>0.12000000000000002</v>
      </c>
      <c r="J9" s="813">
        <f>G9*40%</f>
        <v>0.12000000000000002</v>
      </c>
      <c r="K9" s="1848"/>
    </row>
    <row r="10" spans="1:11" ht="15.75" x14ac:dyDescent="0.25">
      <c r="A10" s="1387" t="s">
        <v>1437</v>
      </c>
      <c r="B10" s="1387"/>
      <c r="C10" s="1387"/>
      <c r="D10" s="1387"/>
      <c r="E10" s="1387"/>
      <c r="F10" s="1387"/>
      <c r="G10" s="1387"/>
      <c r="H10" s="1385"/>
      <c r="I10" s="1385"/>
      <c r="J10" s="1385"/>
      <c r="K10" s="1385"/>
    </row>
    <row r="11" spans="1:11" x14ac:dyDescent="0.25">
      <c r="A11" s="2286" t="s">
        <v>1437</v>
      </c>
      <c r="B11" s="129" t="s">
        <v>32</v>
      </c>
      <c r="C11" s="814">
        <v>0.7</v>
      </c>
      <c r="D11" s="629">
        <f t="shared" si="0"/>
        <v>2.0999999999999996</v>
      </c>
      <c r="E11" s="813">
        <v>0</v>
      </c>
      <c r="F11" s="813">
        <v>0</v>
      </c>
      <c r="G11" s="814">
        <f xml:space="preserve"> SUM(D11:F11)</f>
        <v>2.0999999999999996</v>
      </c>
      <c r="H11" s="813">
        <f>G11*50%</f>
        <v>1.0499999999999998</v>
      </c>
      <c r="I11" s="813">
        <f>G11*50%</f>
        <v>1.0499999999999998</v>
      </c>
      <c r="J11" s="813">
        <v>0</v>
      </c>
      <c r="K11" s="1846" t="s">
        <v>1438</v>
      </c>
    </row>
    <row r="12" spans="1:11" x14ac:dyDescent="0.25">
      <c r="A12" s="2287"/>
      <c r="B12" s="129" t="s">
        <v>33</v>
      </c>
      <c r="C12" s="814">
        <v>1.2</v>
      </c>
      <c r="D12" s="629">
        <f t="shared" si="0"/>
        <v>3.5999999999999996</v>
      </c>
      <c r="E12" s="813">
        <v>0</v>
      </c>
      <c r="F12" s="813">
        <v>0</v>
      </c>
      <c r="G12" s="814">
        <f xml:space="preserve"> SUM(D12:F12)</f>
        <v>3.5999999999999996</v>
      </c>
      <c r="H12" s="813">
        <f>G12*50%</f>
        <v>1.7999999999999998</v>
      </c>
      <c r="I12" s="813">
        <f>G12*40%</f>
        <v>1.44</v>
      </c>
      <c r="J12" s="813">
        <f>G12*10%</f>
        <v>0.36</v>
      </c>
      <c r="K12" s="1847"/>
    </row>
    <row r="13" spans="1:11" x14ac:dyDescent="0.25">
      <c r="A13" s="1986"/>
      <c r="B13" s="129" t="s">
        <v>34</v>
      </c>
      <c r="C13" s="814">
        <v>1.5</v>
      </c>
      <c r="D13" s="629">
        <f t="shared" si="0"/>
        <v>4.5</v>
      </c>
      <c r="E13" s="813">
        <v>0</v>
      </c>
      <c r="F13" s="813">
        <v>0</v>
      </c>
      <c r="G13" s="814">
        <f xml:space="preserve"> SUM(D13:F13)</f>
        <v>4.5</v>
      </c>
      <c r="H13" s="813">
        <f>G13*20%</f>
        <v>0.9</v>
      </c>
      <c r="I13" s="813">
        <f>G13*40%</f>
        <v>1.8</v>
      </c>
      <c r="J13" s="813">
        <f>G13*40%</f>
        <v>1.8</v>
      </c>
      <c r="K13" s="1848"/>
    </row>
    <row r="14" spans="1:11" x14ac:dyDescent="0.25">
      <c r="A14" s="2285" t="s">
        <v>1439</v>
      </c>
      <c r="B14" s="129" t="s">
        <v>32</v>
      </c>
      <c r="C14" s="814">
        <v>0.5</v>
      </c>
      <c r="D14" s="629">
        <f t="shared" si="0"/>
        <v>1.5</v>
      </c>
      <c r="E14" s="813">
        <v>0</v>
      </c>
      <c r="F14" s="813">
        <v>0</v>
      </c>
      <c r="G14" s="814">
        <f xml:space="preserve"> SUM(C14:F14)</f>
        <v>2</v>
      </c>
      <c r="H14" s="813">
        <f>G14*50%</f>
        <v>1</v>
      </c>
      <c r="I14" s="813">
        <f>G14*50%</f>
        <v>1</v>
      </c>
      <c r="J14" s="813">
        <v>0</v>
      </c>
      <c r="K14" s="1846" t="s">
        <v>1440</v>
      </c>
    </row>
    <row r="15" spans="1:11" x14ac:dyDescent="0.25">
      <c r="A15" s="2285"/>
      <c r="B15" s="129" t="s">
        <v>33</v>
      </c>
      <c r="C15" s="814">
        <v>1</v>
      </c>
      <c r="D15" s="629">
        <f t="shared" si="0"/>
        <v>3</v>
      </c>
      <c r="E15" s="813">
        <v>0</v>
      </c>
      <c r="F15" s="813">
        <v>0</v>
      </c>
      <c r="G15" s="814">
        <f xml:space="preserve"> SUM(C15:F15)</f>
        <v>4</v>
      </c>
      <c r="H15" s="813">
        <f>G15*50%</f>
        <v>2</v>
      </c>
      <c r="I15" s="813">
        <f>G15*40%</f>
        <v>1.6</v>
      </c>
      <c r="J15" s="813">
        <f>G15*10%</f>
        <v>0.4</v>
      </c>
      <c r="K15" s="1847"/>
    </row>
    <row r="16" spans="1:11" x14ac:dyDescent="0.25">
      <c r="A16" s="2285"/>
      <c r="B16" s="129" t="s">
        <v>34</v>
      </c>
      <c r="C16" s="814">
        <v>1.5</v>
      </c>
      <c r="D16" s="629">
        <f t="shared" si="0"/>
        <v>4.5</v>
      </c>
      <c r="E16" s="813">
        <v>0</v>
      </c>
      <c r="F16" s="813">
        <v>0</v>
      </c>
      <c r="G16" s="814">
        <f xml:space="preserve"> SUM(C16:F16)</f>
        <v>6</v>
      </c>
      <c r="H16" s="813">
        <f>G16*20%</f>
        <v>1.2000000000000002</v>
      </c>
      <c r="I16" s="813">
        <f>G16*40%</f>
        <v>2.4000000000000004</v>
      </c>
      <c r="J16" s="813">
        <f>G16*40%</f>
        <v>2.4000000000000004</v>
      </c>
      <c r="K16" s="1848"/>
    </row>
  </sheetData>
  <mergeCells count="14">
    <mergeCell ref="A14:A16"/>
    <mergeCell ref="K14:K16"/>
    <mergeCell ref="A4:A6"/>
    <mergeCell ref="K4:K6"/>
    <mergeCell ref="A7:A9"/>
    <mergeCell ref="K7:K9"/>
    <mergeCell ref="A11:A13"/>
    <mergeCell ref="K11:K13"/>
    <mergeCell ref="K1:K2"/>
    <mergeCell ref="C1:C2"/>
    <mergeCell ref="G1:G2"/>
    <mergeCell ref="H1:H2"/>
    <mergeCell ref="I1:I2"/>
    <mergeCell ref="J1:J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Лист96"/>
  <dimension ref="A1:P39"/>
  <sheetViews>
    <sheetView zoomScale="80" zoomScaleNormal="80" workbookViewId="0">
      <selection activeCell="E3" sqref="E3"/>
    </sheetView>
  </sheetViews>
  <sheetFormatPr defaultColWidth="9.140625" defaultRowHeight="15" x14ac:dyDescent="0.25"/>
  <cols>
    <col min="1" max="1" width="53.42578125" style="1271" bestFit="1" customWidth="1"/>
    <col min="2" max="2" width="23.5703125" style="1271" bestFit="1" customWidth="1"/>
    <col min="3" max="3" width="23.5703125" style="1271" customWidth="1"/>
    <col min="4" max="4" width="26.28515625" style="1271" bestFit="1" customWidth="1"/>
    <col min="5" max="5" width="19" style="1271" bestFit="1" customWidth="1"/>
    <col min="6" max="6" width="28.7109375" style="1271" bestFit="1" customWidth="1"/>
    <col min="7" max="7" width="7.5703125" style="1271" bestFit="1" customWidth="1"/>
    <col min="8" max="8" width="11.28515625" style="1271" customWidth="1"/>
    <col min="9" max="9" width="11.42578125" style="1271" customWidth="1"/>
    <col min="10" max="10" width="11.5703125" style="1271" customWidth="1"/>
    <col min="11" max="11" width="82.140625" style="1271" customWidth="1"/>
    <col min="12" max="16384" width="9.140625" style="1271"/>
  </cols>
  <sheetData>
    <row r="1" spans="1:16" ht="60" x14ac:dyDescent="0.25">
      <c r="A1" s="879" t="s">
        <v>1391</v>
      </c>
      <c r="B1" s="1376" t="s">
        <v>1228</v>
      </c>
      <c r="C1" s="2157" t="s">
        <v>1229</v>
      </c>
      <c r="D1" s="1377" t="s">
        <v>1421</v>
      </c>
      <c r="E1" s="1377" t="s">
        <v>1441</v>
      </c>
      <c r="F1" s="1386" t="s">
        <v>1427</v>
      </c>
      <c r="G1" s="2158" t="s">
        <v>38</v>
      </c>
      <c r="H1" s="2156" t="s">
        <v>715</v>
      </c>
      <c r="I1" s="2156" t="s">
        <v>714</v>
      </c>
      <c r="J1" s="2156" t="s">
        <v>713</v>
      </c>
      <c r="K1" s="2156" t="s">
        <v>272</v>
      </c>
      <c r="M1" s="2198" t="s">
        <v>1233</v>
      </c>
      <c r="N1" s="2200"/>
    </row>
    <row r="2" spans="1:16" ht="15.75" customHeight="1" x14ac:dyDescent="0.25">
      <c r="A2" s="1379" t="s">
        <v>36</v>
      </c>
      <c r="B2" s="206">
        <v>2</v>
      </c>
      <c r="C2" s="2157"/>
      <c r="D2" s="184">
        <f>ТрЗ_ОКиА!E223</f>
        <v>1</v>
      </c>
      <c r="E2" s="184">
        <f>IF(ТрЗ_ОКиА!E224="Да",1,0)</f>
        <v>1</v>
      </c>
      <c r="F2" s="184" t="e">
        <f>ТрЗ_ОКиА!#REF!</f>
        <v>#REF!</v>
      </c>
      <c r="G2" s="2158"/>
      <c r="H2" s="2156"/>
      <c r="I2" s="2156"/>
      <c r="J2" s="2156"/>
      <c r="K2" s="2156"/>
      <c r="M2" s="2289"/>
      <c r="N2" s="2290"/>
    </row>
    <row r="3" spans="1:16" ht="15.75" customHeight="1" x14ac:dyDescent="0.25">
      <c r="A3" s="1387" t="s">
        <v>1442</v>
      </c>
      <c r="B3" s="1387"/>
      <c r="C3" s="1387"/>
      <c r="D3" s="1387"/>
      <c r="E3" s="1387"/>
      <c r="F3" s="1387"/>
      <c r="G3" s="1387"/>
      <c r="H3" s="1385"/>
      <c r="I3" s="1385"/>
      <c r="J3" s="1385"/>
      <c r="K3" s="1385"/>
      <c r="M3" s="2201"/>
      <c r="N3" s="2203"/>
    </row>
    <row r="4" spans="1:16" x14ac:dyDescent="0.25">
      <c r="A4" s="2288" t="s">
        <v>1443</v>
      </c>
      <c r="B4" s="129" t="s">
        <v>32</v>
      </c>
      <c r="C4" s="658">
        <f>ROUND(30/60,2)</f>
        <v>0.5</v>
      </c>
      <c r="D4" s="629">
        <f>ROUND($D$2*45/60,2)</f>
        <v>0.75</v>
      </c>
      <c r="E4" s="630">
        <f>IF($E$2=1, 1, 0)</f>
        <v>1</v>
      </c>
      <c r="F4" s="658"/>
      <c r="G4" s="814">
        <f t="shared" ref="G4:G9" si="0" xml:space="preserve"> SUM(C4:F4)</f>
        <v>2.25</v>
      </c>
      <c r="H4" s="813">
        <f>G4*50%</f>
        <v>1.125</v>
      </c>
      <c r="I4" s="813">
        <f>G4*30%</f>
        <v>0.67499999999999993</v>
      </c>
      <c r="J4" s="813">
        <f>G4*20%</f>
        <v>0.45</v>
      </c>
      <c r="K4" s="2159"/>
      <c r="M4" s="879">
        <v>20</v>
      </c>
      <c r="N4" s="879">
        <f>1+M4/100</f>
        <v>1.2</v>
      </c>
    </row>
    <row r="5" spans="1:16" x14ac:dyDescent="0.25">
      <c r="A5" s="2288"/>
      <c r="B5" s="129" t="s">
        <v>33</v>
      </c>
      <c r="C5" s="813">
        <f>ROUND(45/60,2)</f>
        <v>0.75</v>
      </c>
      <c r="D5" s="629">
        <f>ROUND($D$2*60/60,2)</f>
        <v>1</v>
      </c>
      <c r="E5" s="630">
        <f>IF($E$2=1, 1, 0)</f>
        <v>1</v>
      </c>
      <c r="F5" s="658"/>
      <c r="G5" s="814">
        <f t="shared" si="0"/>
        <v>2.75</v>
      </c>
      <c r="H5" s="813">
        <f>G5*30%</f>
        <v>0.82499999999999996</v>
      </c>
      <c r="I5" s="813">
        <f>G5*40%</f>
        <v>1.1000000000000001</v>
      </c>
      <c r="J5" s="813">
        <f>G5*30%</f>
        <v>0.82499999999999996</v>
      </c>
      <c r="K5" s="2159"/>
      <c r="M5" s="879">
        <v>50</v>
      </c>
      <c r="N5" s="879">
        <f>1+M5/100</f>
        <v>1.5</v>
      </c>
    </row>
    <row r="6" spans="1:16" x14ac:dyDescent="0.25">
      <c r="A6" s="2288"/>
      <c r="B6" s="129" t="s">
        <v>34</v>
      </c>
      <c r="C6" s="813">
        <f>ROUND(90/60,2)</f>
        <v>1.5</v>
      </c>
      <c r="D6" s="629">
        <f>ROUND($D$2*90/60,2)</f>
        <v>1.5</v>
      </c>
      <c r="E6" s="630">
        <f>IF($E$2=1, 2, 0)</f>
        <v>2</v>
      </c>
      <c r="F6" s="658"/>
      <c r="G6" s="814">
        <f t="shared" si="0"/>
        <v>5</v>
      </c>
      <c r="H6" s="813">
        <f>G6*10%</f>
        <v>0.5</v>
      </c>
      <c r="I6" s="813">
        <f>G6*40%</f>
        <v>2</v>
      </c>
      <c r="J6" s="813">
        <f>G6*50%</f>
        <v>2.5</v>
      </c>
      <c r="K6" s="2159"/>
      <c r="M6" s="879">
        <v>70</v>
      </c>
      <c r="N6" s="879">
        <f>1+M6/100</f>
        <v>1.7</v>
      </c>
    </row>
    <row r="7" spans="1:16" x14ac:dyDescent="0.25">
      <c r="A7" s="2288" t="s">
        <v>1444</v>
      </c>
      <c r="B7" s="129" t="s">
        <v>32</v>
      </c>
      <c r="C7" s="814">
        <f>ROUND((1.5+4+1+40)*N4,2)</f>
        <v>55.8</v>
      </c>
      <c r="D7" s="629">
        <f>ROUND(($D$2-1)*(4+1+10)*N4,2)</f>
        <v>0</v>
      </c>
      <c r="E7" s="658">
        <v>0</v>
      </c>
      <c r="F7" s="658"/>
      <c r="G7" s="814">
        <f t="shared" si="0"/>
        <v>55.8</v>
      </c>
      <c r="H7" s="813">
        <f>G7*70%</f>
        <v>39.059999999999995</v>
      </c>
      <c r="I7" s="813">
        <f>G7*20%</f>
        <v>11.16</v>
      </c>
      <c r="J7" s="813">
        <f>G7*10%</f>
        <v>5.58</v>
      </c>
      <c r="K7" s="2282" t="s">
        <v>1445</v>
      </c>
    </row>
    <row r="8" spans="1:16" x14ac:dyDescent="0.25">
      <c r="A8" s="2288"/>
      <c r="B8" s="129" t="s">
        <v>33</v>
      </c>
      <c r="C8" s="814">
        <f>ROUND((2+4+1+40)*N5,2)</f>
        <v>70.5</v>
      </c>
      <c r="D8" s="629">
        <f>ROUND(($D$2-1)*(4+1+16)*N5,2)</f>
        <v>0</v>
      </c>
      <c r="E8" s="658">
        <v>0</v>
      </c>
      <c r="F8" s="658"/>
      <c r="G8" s="814">
        <f t="shared" si="0"/>
        <v>70.5</v>
      </c>
      <c r="H8" s="813">
        <f>G8*50%</f>
        <v>35.25</v>
      </c>
      <c r="I8" s="813">
        <f>G8*25%</f>
        <v>17.625</v>
      </c>
      <c r="J8" s="813">
        <f>G8*25%</f>
        <v>17.625</v>
      </c>
      <c r="K8" s="2283"/>
    </row>
    <row r="9" spans="1:16" x14ac:dyDescent="0.25">
      <c r="A9" s="2288"/>
      <c r="B9" s="129" t="s">
        <v>34</v>
      </c>
      <c r="C9" s="814">
        <f>ROUND((5+4+1+40)*N6,2)</f>
        <v>85</v>
      </c>
      <c r="D9" s="629">
        <f>ROUND(($D$2-1)*(4+1+20)*N6,2)</f>
        <v>0</v>
      </c>
      <c r="E9" s="658">
        <v>0</v>
      </c>
      <c r="F9" s="658"/>
      <c r="G9" s="814">
        <f t="shared" si="0"/>
        <v>85</v>
      </c>
      <c r="H9" s="813">
        <f>G9*40%</f>
        <v>34</v>
      </c>
      <c r="I9" s="813">
        <f>G9*30%</f>
        <v>25.5</v>
      </c>
      <c r="J9" s="813">
        <f>G9*30%</f>
        <v>25.5</v>
      </c>
      <c r="K9" s="2284"/>
    </row>
    <row r="10" spans="1:16" x14ac:dyDescent="0.25">
      <c r="A10" s="2288" t="s">
        <v>1446</v>
      </c>
      <c r="B10" s="129" t="s">
        <v>32</v>
      </c>
      <c r="C10" s="658">
        <v>0</v>
      </c>
      <c r="D10" s="629">
        <f>$D$2*(2+1+2+1+6+4+10)</f>
        <v>26</v>
      </c>
      <c r="E10" s="658">
        <v>0</v>
      </c>
      <c r="F10" s="658"/>
      <c r="G10" s="814">
        <f t="shared" ref="G10:G33" si="1" xml:space="preserve"> SUM(C10:F10)</f>
        <v>26</v>
      </c>
      <c r="H10" s="813">
        <f>G10*60%</f>
        <v>15.6</v>
      </c>
      <c r="I10" s="813">
        <f>G10*20%</f>
        <v>5.2</v>
      </c>
      <c r="J10" s="813">
        <f>G10*20%</f>
        <v>5.2</v>
      </c>
      <c r="K10" s="129"/>
      <c r="M10" s="1271" t="s">
        <v>52</v>
      </c>
    </row>
    <row r="11" spans="1:16" x14ac:dyDescent="0.25">
      <c r="A11" s="2288"/>
      <c r="B11" s="129" t="s">
        <v>33</v>
      </c>
      <c r="C11" s="658">
        <v>0</v>
      </c>
      <c r="D11" s="629">
        <f>$D$2*(3+2+2+2+8+8+16)</f>
        <v>41</v>
      </c>
      <c r="E11" s="658">
        <v>0</v>
      </c>
      <c r="F11" s="658"/>
      <c r="G11" s="814">
        <f t="shared" si="1"/>
        <v>41</v>
      </c>
      <c r="H11" s="813">
        <f>G11*30%</f>
        <v>12.299999999999999</v>
      </c>
      <c r="I11" s="813">
        <f>G11*40%</f>
        <v>16.400000000000002</v>
      </c>
      <c r="J11" s="813">
        <f>G11*30%</f>
        <v>12.299999999999999</v>
      </c>
      <c r="K11" s="129"/>
      <c r="M11" s="1271">
        <f>G4+G7+G10+G13+G16+G19+G22+G25+G28+G31+G34+G37</f>
        <v>109.24999999999999</v>
      </c>
      <c r="N11" s="1271">
        <f t="shared" ref="N11:P13" si="2">H4+H7+H10+H13+H16+H19+H22+H25+H28+H31+H34+H37</f>
        <v>71.965000000000003</v>
      </c>
      <c r="O11" s="1271">
        <f t="shared" si="2"/>
        <v>23.175000000000001</v>
      </c>
      <c r="P11" s="1271">
        <f t="shared" si="2"/>
        <v>14.11</v>
      </c>
    </row>
    <row r="12" spans="1:16" ht="31.5" customHeight="1" x14ac:dyDescent="0.25">
      <c r="A12" s="2288"/>
      <c r="B12" s="129" t="s">
        <v>34</v>
      </c>
      <c r="C12" s="658">
        <v>0</v>
      </c>
      <c r="D12" s="629">
        <f>$D$2*(4+2+4+3+12+10+20)</f>
        <v>55</v>
      </c>
      <c r="E12" s="658">
        <v>0</v>
      </c>
      <c r="F12" s="658"/>
      <c r="G12" s="814">
        <f t="shared" si="1"/>
        <v>55</v>
      </c>
      <c r="H12" s="813">
        <f>G12*20%</f>
        <v>11</v>
      </c>
      <c r="I12" s="813">
        <f>G12*40%</f>
        <v>22</v>
      </c>
      <c r="J12" s="813">
        <f>G12*40%</f>
        <v>22</v>
      </c>
      <c r="K12" s="129"/>
      <c r="M12" s="1271">
        <f>G5+G8+G11+G14+G17+G20+G23+G26+G29+G32+G35+G38</f>
        <v>153.75</v>
      </c>
      <c r="N12" s="1271">
        <f t="shared" si="2"/>
        <v>70.025000000000006</v>
      </c>
      <c r="O12" s="1271">
        <f t="shared" si="2"/>
        <v>45.2</v>
      </c>
      <c r="P12" s="1271">
        <f t="shared" si="2"/>
        <v>38.524999999999999</v>
      </c>
    </row>
    <row r="13" spans="1:16" x14ac:dyDescent="0.25">
      <c r="A13" s="2288" t="s">
        <v>1447</v>
      </c>
      <c r="B13" s="129" t="s">
        <v>32</v>
      </c>
      <c r="C13" s="814">
        <f>0.5</f>
        <v>0.5</v>
      </c>
      <c r="D13" s="629">
        <f>ROUND($D$2*0.5,2)</f>
        <v>0.5</v>
      </c>
      <c r="E13" s="630">
        <f>IF($E$2=1, 1, 0)</f>
        <v>1</v>
      </c>
      <c r="F13" s="658"/>
      <c r="G13" s="814">
        <f t="shared" si="1"/>
        <v>2</v>
      </c>
      <c r="H13" s="813">
        <f>G13*60%</f>
        <v>1.2</v>
      </c>
      <c r="I13" s="813">
        <f>G13*20%</f>
        <v>0.4</v>
      </c>
      <c r="J13" s="813">
        <f>G13*20%</f>
        <v>0.4</v>
      </c>
      <c r="K13" s="129"/>
      <c r="M13" s="1271">
        <f>G6+G9+G12+G15+G18+G21+G24+G27+G30+G33+G36+G39</f>
        <v>218.29999999999998</v>
      </c>
      <c r="N13" s="1271">
        <f t="shared" si="2"/>
        <v>70.319999999999993</v>
      </c>
      <c r="O13" s="1271">
        <f t="shared" si="2"/>
        <v>73.739999999999995</v>
      </c>
      <c r="P13" s="1271">
        <f t="shared" si="2"/>
        <v>74.239999999999995</v>
      </c>
    </row>
    <row r="14" spans="1:16" x14ac:dyDescent="0.25">
      <c r="A14" s="2288"/>
      <c r="B14" s="129" t="s">
        <v>33</v>
      </c>
      <c r="C14" s="814">
        <f>0.5</f>
        <v>0.5</v>
      </c>
      <c r="D14" s="629">
        <f>ROUND($D$2*1,2)</f>
        <v>1</v>
      </c>
      <c r="E14" s="630">
        <f>IF($E$2=1, 1, 0)</f>
        <v>1</v>
      </c>
      <c r="F14" s="658"/>
      <c r="G14" s="814">
        <f t="shared" si="1"/>
        <v>2.5</v>
      </c>
      <c r="H14" s="813">
        <f>G14*50%</f>
        <v>1.25</v>
      </c>
      <c r="I14" s="813">
        <f>G14*30%</f>
        <v>0.75</v>
      </c>
      <c r="J14" s="813">
        <f>G14*20%</f>
        <v>0.5</v>
      </c>
      <c r="K14" s="129"/>
    </row>
    <row r="15" spans="1:16" x14ac:dyDescent="0.25">
      <c r="A15" s="2288"/>
      <c r="B15" s="129" t="s">
        <v>34</v>
      </c>
      <c r="C15" s="814">
        <f>1</f>
        <v>1</v>
      </c>
      <c r="D15" s="629">
        <f>ROUND($D$2*2,2)</f>
        <v>2</v>
      </c>
      <c r="E15" s="630">
        <f>IF($E$2=1, 2, 0)</f>
        <v>2</v>
      </c>
      <c r="F15" s="658"/>
      <c r="G15" s="814">
        <f t="shared" si="1"/>
        <v>5</v>
      </c>
      <c r="H15" s="813">
        <f>G15*20%</f>
        <v>1</v>
      </c>
      <c r="I15" s="813">
        <f>G15*40%</f>
        <v>2</v>
      </c>
      <c r="J15" s="813">
        <f>G15*40%</f>
        <v>2</v>
      </c>
      <c r="K15" s="129"/>
    </row>
    <row r="16" spans="1:16" x14ac:dyDescent="0.25">
      <c r="A16" s="2288" t="s">
        <v>1448</v>
      </c>
      <c r="B16" s="129" t="s">
        <v>32</v>
      </c>
      <c r="C16" s="658">
        <v>0</v>
      </c>
      <c r="D16" s="629">
        <f>ROUND($D$2*0.4,2)</f>
        <v>0.4</v>
      </c>
      <c r="E16" s="658">
        <v>0</v>
      </c>
      <c r="F16" s="658"/>
      <c r="G16" s="814">
        <f t="shared" si="1"/>
        <v>0.4</v>
      </c>
      <c r="H16" s="813">
        <f>G16*70%</f>
        <v>0.27999999999999997</v>
      </c>
      <c r="I16" s="813">
        <f>G16*20%</f>
        <v>8.0000000000000016E-2</v>
      </c>
      <c r="J16" s="813">
        <f>G16*10%</f>
        <v>4.0000000000000008E-2</v>
      </c>
      <c r="K16" s="129"/>
    </row>
    <row r="17" spans="1:11" x14ac:dyDescent="0.25">
      <c r="A17" s="2288"/>
      <c r="B17" s="129" t="s">
        <v>33</v>
      </c>
      <c r="C17" s="658">
        <v>0</v>
      </c>
      <c r="D17" s="629">
        <f>ROUND($D$2*0.5,2)</f>
        <v>0.5</v>
      </c>
      <c r="E17" s="658">
        <v>0</v>
      </c>
      <c r="F17" s="658"/>
      <c r="G17" s="814">
        <f t="shared" si="1"/>
        <v>0.5</v>
      </c>
      <c r="H17" s="813">
        <f>G17*60%</f>
        <v>0.3</v>
      </c>
      <c r="I17" s="813">
        <f>G17*25%</f>
        <v>0.125</v>
      </c>
      <c r="J17" s="813">
        <f>G17*15%</f>
        <v>7.4999999999999997E-2</v>
      </c>
      <c r="K17" s="129"/>
    </row>
    <row r="18" spans="1:11" ht="33.75" customHeight="1" x14ac:dyDescent="0.25">
      <c r="A18" s="2288"/>
      <c r="B18" s="129" t="s">
        <v>34</v>
      </c>
      <c r="C18" s="658">
        <v>0</v>
      </c>
      <c r="D18" s="629">
        <f>ROUND($D$2*2,2)</f>
        <v>2</v>
      </c>
      <c r="E18" s="658">
        <v>0</v>
      </c>
      <c r="F18" s="658"/>
      <c r="G18" s="814">
        <f t="shared" si="1"/>
        <v>2</v>
      </c>
      <c r="H18" s="813">
        <f>G18*40%</f>
        <v>0.8</v>
      </c>
      <c r="I18" s="813">
        <f>G18*30%</f>
        <v>0.6</v>
      </c>
      <c r="J18" s="813">
        <f>G18*30%</f>
        <v>0.6</v>
      </c>
      <c r="K18" s="129"/>
    </row>
    <row r="19" spans="1:11" x14ac:dyDescent="0.25">
      <c r="A19" s="2288" t="s">
        <v>1449</v>
      </c>
      <c r="B19" s="129" t="s">
        <v>32</v>
      </c>
      <c r="C19" s="814">
        <f>0.5</f>
        <v>0.5</v>
      </c>
      <c r="D19" s="658">
        <v>0</v>
      </c>
      <c r="E19" s="658">
        <v>0</v>
      </c>
      <c r="F19" s="658"/>
      <c r="G19" s="814">
        <f t="shared" si="1"/>
        <v>0.5</v>
      </c>
      <c r="H19" s="813">
        <f>G19*70%</f>
        <v>0.35</v>
      </c>
      <c r="I19" s="813">
        <f>G19*20%</f>
        <v>0.1</v>
      </c>
      <c r="J19" s="813">
        <f>G19*10%</f>
        <v>0.05</v>
      </c>
      <c r="K19" s="129"/>
    </row>
    <row r="20" spans="1:11" x14ac:dyDescent="0.25">
      <c r="A20" s="2288"/>
      <c r="B20" s="129" t="s">
        <v>33</v>
      </c>
      <c r="C20" s="814">
        <v>1</v>
      </c>
      <c r="D20" s="658">
        <v>0</v>
      </c>
      <c r="E20" s="658">
        <v>0</v>
      </c>
      <c r="F20" s="658"/>
      <c r="G20" s="814">
        <f t="shared" si="1"/>
        <v>1</v>
      </c>
      <c r="H20" s="813">
        <f>G20*60%</f>
        <v>0.6</v>
      </c>
      <c r="I20" s="813">
        <f>G20*25%</f>
        <v>0.25</v>
      </c>
      <c r="J20" s="813">
        <f>G20*15%</f>
        <v>0.15</v>
      </c>
      <c r="K20" s="129"/>
    </row>
    <row r="21" spans="1:11" ht="47.25" customHeight="1" x14ac:dyDescent="0.25">
      <c r="A21" s="2288"/>
      <c r="B21" s="129" t="s">
        <v>34</v>
      </c>
      <c r="C21" s="814">
        <v>2</v>
      </c>
      <c r="D21" s="658">
        <v>0</v>
      </c>
      <c r="E21" s="658">
        <v>0</v>
      </c>
      <c r="F21" s="658"/>
      <c r="G21" s="814">
        <f t="shared" si="1"/>
        <v>2</v>
      </c>
      <c r="H21" s="813">
        <f>G21*30%</f>
        <v>0.6</v>
      </c>
      <c r="I21" s="813">
        <f>G21*40%</f>
        <v>0.8</v>
      </c>
      <c r="J21" s="813">
        <f>G21*30%</f>
        <v>0.6</v>
      </c>
      <c r="K21" s="129"/>
    </row>
    <row r="22" spans="1:11" x14ac:dyDescent="0.25">
      <c r="A22" s="2288" t="s">
        <v>1450</v>
      </c>
      <c r="B22" s="129" t="s">
        <v>32</v>
      </c>
      <c r="C22" s="814">
        <f>0.5</f>
        <v>0.5</v>
      </c>
      <c r="D22" s="629">
        <f>ROUND($D$2*0.1,2)</f>
        <v>0.1</v>
      </c>
      <c r="E22" s="658">
        <v>0</v>
      </c>
      <c r="F22" s="658"/>
      <c r="G22" s="814">
        <f t="shared" si="1"/>
        <v>0.6</v>
      </c>
      <c r="H22" s="813">
        <f>G22*60%</f>
        <v>0.36</v>
      </c>
      <c r="I22" s="813">
        <f>G22*20%</f>
        <v>0.12</v>
      </c>
      <c r="J22" s="813">
        <f>G22*20%</f>
        <v>0.12</v>
      </c>
      <c r="K22" s="129"/>
    </row>
    <row r="23" spans="1:11" x14ac:dyDescent="0.25">
      <c r="A23" s="2288"/>
      <c r="B23" s="129" t="s">
        <v>33</v>
      </c>
      <c r="C23" s="814">
        <f>0.5</f>
        <v>0.5</v>
      </c>
      <c r="D23" s="629">
        <f>ROUND($D$2*0.5,2)</f>
        <v>0.5</v>
      </c>
      <c r="E23" s="658">
        <v>0</v>
      </c>
      <c r="F23" s="658"/>
      <c r="G23" s="814">
        <f t="shared" si="1"/>
        <v>1</v>
      </c>
      <c r="H23" s="813">
        <f>G23*50%</f>
        <v>0.5</v>
      </c>
      <c r="I23" s="813">
        <f>G23*25%</f>
        <v>0.25</v>
      </c>
      <c r="J23" s="813">
        <f>G23*25%</f>
        <v>0.25</v>
      </c>
      <c r="K23" s="129"/>
    </row>
    <row r="24" spans="1:11" ht="30" customHeight="1" x14ac:dyDescent="0.25">
      <c r="A24" s="2288"/>
      <c r="B24" s="129" t="s">
        <v>34</v>
      </c>
      <c r="C24" s="814">
        <f>1</f>
        <v>1</v>
      </c>
      <c r="D24" s="629">
        <f>ROUND($D$2*1,2)</f>
        <v>1</v>
      </c>
      <c r="E24" s="658">
        <v>0</v>
      </c>
      <c r="F24" s="658"/>
      <c r="G24" s="814">
        <f t="shared" si="1"/>
        <v>2</v>
      </c>
      <c r="H24" s="813">
        <f>G24*30%</f>
        <v>0.6</v>
      </c>
      <c r="I24" s="813">
        <f>G24*30%</f>
        <v>0.6</v>
      </c>
      <c r="J24" s="813">
        <f>G24*40%</f>
        <v>0.8</v>
      </c>
      <c r="K24" s="129"/>
    </row>
    <row r="25" spans="1:11" x14ac:dyDescent="0.25">
      <c r="A25" s="2288" t="s">
        <v>1451</v>
      </c>
      <c r="B25" s="129" t="s">
        <v>32</v>
      </c>
      <c r="C25" s="814">
        <v>1</v>
      </c>
      <c r="D25" s="629">
        <f>ROUND($D$2*6,2)</f>
        <v>6</v>
      </c>
      <c r="E25" s="630">
        <f>IF($E$2=1, 3, 0)</f>
        <v>3</v>
      </c>
      <c r="F25" s="658"/>
      <c r="G25" s="814">
        <f t="shared" si="1"/>
        <v>10</v>
      </c>
      <c r="H25" s="813">
        <f>G25*60%</f>
        <v>6</v>
      </c>
      <c r="I25" s="813">
        <f>G25*30%</f>
        <v>3</v>
      </c>
      <c r="J25" s="813">
        <f>G25*10%</f>
        <v>1</v>
      </c>
      <c r="K25" s="2282" t="s">
        <v>1452</v>
      </c>
    </row>
    <row r="26" spans="1:11" x14ac:dyDescent="0.25">
      <c r="A26" s="2288"/>
      <c r="B26" s="129" t="s">
        <v>33</v>
      </c>
      <c r="C26" s="814">
        <v>2</v>
      </c>
      <c r="D26" s="629">
        <f>ROUND($D$2*8,2)</f>
        <v>8</v>
      </c>
      <c r="E26" s="630">
        <f>IF($E$2=1, 4, 0)</f>
        <v>4</v>
      </c>
      <c r="F26" s="658"/>
      <c r="G26" s="814">
        <f t="shared" si="1"/>
        <v>14</v>
      </c>
      <c r="H26" s="813">
        <f>G26*50%</f>
        <v>7</v>
      </c>
      <c r="I26" s="813">
        <f>G26*25%</f>
        <v>3.5</v>
      </c>
      <c r="J26" s="813">
        <f>G26*25%</f>
        <v>3.5</v>
      </c>
      <c r="K26" s="2283"/>
    </row>
    <row r="27" spans="1:11" ht="30" customHeight="1" x14ac:dyDescent="0.25">
      <c r="A27" s="2288"/>
      <c r="B27" s="129" t="s">
        <v>34</v>
      </c>
      <c r="C27" s="814">
        <v>4</v>
      </c>
      <c r="D27" s="629">
        <f>ROUND($D$2*16,2)</f>
        <v>16</v>
      </c>
      <c r="E27" s="630">
        <f>IF($E$2=1, 5, 0)</f>
        <v>5</v>
      </c>
      <c r="F27" s="658"/>
      <c r="G27" s="814">
        <f t="shared" si="1"/>
        <v>25</v>
      </c>
      <c r="H27" s="813">
        <f>G27*30%</f>
        <v>7.5</v>
      </c>
      <c r="I27" s="813">
        <f>G27*35%</f>
        <v>8.75</v>
      </c>
      <c r="J27" s="813">
        <f>G27*35%</f>
        <v>8.75</v>
      </c>
      <c r="K27" s="2284"/>
    </row>
    <row r="28" spans="1:11" x14ac:dyDescent="0.25">
      <c r="A28" s="2288" t="s">
        <v>1453</v>
      </c>
      <c r="B28" s="129" t="s">
        <v>32</v>
      </c>
      <c r="C28" s="814">
        <f>ROUND(3*N4,2)</f>
        <v>3.6</v>
      </c>
      <c r="D28" s="629">
        <f>ROUND(($D$2-1)*0.5*N4,2)</f>
        <v>0</v>
      </c>
      <c r="E28" s="658">
        <v>0</v>
      </c>
      <c r="F28" s="658"/>
      <c r="G28" s="814">
        <f t="shared" si="1"/>
        <v>3.6</v>
      </c>
      <c r="H28" s="813">
        <f>G28*70%</f>
        <v>2.52</v>
      </c>
      <c r="I28" s="813">
        <f>G28*20%</f>
        <v>0.72000000000000008</v>
      </c>
      <c r="J28" s="813">
        <f>G28*10%</f>
        <v>0.36000000000000004</v>
      </c>
      <c r="K28" s="2282" t="s">
        <v>1454</v>
      </c>
    </row>
    <row r="29" spans="1:11" x14ac:dyDescent="0.25">
      <c r="A29" s="2288"/>
      <c r="B29" s="129" t="s">
        <v>33</v>
      </c>
      <c r="C29" s="814">
        <f>ROUND(4*N5,2)</f>
        <v>6</v>
      </c>
      <c r="D29" s="629">
        <f>ROUND(($D$2-1)*1*N5,2)</f>
        <v>0</v>
      </c>
      <c r="E29" s="658">
        <v>0</v>
      </c>
      <c r="F29" s="658"/>
      <c r="G29" s="814">
        <f t="shared" si="1"/>
        <v>6</v>
      </c>
      <c r="H29" s="813">
        <f>G29*60%</f>
        <v>3.5999999999999996</v>
      </c>
      <c r="I29" s="813">
        <f>G29*25%</f>
        <v>1.5</v>
      </c>
      <c r="J29" s="813">
        <f>G29*15%</f>
        <v>0.89999999999999991</v>
      </c>
      <c r="K29" s="2283"/>
    </row>
    <row r="30" spans="1:11" x14ac:dyDescent="0.25">
      <c r="A30" s="2288"/>
      <c r="B30" s="129" t="s">
        <v>34</v>
      </c>
      <c r="C30" s="814">
        <f>ROUND(6*N6,2)</f>
        <v>10.199999999999999</v>
      </c>
      <c r="D30" s="629">
        <f>ROUND(($D$2-1)*2*N6,2)</f>
        <v>0</v>
      </c>
      <c r="E30" s="658">
        <v>0</v>
      </c>
      <c r="F30" s="658"/>
      <c r="G30" s="814">
        <f t="shared" si="1"/>
        <v>10.199999999999999</v>
      </c>
      <c r="H30" s="813">
        <f>G30*40%</f>
        <v>4.08</v>
      </c>
      <c r="I30" s="813">
        <f>G30*30%</f>
        <v>3.0599999999999996</v>
      </c>
      <c r="J30" s="813">
        <f>G30*30%</f>
        <v>3.0599999999999996</v>
      </c>
      <c r="K30" s="2284"/>
    </row>
    <row r="31" spans="1:11" x14ac:dyDescent="0.25">
      <c r="A31" s="2288" t="s">
        <v>1455</v>
      </c>
      <c r="B31" s="129" t="s">
        <v>32</v>
      </c>
      <c r="C31" s="814">
        <f>ROUND(4*N4,2)</f>
        <v>4.8</v>
      </c>
      <c r="D31" s="629">
        <f>ROUND(($D$2-1)*3*N4,2)</f>
        <v>0</v>
      </c>
      <c r="E31" s="658">
        <v>0</v>
      </c>
      <c r="F31" s="658"/>
      <c r="G31" s="814">
        <f t="shared" si="1"/>
        <v>4.8</v>
      </c>
      <c r="H31" s="813">
        <f>G31*70%</f>
        <v>3.36</v>
      </c>
      <c r="I31" s="813">
        <f>G31*20%</f>
        <v>0.96</v>
      </c>
      <c r="J31" s="813">
        <f>G31*10%</f>
        <v>0.48</v>
      </c>
      <c r="K31" s="2282" t="s">
        <v>1456</v>
      </c>
    </row>
    <row r="32" spans="1:11" x14ac:dyDescent="0.25">
      <c r="A32" s="2288"/>
      <c r="B32" s="129" t="s">
        <v>33</v>
      </c>
      <c r="C32" s="814">
        <f>ROUND(6*N5,2)</f>
        <v>9</v>
      </c>
      <c r="D32" s="629">
        <f>ROUND(($D$2-1)*5*N5,2)</f>
        <v>0</v>
      </c>
      <c r="E32" s="658">
        <v>0</v>
      </c>
      <c r="F32" s="658"/>
      <c r="G32" s="814">
        <f t="shared" si="1"/>
        <v>9</v>
      </c>
      <c r="H32" s="813">
        <f>G32*60%</f>
        <v>5.3999999999999995</v>
      </c>
      <c r="I32" s="813">
        <f>G32*25%</f>
        <v>2.25</v>
      </c>
      <c r="J32" s="813">
        <f>G32*15%</f>
        <v>1.3499999999999999</v>
      </c>
      <c r="K32" s="2283"/>
    </row>
    <row r="33" spans="1:11" x14ac:dyDescent="0.25">
      <c r="A33" s="2288"/>
      <c r="B33" s="129" t="s">
        <v>34</v>
      </c>
      <c r="C33" s="814">
        <f>ROUND(10*N6,2)</f>
        <v>17</v>
      </c>
      <c r="D33" s="629">
        <f>ROUND(($D$2-1)*8*N6,2)</f>
        <v>0</v>
      </c>
      <c r="E33" s="658">
        <v>0</v>
      </c>
      <c r="F33" s="658"/>
      <c r="G33" s="814">
        <f t="shared" si="1"/>
        <v>17</v>
      </c>
      <c r="H33" s="813">
        <f>G33*40%</f>
        <v>6.8000000000000007</v>
      </c>
      <c r="I33" s="813">
        <f>G33*30%</f>
        <v>5.0999999999999996</v>
      </c>
      <c r="J33" s="813">
        <f>G33*30%</f>
        <v>5.0999999999999996</v>
      </c>
      <c r="K33" s="2284"/>
    </row>
    <row r="34" spans="1:11" x14ac:dyDescent="0.25">
      <c r="A34" s="2288" t="s">
        <v>1457</v>
      </c>
      <c r="B34" s="129" t="s">
        <v>32</v>
      </c>
      <c r="C34" s="658">
        <v>0</v>
      </c>
      <c r="D34" s="629">
        <f>ROUND($D$2*1.5*$N$4,2)</f>
        <v>1.8</v>
      </c>
      <c r="E34" s="630">
        <f>IF($E$2=1, 0.5, 0)</f>
        <v>0.5</v>
      </c>
      <c r="F34" s="658"/>
      <c r="G34" s="814">
        <f t="shared" ref="G34:G39" si="3" xml:space="preserve"> SUM(C34:F34)</f>
        <v>2.2999999999999998</v>
      </c>
      <c r="H34" s="813">
        <f>G34*70%</f>
        <v>1.6099999999999999</v>
      </c>
      <c r="I34" s="813">
        <f>G34*20%</f>
        <v>0.45999999999999996</v>
      </c>
      <c r="J34" s="813">
        <f>G34*10%</f>
        <v>0.22999999999999998</v>
      </c>
      <c r="K34" s="129"/>
    </row>
    <row r="35" spans="1:11" x14ac:dyDescent="0.25">
      <c r="A35" s="2288"/>
      <c r="B35" s="129" t="s">
        <v>33</v>
      </c>
      <c r="C35" s="658">
        <v>0</v>
      </c>
      <c r="D35" s="629">
        <f>ROUND($D$2*2*$N$5,2)</f>
        <v>3</v>
      </c>
      <c r="E35" s="630">
        <f>IF($E$2=1, 1, 0)</f>
        <v>1</v>
      </c>
      <c r="F35" s="658"/>
      <c r="G35" s="814">
        <f t="shared" si="3"/>
        <v>4</v>
      </c>
      <c r="H35" s="813">
        <f>G35*60%</f>
        <v>2.4</v>
      </c>
      <c r="I35" s="813">
        <f>G35*25%</f>
        <v>1</v>
      </c>
      <c r="J35" s="813">
        <f>G35*15%</f>
        <v>0.6</v>
      </c>
      <c r="K35" s="129"/>
    </row>
    <row r="36" spans="1:11" x14ac:dyDescent="0.25">
      <c r="A36" s="2288"/>
      <c r="B36" s="129" t="s">
        <v>34</v>
      </c>
      <c r="C36" s="658">
        <v>0</v>
      </c>
      <c r="D36" s="629">
        <f>ROUND($D$2*3*$N$6,2)</f>
        <v>5.0999999999999996</v>
      </c>
      <c r="E36" s="630">
        <f>IF($E$2=1, 2, 0)</f>
        <v>2</v>
      </c>
      <c r="F36" s="658"/>
      <c r="G36" s="814">
        <f t="shared" si="3"/>
        <v>7.1</v>
      </c>
      <c r="H36" s="813">
        <f>G36*40%</f>
        <v>2.84</v>
      </c>
      <c r="I36" s="813">
        <f>G36*30%</f>
        <v>2.13</v>
      </c>
      <c r="J36" s="813">
        <f>G36*30%</f>
        <v>2.13</v>
      </c>
      <c r="K36" s="129"/>
    </row>
    <row r="37" spans="1:11" x14ac:dyDescent="0.25">
      <c r="A37" s="2288" t="s">
        <v>1458</v>
      </c>
      <c r="B37" s="129" t="s">
        <v>32</v>
      </c>
      <c r="C37" s="658">
        <v>0.5</v>
      </c>
      <c r="D37" s="629">
        <f>ROUND($D$2*0.5,2)</f>
        <v>0.5</v>
      </c>
      <c r="E37" s="658">
        <v>0</v>
      </c>
      <c r="F37" s="658"/>
      <c r="G37" s="814">
        <f t="shared" si="3"/>
        <v>1</v>
      </c>
      <c r="H37" s="813">
        <f>G37*50%</f>
        <v>0.5</v>
      </c>
      <c r="I37" s="813">
        <f>G37*30%</f>
        <v>0.3</v>
      </c>
      <c r="J37" s="813">
        <f>G37*20%</f>
        <v>0.2</v>
      </c>
      <c r="K37" s="129"/>
    </row>
    <row r="38" spans="1:11" x14ac:dyDescent="0.25">
      <c r="A38" s="2288"/>
      <c r="B38" s="129" t="s">
        <v>33</v>
      </c>
      <c r="C38" s="658">
        <v>1</v>
      </c>
      <c r="D38" s="629">
        <f>ROUND($D$2*0.5,2)</f>
        <v>0.5</v>
      </c>
      <c r="E38" s="658">
        <v>0</v>
      </c>
      <c r="F38" s="658"/>
      <c r="G38" s="814">
        <f t="shared" si="3"/>
        <v>1.5</v>
      </c>
      <c r="H38" s="813">
        <f>G38*40%</f>
        <v>0.60000000000000009</v>
      </c>
      <c r="I38" s="813">
        <f>G38*30%</f>
        <v>0.44999999999999996</v>
      </c>
      <c r="J38" s="813">
        <f>G38*30%</f>
        <v>0.44999999999999996</v>
      </c>
      <c r="K38" s="129"/>
    </row>
    <row r="39" spans="1:11" x14ac:dyDescent="0.25">
      <c r="A39" s="2288"/>
      <c r="B39" s="129" t="s">
        <v>34</v>
      </c>
      <c r="C39" s="658">
        <v>2</v>
      </c>
      <c r="D39" s="629">
        <f>ROUND($D$2*1,2)</f>
        <v>1</v>
      </c>
      <c r="E39" s="658">
        <v>0</v>
      </c>
      <c r="F39" s="658"/>
      <c r="G39" s="814">
        <f t="shared" si="3"/>
        <v>3</v>
      </c>
      <c r="H39" s="813">
        <f>G39*20%</f>
        <v>0.60000000000000009</v>
      </c>
      <c r="I39" s="813">
        <f>G39*40%</f>
        <v>1.2000000000000002</v>
      </c>
      <c r="J39" s="813">
        <f>G39*40%</f>
        <v>1.2000000000000002</v>
      </c>
      <c r="K39" s="129"/>
    </row>
  </sheetData>
  <mergeCells count="24">
    <mergeCell ref="A34:A36"/>
    <mergeCell ref="A37:A39"/>
    <mergeCell ref="A28:A30"/>
    <mergeCell ref="A22:A24"/>
    <mergeCell ref="A25:A27"/>
    <mergeCell ref="A10:A12"/>
    <mergeCell ref="C1:C2"/>
    <mergeCell ref="G1:G2"/>
    <mergeCell ref="H1:H2"/>
    <mergeCell ref="I1:I2"/>
    <mergeCell ref="M1:N3"/>
    <mergeCell ref="A4:A6"/>
    <mergeCell ref="K4:K6"/>
    <mergeCell ref="A7:A9"/>
    <mergeCell ref="K7:K9"/>
    <mergeCell ref="J1:J2"/>
    <mergeCell ref="K1:K2"/>
    <mergeCell ref="A13:A15"/>
    <mergeCell ref="A16:A18"/>
    <mergeCell ref="A19:A21"/>
    <mergeCell ref="K28:K30"/>
    <mergeCell ref="A31:A33"/>
    <mergeCell ref="K31:K33"/>
    <mergeCell ref="K25:K27"/>
  </mergeCell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Лист48">
    <tabColor theme="4"/>
  </sheetPr>
  <dimension ref="A1:AA52"/>
  <sheetViews>
    <sheetView topLeftCell="A8" zoomScale="60" zoomScaleNormal="60" workbookViewId="0">
      <selection activeCell="Q2" sqref="Q2:S2"/>
    </sheetView>
  </sheetViews>
  <sheetFormatPr defaultRowHeight="15" x14ac:dyDescent="0.25"/>
  <cols>
    <col min="1" max="1" width="20.42578125" customWidth="1"/>
    <col min="2" max="2" width="18.28515625" customWidth="1"/>
    <col min="3" max="4" width="17.7109375" customWidth="1"/>
    <col min="5" max="5" width="17.140625" customWidth="1"/>
    <col min="6" max="6" width="17.28515625" customWidth="1"/>
    <col min="7" max="7" width="16.140625" customWidth="1"/>
    <col min="8" max="8" width="15.85546875" customWidth="1"/>
    <col min="9" max="9" width="16.28515625" customWidth="1"/>
    <col min="10" max="10" width="17.7109375" customWidth="1"/>
    <col min="11" max="11" width="17" customWidth="1"/>
    <col min="12" max="12" width="17.7109375" customWidth="1"/>
    <col min="13" max="13" width="18.5703125" customWidth="1"/>
    <col min="14" max="14" width="18" customWidth="1"/>
    <col min="15" max="15" width="18.5703125" customWidth="1"/>
    <col min="16" max="16" width="17.42578125" customWidth="1"/>
    <col min="17" max="17" width="19" customWidth="1"/>
    <col min="18" max="18" width="18.5703125" customWidth="1"/>
    <col min="19" max="19" width="18" customWidth="1"/>
    <col min="20" max="20" width="18.140625" customWidth="1"/>
    <col min="22" max="22" width="15.5703125" customWidth="1"/>
    <col min="23" max="23" width="18.140625" customWidth="1"/>
    <col min="24" max="24" width="18.28515625" customWidth="1"/>
    <col min="25" max="25" width="18.140625" customWidth="1"/>
    <col min="26" max="26" width="18" customWidth="1"/>
    <col min="27" max="27" width="18.42578125" customWidth="1"/>
  </cols>
  <sheetData>
    <row r="1" spans="1:27" x14ac:dyDescent="0.25">
      <c r="A1" t="s">
        <v>777</v>
      </c>
      <c r="B1" t="s">
        <v>778</v>
      </c>
      <c r="C1" t="s">
        <v>779</v>
      </c>
      <c r="D1" t="s">
        <v>780</v>
      </c>
    </row>
    <row r="2" spans="1:27" x14ac:dyDescent="0.25">
      <c r="A2" t="s">
        <v>713</v>
      </c>
      <c r="B2" t="s">
        <v>106</v>
      </c>
      <c r="D2" t="s">
        <v>781</v>
      </c>
    </row>
    <row r="3" spans="1:27" x14ac:dyDescent="0.25">
      <c r="A3" t="s">
        <v>714</v>
      </c>
      <c r="B3" t="s">
        <v>107</v>
      </c>
      <c r="D3" t="s">
        <v>705</v>
      </c>
    </row>
    <row r="4" spans="1:27" x14ac:dyDescent="0.25">
      <c r="A4" t="s">
        <v>715</v>
      </c>
      <c r="D4" t="s">
        <v>782</v>
      </c>
    </row>
    <row r="5" spans="1:27" x14ac:dyDescent="0.25">
      <c r="A5" t="s">
        <v>53</v>
      </c>
      <c r="D5" t="s">
        <v>783</v>
      </c>
    </row>
    <row r="6" spans="1:27" x14ac:dyDescent="0.25">
      <c r="A6" t="s">
        <v>120</v>
      </c>
      <c r="D6" t="s">
        <v>784</v>
      </c>
    </row>
    <row r="7" spans="1:27" x14ac:dyDescent="0.25">
      <c r="D7" t="s">
        <v>1221</v>
      </c>
    </row>
    <row r="8" spans="1:27" x14ac:dyDescent="0.25">
      <c r="A8" t="s">
        <v>785</v>
      </c>
    </row>
    <row r="9" spans="1:27" x14ac:dyDescent="0.25">
      <c r="A9" s="970" t="s">
        <v>786</v>
      </c>
      <c r="B9" s="970" t="s">
        <v>787</v>
      </c>
      <c r="C9" s="970" t="s">
        <v>788</v>
      </c>
      <c r="D9" s="970" t="s">
        <v>789</v>
      </c>
      <c r="E9" s="970" t="s">
        <v>790</v>
      </c>
      <c r="F9" s="970" t="s">
        <v>791</v>
      </c>
      <c r="G9" s="970" t="s">
        <v>792</v>
      </c>
      <c r="H9" s="970" t="s">
        <v>793</v>
      </c>
      <c r="I9" s="970" t="s">
        <v>794</v>
      </c>
      <c r="J9" s="970" t="s">
        <v>795</v>
      </c>
      <c r="K9" s="970" t="s">
        <v>796</v>
      </c>
      <c r="L9" s="970" t="s">
        <v>797</v>
      </c>
      <c r="M9" s="970" t="s">
        <v>798</v>
      </c>
      <c r="N9" s="970" t="s">
        <v>799</v>
      </c>
      <c r="O9" s="970" t="s">
        <v>800</v>
      </c>
      <c r="P9" s="970" t="s">
        <v>801</v>
      </c>
      <c r="Q9" s="970" t="s">
        <v>802</v>
      </c>
      <c r="R9" s="970" t="s">
        <v>803</v>
      </c>
      <c r="S9" s="970" t="s">
        <v>804</v>
      </c>
      <c r="T9" s="970" t="s">
        <v>805</v>
      </c>
      <c r="U9" s="970" t="s">
        <v>806</v>
      </c>
      <c r="V9" s="970" t="s">
        <v>807</v>
      </c>
      <c r="W9" s="970" t="s">
        <v>808</v>
      </c>
      <c r="X9" s="970" t="s">
        <v>809</v>
      </c>
      <c r="Y9" s="970" t="s">
        <v>810</v>
      </c>
      <c r="Z9" s="970" t="s">
        <v>811</v>
      </c>
      <c r="AA9" s="970" t="s">
        <v>812</v>
      </c>
    </row>
    <row r="10" spans="1:27" ht="30" x14ac:dyDescent="0.25">
      <c r="A10" s="1017" t="s">
        <v>356</v>
      </c>
      <c r="B10" s="1018" t="s">
        <v>813</v>
      </c>
      <c r="C10" s="970" t="s">
        <v>814</v>
      </c>
      <c r="D10" s="970" t="s">
        <v>815</v>
      </c>
      <c r="E10" s="970" t="s">
        <v>371</v>
      </c>
      <c r="F10" s="970" t="s">
        <v>376</v>
      </c>
      <c r="G10" s="970" t="s">
        <v>352</v>
      </c>
      <c r="H10" s="970" t="s">
        <v>816</v>
      </c>
      <c r="I10" s="1019" t="s">
        <v>817</v>
      </c>
      <c r="J10" s="970" t="s">
        <v>818</v>
      </c>
      <c r="K10" s="970" t="s">
        <v>111</v>
      </c>
      <c r="L10" s="970" t="s">
        <v>819</v>
      </c>
      <c r="M10" s="970" t="s">
        <v>360</v>
      </c>
      <c r="N10" s="970" t="s">
        <v>418</v>
      </c>
      <c r="O10" s="970" t="s">
        <v>820</v>
      </c>
      <c r="P10" s="970" t="s">
        <v>821</v>
      </c>
      <c r="Q10" s="970" t="s">
        <v>380</v>
      </c>
      <c r="R10" s="970" t="s">
        <v>822</v>
      </c>
      <c r="S10" s="970" t="s">
        <v>823</v>
      </c>
      <c r="T10" s="970" t="s">
        <v>824</v>
      </c>
      <c r="U10" s="970" t="s">
        <v>825</v>
      </c>
      <c r="V10" s="970" t="s">
        <v>826</v>
      </c>
      <c r="W10" s="970" t="s">
        <v>433</v>
      </c>
      <c r="X10" s="970" t="s">
        <v>434</v>
      </c>
      <c r="Y10" s="970" t="s">
        <v>827</v>
      </c>
      <c r="Z10" s="970" t="s">
        <v>828</v>
      </c>
      <c r="AA10" s="970" t="s">
        <v>829</v>
      </c>
    </row>
    <row r="11" spans="1:27" ht="30" x14ac:dyDescent="0.25">
      <c r="A11" s="1017" t="s">
        <v>283</v>
      </c>
      <c r="B11" s="1017" t="s">
        <v>347</v>
      </c>
      <c r="C11" s="970" t="s">
        <v>365</v>
      </c>
      <c r="D11" s="970" t="s">
        <v>830</v>
      </c>
      <c r="E11" s="970" t="s">
        <v>288</v>
      </c>
      <c r="F11" s="970" t="s">
        <v>377</v>
      </c>
      <c r="G11" s="970" t="s">
        <v>831</v>
      </c>
      <c r="H11" s="970" t="s">
        <v>373</v>
      </c>
      <c r="I11" s="970" t="s">
        <v>285</v>
      </c>
      <c r="J11" s="970" t="s">
        <v>395</v>
      </c>
      <c r="K11" s="970" t="s">
        <v>819</v>
      </c>
      <c r="L11" s="970" t="s">
        <v>410</v>
      </c>
      <c r="M11" s="970" t="s">
        <v>832</v>
      </c>
      <c r="N11" s="970" t="s">
        <v>833</v>
      </c>
      <c r="O11" s="970" t="s">
        <v>421</v>
      </c>
      <c r="P11" s="970" t="s">
        <v>423</v>
      </c>
      <c r="Q11" s="970" t="s">
        <v>381</v>
      </c>
      <c r="R11" s="970" t="s">
        <v>426</v>
      </c>
      <c r="S11" s="970"/>
      <c r="T11" s="970" t="s">
        <v>537</v>
      </c>
      <c r="U11" s="970"/>
      <c r="V11" s="970" t="s">
        <v>431</v>
      </c>
      <c r="W11" s="970"/>
      <c r="X11" s="970" t="s">
        <v>435</v>
      </c>
      <c r="Y11" s="970" t="s">
        <v>437</v>
      </c>
      <c r="Z11" s="970" t="s">
        <v>834</v>
      </c>
      <c r="AA11" s="970" t="s">
        <v>835</v>
      </c>
    </row>
    <row r="12" spans="1:27" ht="14.45" customHeight="1" x14ac:dyDescent="0.25">
      <c r="A12" s="1017" t="s">
        <v>836</v>
      </c>
      <c r="B12" s="1017" t="s">
        <v>348</v>
      </c>
      <c r="C12" s="970" t="s">
        <v>837</v>
      </c>
      <c r="D12" s="970" t="s">
        <v>367</v>
      </c>
      <c r="E12" s="970"/>
      <c r="F12" s="970" t="s">
        <v>378</v>
      </c>
      <c r="G12" s="970"/>
      <c r="H12" s="970" t="s">
        <v>374</v>
      </c>
      <c r="I12" s="970" t="s">
        <v>286</v>
      </c>
      <c r="J12" s="970" t="s">
        <v>838</v>
      </c>
      <c r="K12" s="970" t="s">
        <v>839</v>
      </c>
      <c r="L12" s="970" t="s">
        <v>411</v>
      </c>
      <c r="M12" s="970" t="s">
        <v>362</v>
      </c>
      <c r="N12" s="970"/>
      <c r="O12" s="970"/>
      <c r="P12" s="970" t="s">
        <v>424</v>
      </c>
      <c r="Q12" s="970" t="s">
        <v>832</v>
      </c>
      <c r="R12" s="970" t="s">
        <v>427</v>
      </c>
      <c r="S12" s="970"/>
      <c r="T12" s="970" t="s">
        <v>539</v>
      </c>
      <c r="U12" s="970"/>
      <c r="V12" s="970" t="s">
        <v>432</v>
      </c>
      <c r="W12" s="970"/>
      <c r="X12" s="970"/>
      <c r="Y12" s="970"/>
      <c r="Z12" s="970" t="s">
        <v>840</v>
      </c>
      <c r="AA12" s="970" t="s">
        <v>841</v>
      </c>
    </row>
    <row r="13" spans="1:27" x14ac:dyDescent="0.25">
      <c r="A13" s="1017" t="s">
        <v>358</v>
      </c>
      <c r="B13" s="1017" t="s">
        <v>842</v>
      </c>
      <c r="C13" s="970" t="s">
        <v>843</v>
      </c>
      <c r="D13" s="970" t="s">
        <v>368</v>
      </c>
      <c r="E13" s="970"/>
      <c r="F13" s="970" t="s">
        <v>379</v>
      </c>
      <c r="G13" s="970"/>
      <c r="H13" s="970"/>
      <c r="I13" s="970" t="s">
        <v>287</v>
      </c>
      <c r="J13" s="970" t="s">
        <v>844</v>
      </c>
      <c r="K13" s="970"/>
      <c r="L13" s="970" t="s">
        <v>412</v>
      </c>
      <c r="M13" s="970"/>
      <c r="N13" s="970"/>
      <c r="O13" s="970"/>
      <c r="P13" s="970"/>
      <c r="Q13" s="970" t="s">
        <v>382</v>
      </c>
      <c r="R13" s="970" t="s">
        <v>428</v>
      </c>
      <c r="S13" s="970"/>
      <c r="T13" s="970"/>
      <c r="U13" s="970"/>
      <c r="V13" s="970"/>
      <c r="W13" s="970"/>
      <c r="X13" s="970"/>
      <c r="Y13" s="970"/>
      <c r="Z13" s="970" t="s">
        <v>845</v>
      </c>
      <c r="AA13" s="970" t="s">
        <v>846</v>
      </c>
    </row>
    <row r="14" spans="1:27" x14ac:dyDescent="0.25">
      <c r="A14" s="970"/>
      <c r="B14" s="1017" t="s">
        <v>847</v>
      </c>
      <c r="C14" s="970"/>
      <c r="D14" s="970" t="s">
        <v>369</v>
      </c>
      <c r="E14" s="970"/>
      <c r="F14" s="970" t="s">
        <v>284</v>
      </c>
      <c r="G14" s="970"/>
      <c r="H14" s="970"/>
      <c r="I14" s="970"/>
      <c r="J14" s="970"/>
      <c r="K14" s="970"/>
      <c r="L14" s="970" t="s">
        <v>413</v>
      </c>
      <c r="M14" s="970"/>
      <c r="N14" s="970"/>
      <c r="O14" s="970"/>
      <c r="P14" s="970"/>
      <c r="Q14" s="970"/>
      <c r="R14" s="970"/>
      <c r="S14" s="970"/>
      <c r="T14" s="970"/>
      <c r="U14" s="970"/>
      <c r="V14" s="970"/>
      <c r="W14" s="970"/>
      <c r="X14" s="970"/>
      <c r="Y14" s="970"/>
      <c r="Z14" s="970" t="s">
        <v>848</v>
      </c>
      <c r="AA14" s="970"/>
    </row>
    <row r="15" spans="1:27" ht="14.45" customHeight="1" x14ac:dyDescent="0.25">
      <c r="A15" s="970"/>
      <c r="B15" s="1020" t="s">
        <v>353</v>
      </c>
      <c r="C15" s="970"/>
      <c r="D15" s="970" t="s">
        <v>370</v>
      </c>
      <c r="E15" s="970"/>
      <c r="F15" s="970"/>
      <c r="G15" s="970"/>
      <c r="H15" s="970"/>
      <c r="I15" s="970"/>
      <c r="J15" s="970"/>
      <c r="K15" s="970"/>
      <c r="L15" s="970"/>
      <c r="M15" s="970"/>
      <c r="N15" s="970"/>
      <c r="O15" s="970"/>
      <c r="P15" s="970"/>
      <c r="Q15" s="970"/>
      <c r="R15" s="970"/>
      <c r="S15" s="970"/>
      <c r="T15" s="970"/>
      <c r="U15" s="970"/>
      <c r="V15" s="970"/>
      <c r="W15" s="970"/>
      <c r="X15" s="970"/>
      <c r="Y15" s="970"/>
      <c r="Z15" s="970" t="s">
        <v>849</v>
      </c>
      <c r="AA15" s="970"/>
    </row>
    <row r="16" spans="1:27" x14ac:dyDescent="0.25">
      <c r="A16" s="993"/>
      <c r="B16" s="1021" t="s">
        <v>354</v>
      </c>
    </row>
    <row r="17" spans="1:17" x14ac:dyDescent="0.25">
      <c r="A17" s="970"/>
      <c r="B17" s="1022" t="s">
        <v>352</v>
      </c>
    </row>
    <row r="21" spans="1:17" x14ac:dyDescent="0.25">
      <c r="A21" s="1023" t="s">
        <v>850</v>
      </c>
      <c r="B21" s="1023" t="s">
        <v>36</v>
      </c>
      <c r="C21" s="1023" t="s">
        <v>851</v>
      </c>
      <c r="D21" s="1023" t="s">
        <v>852</v>
      </c>
      <c r="E21" s="1023" t="s">
        <v>853</v>
      </c>
      <c r="F21" s="1023" t="s">
        <v>854</v>
      </c>
      <c r="G21" s="1023" t="s">
        <v>855</v>
      </c>
      <c r="H21" s="1023" t="s">
        <v>856</v>
      </c>
      <c r="I21" s="1023" t="s">
        <v>857</v>
      </c>
      <c r="J21" s="1023" t="s">
        <v>858</v>
      </c>
      <c r="K21" s="1023" t="s">
        <v>859</v>
      </c>
      <c r="L21" s="1023" t="s">
        <v>860</v>
      </c>
      <c r="M21" s="1023" t="s">
        <v>861</v>
      </c>
      <c r="N21" s="1023" t="s">
        <v>862</v>
      </c>
      <c r="O21" s="1024" t="s">
        <v>863</v>
      </c>
      <c r="P21" s="1025" t="s">
        <v>864</v>
      </c>
      <c r="Q21" s="1026" t="s">
        <v>865</v>
      </c>
    </row>
    <row r="22" spans="1:17" x14ac:dyDescent="0.25">
      <c r="A22" s="1023" t="s">
        <v>44</v>
      </c>
      <c r="B22" s="129" t="str">
        <f>ТрЗ_ОВ!Q39</f>
        <v/>
      </c>
      <c r="C22" s="129">
        <f>IF($B$22=1,IF(ТрЗ_ОВ!$A$39=1,'МСЭ ОВ'!E55,0),0)</f>
        <v>0</v>
      </c>
      <c r="D22" s="129">
        <f>IF($B$22=1,IF(ТрЗ_ОВ!$A$39=1,'МСЭ ОВ'!F55,0),0)</f>
        <v>0</v>
      </c>
      <c r="E22" s="129">
        <f>IF($B$22=1,IF(ТрЗ_ОВ!$A$39=1,'МСЭ ОВ'!G55,0),0)</f>
        <v>0</v>
      </c>
      <c r="F22" s="129">
        <f>IF($B$22=1,'МСЭ ОВ'!E56,0)</f>
        <v>0</v>
      </c>
      <c r="G22" s="129">
        <f>IF($B$22=1,'МСЭ ОВ'!F56,0)</f>
        <v>0</v>
      </c>
      <c r="H22" s="129">
        <f>IF($B$22=1,'МСЭ ОВ'!G56,0)</f>
        <v>0</v>
      </c>
      <c r="I22" s="129">
        <f>IF($B$22=1,'МСЭ ОВ'!E57,0)</f>
        <v>0</v>
      </c>
      <c r="J22" s="129">
        <f>IF($B$22=1,'МСЭ ОВ'!F57,0)</f>
        <v>0</v>
      </c>
      <c r="K22" s="129">
        <f>IF($B$22=1,'МСЭ ОВ'!G57,0)</f>
        <v>0</v>
      </c>
      <c r="L22" s="129">
        <f>IF($B$22=1,IF(ТрЗ_ОВ!$A$39=0,'МСЭ ОВ'!E8,0),0)</f>
        <v>0</v>
      </c>
      <c r="M22" s="129">
        <f>IF($B$22=1,IF(ТрЗ_ОВ!$A$39=0,'МСЭ ОВ'!F8,0),0)</f>
        <v>0</v>
      </c>
      <c r="N22" s="129">
        <f>IF($B$22=1,IF(ТрЗ_ОВ!$A$39=0,'МСЭ ОВ'!G8,0),0)</f>
        <v>0</v>
      </c>
      <c r="O22" s="129"/>
      <c r="P22" s="129"/>
      <c r="Q22" s="129"/>
    </row>
    <row r="23" spans="1:17" x14ac:dyDescent="0.25">
      <c r="A23" s="1023" t="s">
        <v>42</v>
      </c>
      <c r="B23" s="129" t="str">
        <f>ТрЗ_ОВ!Q73</f>
        <v/>
      </c>
      <c r="C23" s="129">
        <f>IF($B$23=1,IF(ТрЗ_ОВ!$A$73=1,'АВЗ ОВ'!E46,0),0)</f>
        <v>0</v>
      </c>
      <c r="D23" s="129">
        <f>IF($B$23=1,IF(ТрЗ_ОВ!$A$73=1,'АВЗ ОВ'!F46,0),0)</f>
        <v>0</v>
      </c>
      <c r="E23" s="129">
        <f>IF($B$23=1,IF(ТрЗ_ОВ!$A$73=1,'АВЗ ОВ'!G46,0),0)</f>
        <v>0</v>
      </c>
      <c r="F23" s="129">
        <f>IF($B$23=1,'АВЗ ОВ'!E47,0)</f>
        <v>0</v>
      </c>
      <c r="G23" s="129">
        <f>IF($B$23=1,'АВЗ ОВ'!F47,0)</f>
        <v>0</v>
      </c>
      <c r="H23" s="129">
        <f>IF($B$23=1,'АВЗ ОВ'!G47,0)</f>
        <v>0</v>
      </c>
      <c r="I23" s="129">
        <f>IF($B$23=1,'АВЗ ОВ'!E48,0)</f>
        <v>0</v>
      </c>
      <c r="J23" s="129">
        <f>IF($B$23=1,'АВЗ ОВ'!F48,0)</f>
        <v>0</v>
      </c>
      <c r="K23" s="129">
        <f>IF($B$23=1,'АВЗ ОВ'!G48,0)</f>
        <v>0</v>
      </c>
      <c r="L23" s="129">
        <f>IF($B$23=1,IF(ТрЗ_ОВ!$A$73=0,'АВЗ ОВ'!E9,0),0)</f>
        <v>0</v>
      </c>
      <c r="M23" s="129">
        <f>IF($B$23=1,IF(ТрЗ_ОВ!$A$73=0,'АВЗ ОВ'!F9,0),0)</f>
        <v>0</v>
      </c>
      <c r="N23" s="129">
        <f>IF($B$23=1,IF(ТрЗ_ОВ!$A$73=0,'АВЗ ОВ'!G9,0),0)</f>
        <v>0</v>
      </c>
      <c r="O23" s="129"/>
      <c r="P23" s="129"/>
      <c r="Q23" s="129"/>
    </row>
    <row r="24" spans="1:17" x14ac:dyDescent="0.25">
      <c r="A24" s="1027" t="s">
        <v>404</v>
      </c>
      <c r="B24" s="129" t="str">
        <f>ТрЗ_ОВ!Q82</f>
        <v/>
      </c>
      <c r="C24" s="129">
        <f>IF($B$24=1,IF(ТрЗ_ОВ!$A$82=1,'SEG ОВ'!E26,0),0)</f>
        <v>0</v>
      </c>
      <c r="D24" s="129">
        <f>IF($B$24=1,IF(ТрЗ_ОВ!$A$82=1,'SEG ОВ'!F26,0),0)</f>
        <v>0</v>
      </c>
      <c r="E24" s="129">
        <f>IF($B$24=1,IF(ТрЗ_ОВ!$A$82=1,'SEG ОВ'!G26,0),0)</f>
        <v>0</v>
      </c>
      <c r="F24" s="129">
        <f>IF($B$24=1,'SEG ОВ'!E27,0)</f>
        <v>0</v>
      </c>
      <c r="G24" s="129">
        <f>IF($B$24=1,'SEG ОВ'!F27,0)</f>
        <v>0</v>
      </c>
      <c r="H24" s="129">
        <f>IF($B$24=1,'SEG ОВ'!G27,0)</f>
        <v>0</v>
      </c>
      <c r="I24" s="129">
        <f>IF($B$24=1,'SEG ОВ'!E28,0)</f>
        <v>0</v>
      </c>
      <c r="J24" s="129">
        <f>IF($B$24=1,'SEG ОВ'!F28,0)</f>
        <v>0</v>
      </c>
      <c r="K24" s="129">
        <f>IF($B$24=1,'SEG ОВ'!G28,0)</f>
        <v>0</v>
      </c>
      <c r="L24" s="129">
        <f>IF($B$24=1,IF(ТрЗ_ОВ!$A$82=0,'SEG ОВ'!E$6,0),0)</f>
        <v>0</v>
      </c>
      <c r="M24" s="129">
        <f>IF($B$24=1,IF(ТрЗ_ОВ!$A$82=0,'SEG ОВ'!F$6,0),0)</f>
        <v>0</v>
      </c>
      <c r="N24" s="129">
        <f>IF($B$24=1,IF(ТрЗ_ОВ!$A$82=0,'SEG ОВ'!G$6,0),0)</f>
        <v>0</v>
      </c>
      <c r="O24" s="129"/>
      <c r="P24" s="129"/>
      <c r="Q24" s="129"/>
    </row>
    <row r="25" spans="1:17" x14ac:dyDescent="0.25">
      <c r="A25" s="1023" t="s">
        <v>45</v>
      </c>
      <c r="B25" s="129" t="str">
        <f>ТрЗ_ОВ!Q83</f>
        <v/>
      </c>
      <c r="C25" s="129">
        <f>IF($P$25=1,IF($O$25=1,'СКЗИ ОВ'!H52,IF($O$25=2,'СКЗИ ОВ'!H58,IF($O$25=3,'СКЗИ ОВ'!H46))),0)</f>
        <v>0</v>
      </c>
      <c r="D25" s="129">
        <f>IF($P$25=1,IF($O$25=1,'СКЗИ ОВ'!I52,IF($O$25=2,'СКЗИ ОВ'!I58,IF($O$25=3,'СКЗИ ОВ'!I46))),0)</f>
        <v>0</v>
      </c>
      <c r="E25" s="129">
        <f>IF($P$25=1,IF($O$25=1,'СКЗИ ОВ'!J52,IF($O$25=2,'СКЗИ ОВ'!J58,IF($O$25=3,'СКЗИ ОВ'!J46))),0)</f>
        <v>0</v>
      </c>
      <c r="F25" s="129">
        <f>IF($B$25=1,IF($O$25=1,'СКЗИ ОВ'!H$53,IF($O$25=2,'СКЗИ ОВ'!H$59,IF($O$25=3,'СКЗИ ОВ'!H$47))),0)</f>
        <v>0</v>
      </c>
      <c r="G25" s="129">
        <f>IF($B$25=1,IF($O$25=1,'СКЗИ ОВ'!I$53,IF($O$25=2,'СКЗИ ОВ'!I$59,IF($O$25=3,'СКЗИ ОВ'!I$47))),0)</f>
        <v>0</v>
      </c>
      <c r="H25" s="129">
        <f>IF($B$25=1,IF($O$25=1,'СКЗИ ОВ'!J$53,IF($O$25=2,'СКЗИ ОВ'!J$59,IF($O$25=3,'СКЗИ ОВ'!J$47))),0)</f>
        <v>0</v>
      </c>
      <c r="I25" s="129">
        <f>IF($B$25=1,IF($O$25=1,'СКЗИ ОВ'!H$54,IF($O$25=2,'СКЗИ ОВ'!H$60,IF($O$25=3,'СКЗИ ОВ'!H$48))),0)</f>
        <v>0</v>
      </c>
      <c r="J25" s="129">
        <f>IF($B$25=1,IF($O$25=1,'СКЗИ ОВ'!I$54,IF($O$25=2,'СКЗИ ОВ'!I$60,IF($O$25=3,'СКЗИ ОВ'!I$48))),0)</f>
        <v>0</v>
      </c>
      <c r="K25" s="129">
        <f>IF($B$25=1,IF($O$25=1,'СКЗИ ОВ'!J$54,IF($O$25=2,'СКЗИ ОВ'!J$60,IF($O$25=3,'СКЗИ ОВ'!J$48))),0)</f>
        <v>0</v>
      </c>
      <c r="L25" s="129">
        <f>IF($P$25=0,IF($O$25=1,'СКЗИ ОВ'!L9,IF($O$25=2,'СКЗИ ОВ'!M9,IF($O$25=3,'СКЗИ ОВ'!K9))),0)</f>
        <v>0</v>
      </c>
      <c r="M25" s="129">
        <f>IF($P$25=0,IF($O$25=1,'СКЗИ ОВ'!O9,IF($O$25=2,'СКЗИ ОВ'!P9,IF($O$25=3,'СКЗИ ОВ'!N9))),0)</f>
        <v>0</v>
      </c>
      <c r="N25" s="129">
        <f>IF($P$25=0,IF($O$25=1,'СКЗИ ОВ'!R9,IF($O$25=2,'СКЗИ ОВ'!S9,IF($O$25=3,'СКЗИ ОВ'!Q9))),0)</f>
        <v>0</v>
      </c>
      <c r="O25" s="129" t="b">
        <f>IF(ТрЗ_ОВ!$C$83="Vipnet Coordinator",1,IF(ТрЗ_ОВ!$C$83="C-TERRA ШЛЮЗ",2,IF(ТрЗ_ОВ!$C$83="Континент",3)))</f>
        <v>0</v>
      </c>
      <c r="P25" s="129" t="b">
        <f>IF($B$25=1,IF(ТрЗ_ОВ!$A$83=1,1,0))</f>
        <v>0</v>
      </c>
      <c r="Q25" s="129"/>
    </row>
    <row r="26" spans="1:17" x14ac:dyDescent="0.25">
      <c r="A26" s="1023" t="s">
        <v>46</v>
      </c>
      <c r="B26" s="129" t="str">
        <f>ТрЗ_ОВ!Q107</f>
        <v/>
      </c>
      <c r="C26" s="129">
        <f>IF($Q$26=1,IF($O$26=1,'АЗ ОВ'!E$48,IF($O$26=2,'АЗ ОВ'!K$34,IF($O$26=3,'АЗ ОВ'!U$48))),0)</f>
        <v>0</v>
      </c>
      <c r="D26" s="129">
        <f>IF($Q$26=1,IF($O$26=1,'АЗ ОВ'!F$48,IF($O$26=2,'АЗ ОВ'!L$34,IF($O$26=3,'АЗ ОВ'!V$48))),0)</f>
        <v>0</v>
      </c>
      <c r="E26" s="129">
        <f>IF($Q$26=1,IF($O$26=1,'АЗ ОВ'!G$48,IF($O$26=2,'АЗ ОВ'!M$34,IF($O$26=3,'АЗ ОВ'!W$48))),0)</f>
        <v>0</v>
      </c>
      <c r="F26" s="129">
        <f>IF($B$26=1,IF($O$26=2,'АЗ ОВ'!K$35,IF($O$26=3,'АЗ ОВ'!U$50,IF($O$26=1,IF($P$26=1,'АЗ ОВ'!E$49,'АЗ ОВ'!E$50)))),0)</f>
        <v>0</v>
      </c>
      <c r="G26" s="129">
        <f>IF($B$26=1,IF($O$26=2,'АЗ ОВ'!L$35,IF($O$26=3,'АЗ ОВ'!V$50,IF($O$26=1,IF($P$26=1,'АЗ ОВ'!F$49,'АЗ ОВ'!F$50)))),0)</f>
        <v>0</v>
      </c>
      <c r="H26" s="129">
        <f>IF($B$26=1,IF($O$26=2,'АЗ ОВ'!M$35,IF($O$26=3,'АЗ ОВ'!W$50,IF($O$26=1,IF($P$26=1,'АЗ ОВ'!G$49,'АЗ ОВ'!G$50)))),0)</f>
        <v>0</v>
      </c>
      <c r="I26" s="129">
        <f>IF($B$26=1,IF($O$26=2,'АЗ ОВ'!K$36,IF($O$26=3,'АЗ ОВ'!U$51,IF($O$26=1,'АЗ ОВ'!E$47))),0)</f>
        <v>0</v>
      </c>
      <c r="J26" s="129">
        <f>IF($B$26=1,IF($O$26=2,'АЗ ОВ'!L$36,IF($O$26=3,'АЗ ОВ'!V$51,IF($O$26=1,'АЗ ОВ'!F$47))),0)</f>
        <v>0</v>
      </c>
      <c r="K26" s="129">
        <f>IF($B$26=1,IF($O$26=2,'АЗ ОВ'!M$36,IF($O$26=3,'АЗ ОВ'!W$51,IF($O$26=1,'АЗ ОВ'!G$47))),0)</f>
        <v>0</v>
      </c>
      <c r="L26" s="129" t="b">
        <f>IF($B$26=1,IF($Q$26=0,'АЗ ОВ'!E$5,0))</f>
        <v>0</v>
      </c>
      <c r="M26" s="129" t="b">
        <f>IF($B$26=1,IF($Q$26=0,'АЗ ОВ'!F$5,0))</f>
        <v>0</v>
      </c>
      <c r="N26" s="129" t="b">
        <f>IF($B$26=1,IF($Q$26=0,'АЗ ОВ'!G$5,0))</f>
        <v>0</v>
      </c>
      <c r="O26" s="129" t="b">
        <f>IF(ТрЗ_ОВ!$C$107="Red Check (desktop)",1,IF(ТрЗ_ОВ!$C$107="Red Check (web)",1,IF(ТрЗ_ОВ!$C$107="MaxPatrol VM",3,IF(ТрЗ_ОВ!$C$107="PT xSpider",2,IF(ТрЗ_ОВ!$C$107="Сканер-ВС",2)))))</f>
        <v>0</v>
      </c>
      <c r="P26" s="129">
        <f>IF(ТрЗ_ОВ!$J$107="Да",1,0)</f>
        <v>0</v>
      </c>
      <c r="Q26" s="129" t="b">
        <f>IF($B$26=1,IF(ТрЗ_ОВ!$A$107=1,1,0))</f>
        <v>0</v>
      </c>
    </row>
    <row r="27" spans="1:17" x14ac:dyDescent="0.25">
      <c r="A27" s="1023" t="s">
        <v>99</v>
      </c>
      <c r="B27" s="129" t="str">
        <f>ТрЗ_ОВ!Q108</f>
        <v/>
      </c>
      <c r="C27" s="129" t="b">
        <f>IF($B$27=1,IF(ТрЗ_ОВ!$A$108=1,'СРК ОВ'!E$39,0))</f>
        <v>0</v>
      </c>
      <c r="D27" s="129" t="b">
        <f>IF($B$27=1,IF(ТрЗ_ОВ!$A$108=1,'СРК ОВ'!F$39,0))</f>
        <v>0</v>
      </c>
      <c r="E27" s="129" t="b">
        <f>IF($B$27=1,IF(ТрЗ_ОВ!$A$108=1,'СРК ОВ'!G$39,0))</f>
        <v>0</v>
      </c>
      <c r="F27" s="129">
        <f>IF($B$27=1,'СРК ОВ'!E$40,0)</f>
        <v>0</v>
      </c>
      <c r="G27" s="129">
        <f>IF($B$27=1,'СРК ОВ'!F$40,0)</f>
        <v>0</v>
      </c>
      <c r="H27" s="129">
        <f>IF($B$27=1,'СРК ОВ'!G$40,0)</f>
        <v>0</v>
      </c>
      <c r="I27" s="129">
        <f>IF($B$27=1,'СРК ОВ'!E$41,0)</f>
        <v>0</v>
      </c>
      <c r="J27" s="129">
        <f>IF($B$27=1,'СРК ОВ'!F$41,0)</f>
        <v>0</v>
      </c>
      <c r="K27" s="129">
        <f>IF($B$27=1,'СРК ОВ'!G$41,0)</f>
        <v>0</v>
      </c>
      <c r="L27" s="129" t="b">
        <f>IF($B$27=1,IF(ТрЗ_ОВ!$A$108=0,'СРК ОВ'!E$8,0))</f>
        <v>0</v>
      </c>
      <c r="M27" s="129" t="b">
        <f>IF($B$27=1,IF(ТрЗ_ОВ!$A$108=0,'СРК ОВ'!F$8,0))</f>
        <v>0</v>
      </c>
      <c r="N27" s="129" t="b">
        <f>IF($B$27=1,IF(ТрЗ_ОВ!$A$108=0,'СРК ОВ'!G$8,0))</f>
        <v>0</v>
      </c>
      <c r="O27" s="129"/>
      <c r="P27" s="129"/>
      <c r="Q27" s="129"/>
    </row>
    <row r="28" spans="1:17" x14ac:dyDescent="0.25">
      <c r="A28" s="1023" t="s">
        <v>98</v>
      </c>
      <c r="B28" s="129" t="str">
        <f>ТрЗ_ОВ!Q109</f>
        <v/>
      </c>
      <c r="C28" s="129">
        <f>IF($B$28=1,'НСД ОВ'!E5,0)</f>
        <v>0</v>
      </c>
      <c r="D28" s="129"/>
      <c r="E28" s="129"/>
      <c r="F28" s="129">
        <f>IF($B$28=1,'НСД ОВ'!E11,0)</f>
        <v>0</v>
      </c>
      <c r="G28" s="129"/>
      <c r="H28" s="129"/>
      <c r="I28" s="129">
        <f>IF($B$28=1,'НСД ОВ'!E21,0)</f>
        <v>0</v>
      </c>
      <c r="J28" s="129"/>
      <c r="K28" s="129"/>
      <c r="L28" s="129" t="b">
        <f>IF($B$28=1,IF(ТрЗ_ОВ!$A$109=0,'НСД ОВ'!D6,0))</f>
        <v>0</v>
      </c>
      <c r="M28" s="129"/>
      <c r="N28" s="129"/>
      <c r="O28" s="129"/>
      <c r="P28" s="129"/>
      <c r="Q28" s="129"/>
    </row>
    <row r="29" spans="1:17" x14ac:dyDescent="0.25">
      <c r="A29" s="1023" t="s">
        <v>110</v>
      </c>
      <c r="B29" s="129" t="str">
        <f>ТрЗ_ОВ!Q110</f>
        <v/>
      </c>
      <c r="C29" s="129">
        <f>IF($P$29=1,IF($O$29=1,'СЗВ ОВ'!G$32,IF($O$29=2,'СЗВ ОВ'!H$32,IF($O$29=3,'СЗВ ОВ'!I$32))),0)</f>
        <v>0</v>
      </c>
      <c r="D29" s="129">
        <f>IF($P$29=1,IF($O$29=1,'СЗВ ОВ'!J32,IF($O$29=2,'СЗВ ОВ'!K32,IF($O$29=3,'СЗВ ОВ'!L32))),0)</f>
        <v>0</v>
      </c>
      <c r="E29" s="129">
        <f>IF($P$29=1,IF($O$29=1,'СЗВ ОВ'!M32,IF($O$29=2,'СЗВ ОВ'!N32,IF($O$29=3,'СЗВ ОВ'!O32))),0)</f>
        <v>0</v>
      </c>
      <c r="F29" s="129">
        <f>IF($B$29=1,IF($O$29=1,'СЗВ ОВ'!G33,IF($O$29=2,'СЗВ ОВ'!H33,IF($O$29=3,'СЗВ ОВ'!I33))),0)</f>
        <v>0</v>
      </c>
      <c r="G29" s="129">
        <f>IF($B$29=1,IF($O$29=1,'СЗВ ОВ'!J33,IF($O$29=2,'СЗВ ОВ'!K33,IF($O$29=3,'СЗВ ОВ'!L33))),0)</f>
        <v>0</v>
      </c>
      <c r="H29" s="129">
        <f>IF($B$29=1,IF($O$29=1,'СЗВ ОВ'!M33,IF($O$29=2,'СЗВ ОВ'!N33,IF($O$29=3,'СЗВ ОВ'!O33))),0)</f>
        <v>0</v>
      </c>
      <c r="I29" s="129">
        <f>IF($B$29=1,IF($O$29=1,'СЗВ ОВ'!G34,IF($O$29=2,'СЗВ ОВ'!H34,IF($O$29=3,'СЗВ ОВ'!I34))),0)</f>
        <v>0</v>
      </c>
      <c r="J29" s="129">
        <f>IF($B$29=1,IF($O$29=1,'СЗВ ОВ'!J34,IF($O$29=2,'СЗВ ОВ'!K34,IF($O$29=3,'СЗВ ОВ'!L34))),0)</f>
        <v>0</v>
      </c>
      <c r="K29" s="129">
        <f>IF($B$29=1,IF($O$29=1,'СЗВ ОВ'!M34,IF($O$29=2,'СЗВ ОВ'!N34,IF($O$29=3,'СЗВ ОВ'!O34))),0)</f>
        <v>0</v>
      </c>
      <c r="L29" s="129"/>
      <c r="M29" s="129">
        <f>IF($P$29=0,'СЗВ ОВ'!K5,0)</f>
        <v>0</v>
      </c>
      <c r="N29" s="129"/>
      <c r="O29" s="129" t="b">
        <f>IF(ТрЗ_ОВ!$C$110="vGate",1,IF(ТрЗ_ОВ!$C$110="Базис",2,IF(ТрЗ_ОВ!$C$110="Dallas Lock",3)))</f>
        <v>0</v>
      </c>
      <c r="P29" s="129" t="b">
        <f>IF($B$29=1,IF(ТрЗ_ОВ!$A$110 =1,1,0))</f>
        <v>0</v>
      </c>
      <c r="Q29" s="129"/>
    </row>
    <row r="30" spans="1:17" x14ac:dyDescent="0.25">
      <c r="A30" s="1023" t="s">
        <v>866</v>
      </c>
      <c r="B30" s="129" t="str">
        <f>ТрЗ_ОВ!Q111</f>
        <v/>
      </c>
      <c r="C30" s="129" t="b">
        <f>IF($B$30=1,IF(ТрЗ_ОВ!$A$160=1,'BM ОВ'!E$36,0))</f>
        <v>0</v>
      </c>
      <c r="D30" s="129" t="b">
        <f>IF($B$30=1,IF(ТрЗ_ОВ!$A$160=1,'BM ОВ'!F$36,0))</f>
        <v>0</v>
      </c>
      <c r="E30" s="129" t="b">
        <f>IF($B$30=1,IF(ТрЗ_ОВ!$A$160=1,'BM ОВ'!G$36,0))</f>
        <v>0</v>
      </c>
      <c r="F30" s="129">
        <f>IF($B$30=1,'BM ОВ'!E$37,0)</f>
        <v>0</v>
      </c>
      <c r="G30" s="129">
        <f>IF($B$30=1,'BM ОВ'!F$37,0)</f>
        <v>0</v>
      </c>
      <c r="H30" s="129">
        <f>IF($B$30=1,'BM ОВ'!G$37,0)</f>
        <v>0</v>
      </c>
      <c r="I30" s="129">
        <f>IF($B$30=1,'BM ОВ'!E$38,0)</f>
        <v>0</v>
      </c>
      <c r="J30" s="129">
        <f>IF($B$30=1,'BM ОВ'!F$38,0)</f>
        <v>0</v>
      </c>
      <c r="K30" s="129">
        <f>IF($B$30=1,'BM ОВ'!G$38,0)</f>
        <v>0</v>
      </c>
      <c r="L30" s="129" t="b">
        <f>IF($B$30=1,IF(ТрЗ_ОВ!$A$111=0,'BM ОВ'!E$7,0))</f>
        <v>0</v>
      </c>
      <c r="M30" s="129" t="b">
        <f>IF($B$30=1,IF(ТрЗ_ОВ!$A$111=0,'BM ОВ'!F$7,0))</f>
        <v>0</v>
      </c>
      <c r="N30" s="129" t="b">
        <f>IF($B$30=1,IF(ТрЗ_ОВ!$A$111=0,'BM ОВ'!G$7,0))</f>
        <v>0</v>
      </c>
      <c r="O30" s="129"/>
      <c r="P30" s="129"/>
      <c r="Q30" s="129"/>
    </row>
    <row r="31" spans="1:17" x14ac:dyDescent="0.25">
      <c r="A31" s="1259" t="s">
        <v>867</v>
      </c>
      <c r="B31" s="129" t="str">
        <f>ТрЗ_ОВ!Q112</f>
        <v/>
      </c>
      <c r="C31" s="129" t="b">
        <f>IF($B$31=1,IF(ТрЗ_ОВ!A112=1,'ГосСОПКА ОВ'!E$23,0))</f>
        <v>0</v>
      </c>
      <c r="D31" s="129" t="b">
        <f>IF($B$31=1,IF(ТрЗ_ОВ!A112=1,'ГосСОПКА ОВ'!F$23,0))</f>
        <v>0</v>
      </c>
      <c r="E31" s="129" t="b">
        <f>IF($B$31=1,IF(ТрЗ_ОВ!A112=1,'ГосСОПКА ОВ'!G$23,0))</f>
        <v>0</v>
      </c>
      <c r="F31" s="129">
        <f>IF($B$31=1,'ГосСОПКА ОВ'!E$24,0)</f>
        <v>0</v>
      </c>
      <c r="G31" s="129">
        <f>IF($B$31=1,'ГосСОПКА ОВ'!F$24,0)</f>
        <v>0</v>
      </c>
      <c r="H31" s="129">
        <f>IF($B$31=1,'ГосСОПКА ОВ'!G$24,0)</f>
        <v>0</v>
      </c>
      <c r="I31" s="129">
        <f>IF($B$31=1,'ГосСОПКА ОВ'!E$25,0)</f>
        <v>0</v>
      </c>
      <c r="J31" s="129">
        <f>IF($B$31=1,'ГосСОПКА ОВ'!F$25,0)</f>
        <v>0</v>
      </c>
      <c r="K31" s="129">
        <f>IF($B$31=1,'ГосСОПКА ОВ'!G$25,0)</f>
        <v>0</v>
      </c>
      <c r="L31" s="129" t="b">
        <f>IF($B$31=1,IF(ТрЗ_ОВ!A112=0,'ГосСОПКА ОВ'!E$4,0))</f>
        <v>0</v>
      </c>
      <c r="M31" s="129" t="b">
        <f>IF($B$31=1,IF(ТрЗ_ОВ!A112=0,'ГосСОПКА ОВ'!F$4,0))</f>
        <v>0</v>
      </c>
      <c r="N31" s="129" t="b">
        <f>IF($B$31=1,IF(ТрЗ_ОВ!A112=0,'ГосСОПКА ОВ'!G$4,0))</f>
        <v>0</v>
      </c>
      <c r="O31" s="129"/>
      <c r="P31" s="129"/>
      <c r="Q31" s="129"/>
    </row>
    <row r="32" spans="1:17" x14ac:dyDescent="0.25">
      <c r="A32" s="1259" t="s">
        <v>43</v>
      </c>
      <c r="B32" s="129" t="str">
        <f>ТрЗ_ОВ!Q113</f>
        <v/>
      </c>
      <c r="C32" s="129" t="b">
        <f>IF($B$32=1,IF(ТрЗ_ОВ!$A$113=1,'SIEM OВ'!E$28,0))</f>
        <v>0</v>
      </c>
      <c r="D32" s="129" t="b">
        <f>IF($B$32=1,IF(ТрЗ_ОВ!$A$113=1,'SIEM OВ'!F$28,0))</f>
        <v>0</v>
      </c>
      <c r="E32" s="129" t="b">
        <f>IF($B$32=1,IF(ТрЗ_ОВ!$A$113=1,'SIEM OВ'!G$28,0))</f>
        <v>0</v>
      </c>
      <c r="F32" s="129">
        <f>IF($B$32=1,'SIEM OВ'!E$29,0)</f>
        <v>0</v>
      </c>
      <c r="G32" s="129">
        <f>IF($B$32=1,'SIEM OВ'!F$29,0)</f>
        <v>0</v>
      </c>
      <c r="H32" s="129">
        <f>IF($B$32=1,'SIEM OВ'!G$29,0)</f>
        <v>0</v>
      </c>
      <c r="I32" s="129">
        <f>IF($B$32=1,'SIEM OВ'!E$30,0)</f>
        <v>0</v>
      </c>
      <c r="J32" s="129">
        <f>IF($B$32=1,'SIEM OВ'!F$30,0)</f>
        <v>0</v>
      </c>
      <c r="K32" s="129">
        <f>IF($B$32=1,'SIEM OВ'!G$30,0)</f>
        <v>0</v>
      </c>
      <c r="L32" s="129" t="b">
        <f>IF($B$32=1,IF(ТрЗ_ОВ!$A$113=0,'SIEM OВ'!E$7,0))</f>
        <v>0</v>
      </c>
      <c r="M32" s="129" t="b">
        <f>IF($B$32=1,IF(ТрЗ_ОВ!$A$113=0,'SIEM OВ'!F$7,0))</f>
        <v>0</v>
      </c>
      <c r="N32" s="129" t="b">
        <f>IF($B$32=1,IF(ТрЗ_ОВ!$A$113=0,'SIEM OВ'!G$7,0))</f>
        <v>0</v>
      </c>
      <c r="O32" s="129"/>
      <c r="P32" s="129"/>
      <c r="Q32" s="129"/>
    </row>
    <row r="33" spans="1:17" x14ac:dyDescent="0.25">
      <c r="A33" s="1023" t="s">
        <v>47</v>
      </c>
      <c r="B33" s="129" t="str">
        <f>ТрЗ_ОВ!Q114</f>
        <v/>
      </c>
      <c r="C33" s="129" t="b">
        <f>IF($B$33=1,IF(ТрЗ_ОВ!$A$114=1,'NTA ОВ '!D$53,0))</f>
        <v>0</v>
      </c>
      <c r="D33" s="129" t="b">
        <f>IF($B$33=1,IF(ТрЗ_ОВ!$A$114=1,'NTA ОВ '!E$53,0))</f>
        <v>0</v>
      </c>
      <c r="E33" s="129" t="b">
        <f>IF($B$33=1,IF(ТрЗ_ОВ!$A$114=1,'NTA ОВ '!F$53,0))</f>
        <v>0</v>
      </c>
      <c r="F33" s="129">
        <f>IF($B$33=1,'NTA ОВ '!D$54,0)</f>
        <v>0</v>
      </c>
      <c r="G33" s="129">
        <f>IF($B$33=1,'NTA ОВ '!E$54,0)</f>
        <v>0</v>
      </c>
      <c r="H33" s="129">
        <f>IF($B$33=1,'NTA ОВ '!F$54,0)</f>
        <v>0</v>
      </c>
      <c r="I33" s="129">
        <f>IF($B$33=1,'NTA ОВ '!D$55,0)</f>
        <v>0</v>
      </c>
      <c r="J33" s="129">
        <f>IF($B$33=1,'NTA ОВ '!E$55,0)</f>
        <v>0</v>
      </c>
      <c r="K33" s="129">
        <f>IF($B$33=1,'NTA ОВ '!F$55,0)</f>
        <v>0</v>
      </c>
      <c r="L33" s="129" t="b">
        <f>IF($B$33=1,IF(ТрЗ_ОВ!$A$114=0,'NTA ОВ '!D$23,0))</f>
        <v>0</v>
      </c>
      <c r="M33" s="129" t="b">
        <f>IF($B$33=1,IF(ТрЗ_ОВ!$A$114=0,'NTA ОВ '!E$23,0))</f>
        <v>0</v>
      </c>
      <c r="N33" s="129" t="b">
        <f>IF($B$33=1,IF(ТрЗ_ОВ!$A$114=0,'NTA ОВ '!F$23,0))</f>
        <v>0</v>
      </c>
      <c r="O33" s="129"/>
      <c r="P33" s="129"/>
      <c r="Q33" s="129"/>
    </row>
    <row r="34" spans="1:17" x14ac:dyDescent="0.25">
      <c r="A34" s="1259" t="s">
        <v>100</v>
      </c>
      <c r="B34" s="129" t="str">
        <f>ТрЗ_ОВ!Q126</f>
        <v/>
      </c>
      <c r="C34" s="129" t="b">
        <f>IF($B$34=1,IF(ТрЗ_ОВ!$A$126=1,'WAF ОВ'!E$21,0))</f>
        <v>0</v>
      </c>
      <c r="D34" s="129" t="b">
        <f>IF($B$34=1,IF(ТрЗ_ОВ!$A$126=1,'WAF ОВ'!F$21,0))</f>
        <v>0</v>
      </c>
      <c r="E34" s="129" t="b">
        <f>IF($B$34=1,IF(ТрЗ_ОВ!$A$126=1,'WAF ОВ'!G$21,0))</f>
        <v>0</v>
      </c>
      <c r="F34" s="129">
        <f>IF($B$34=1,'WAF ОВ'!E$22,0)</f>
        <v>0</v>
      </c>
      <c r="G34" s="129">
        <f>IF($B$34=1,'WAF ОВ'!F$22,0)</f>
        <v>0</v>
      </c>
      <c r="H34" s="129">
        <f>IF($B$34=1,'WAF ОВ'!G$22,0)</f>
        <v>0</v>
      </c>
      <c r="I34" s="129">
        <f>IF($B$34=1,'WAF ОВ'!E$23,0)</f>
        <v>0</v>
      </c>
      <c r="J34" s="129">
        <f>IF($B$34=1,'WAF ОВ'!F$23,0)</f>
        <v>0</v>
      </c>
      <c r="K34" s="129">
        <f>IF($B$34=1,'WAF ОВ'!G$23,0)</f>
        <v>0</v>
      </c>
      <c r="L34" s="129" t="b">
        <f>IF($B$34=1,IF(ТрЗ_ОВ!$A$126=0,'WAF ОВ'!E$5,0))</f>
        <v>0</v>
      </c>
      <c r="M34" s="129" t="b">
        <f>IF($B$34=1,IF(ТрЗ_ОВ!$A$126=0,'WAF ОВ'!F$5,0))</f>
        <v>0</v>
      </c>
      <c r="N34" s="129" t="b">
        <f>IF($B$34=1,IF(ТрЗ_ОВ!$A$126=0,'WAF ОВ'!G$5,0))</f>
        <v>0</v>
      </c>
      <c r="O34" s="129"/>
      <c r="P34" s="129"/>
      <c r="Q34" s="129"/>
    </row>
    <row r="35" spans="1:17" x14ac:dyDescent="0.25">
      <c r="A35" s="1028" t="s">
        <v>403</v>
      </c>
      <c r="B35" s="129" t="str">
        <f>ТрЗ_ОВ!Q127</f>
        <v/>
      </c>
      <c r="C35" s="129" t="b">
        <f>IF($B$35=1,IF(ТрЗ_ОВ!$A$127=1,'NTA ОВ '!D$53,0))</f>
        <v>0</v>
      </c>
      <c r="D35" s="129" t="b">
        <f>IF($B$35=1,IF(ТрЗ_ОВ!$A$127=1,'NTA ОВ '!E$53,0))</f>
        <v>0</v>
      </c>
      <c r="E35" s="129" t="b">
        <f>IF($B$35=1,IF(ТрЗ_ОВ!$A$127=1,'NTA ОВ '!F$53,0))</f>
        <v>0</v>
      </c>
      <c r="F35" s="129">
        <f>IF($B$35=1,'NTA ОВ '!D$54,0)</f>
        <v>0</v>
      </c>
      <c r="G35" s="129">
        <f>IF($B$35=1,'NTA ОВ '!E$54,0)</f>
        <v>0</v>
      </c>
      <c r="H35" s="129">
        <f>IF($B$35=1,'NTA ОВ '!F$54,0)</f>
        <v>0</v>
      </c>
      <c r="I35" s="129">
        <f>IF($B$35=1,'NTA ОВ '!D$55,0)</f>
        <v>0</v>
      </c>
      <c r="J35" s="129">
        <f>IF($B$35=1,'NTA ОВ '!E$55,0)</f>
        <v>0</v>
      </c>
      <c r="K35" s="129">
        <f>IF($B$35=1,'NTA ОВ '!F$55,0)</f>
        <v>0</v>
      </c>
      <c r="L35" s="129" t="b">
        <f>IF($B$35=1,IF(ТрЗ_ОВ!$A$127=0,'NTA ОВ '!D$23,0))</f>
        <v>0</v>
      </c>
      <c r="M35" s="129" t="b">
        <f>IF($B$35=1,IF(ТрЗ_ОВ!$A$127=0,'NTA ОВ '!E$23,0))</f>
        <v>0</v>
      </c>
      <c r="N35" s="129" t="b">
        <f>IF($B$35=1,IF(ТрЗ_ОВ!$A$127=0,'NTA ОВ '!F$23,0))</f>
        <v>0</v>
      </c>
      <c r="O35" s="129"/>
      <c r="P35" s="129"/>
      <c r="Q35" s="129"/>
    </row>
    <row r="36" spans="1:17" x14ac:dyDescent="0.25">
      <c r="A36" s="1259" t="s">
        <v>642</v>
      </c>
      <c r="B36" s="129" t="str">
        <f>ТрЗ_ОВ!Q138</f>
        <v/>
      </c>
      <c r="C36" s="129" t="b">
        <f>IF($B$36=1,IF(ТрЗ_ОВ!$A$138=1,'DCAP ОВ'!E$22,0))</f>
        <v>0</v>
      </c>
      <c r="D36" s="129" t="b">
        <f>IF($B$36=1,IF(ТрЗ_ОВ!$A$138=1,'DCAP ОВ'!F$22,0))</f>
        <v>0</v>
      </c>
      <c r="E36" s="129" t="b">
        <f>IF($B$36=1,IF(ТрЗ_ОВ!$A$138=1,'DCAP ОВ'!G$22,0))</f>
        <v>0</v>
      </c>
      <c r="F36" s="129">
        <f>IF($B$36=1,'DCAP ОВ'!E$23,0)</f>
        <v>0</v>
      </c>
      <c r="G36" s="129">
        <f>IF($B$36=1,'DCAP ОВ'!F$23,0)</f>
        <v>0</v>
      </c>
      <c r="H36" s="129">
        <f>IF($B$36=1,'DCAP ОВ'!G$23,0)</f>
        <v>0</v>
      </c>
      <c r="I36" s="129">
        <f>IF($B$36=1,'DCAP ОВ'!E$24,0)</f>
        <v>0</v>
      </c>
      <c r="J36" s="129">
        <f>IF($B$36=1,'DCAP ОВ'!F$24,0)</f>
        <v>0</v>
      </c>
      <c r="K36" s="129">
        <f>IF($B$36=1,'DCAP ОВ'!G$24,0)</f>
        <v>0</v>
      </c>
      <c r="L36" s="129" t="b">
        <f>IF($B$36=1,IF(ТрЗ_ОВ!$A$138=0,'DCAP ОВ'!E$4,0))</f>
        <v>0</v>
      </c>
      <c r="M36" s="129" t="b">
        <f>IF($B$36=1,IF(ТрЗ_ОВ!$A$138=0,'DCAP ОВ'!F$4,0))</f>
        <v>0</v>
      </c>
      <c r="N36" s="129" t="b">
        <f>IF($B$36=1,IF(ТрЗ_ОВ!$A$138=0,'DCAP ОВ'!G$4,0))</f>
        <v>0</v>
      </c>
      <c r="O36" s="129"/>
      <c r="P36" s="129"/>
      <c r="Q36" s="129"/>
    </row>
    <row r="37" spans="1:17" x14ac:dyDescent="0.25">
      <c r="A37" s="1259" t="s">
        <v>641</v>
      </c>
      <c r="B37" s="129" t="str">
        <f>ТрЗ_ОВ!Q139</f>
        <v/>
      </c>
      <c r="C37" s="129" t="b">
        <f>IF($B$37=1,IF(ТрЗ_ОВ!$A$139=1,'РАМ ОВ'!E$25,0))</f>
        <v>0</v>
      </c>
      <c r="D37" s="129" t="b">
        <f>IF($B$37=1,IF(ТрЗ_ОВ!$A$139=1,'РАМ ОВ'!F$25,0))</f>
        <v>0</v>
      </c>
      <c r="E37" s="129" t="b">
        <f>IF($B$37=1,IF(ТрЗ_ОВ!$A$139=1,'РАМ ОВ'!G$25,0))</f>
        <v>0</v>
      </c>
      <c r="F37" s="129">
        <f>IF($B$37=1,'РАМ ОВ'!E$26,0)</f>
        <v>0</v>
      </c>
      <c r="G37" s="129">
        <f>IF($B$37=1,'РАМ ОВ'!F$26,0)</f>
        <v>0</v>
      </c>
      <c r="H37" s="129">
        <f>IF($B$37=1,'РАМ ОВ'!G$26,0)</f>
        <v>0</v>
      </c>
      <c r="I37" s="129">
        <f>IF($B$37=1,'РАМ ОВ'!E$27,0)</f>
        <v>0</v>
      </c>
      <c r="J37" s="129">
        <f>IF($B$37=1,'РАМ ОВ'!F$27,0)</f>
        <v>0</v>
      </c>
      <c r="K37" s="129">
        <f>IF($B$37=1,'РАМ ОВ'!G$27,0)</f>
        <v>0</v>
      </c>
      <c r="L37" s="129" t="b">
        <f>IF($B$37=1,IF(ТрЗ_ОВ!$A$139=0,'РАМ ОВ'!E$5,0))</f>
        <v>0</v>
      </c>
      <c r="M37" s="129" t="b">
        <f>IF($B$37=1,IF(ТрЗ_ОВ!$A$139=0,'РАМ ОВ'!F$5,0))</f>
        <v>0</v>
      </c>
      <c r="N37" s="129" t="b">
        <f>IF($B$37=1,IF(ТрЗ_ОВ!$A$139=0,'РАМ ОВ'!G$5,0))</f>
        <v>0</v>
      </c>
      <c r="O37" s="129"/>
      <c r="P37" s="129"/>
      <c r="Q37" s="129"/>
    </row>
    <row r="38" spans="1:17" x14ac:dyDescent="0.25">
      <c r="A38" s="1027" t="s">
        <v>290</v>
      </c>
      <c r="B38" s="129" t="str">
        <f>ТрЗ_ОВ!Q140</f>
        <v/>
      </c>
      <c r="C38" s="129" t="b">
        <f>IF($B$38=1,IF(ТрЗ_ОВ!A140=1,'ДИОД ОВ'!E$27,0))</f>
        <v>0</v>
      </c>
      <c r="D38" s="129" t="b">
        <f>IF($B$38=1,IF(ТрЗ_ОВ!A140=1,'ДИОД ОВ'!F$27,0))</f>
        <v>0</v>
      </c>
      <c r="E38" s="129" t="b">
        <f>IF($B$38=1,IF(ТрЗ_ОВ!A140=1,'ДИОД ОВ'!G$27,0))</f>
        <v>0</v>
      </c>
      <c r="F38" s="129">
        <f>IF($B$38=1,'ДИОД ОВ'!E$28,0)</f>
        <v>0</v>
      </c>
      <c r="G38" s="129">
        <f>IF($B$38=1,'ДИОД ОВ'!F$28,0)</f>
        <v>0</v>
      </c>
      <c r="H38" s="129">
        <f>IF($B$38=1,'ДИОД ОВ'!G$28,0)</f>
        <v>0</v>
      </c>
      <c r="I38" s="129">
        <f>IF($B$38=1,'ДИОД ОВ'!E$29,0)</f>
        <v>0</v>
      </c>
      <c r="J38" s="129">
        <f>IF($B$38=1,'ДИОД ОВ'!F$29,0)</f>
        <v>0</v>
      </c>
      <c r="K38" s="129">
        <f>IF($B$38=1,'ДИОД ОВ'!G$29,0)</f>
        <v>0</v>
      </c>
      <c r="L38" s="129" t="b">
        <f>IF($B$38=1,IF(ТрЗ_ОВ!$A$140=0,'ДИОД ОВ'!E$5,0))</f>
        <v>0</v>
      </c>
      <c r="M38" s="129" t="b">
        <f>IF($B$38=1,IF(ТрЗ_ОВ!$A$140=0,'ДИОД ОВ'!F$5,0))</f>
        <v>0</v>
      </c>
      <c r="N38" s="129" t="b">
        <f>IF($B$38=1,IF(ТрЗ_ОВ!$A$140=0,'ДИОД ОВ'!G$5,0))</f>
        <v>0</v>
      </c>
      <c r="O38" s="129"/>
      <c r="P38" s="129"/>
      <c r="Q38" s="129"/>
    </row>
    <row r="39" spans="1:17" x14ac:dyDescent="0.25">
      <c r="A39" s="1259" t="s">
        <v>407</v>
      </c>
      <c r="B39" s="129" t="str">
        <f>ТрЗ_ОВ!Q152</f>
        <v/>
      </c>
      <c r="C39" s="129" t="b">
        <f>IF($B$39=1,IF(ТрЗ_ОВ!$A$152=1,'Sandbox ОВ'!E$23,0))</f>
        <v>0</v>
      </c>
      <c r="D39" s="129" t="b">
        <f>IF($B$39=1,IF(ТрЗ_ОВ!$A$152=1,'Sandbox ОВ'!F$23,0))</f>
        <v>0</v>
      </c>
      <c r="E39" s="129" t="b">
        <f>IF($B$39=1,IF(ТрЗ_ОВ!$A$152=1,'Sandbox ОВ'!G$23,0))</f>
        <v>0</v>
      </c>
      <c r="F39" s="129">
        <f>IF($B$39=1,'Sandbox ОВ'!E$24,0)</f>
        <v>0</v>
      </c>
      <c r="G39" s="129">
        <f>IF($B$39=1,'Sandbox ОВ'!F$24,0)</f>
        <v>0</v>
      </c>
      <c r="H39" s="129">
        <f>IF($B$39=1,'Sandbox ОВ'!G$24,0)</f>
        <v>0</v>
      </c>
      <c r="I39" s="129">
        <f>IF($B$39=1,'Sandbox ОВ'!E$25,0)</f>
        <v>0</v>
      </c>
      <c r="J39" s="129">
        <f>IF($B$39=1,'Sandbox ОВ'!F$25,0)</f>
        <v>0</v>
      </c>
      <c r="K39" s="129">
        <f>IF($B$39=1,'Sandbox ОВ'!G$25,0)</f>
        <v>0</v>
      </c>
      <c r="L39" s="129" t="b">
        <f>IF($B$39=1,IF(ТрЗ_ОВ!$A$152=0,'Sandbox ОВ'!E$5,0))</f>
        <v>0</v>
      </c>
      <c r="M39" s="129" t="b">
        <f>IF($B$39=1,IF(ТрЗ_ОВ!$A$152=0,'Sandbox ОВ'!F$5,0))</f>
        <v>0</v>
      </c>
      <c r="N39" s="129" t="b">
        <f>IF($B$39=1,IF(ТрЗ_ОВ!$A$152=0,'Sandbox ОВ'!G$5,0))</f>
        <v>0</v>
      </c>
      <c r="O39" s="129"/>
      <c r="P39" s="129"/>
      <c r="Q39" s="129"/>
    </row>
    <row r="40" spans="1:17" x14ac:dyDescent="0.25">
      <c r="A40" s="1259" t="s">
        <v>868</v>
      </c>
      <c r="B40" s="129" t="str">
        <f>ТрЗ_ОВ!Q153</f>
        <v/>
      </c>
      <c r="C40" s="129" t="b">
        <f>IF($B$40=1,IF(ТрЗ_ОВ!$A$153=1,'VDI ОВ'!E$30,0))</f>
        <v>0</v>
      </c>
      <c r="D40" s="129" t="b">
        <f>IF($B$40=1,IF(ТрЗ_ОВ!$A$153=1,'VDI ОВ'!F$30,0))</f>
        <v>0</v>
      </c>
      <c r="E40" s="129" t="b">
        <f>IF($B$40=1,IF(ТрЗ_ОВ!$A$153=1,'VDI ОВ'!G$30,0))</f>
        <v>0</v>
      </c>
      <c r="F40" s="129">
        <f>IF($B$40=1,'VDI ОВ'!$E$31,0)</f>
        <v>0</v>
      </c>
      <c r="G40" s="129">
        <f>IF($B$40=1,'VDI ОВ'!$E$31,0)</f>
        <v>0</v>
      </c>
      <c r="H40" s="129">
        <f>IF($B$40=1,'VDI ОВ'!$E$31,0)</f>
        <v>0</v>
      </c>
      <c r="I40" s="129">
        <f>IF($B$40=1,'VDI ОВ'!E$31,0)</f>
        <v>0</v>
      </c>
      <c r="J40" s="129">
        <f>IF($B$40=1,'VDI ОВ'!F$31,0)</f>
        <v>0</v>
      </c>
      <c r="K40" s="129">
        <f>IF($B$40=1,'VDI ОВ'!G$31,0)</f>
        <v>0</v>
      </c>
      <c r="L40" s="129" t="b">
        <f>IF($B$40=1,IF(ТрЗ_ОВ!$A$153=0,'VDI ОВ'!E$7,0))</f>
        <v>0</v>
      </c>
      <c r="M40" s="129" t="b">
        <f>IF($B$40=1,IF(ТрЗ_ОВ!$A$153=0,'VDI ОВ'!F$7,0))</f>
        <v>0</v>
      </c>
      <c r="N40" s="129" t="b">
        <f>IF($B$40=1,IF(ТрЗ_ОВ!$A$153=0,'VDI ОВ'!G$7,0))</f>
        <v>0</v>
      </c>
      <c r="O40" s="129"/>
      <c r="P40" s="129"/>
      <c r="Q40" s="129"/>
    </row>
    <row r="41" spans="1:17" x14ac:dyDescent="0.25">
      <c r="A41" s="1259" t="s">
        <v>535</v>
      </c>
      <c r="B41" s="129" t="str">
        <f>ТрЗ_ОВ!Q154</f>
        <v/>
      </c>
      <c r="C41" s="129" t="b">
        <f>IF($B$41=1,IF(ТрЗ_ОВ!$A$154=1,'MFA ОВ'!E$23,0))</f>
        <v>0</v>
      </c>
      <c r="D41" s="129" t="b">
        <f>IF($B$41=1,IF(ТрЗ_ОВ!$A$154=1,'MFA ОВ'!F$23,0))</f>
        <v>0</v>
      </c>
      <c r="E41" s="129" t="b">
        <f>IF($B$41=1,IF(ТрЗ_ОВ!$A$154=1,'MFA ОВ'!G$23,0))</f>
        <v>0</v>
      </c>
      <c r="F41" s="129">
        <f>IF($B$41=1,'MFA ОВ'!E$24,0)</f>
        <v>0</v>
      </c>
      <c r="G41" s="129">
        <f>IF($B$41=1,'MFA ОВ'!F$24,0)</f>
        <v>0</v>
      </c>
      <c r="H41" s="129">
        <f>IF($B$41=1,'MFA ОВ'!G$24,0)</f>
        <v>0</v>
      </c>
      <c r="I41" s="129">
        <f>IF($B$41=1,'MFA ОВ'!E$25,0)</f>
        <v>0</v>
      </c>
      <c r="J41" s="129">
        <f>IF($B$41=1,'MFA ОВ'!F$25,0)</f>
        <v>0</v>
      </c>
      <c r="K41" s="129">
        <f>IF($B$41=1,'MFA ОВ'!G$25,0)</f>
        <v>0</v>
      </c>
      <c r="L41" s="129" t="b">
        <f>IF($B$41=1,IF(ТрЗ_ОВ!$A$154=0,'MFA ОВ'!E$4,0))</f>
        <v>0</v>
      </c>
      <c r="M41" s="129" t="b">
        <f>IF($B$41=1,IF(ТрЗ_ОВ!$A$154=0,'MFA ОВ'!F$4,0))</f>
        <v>0</v>
      </c>
      <c r="N41" s="129" t="b">
        <f>IF($B$41=1,IF(ТрЗ_ОВ!$A$154=0,'MFA ОВ'!G$4,0))</f>
        <v>0</v>
      </c>
      <c r="O41" s="129"/>
      <c r="P41" s="129"/>
      <c r="Q41" s="129"/>
    </row>
    <row r="42" spans="1:17" x14ac:dyDescent="0.25">
      <c r="A42" s="1259" t="s">
        <v>405</v>
      </c>
      <c r="B42" s="129" t="str">
        <f>ТрЗ_ОВ!Q155</f>
        <v/>
      </c>
      <c r="C42" s="129" t="b">
        <f>IF($B$42=1,IF(ТрЗ_ОВ!$A$155=1,'APT ОВ'!E$25,0))</f>
        <v>0</v>
      </c>
      <c r="D42" s="129" t="b">
        <f>IF($B$42=1,IF(ТрЗ_ОВ!$A$155=1,'APT ОВ'!F$25,0))</f>
        <v>0</v>
      </c>
      <c r="E42" s="129" t="b">
        <f>IF($B$42=1,IF(ТрЗ_ОВ!$A$155=1,'APT ОВ'!G$25,0))</f>
        <v>0</v>
      </c>
      <c r="F42" s="129">
        <f>IF($B$42=1,'APT ОВ'!E$26,0)</f>
        <v>0</v>
      </c>
      <c r="G42" s="129">
        <f>IF($B$42=1,'APT ОВ'!F$26,0)</f>
        <v>0</v>
      </c>
      <c r="H42" s="129">
        <f>IF($B$42=1,'APT ОВ'!G$26,0)</f>
        <v>0</v>
      </c>
      <c r="I42" s="129">
        <f>IF($B$42=1,'APT ОВ'!E$27,0)</f>
        <v>0</v>
      </c>
      <c r="J42" s="129">
        <f>IF($B$42=1,'APT ОВ'!F$27,0)</f>
        <v>0</v>
      </c>
      <c r="K42" s="129">
        <f>IF($B$42=1,'APT ОВ'!G$27,0)</f>
        <v>0</v>
      </c>
      <c r="L42" s="129" t="b">
        <f>IF($B$42=1,IF(ТрЗ_ОВ!$A$155=0,'APT ОВ'!E$7,0))</f>
        <v>0</v>
      </c>
      <c r="M42" s="129" t="b">
        <f>IF($B$42=1,IF(ТрЗ_ОВ!$A$155=0,'APT ОВ'!F$7,0))</f>
        <v>0</v>
      </c>
      <c r="N42" s="129" t="b">
        <f>IF($B$42=1,IF(ТрЗ_ОВ!$A$155=0,'APT ОВ'!G$7,0))</f>
        <v>0</v>
      </c>
      <c r="O42" s="129"/>
      <c r="P42" s="129"/>
      <c r="Q42" s="129"/>
    </row>
    <row r="43" spans="1:17" x14ac:dyDescent="0.25">
      <c r="A43" s="1259" t="s">
        <v>394</v>
      </c>
      <c r="B43" s="129" t="str">
        <f>ТрЗ_ОВ!Q156</f>
        <v/>
      </c>
      <c r="C43" s="129" t="b">
        <f>IF($B$43=1,IF(ТрЗ_ОВ!$A$156=1,'SOAR ОВ'!E$25,0))</f>
        <v>0</v>
      </c>
      <c r="D43" s="129" t="b">
        <f>IF($B$43=1,IF(ТрЗ_ОВ!$A$156=1,'SOAR ОВ'!F$25,0))</f>
        <v>0</v>
      </c>
      <c r="E43" s="129" t="b">
        <f>IF($B$43=1,IF(ТрЗ_ОВ!$A$156=1,'SOAR ОВ'!G$25,0))</f>
        <v>0</v>
      </c>
      <c r="F43" s="129">
        <f>IF($B$43=1,'SOAR ОВ'!E$26,0)</f>
        <v>0</v>
      </c>
      <c r="G43" s="129">
        <f>IF($B$43=1,'SOAR ОВ'!F$26,0)</f>
        <v>0</v>
      </c>
      <c r="H43" s="129">
        <f>IF($B$43=1,'SOAR ОВ'!G$26,0)</f>
        <v>0</v>
      </c>
      <c r="I43" s="129">
        <f>IF($B$43=1,'SOAR ОВ'!E$27,0)</f>
        <v>0</v>
      </c>
      <c r="J43" s="129">
        <f>IF($B$43=1,'SOAR ОВ'!F$27,0)</f>
        <v>0</v>
      </c>
      <c r="K43" s="129">
        <f>IF($B$43=1,'SOAR ОВ'!G$27,0)</f>
        <v>0</v>
      </c>
      <c r="L43" s="129" t="b">
        <f>IF($B$43=1,IF(ТрЗ_ОВ!$A$156=0,'SOAR ОВ'!E$5,0))</f>
        <v>0</v>
      </c>
      <c r="M43" s="129" t="b">
        <f>IF($B$43=1,IF(ТрЗ_ОВ!$A$156=0,'SOAR ОВ'!F$5,0))</f>
        <v>0</v>
      </c>
      <c r="N43" s="129" t="b">
        <f>IF($B$43=1,IF(ТрЗ_ОВ!$A$156=0,'SOAR ОВ'!G$5,0))</f>
        <v>0</v>
      </c>
      <c r="O43" s="129"/>
      <c r="P43" s="129"/>
      <c r="Q43" s="129"/>
    </row>
    <row r="44" spans="1:17" x14ac:dyDescent="0.25">
      <c r="A44" s="1259" t="s">
        <v>400</v>
      </c>
      <c r="B44" s="129" t="str">
        <f>ТрЗ_ОВ!Q157</f>
        <v/>
      </c>
      <c r="C44" s="129" t="b">
        <f>IF($B$44=1,IF(ТрЗ_ОВ!$A$157=1,'TLS ОВ'!E$23,0))</f>
        <v>0</v>
      </c>
      <c r="D44" s="129" t="b">
        <f>IF($B$44=1,IF(ТрЗ_ОВ!$A$157=1,'TLS ОВ'!F$23,0))</f>
        <v>0</v>
      </c>
      <c r="E44" s="129" t="b">
        <f>IF($B$44=1,IF(ТрЗ_ОВ!$A$157=1,'TLS ОВ'!G$23,0))</f>
        <v>0</v>
      </c>
      <c r="F44" s="129">
        <f>IF($B$44=1,'TLS ОВ'!E$24,0)</f>
        <v>0</v>
      </c>
      <c r="G44" s="129">
        <f>IF($B$44=1,'TLS ОВ'!F$24,0)</f>
        <v>0</v>
      </c>
      <c r="H44" s="129">
        <f>IF($B$44=1,'TLS ОВ'!G$24,0)</f>
        <v>0</v>
      </c>
      <c r="I44" s="129">
        <f>IF($B$44=1,'TLS ОВ'!$E$25,0)</f>
        <v>0</v>
      </c>
      <c r="J44" s="129">
        <f>IF($B$44=1,'TLS ОВ'!$E$25,0)</f>
        <v>0</v>
      </c>
      <c r="K44" s="129">
        <f>IF($B$44=1,'TLS ОВ'!$E$25,0)</f>
        <v>0</v>
      </c>
      <c r="L44" s="129" t="b">
        <f>IF($B$44=1,IF(ТрЗ_ОВ!$A$157=0,'TLS ОВ'!E$5,0))</f>
        <v>0</v>
      </c>
      <c r="M44" s="129" t="b">
        <f>IF($B$44=1,IF(ТрЗ_ОВ!$A$157=0,'TLS ОВ'!F$5,0))</f>
        <v>0</v>
      </c>
      <c r="N44" s="129" t="b">
        <f>IF($B$44=1,IF(ТрЗ_ОВ!$A$157=0,'TLS ОВ'!G$5,0))</f>
        <v>0</v>
      </c>
      <c r="O44" s="129"/>
      <c r="P44" s="129"/>
      <c r="Q44" s="129"/>
    </row>
    <row r="45" spans="1:17" x14ac:dyDescent="0.25">
      <c r="A45" s="1259" t="s">
        <v>406</v>
      </c>
      <c r="B45" s="129" t="str">
        <f>ТрЗ_ОВ!Q158</f>
        <v/>
      </c>
      <c r="C45" s="129" t="b">
        <f>IF($B$45=1,IF(ТрЗ_ОВ!$A$158=1,'NAC ОВ'!E$25,0))</f>
        <v>0</v>
      </c>
      <c r="D45" s="129" t="b">
        <f>IF($B$45=1,IF(ТрЗ_ОВ!$A$158=1,'NAC ОВ'!F$25,0))</f>
        <v>0</v>
      </c>
      <c r="E45" s="129" t="b">
        <f>IF($B$45=1,IF(ТрЗ_ОВ!$A$158=1,'NAC ОВ'!G$25,0))</f>
        <v>0</v>
      </c>
      <c r="F45" s="129">
        <f>IF($B$45=1,'NAC ОВ'!E$26,0)</f>
        <v>0</v>
      </c>
      <c r="G45" s="129">
        <f>IF($B$45=1,'NAC ОВ'!F$26,0)</f>
        <v>0</v>
      </c>
      <c r="H45" s="129">
        <f>IF($B$45=1,'NAC ОВ'!G$26,0)</f>
        <v>0</v>
      </c>
      <c r="I45" s="129">
        <f>IF($B$45=1,'NAC ОВ'!E$27,0)</f>
        <v>0</v>
      </c>
      <c r="J45" s="129">
        <f>IF($B$45=1,'NAC ОВ'!F$27,0)</f>
        <v>0</v>
      </c>
      <c r="K45" s="129">
        <f>IF($B$45=1,'NAC ОВ'!G$27,0)</f>
        <v>0</v>
      </c>
      <c r="L45" s="129" t="b">
        <f>IF($B$45=1,IF(ТрЗ_ОВ!$A$158=0,'NAC ОВ'!E$5,0))</f>
        <v>0</v>
      </c>
      <c r="M45" s="129" t="b">
        <f>IF($B$45=1,IF(ТрЗ_ОВ!$A$158=0,'NAC ОВ'!F$5,0))</f>
        <v>0</v>
      </c>
      <c r="N45" s="129" t="b">
        <f>IF($B$45=1,IF(ТрЗ_ОВ!$A$158=0,'NAC ОВ'!G$5,0))</f>
        <v>0</v>
      </c>
      <c r="O45" s="129"/>
      <c r="P45" s="129"/>
      <c r="Q45" s="129"/>
    </row>
    <row r="46" spans="1:17" x14ac:dyDescent="0.25">
      <c r="A46" s="1259" t="s">
        <v>869</v>
      </c>
      <c r="B46" s="129" t="str">
        <f>ТрЗ_ОВ!Q159</f>
        <v/>
      </c>
      <c r="C46" s="129" t="b">
        <f>IF($B$46=1,IF(ТрЗ_ОВ!$A$159=1,'XDR_EDR ОВ'!E$24,0))</f>
        <v>0</v>
      </c>
      <c r="D46" s="129" t="b">
        <f>IF($B$46=1,IF(ТрЗ_ОВ!$A$159=1,'XDR_EDR ОВ'!F$24,0))</f>
        <v>0</v>
      </c>
      <c r="E46" s="129" t="b">
        <f>IF($B$46=1,IF(ТрЗ_ОВ!$A$159=1,'XDR_EDR ОВ'!G$24,0))</f>
        <v>0</v>
      </c>
      <c r="F46" s="129">
        <f>IF($B$46=1,'XDR_EDR ОВ'!E$25,0)</f>
        <v>0</v>
      </c>
      <c r="G46" s="129">
        <f>IF($B$46=1,'XDR_EDR ОВ'!F$25,0)</f>
        <v>0</v>
      </c>
      <c r="H46" s="129">
        <f>IF($B$46=1,'XDR_EDR ОВ'!G$25,0)</f>
        <v>0</v>
      </c>
      <c r="I46" s="129">
        <f>IF($B$46=1,'XDR_EDR ОВ'!E$26,0)</f>
        <v>0</v>
      </c>
      <c r="J46" s="129">
        <f>IF($B$46=1,'XDR_EDR ОВ'!F$26,0)</f>
        <v>0</v>
      </c>
      <c r="K46" s="129">
        <f>IF($B$46=1,'XDR_EDR ОВ'!G$26,0)</f>
        <v>0</v>
      </c>
      <c r="L46" s="129" t="b">
        <f>IF($B$46=1,IF(ТрЗ_ОВ!$A$159=0,'XDR_EDR ОВ'!E$6,0))</f>
        <v>0</v>
      </c>
      <c r="M46" s="129" t="b">
        <f>IF($B$46=1,IF(ТрЗ_ОВ!$A$159=0,'XDR_EDR ОВ'!F$6,0))</f>
        <v>0</v>
      </c>
      <c r="N46" s="129" t="b">
        <f>IF($B$46=1,IF(ТрЗ_ОВ!$A$159=0,'XDR_EDR ОВ'!G$6,0))</f>
        <v>0</v>
      </c>
      <c r="O46" s="129"/>
      <c r="P46" s="129"/>
      <c r="Q46" s="129"/>
    </row>
    <row r="47" spans="1:17" x14ac:dyDescent="0.25">
      <c r="A47" s="1258" t="s">
        <v>870</v>
      </c>
      <c r="B47" s="1029" t="str">
        <f>ТрЗ_ОВ!Q160</f>
        <v/>
      </c>
      <c r="C47" s="1029" t="b">
        <f>IF($B$47=1,IF(ТрЗ_ОВ!$A$160=1,'СХД ОВ'!E$21,0))</f>
        <v>0</v>
      </c>
      <c r="D47" s="1029" t="b">
        <f>IF($B$47=1,IF(ТрЗ_ОВ!$A$160=1,'СХД ОВ'!F$21,0))</f>
        <v>0</v>
      </c>
      <c r="E47" s="1029" t="b">
        <f>IF($B$47=1,IF(ТрЗ_ОВ!$A$160=1,'СХД ОВ'!G$21,0))</f>
        <v>0</v>
      </c>
      <c r="F47" s="1029">
        <f>IF($B$47=1,'СХД ОВ'!E$22,0)</f>
        <v>0</v>
      </c>
      <c r="G47" s="1029">
        <f>IF($B$47=1,'СХД ОВ'!F$22,0)</f>
        <v>0</v>
      </c>
      <c r="H47" s="1029">
        <f>IF($B$47=1,'СХД ОВ'!G$22,0)</f>
        <v>0</v>
      </c>
      <c r="I47" s="1029">
        <f>IF($B$47=1,'СХД ОВ'!E$23,0)</f>
        <v>0</v>
      </c>
      <c r="J47" s="1029">
        <f>IF($B$47=1,'СХД ОВ'!F$23,0)</f>
        <v>0</v>
      </c>
      <c r="K47" s="1029">
        <f>IF($B$47=1,'СХД ОВ'!G$23,0)</f>
        <v>0</v>
      </c>
      <c r="L47" s="1029" t="b">
        <f>IF($B$47=1,IF(ТрЗ_ОВ!$A$160=0,'СХД ОВ'!E$4,0))</f>
        <v>0</v>
      </c>
      <c r="M47" s="1029" t="b">
        <f>IF($B$47=1,IF(ТрЗ_ОВ!$A$160=0,'СХД ОВ'!F$4,0))</f>
        <v>0</v>
      </c>
      <c r="N47" s="1029" t="b">
        <f>IF($B$47=1,IF(ТрЗ_ОВ!$A$160=0,'СХД ОВ'!G$4,0))</f>
        <v>0</v>
      </c>
      <c r="O47" s="129"/>
      <c r="P47" s="129"/>
      <c r="Q47" s="129"/>
    </row>
    <row r="48" spans="1:17" x14ac:dyDescent="0.25">
      <c r="A48" s="1259" t="s">
        <v>402</v>
      </c>
      <c r="B48" s="129" t="str">
        <f>ТрЗ_ОВ!Q161</f>
        <v/>
      </c>
      <c r="C48" s="1029" t="b">
        <f>IF($B$48=1,IF(ТрЗ_ОВ!$A$161=1,'Контроль конфигураций ОВ'!E$24,0))</f>
        <v>0</v>
      </c>
      <c r="D48" s="1029" t="b">
        <f>IF($B$48=1,IF(ТрЗ_ОВ!$A$161=1,'Контроль конфигураций ОВ'!F$24,0))</f>
        <v>0</v>
      </c>
      <c r="E48" s="1029" t="b">
        <f>IF($B$48=1,IF(ТрЗ_ОВ!$A$161=1,'Контроль конфигураций ОВ'!G$24,0))</f>
        <v>0</v>
      </c>
      <c r="F48" s="129">
        <f>IF($B$48=1,'Контроль конфигураций ОВ'!E$25,0)</f>
        <v>0</v>
      </c>
      <c r="G48" s="129">
        <f>IF($B$48=1,'Контроль конфигураций ОВ'!F$25,0)</f>
        <v>0</v>
      </c>
      <c r="H48" s="129">
        <f>IF($B$48=1,'Контроль конфигураций ОВ'!G$25,0)</f>
        <v>0</v>
      </c>
      <c r="I48" s="129">
        <f>IF($B$48=1,'Контроль конфигураций ОВ'!E$26,0)</f>
        <v>0</v>
      </c>
      <c r="J48" s="129">
        <f>IF($B$48=1,'Контроль конфигураций ОВ'!F$26,0)</f>
        <v>0</v>
      </c>
      <c r="K48" s="129">
        <f>IF($B$48=1,'Контроль конфигураций ОВ'!G$26,0)</f>
        <v>0</v>
      </c>
      <c r="L48" s="129" t="b">
        <f>IF($B$48=1,IF(ТрЗ_ОВ!$A$161=0,'Контроль конфигураций ОВ'!E$6,0))</f>
        <v>0</v>
      </c>
      <c r="M48" s="129" t="b">
        <f>IF($B$48=1,IF(ТрЗ_ОВ!$A$161=0,'Контроль конфигураций ОВ'!F$6,0))</f>
        <v>0</v>
      </c>
      <c r="N48" s="129" t="b">
        <f>IF($B$48=1,IF(ТрЗ_ОВ!$A$161=0,'Контроль конфигураций ОВ'!G$6,0))</f>
        <v>0</v>
      </c>
      <c r="O48" s="1030"/>
      <c r="P48" s="129"/>
      <c r="Q48" s="129"/>
    </row>
    <row r="49" spans="1:17" x14ac:dyDescent="0.25">
      <c r="A49" s="1259" t="s">
        <v>603</v>
      </c>
      <c r="B49" s="129" t="str">
        <f>ТрЗ_ОВ!Q162</f>
        <v/>
      </c>
      <c r="C49" s="129" t="b">
        <f>IF($B$49=1,IF(ТрЗ_ОВ!$A$162=1,'ВМ ЗСВ ОВ'!E$22,0))</f>
        <v>0</v>
      </c>
      <c r="D49" s="129" t="b">
        <f>IF($B$49=1,IF(ТрЗ_ОВ!$A$162=1,'ВМ ЗСВ ОВ'!F$22,0))</f>
        <v>0</v>
      </c>
      <c r="E49" s="129" t="b">
        <f>IF($B$49=1,IF(ТрЗ_ОВ!$A$162=1,'ВМ ЗСВ ОВ'!G$22,0))</f>
        <v>0</v>
      </c>
      <c r="F49" s="129">
        <f>IF($B$49=1,'ВМ ЗСВ ОВ'!E$23,0)</f>
        <v>0</v>
      </c>
      <c r="G49" s="129">
        <f>IF($B$49=1,'ВМ ЗСВ ОВ'!F$23,0)</f>
        <v>0</v>
      </c>
      <c r="H49" s="129">
        <f>IF($B$49=1,'ВМ ЗСВ ОВ'!G$23,0)</f>
        <v>0</v>
      </c>
      <c r="I49" s="129">
        <f>IF($B$49=1,'ВМ ЗСВ ОВ'!E$24,0)</f>
        <v>0</v>
      </c>
      <c r="J49" s="129">
        <f>IF($B$49=1,'ВМ ЗСВ ОВ'!F$24,0)</f>
        <v>0</v>
      </c>
      <c r="K49" s="129">
        <f>IF($B$49=1,'ВМ ЗСВ ОВ'!G$24,0)</f>
        <v>0</v>
      </c>
      <c r="L49" s="129" t="b">
        <f>IF($B$49=1,IF(ТрЗ_ОВ!$A$162=0,'ВМ ЗСВ ОВ'!E$7,0))</f>
        <v>0</v>
      </c>
      <c r="M49" s="129" t="b">
        <f>IF($B$49=1,IF(ТрЗ_ОВ!$A$162=0,'ВМ ЗСВ ОВ'!F$7,0))</f>
        <v>0</v>
      </c>
      <c r="N49" s="129" t="b">
        <f>IF($B$49=1,IF(ТрЗ_ОВ!$A$162=0,'ВМ ЗСВ ОВ'!G$7,0))</f>
        <v>0</v>
      </c>
      <c r="O49" s="291"/>
      <c r="P49" s="291"/>
      <c r="Q49" s="291"/>
    </row>
    <row r="50" spans="1:17" x14ac:dyDescent="0.25">
      <c r="A50" s="1259" t="s">
        <v>604</v>
      </c>
      <c r="B50" s="129" t="str">
        <f>ТрЗ_ОВ!Q163</f>
        <v/>
      </c>
      <c r="C50" s="129" t="b">
        <f>IF($B$50=1,IF(ТрЗ_ОВ!$A$163=1,'ВМ СПО ОВ'!E18,0))</f>
        <v>0</v>
      </c>
      <c r="D50" s="129" t="b">
        <f>IF($B$50=1,IF(ТрЗ_ОВ!$A$163=1,'ВМ СПО ОВ'!F18,0))</f>
        <v>0</v>
      </c>
      <c r="E50" s="129" t="b">
        <f>IF($B$50=1,IF(ТрЗ_ОВ!$A$163=1,'ВМ СПО ОВ'!G18,0))</f>
        <v>0</v>
      </c>
      <c r="F50" s="129">
        <f>IF($B$50=1,'ВМ СПО ОВ'!E$19,0)</f>
        <v>0</v>
      </c>
      <c r="G50" s="129">
        <f>IF($B$50=1,'ВМ СПО ОВ'!F$19,0)</f>
        <v>0</v>
      </c>
      <c r="H50" s="129">
        <f>IF($B$50=1,'ВМ СПО ОВ'!G$19,0)</f>
        <v>0</v>
      </c>
      <c r="I50" s="129">
        <f>IF($B$50=1,'ВМ СПО ОВ'!E$20,0)</f>
        <v>0</v>
      </c>
      <c r="J50" s="129">
        <f>IF($B$50=1,'ВМ СПО ОВ'!F$20,0)</f>
        <v>0</v>
      </c>
      <c r="K50" s="129">
        <f>IF($B$50=1,'ВМ СПО ОВ'!G$20,0)</f>
        <v>0</v>
      </c>
      <c r="L50" s="129" t="b">
        <f>IF($B$49=1,IF(ТрЗ_ОВ!$A$162=0,'ВМ ЗСВ ОВ'!E$7,0))</f>
        <v>0</v>
      </c>
      <c r="M50" s="129" t="b">
        <f>IF($B$49=1,IF(ТрЗ_ОВ!$A$162=0,'ВМ ЗСВ ОВ'!F$7,0))</f>
        <v>0</v>
      </c>
      <c r="N50" s="129" t="b">
        <f>IF($B$49=1,IF(ТрЗ_ОВ!$A$162=0,'ВМ ЗСВ ОВ'!G$7,0))</f>
        <v>0</v>
      </c>
      <c r="O50" s="291"/>
      <c r="P50" s="291"/>
      <c r="Q50" s="291"/>
    </row>
    <row r="51" spans="1:17" x14ac:dyDescent="0.25">
      <c r="A51" s="1259" t="s">
        <v>605</v>
      </c>
      <c r="B51" s="129" t="str">
        <f>ТрЗ_ОВ!Q164</f>
        <v/>
      </c>
      <c r="C51" s="129" t="b">
        <f>IF($B$50=1,IF(ТрЗ_ОВ!$A$164=1,'ВМ АСО ОВ'!E$18,0))</f>
        <v>0</v>
      </c>
      <c r="D51" s="129" t="b">
        <f>IF($B$50=1,IF(ТрЗ_ОВ!$A$164=1,'ВМ АСО ОВ'!F$18,0))</f>
        <v>0</v>
      </c>
      <c r="E51" s="129" t="b">
        <f>IF($B$50=1,IF(ТрЗ_ОВ!$A$164=1,'ВМ АСО ОВ'!G$18,0))</f>
        <v>0</v>
      </c>
      <c r="F51" s="129">
        <f>IF($B$51=1,'ВМ АСО ОВ'!E$19,0)</f>
        <v>0</v>
      </c>
      <c r="G51" s="129">
        <f>IF($B$51=1,'ВМ АСО ОВ'!F$19,0)</f>
        <v>0</v>
      </c>
      <c r="H51" s="129">
        <f>IF($B$51=1,'ВМ АСО ОВ'!G$19,0)</f>
        <v>0</v>
      </c>
      <c r="I51" s="129">
        <f>IF($B$50=1,'ВМ АСО ОВ'!E$20,0)</f>
        <v>0</v>
      </c>
      <c r="J51" s="129">
        <f>IF($B$50=1,'ВМ АСО ОВ'!F$20,0)</f>
        <v>0</v>
      </c>
      <c r="K51" s="129">
        <f>IF($B$50=1,'ВМ АСО ОВ'!G$20,0)</f>
        <v>0</v>
      </c>
      <c r="L51" s="129" t="b">
        <f>IF($B$49=1,IF(ТрЗ_ОВ!$A$162=0,'ВМ ЗСВ ОВ'!E$7,0))</f>
        <v>0</v>
      </c>
      <c r="M51" s="129" t="b">
        <f>IF($B$49=1,IF(ТрЗ_ОВ!$A$162=0,'ВМ ЗСВ ОВ'!F$7,0))</f>
        <v>0</v>
      </c>
      <c r="N51" s="129" t="b">
        <f>IF($B$49=1,IF(ТрЗ_ОВ!$A$162=0,'ВМ ЗСВ ОВ'!G$7,0))</f>
        <v>0</v>
      </c>
      <c r="O51" s="291"/>
      <c r="P51" s="291"/>
      <c r="Q51" s="291"/>
    </row>
    <row r="52" spans="1:17" ht="15.75" thickBot="1" x14ac:dyDescent="0.3">
      <c r="A52" s="1031" t="s">
        <v>871</v>
      </c>
      <c r="B52" s="1032"/>
      <c r="C52" s="1032">
        <f>SUM(C22:C51)</f>
        <v>0</v>
      </c>
      <c r="D52" s="1032">
        <f>SUM(D22:D51)</f>
        <v>0</v>
      </c>
      <c r="E52" s="1032">
        <f>SUM(E22:E51)</f>
        <v>0</v>
      </c>
      <c r="F52" s="1032">
        <f t="shared" ref="F52:K52" si="0">SUM(F22:F51)</f>
        <v>0</v>
      </c>
      <c r="G52" s="1032">
        <f t="shared" si="0"/>
        <v>0</v>
      </c>
      <c r="H52" s="1032">
        <f t="shared" si="0"/>
        <v>0</v>
      </c>
      <c r="I52" s="1032">
        <f t="shared" si="0"/>
        <v>0</v>
      </c>
      <c r="J52" s="1032">
        <f t="shared" si="0"/>
        <v>0</v>
      </c>
      <c r="K52" s="1032">
        <f t="shared" si="0"/>
        <v>0</v>
      </c>
      <c r="L52" s="1032">
        <f>SUM(L22:L51)/8</f>
        <v>0</v>
      </c>
      <c r="M52" s="1032">
        <f t="shared" ref="M52:N52" si="1">SUM(M22:M51)/8</f>
        <v>0</v>
      </c>
      <c r="N52" s="1032">
        <f t="shared" si="1"/>
        <v>0</v>
      </c>
    </row>
  </sheetData>
  <sheetProtection insertColumns="0" insertRows="0" deleteColumns="0" deleteRows="0" selectLockedCells="1" selectUnlockedCells="1"/>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Лист49">
    <tabColor theme="8"/>
  </sheetPr>
  <dimension ref="A1:H39"/>
  <sheetViews>
    <sheetView workbookViewId="0">
      <selection activeCell="B5" sqref="B5"/>
    </sheetView>
  </sheetViews>
  <sheetFormatPr defaultRowHeight="15" x14ac:dyDescent="0.25"/>
  <cols>
    <col min="1" max="1" width="69.5703125" customWidth="1"/>
    <col min="2" max="2" width="26.42578125" customWidth="1"/>
    <col min="3" max="3" width="23.5703125" customWidth="1"/>
    <col min="4" max="4" width="14.28515625" customWidth="1"/>
    <col min="5" max="7" width="27.28515625" customWidth="1"/>
    <col min="8" max="8" width="15.7109375" customWidth="1"/>
  </cols>
  <sheetData>
    <row r="1" spans="1:8" x14ac:dyDescent="0.25">
      <c r="A1" s="1136"/>
      <c r="B1" s="1137" t="s">
        <v>75</v>
      </c>
      <c r="C1" s="1138" t="s">
        <v>68</v>
      </c>
      <c r="D1" s="1067"/>
      <c r="E1" s="1067"/>
      <c r="F1" s="1067"/>
      <c r="G1" s="1067"/>
      <c r="H1" s="1067"/>
    </row>
    <row r="2" spans="1:8" x14ac:dyDescent="0.25">
      <c r="A2" s="1139"/>
      <c r="B2" s="1067"/>
      <c r="C2" s="1138"/>
      <c r="D2" s="1067"/>
      <c r="E2" s="1067"/>
      <c r="F2" s="1067"/>
      <c r="G2" s="1067"/>
      <c r="H2" s="1067"/>
    </row>
    <row r="3" spans="1:8" ht="15.75" thickBot="1" x14ac:dyDescent="0.3">
      <c r="A3" s="1067"/>
      <c r="B3" s="1067"/>
      <c r="C3" s="1138"/>
      <c r="D3" s="1067"/>
      <c r="E3" s="1067"/>
      <c r="F3" s="1067"/>
      <c r="G3" s="1067"/>
      <c r="H3" s="1067"/>
    </row>
    <row r="4" spans="1:8" ht="25.5" x14ac:dyDescent="0.25">
      <c r="A4" s="1140" t="s">
        <v>872</v>
      </c>
      <c r="B4" s="1141" t="s">
        <v>873</v>
      </c>
      <c r="C4" s="1142" t="s">
        <v>874</v>
      </c>
      <c r="D4" s="1141" t="s">
        <v>52</v>
      </c>
      <c r="E4" s="1142" t="s">
        <v>715</v>
      </c>
      <c r="F4" s="1142" t="s">
        <v>714</v>
      </c>
      <c r="G4" s="1142" t="s">
        <v>713</v>
      </c>
      <c r="H4" s="1141" t="s">
        <v>875</v>
      </c>
    </row>
    <row r="5" spans="1:8" ht="89.25" x14ac:dyDescent="0.25">
      <c r="A5" s="1037" t="s">
        <v>876</v>
      </c>
      <c r="B5" s="1038">
        <f>ТрЗ_ОВ!E111</f>
        <v>0</v>
      </c>
      <c r="C5" s="1040"/>
      <c r="D5" s="1039"/>
      <c r="E5" s="1040"/>
      <c r="F5" s="1039"/>
      <c r="G5" s="1040"/>
      <c r="H5" s="1039" t="s">
        <v>1020</v>
      </c>
    </row>
    <row r="6" spans="1:8" x14ac:dyDescent="0.25">
      <c r="A6" s="1037" t="s">
        <v>1183</v>
      </c>
      <c r="B6" s="1038">
        <f>ТрЗ_ОВ!H111</f>
        <v>0</v>
      </c>
      <c r="C6" s="1040"/>
      <c r="D6" s="1039"/>
      <c r="E6" s="1040"/>
      <c r="F6" s="1039"/>
      <c r="G6" s="1040"/>
      <c r="H6" s="1039"/>
    </row>
    <row r="7" spans="1:8" x14ac:dyDescent="0.25">
      <c r="A7" s="1037" t="s">
        <v>880</v>
      </c>
      <c r="B7" s="1232">
        <v>1</v>
      </c>
      <c r="C7" s="1242">
        <v>4</v>
      </c>
      <c r="D7" s="1130">
        <v>4</v>
      </c>
      <c r="E7" s="1040"/>
      <c r="F7" s="1039">
        <f>D7/8</f>
        <v>0.5</v>
      </c>
      <c r="G7" s="1040"/>
      <c r="H7" s="1039"/>
    </row>
    <row r="8" spans="1:8" x14ac:dyDescent="0.25">
      <c r="A8" s="1037" t="s">
        <v>881</v>
      </c>
      <c r="B8" s="1143" t="s">
        <v>882</v>
      </c>
      <c r="C8" s="1242"/>
      <c r="D8" s="1130"/>
      <c r="E8" s="1040"/>
      <c r="F8" s="1040"/>
      <c r="G8" s="1040"/>
      <c r="H8" s="1039"/>
    </row>
    <row r="9" spans="1:8" x14ac:dyDescent="0.25">
      <c r="A9" s="1042" t="s">
        <v>883</v>
      </c>
      <c r="B9" s="1049">
        <v>1</v>
      </c>
      <c r="C9" s="1242">
        <v>1</v>
      </c>
      <c r="D9" s="1130">
        <f t="shared" ref="D9:D12" si="0">C9*$B$6</f>
        <v>0</v>
      </c>
      <c r="E9" s="1040">
        <f t="shared" ref="E9:F12" si="1">0.5*$D9</f>
        <v>0</v>
      </c>
      <c r="F9" s="1040">
        <f t="shared" si="1"/>
        <v>0</v>
      </c>
      <c r="G9" s="1040"/>
      <c r="H9" s="1039"/>
    </row>
    <row r="10" spans="1:8" x14ac:dyDescent="0.25">
      <c r="A10" s="1042" t="s">
        <v>884</v>
      </c>
      <c r="B10" s="1049">
        <v>1</v>
      </c>
      <c r="C10" s="1242">
        <v>1</v>
      </c>
      <c r="D10" s="1130">
        <f t="shared" si="0"/>
        <v>0</v>
      </c>
      <c r="E10" s="1040">
        <f t="shared" si="1"/>
        <v>0</v>
      </c>
      <c r="F10" s="1040">
        <f t="shared" si="1"/>
        <v>0</v>
      </c>
      <c r="G10" s="1040"/>
      <c r="H10" s="1039"/>
    </row>
    <row r="11" spans="1:8" x14ac:dyDescent="0.25">
      <c r="A11" s="1042" t="s">
        <v>885</v>
      </c>
      <c r="B11" s="1049">
        <v>1</v>
      </c>
      <c r="C11" s="1242">
        <v>1</v>
      </c>
      <c r="D11" s="1130">
        <f t="shared" si="0"/>
        <v>0</v>
      </c>
      <c r="E11" s="1040">
        <f t="shared" si="1"/>
        <v>0</v>
      </c>
      <c r="F11" s="1040">
        <f t="shared" si="1"/>
        <v>0</v>
      </c>
      <c r="G11" s="1040"/>
      <c r="H11" s="1039"/>
    </row>
    <row r="12" spans="1:8" x14ac:dyDescent="0.25">
      <c r="A12" s="1042" t="s">
        <v>886</v>
      </c>
      <c r="B12" s="1049">
        <v>1</v>
      </c>
      <c r="C12" s="1242">
        <v>1</v>
      </c>
      <c r="D12" s="1130">
        <f t="shared" si="0"/>
        <v>0</v>
      </c>
      <c r="E12" s="1040">
        <f t="shared" si="1"/>
        <v>0</v>
      </c>
      <c r="F12" s="1040">
        <f t="shared" si="1"/>
        <v>0</v>
      </c>
      <c r="G12" s="1040"/>
      <c r="H12" s="1039"/>
    </row>
    <row r="13" spans="1:8" x14ac:dyDescent="0.25">
      <c r="A13" s="1037" t="s">
        <v>887</v>
      </c>
      <c r="B13" s="1049"/>
      <c r="C13" s="1242"/>
      <c r="D13" s="1130"/>
      <c r="E13" s="1040"/>
      <c r="F13" s="1039"/>
      <c r="G13" s="1040"/>
      <c r="H13" s="1039"/>
    </row>
    <row r="14" spans="1:8" x14ac:dyDescent="0.25">
      <c r="A14" s="1037" t="s">
        <v>888</v>
      </c>
      <c r="B14" s="1049"/>
      <c r="C14" s="1242"/>
      <c r="D14" s="1130"/>
      <c r="E14" s="1040"/>
      <c r="F14" s="1039"/>
      <c r="G14" s="1040"/>
      <c r="H14" s="1039"/>
    </row>
    <row r="15" spans="1:8" x14ac:dyDescent="0.25">
      <c r="A15" s="1042" t="s">
        <v>889</v>
      </c>
      <c r="B15" s="1049">
        <v>1</v>
      </c>
      <c r="C15" s="1242">
        <v>1</v>
      </c>
      <c r="D15" s="1130">
        <f>C15*$B$6</f>
        <v>0</v>
      </c>
      <c r="E15" s="1040">
        <f>0.5*$D15</f>
        <v>0</v>
      </c>
      <c r="F15" s="1040">
        <f>0.5*$D15</f>
        <v>0</v>
      </c>
      <c r="G15" s="1040"/>
      <c r="H15" s="1039"/>
    </row>
    <row r="16" spans="1:8" x14ac:dyDescent="0.25">
      <c r="A16" s="1234" t="s">
        <v>937</v>
      </c>
      <c r="B16" s="1049">
        <v>1</v>
      </c>
      <c r="C16" s="1242">
        <v>1</v>
      </c>
      <c r="D16" s="1130">
        <f t="shared" ref="D16:D31" si="2">C16*$B$6</f>
        <v>0</v>
      </c>
      <c r="E16" s="1040">
        <f t="shared" ref="E16:F31" si="3">0.5*$D16</f>
        <v>0</v>
      </c>
      <c r="F16" s="1223">
        <f t="shared" si="3"/>
        <v>0</v>
      </c>
      <c r="G16" s="1130"/>
      <c r="H16" s="1130"/>
    </row>
    <row r="17" spans="1:8" x14ac:dyDescent="0.25">
      <c r="A17" s="1234" t="s">
        <v>1025</v>
      </c>
      <c r="B17" s="1049">
        <v>1</v>
      </c>
      <c r="C17" s="1242">
        <v>1</v>
      </c>
      <c r="D17" s="1130">
        <f t="shared" si="2"/>
        <v>0</v>
      </c>
      <c r="E17" s="1040">
        <f t="shared" si="3"/>
        <v>0</v>
      </c>
      <c r="F17" s="1223">
        <f t="shared" si="3"/>
        <v>0</v>
      </c>
      <c r="G17" s="1130"/>
      <c r="H17" s="1130"/>
    </row>
    <row r="18" spans="1:8" x14ac:dyDescent="0.25">
      <c r="A18" s="1234" t="s">
        <v>1184</v>
      </c>
      <c r="B18" s="1049">
        <v>1</v>
      </c>
      <c r="C18" s="1242">
        <v>0.5</v>
      </c>
      <c r="D18" s="1130">
        <f t="shared" si="2"/>
        <v>0</v>
      </c>
      <c r="E18" s="1040">
        <f t="shared" si="3"/>
        <v>0</v>
      </c>
      <c r="F18" s="1223">
        <f t="shared" si="3"/>
        <v>0</v>
      </c>
      <c r="G18" s="1130"/>
      <c r="H18" s="1130"/>
    </row>
    <row r="19" spans="1:8" x14ac:dyDescent="0.25">
      <c r="A19" s="1234" t="s">
        <v>1026</v>
      </c>
      <c r="B19" s="1049">
        <v>1</v>
      </c>
      <c r="C19" s="1242">
        <v>2</v>
      </c>
      <c r="D19" s="1130">
        <f t="shared" si="2"/>
        <v>0</v>
      </c>
      <c r="E19" s="1040">
        <f t="shared" si="3"/>
        <v>0</v>
      </c>
      <c r="F19" s="1223">
        <f t="shared" si="3"/>
        <v>0</v>
      </c>
      <c r="G19" s="1130"/>
      <c r="H19" s="1130"/>
    </row>
    <row r="20" spans="1:8" x14ac:dyDescent="0.25">
      <c r="A20" s="268" t="s">
        <v>1182</v>
      </c>
      <c r="B20" s="1049">
        <v>1</v>
      </c>
      <c r="C20" s="1242">
        <v>0.5</v>
      </c>
      <c r="D20" s="1130">
        <f t="shared" si="2"/>
        <v>0</v>
      </c>
      <c r="E20" s="1040">
        <f t="shared" si="3"/>
        <v>0</v>
      </c>
      <c r="F20" s="1223">
        <f t="shared" si="3"/>
        <v>0</v>
      </c>
      <c r="G20" s="268"/>
      <c r="H20" s="268"/>
    </row>
    <row r="21" spans="1:8" x14ac:dyDescent="0.25">
      <c r="A21" s="1042" t="s">
        <v>1027</v>
      </c>
      <c r="B21" s="1049">
        <v>1</v>
      </c>
      <c r="C21" s="1242">
        <v>2</v>
      </c>
      <c r="D21" s="1130">
        <f t="shared" si="2"/>
        <v>0</v>
      </c>
      <c r="E21" s="1040">
        <f t="shared" si="3"/>
        <v>0</v>
      </c>
      <c r="F21" s="1040">
        <f t="shared" si="3"/>
        <v>0</v>
      </c>
      <c r="G21" s="1040"/>
      <c r="H21" s="1039"/>
    </row>
    <row r="22" spans="1:8" x14ac:dyDescent="0.25">
      <c r="A22" s="1150" t="s">
        <v>1159</v>
      </c>
      <c r="B22" s="1049"/>
      <c r="C22" s="1242"/>
      <c r="D22" s="1130"/>
      <c r="E22" s="1040"/>
      <c r="F22" s="1040"/>
      <c r="G22" s="1040"/>
      <c r="H22" s="1039"/>
    </row>
    <row r="23" spans="1:8" x14ac:dyDescent="0.25">
      <c r="A23" s="1234" t="s">
        <v>1185</v>
      </c>
      <c r="B23" s="1049">
        <v>1</v>
      </c>
      <c r="C23" s="1099">
        <v>1</v>
      </c>
      <c r="D23" s="1130">
        <f t="shared" si="2"/>
        <v>0</v>
      </c>
      <c r="E23" s="1040">
        <f t="shared" si="3"/>
        <v>0</v>
      </c>
      <c r="F23" s="1040">
        <f t="shared" si="3"/>
        <v>0</v>
      </c>
      <c r="G23" s="1040"/>
      <c r="H23" s="1039"/>
    </row>
    <row r="24" spans="1:8" x14ac:dyDescent="0.25">
      <c r="A24" s="1234" t="s">
        <v>1186</v>
      </c>
      <c r="B24" s="1049">
        <v>0.5</v>
      </c>
      <c r="C24" s="1099">
        <v>0.5</v>
      </c>
      <c r="D24" s="1130">
        <f t="shared" si="2"/>
        <v>0</v>
      </c>
      <c r="E24" s="1040">
        <f t="shared" si="3"/>
        <v>0</v>
      </c>
      <c r="F24" s="1040">
        <f t="shared" si="3"/>
        <v>0</v>
      </c>
      <c r="G24" s="1040"/>
      <c r="H24" s="1039"/>
    </row>
    <row r="25" spans="1:8" x14ac:dyDescent="0.25">
      <c r="A25" s="1234" t="s">
        <v>1187</v>
      </c>
      <c r="B25" s="1049">
        <v>1</v>
      </c>
      <c r="C25" s="1099">
        <v>1</v>
      </c>
      <c r="D25" s="1130">
        <f t="shared" si="2"/>
        <v>0</v>
      </c>
      <c r="E25" s="1040">
        <f t="shared" si="3"/>
        <v>0</v>
      </c>
      <c r="F25" s="1040">
        <f t="shared" si="3"/>
        <v>0</v>
      </c>
      <c r="G25" s="1040"/>
      <c r="H25" s="1039"/>
    </row>
    <row r="26" spans="1:8" x14ac:dyDescent="0.25">
      <c r="A26" s="1234" t="s">
        <v>1188</v>
      </c>
      <c r="B26" s="1049">
        <v>1</v>
      </c>
      <c r="C26" s="1099">
        <v>0.5</v>
      </c>
      <c r="D26" s="1130">
        <f t="shared" si="2"/>
        <v>0</v>
      </c>
      <c r="E26" s="1040">
        <f t="shared" si="3"/>
        <v>0</v>
      </c>
      <c r="F26" s="1040">
        <f t="shared" si="3"/>
        <v>0</v>
      </c>
      <c r="G26" s="1040"/>
      <c r="H26" s="1039"/>
    </row>
    <row r="27" spans="1:8" x14ac:dyDescent="0.25">
      <c r="A27" s="1234" t="s">
        <v>1189</v>
      </c>
      <c r="B27" s="1049">
        <v>0.5</v>
      </c>
      <c r="C27" s="1099">
        <v>0.5</v>
      </c>
      <c r="D27" s="1130">
        <f t="shared" si="2"/>
        <v>0</v>
      </c>
      <c r="E27" s="1040">
        <f t="shared" si="3"/>
        <v>0</v>
      </c>
      <c r="F27" s="1040">
        <f t="shared" si="3"/>
        <v>0</v>
      </c>
      <c r="G27" s="1040"/>
      <c r="H27" s="1039"/>
    </row>
    <row r="28" spans="1:8" x14ac:dyDescent="0.25">
      <c r="A28" s="1234" t="s">
        <v>1190</v>
      </c>
      <c r="B28" s="1049">
        <v>0.5</v>
      </c>
      <c r="C28" s="1099">
        <v>0.5</v>
      </c>
      <c r="D28" s="1130">
        <f t="shared" si="2"/>
        <v>0</v>
      </c>
      <c r="E28" s="1040">
        <f t="shared" si="3"/>
        <v>0</v>
      </c>
      <c r="F28" s="1040">
        <f t="shared" si="3"/>
        <v>0</v>
      </c>
      <c r="G28" s="1040"/>
      <c r="H28" s="1039"/>
    </row>
    <row r="29" spans="1:8" x14ac:dyDescent="0.25">
      <c r="A29" s="1234" t="s">
        <v>1191</v>
      </c>
      <c r="B29" s="1049">
        <v>0.5</v>
      </c>
      <c r="C29" s="1099">
        <v>0.5</v>
      </c>
      <c r="D29" s="1130">
        <f t="shared" si="2"/>
        <v>0</v>
      </c>
      <c r="E29" s="1040">
        <f t="shared" si="3"/>
        <v>0</v>
      </c>
      <c r="F29" s="1040">
        <f t="shared" si="3"/>
        <v>0</v>
      </c>
      <c r="G29" s="1040"/>
      <c r="H29" s="1039"/>
    </row>
    <row r="30" spans="1:8" x14ac:dyDescent="0.25">
      <c r="A30" s="1234" t="s">
        <v>1192</v>
      </c>
      <c r="B30" s="1049">
        <v>2</v>
      </c>
      <c r="C30" s="1099">
        <v>0.5</v>
      </c>
      <c r="D30" s="1130">
        <f t="shared" si="2"/>
        <v>0</v>
      </c>
      <c r="E30" s="1040">
        <f t="shared" si="3"/>
        <v>0</v>
      </c>
      <c r="F30" s="1040">
        <f t="shared" si="3"/>
        <v>0</v>
      </c>
      <c r="G30" s="1040"/>
      <c r="H30" s="1039"/>
    </row>
    <row r="31" spans="1:8" x14ac:dyDescent="0.25">
      <c r="A31" s="1234" t="s">
        <v>1193</v>
      </c>
      <c r="B31" s="1049">
        <v>0.5</v>
      </c>
      <c r="C31" s="1099">
        <v>0.5</v>
      </c>
      <c r="D31" s="1130">
        <f t="shared" si="2"/>
        <v>0</v>
      </c>
      <c r="E31" s="1040">
        <f t="shared" si="3"/>
        <v>0</v>
      </c>
      <c r="F31" s="1040">
        <f t="shared" si="3"/>
        <v>0</v>
      </c>
      <c r="G31" s="1040"/>
      <c r="H31" s="1039"/>
    </row>
    <row r="32" spans="1:8" ht="25.5" x14ac:dyDescent="0.25">
      <c r="A32" s="1037" t="s">
        <v>963</v>
      </c>
      <c r="B32" s="1049">
        <v>1</v>
      </c>
      <c r="C32" s="1242" t="s">
        <v>897</v>
      </c>
      <c r="D32" s="1130">
        <f>ROUNDUP(IF(0.1*(SUM($D$15:$D$21))&gt;8,0.1*(SUM($D$15:$D$21)),8),0)</f>
        <v>8</v>
      </c>
      <c r="E32" s="1040"/>
      <c r="F32" s="1040">
        <f>0.5*$D32</f>
        <v>4</v>
      </c>
      <c r="G32" s="1040">
        <f>0.5*$D32</f>
        <v>4</v>
      </c>
      <c r="H32" s="1039"/>
    </row>
    <row r="33" spans="1:8" ht="26.25" thickBot="1" x14ac:dyDescent="0.3">
      <c r="A33" s="1070" t="s">
        <v>964</v>
      </c>
      <c r="B33" s="1049">
        <v>1</v>
      </c>
      <c r="C33" s="1242" t="s">
        <v>899</v>
      </c>
      <c r="D33" s="1130">
        <f>ROUNDUP(IF(0.05*(SUM($D$15:$D$21))&gt;8,0.05*(SUM($D$15:$D$21)),8),0)</f>
        <v>8</v>
      </c>
      <c r="E33" s="1155"/>
      <c r="F33" s="1155">
        <f>0.5*$D33</f>
        <v>4</v>
      </c>
      <c r="G33" s="1155">
        <f>0.5*$D33</f>
        <v>4</v>
      </c>
      <c r="H33" s="1156"/>
    </row>
    <row r="34" spans="1:8" x14ac:dyDescent="0.25">
      <c r="A34" s="1067" t="s">
        <v>564</v>
      </c>
      <c r="B34" s="268"/>
      <c r="C34" s="1242" t="s">
        <v>52</v>
      </c>
      <c r="D34" s="268">
        <f>SUM(D7:D33)</f>
        <v>20</v>
      </c>
      <c r="E34" s="268">
        <f>SUM(E7:E33)</f>
        <v>0</v>
      </c>
      <c r="F34" s="268">
        <f>SUM(F7:F33)</f>
        <v>8.5</v>
      </c>
      <c r="G34" s="268">
        <f>SUM(G7:G33)</f>
        <v>8</v>
      </c>
      <c r="H34" s="268"/>
    </row>
    <row r="35" spans="1:8" x14ac:dyDescent="0.25">
      <c r="A35" s="1067"/>
      <c r="B35" s="1067"/>
      <c r="C35" s="1067"/>
      <c r="D35" s="1067"/>
      <c r="E35" s="1067"/>
      <c r="F35" s="1067"/>
      <c r="G35" s="1067"/>
      <c r="H35" s="1067"/>
    </row>
    <row r="36" spans="1:8" x14ac:dyDescent="0.25">
      <c r="A36" s="1067"/>
      <c r="B36" s="1067"/>
      <c r="C36" s="268" t="s">
        <v>901</v>
      </c>
      <c r="D36" s="268">
        <f>ROUNDUP(SUM(D9:D12)/8,0)</f>
        <v>0</v>
      </c>
      <c r="E36" s="268">
        <f t="shared" ref="E36:F36" si="4">ROUNDUP(SUM(E9:E12)/8,0)</f>
        <v>0</v>
      </c>
      <c r="F36" s="268">
        <f t="shared" si="4"/>
        <v>0</v>
      </c>
      <c r="G36" s="268">
        <f>ROUNDUP(SUM(G7:G12)/8,0)</f>
        <v>0</v>
      </c>
      <c r="H36" s="1067"/>
    </row>
    <row r="37" spans="1:8" x14ac:dyDescent="0.25">
      <c r="A37" s="1067"/>
      <c r="B37" s="1067"/>
      <c r="C37" s="63" t="s">
        <v>902</v>
      </c>
      <c r="D37" s="63">
        <f>ROUNDUP(SUM(D15:D32)/8,0)</f>
        <v>1</v>
      </c>
      <c r="E37" s="63">
        <f>ROUNDUP(SUM(E15:E32)/8,0)</f>
        <v>0</v>
      </c>
      <c r="F37" s="63">
        <f>ROUNDUP(SUM(F15:F32)/8,0)</f>
        <v>1</v>
      </c>
      <c r="G37" s="63">
        <f>ROUNDUP(SUM(G15:G32)/8,0)</f>
        <v>1</v>
      </c>
      <c r="H37" s="1067"/>
    </row>
    <row r="38" spans="1:8" x14ac:dyDescent="0.25">
      <c r="A38" s="1067"/>
      <c r="B38" s="1067"/>
      <c r="C38" s="268" t="s">
        <v>903</v>
      </c>
      <c r="D38" s="268">
        <f>ROUNDUP(SUM(D33)/8,0)</f>
        <v>1</v>
      </c>
      <c r="E38" s="268">
        <f t="shared" ref="E38:G38" si="5">ROUNDUP(SUM(E33)/8,0)</f>
        <v>0</v>
      </c>
      <c r="F38" s="268">
        <f t="shared" si="5"/>
        <v>1</v>
      </c>
      <c r="G38" s="268">
        <f t="shared" si="5"/>
        <v>1</v>
      </c>
      <c r="H38" s="1067"/>
    </row>
    <row r="39" spans="1:8" x14ac:dyDescent="0.25">
      <c r="A39" s="1067"/>
      <c r="B39" s="1067"/>
      <c r="C39" s="63" t="s">
        <v>904</v>
      </c>
      <c r="D39" s="63">
        <f>ROUNDUP(D34/8,0)</f>
        <v>3</v>
      </c>
      <c r="E39" s="63">
        <f>ROUNDUP(E34/8,0)</f>
        <v>0</v>
      </c>
      <c r="F39" s="63">
        <f>ROUNDUP(F34/8,0)</f>
        <v>2</v>
      </c>
      <c r="G39" s="63">
        <f>ROUNDUP(G34/8,0)</f>
        <v>1</v>
      </c>
      <c r="H39" s="1067"/>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Лист50">
    <tabColor theme="8"/>
  </sheetPr>
  <dimension ref="A1:H21"/>
  <sheetViews>
    <sheetView workbookViewId="0">
      <selection activeCell="B3" sqref="B3"/>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c r="C2" s="1036"/>
      <c r="D2" s="1036"/>
      <c r="E2" s="1036"/>
      <c r="F2" s="1036"/>
      <c r="G2" s="1036"/>
      <c r="H2" s="1036"/>
    </row>
    <row r="3" spans="1:8" x14ac:dyDescent="0.25">
      <c r="A3" s="1037" t="s">
        <v>905</v>
      </c>
      <c r="B3" s="1038">
        <f>ТрЗ_ОВ!H164</f>
        <v>0</v>
      </c>
      <c r="C3" s="1039"/>
      <c r="D3" s="1039"/>
      <c r="E3" s="1039"/>
      <c r="F3" s="1039"/>
      <c r="G3" s="1039"/>
      <c r="H3" s="1039"/>
    </row>
    <row r="4" spans="1:8" x14ac:dyDescent="0.25">
      <c r="A4" s="1037" t="s">
        <v>880</v>
      </c>
      <c r="B4" s="1041"/>
      <c r="C4" s="1039"/>
      <c r="D4" s="1039"/>
      <c r="E4" s="1039"/>
      <c r="F4" s="1039"/>
      <c r="G4" s="1039"/>
      <c r="H4" s="1039"/>
    </row>
    <row r="5" spans="1:8" x14ac:dyDescent="0.25">
      <c r="A5" s="1037" t="s">
        <v>881</v>
      </c>
      <c r="B5" s="1041" t="s">
        <v>882</v>
      </c>
      <c r="C5" s="1039"/>
      <c r="D5" s="1039"/>
      <c r="E5" s="1039"/>
      <c r="F5" s="1039"/>
      <c r="G5" s="1039"/>
      <c r="H5" s="1039"/>
    </row>
    <row r="6" spans="1:8" x14ac:dyDescent="0.25">
      <c r="A6" s="1042" t="s">
        <v>883</v>
      </c>
      <c r="B6" s="1043">
        <v>1</v>
      </c>
      <c r="C6" s="1039"/>
      <c r="D6" s="1039"/>
      <c r="E6" s="1039"/>
      <c r="F6" s="1039"/>
      <c r="G6" s="1039"/>
      <c r="H6" s="1039"/>
    </row>
    <row r="7" spans="1:8" x14ac:dyDescent="0.25">
      <c r="A7" s="1042" t="s">
        <v>884</v>
      </c>
      <c r="B7" s="1043">
        <v>1</v>
      </c>
      <c r="C7" s="1039"/>
      <c r="D7" s="1039"/>
      <c r="E7" s="1039"/>
      <c r="F7" s="1039"/>
      <c r="G7" s="1039"/>
      <c r="H7" s="1039"/>
    </row>
    <row r="8" spans="1:8" x14ac:dyDescent="0.25">
      <c r="A8" s="1042" t="s">
        <v>885</v>
      </c>
      <c r="B8" s="1043">
        <v>1</v>
      </c>
      <c r="C8" s="1039"/>
      <c r="D8" s="1039"/>
      <c r="E8" s="1039"/>
      <c r="F8" s="1039"/>
      <c r="G8" s="1039"/>
      <c r="H8" s="1039"/>
    </row>
    <row r="9" spans="1:8" x14ac:dyDescent="0.25">
      <c r="A9" s="1042" t="s">
        <v>886</v>
      </c>
      <c r="B9" s="1043">
        <v>1</v>
      </c>
      <c r="C9" s="1039"/>
      <c r="D9" s="1039"/>
      <c r="E9" s="1039"/>
      <c r="F9" s="1039"/>
      <c r="G9" s="1039"/>
      <c r="H9" s="1039"/>
    </row>
    <row r="10" spans="1:8" x14ac:dyDescent="0.25">
      <c r="A10" s="1037" t="s">
        <v>887</v>
      </c>
      <c r="B10" s="1043"/>
      <c r="C10" s="1039"/>
      <c r="D10" s="1039"/>
      <c r="E10" s="1039"/>
      <c r="F10" s="1039"/>
      <c r="G10" s="1039"/>
      <c r="H10" s="1039"/>
    </row>
    <row r="11" spans="1:8" x14ac:dyDescent="0.25">
      <c r="A11" s="1037" t="s">
        <v>888</v>
      </c>
      <c r="B11" s="1043"/>
      <c r="C11" s="1039"/>
      <c r="D11" s="1039"/>
      <c r="E11" s="1039"/>
      <c r="F11" s="1039"/>
      <c r="G11" s="1039"/>
      <c r="H11" s="1039"/>
    </row>
    <row r="12" spans="1:8" x14ac:dyDescent="0.25">
      <c r="A12" s="1042" t="s">
        <v>906</v>
      </c>
      <c r="B12" s="1043">
        <v>1</v>
      </c>
      <c r="C12" s="1047">
        <v>2</v>
      </c>
      <c r="D12" s="1039">
        <f>C12*B3</f>
        <v>0</v>
      </c>
      <c r="E12" s="1039">
        <f>0.5*D12</f>
        <v>0</v>
      </c>
      <c r="F12" s="1039">
        <f>0.5*D12</f>
        <v>0</v>
      </c>
      <c r="G12" s="1039"/>
      <c r="H12" s="1039"/>
    </row>
    <row r="13" spans="1:8" ht="25.5" x14ac:dyDescent="0.25">
      <c r="A13" s="1037" t="s">
        <v>896</v>
      </c>
      <c r="B13" s="1039" t="s">
        <v>897</v>
      </c>
      <c r="C13" s="1039"/>
      <c r="D13" s="1039">
        <f>D12*0.1</f>
        <v>0</v>
      </c>
      <c r="F13" s="1039">
        <f>0.5*D13</f>
        <v>0</v>
      </c>
      <c r="G13" s="1039">
        <f>0.5*D13</f>
        <v>0</v>
      </c>
      <c r="H13" s="1039"/>
    </row>
    <row r="14" spans="1:8" ht="26.25" thickBot="1" x14ac:dyDescent="0.3">
      <c r="A14" s="1070" t="s">
        <v>898</v>
      </c>
      <c r="B14" s="1053" t="s">
        <v>899</v>
      </c>
      <c r="C14" s="1053"/>
      <c r="D14" s="1053">
        <f>D12*0.1</f>
        <v>0</v>
      </c>
      <c r="F14" s="1039">
        <f>0.5*D14</f>
        <v>0</v>
      </c>
      <c r="G14" s="1039">
        <f>0.5*D14</f>
        <v>0</v>
      </c>
      <c r="H14" s="1053"/>
    </row>
    <row r="15" spans="1:8" x14ac:dyDescent="0.25">
      <c r="A15" s="1067" t="s">
        <v>564</v>
      </c>
      <c r="B15" s="1068"/>
      <c r="C15" s="1068"/>
      <c r="D15" s="1068">
        <f>SUM(D4:D14)</f>
        <v>0</v>
      </c>
      <c r="E15" s="1068">
        <f>SUM(E4:E14)</f>
        <v>0</v>
      </c>
      <c r="F15" s="1068">
        <f>SUM(F4:F14)</f>
        <v>0</v>
      </c>
      <c r="G15" s="1068">
        <f>SUM(G4:G14)</f>
        <v>0</v>
      </c>
      <c r="H15" s="1068"/>
    </row>
    <row r="16" spans="1:8" x14ac:dyDescent="0.25">
      <c r="A16" s="1067"/>
      <c r="B16" s="1067"/>
      <c r="C16" s="1067"/>
      <c r="D16" s="1067"/>
      <c r="E16" s="1067"/>
      <c r="F16" s="1067"/>
      <c r="G16" s="1067"/>
      <c r="H16" s="1067"/>
    </row>
    <row r="17" spans="1:8" x14ac:dyDescent="0.25">
      <c r="A17" s="1067"/>
      <c r="B17" s="1067"/>
      <c r="C17" s="1069" t="s">
        <v>900</v>
      </c>
      <c r="D17" s="1069"/>
      <c r="E17" s="1069"/>
      <c r="F17" s="1069"/>
      <c r="G17" s="1069"/>
      <c r="H17" s="1067"/>
    </row>
    <row r="18" spans="1:8" x14ac:dyDescent="0.25">
      <c r="A18" s="1067"/>
      <c r="B18" s="1067"/>
      <c r="C18" s="268" t="s">
        <v>901</v>
      </c>
      <c r="D18" s="268">
        <f>SUM(D6:D9)/8</f>
        <v>0</v>
      </c>
      <c r="E18" s="268">
        <f>ROUNDUP(SUM(E6:E9)/8,0)</f>
        <v>0</v>
      </c>
      <c r="F18" s="268">
        <f>ROUNDUP(SUM(F6:F9)/8,0)</f>
        <v>0</v>
      </c>
      <c r="G18" s="268">
        <f>ROUNDUP(SUM(G4:G9)/8,0)</f>
        <v>0</v>
      </c>
      <c r="H18" s="1067"/>
    </row>
    <row r="19" spans="1:8" x14ac:dyDescent="0.25">
      <c r="A19" s="1067"/>
      <c r="B19" s="1067"/>
      <c r="C19" s="63" t="s">
        <v>902</v>
      </c>
      <c r="D19" s="63">
        <f>ROUNDUP(SUM(D12:D13)/8,1)</f>
        <v>0</v>
      </c>
      <c r="E19" s="63">
        <f t="shared" ref="E19:G19" si="0">ROUNDUP(SUM(E12:E13)/8,1)</f>
        <v>0</v>
      </c>
      <c r="F19" s="63">
        <f t="shared" si="0"/>
        <v>0</v>
      </c>
      <c r="G19" s="63">
        <f t="shared" si="0"/>
        <v>0</v>
      </c>
      <c r="H19" s="1067"/>
    </row>
    <row r="20" spans="1:8" x14ac:dyDescent="0.25">
      <c r="A20" s="1067"/>
      <c r="B20" s="1067"/>
      <c r="C20" s="268" t="s">
        <v>903</v>
      </c>
      <c r="D20" s="268">
        <f>ROUNDUP(SUM(D14)/8,1)</f>
        <v>0</v>
      </c>
      <c r="E20" s="268">
        <f t="shared" ref="E20:G20" si="1">ROUNDUP(SUM(E14)/8,1)</f>
        <v>0</v>
      </c>
      <c r="F20" s="268">
        <f t="shared" si="1"/>
        <v>0</v>
      </c>
      <c r="G20" s="268">
        <f t="shared" si="1"/>
        <v>0</v>
      </c>
      <c r="H20" s="1067"/>
    </row>
    <row r="21" spans="1:8" x14ac:dyDescent="0.25">
      <c r="A21" s="1067"/>
      <c r="B21" s="1067"/>
      <c r="C21" s="63" t="s">
        <v>904</v>
      </c>
      <c r="D21" s="63">
        <f>ROUNDUP(D15/8,0)</f>
        <v>0</v>
      </c>
      <c r="E21" s="63">
        <f>ROUNDUP(E15/8,0)</f>
        <v>0</v>
      </c>
      <c r="F21" s="63">
        <f>ROUNDUP(F15/8,0)</f>
        <v>0</v>
      </c>
      <c r="G21" s="63">
        <f>ROUNDUP(G15/8,0)</f>
        <v>0</v>
      </c>
      <c r="H21" s="1067"/>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Лист51">
    <tabColor theme="8"/>
  </sheetPr>
  <dimension ref="A1:T61"/>
  <sheetViews>
    <sheetView zoomScale="75" zoomScaleNormal="75" workbookViewId="0">
      <selection activeCell="Q2" sqref="Q2:S2"/>
    </sheetView>
  </sheetViews>
  <sheetFormatPr defaultRowHeight="15" x14ac:dyDescent="0.25"/>
  <cols>
    <col min="1" max="1" width="69.5703125" customWidth="1"/>
    <col min="2" max="2" width="16.85546875" customWidth="1"/>
    <col min="3" max="3" width="14.7109375" customWidth="1"/>
    <col min="4" max="4" width="16.7109375" customWidth="1"/>
    <col min="5" max="5" width="16.85546875" customWidth="1"/>
    <col min="6" max="6" width="16.85546875" bestFit="1" customWidth="1"/>
    <col min="7" max="7" width="18.85546875" customWidth="1"/>
    <col min="8" max="8" width="11.5703125" bestFit="1" customWidth="1"/>
    <col min="9" max="10" width="11" customWidth="1"/>
    <col min="11" max="11" width="11.5703125" bestFit="1" customWidth="1"/>
    <col min="12" max="12" width="7.5703125" bestFit="1" customWidth="1"/>
    <col min="13" max="13" width="8.28515625" bestFit="1" customWidth="1"/>
    <col min="14" max="14" width="11.5703125" bestFit="1" customWidth="1"/>
    <col min="15" max="15" width="7.5703125" bestFit="1" customWidth="1"/>
    <col min="16" max="16" width="8" bestFit="1" customWidth="1"/>
    <col min="17" max="17" width="11.5703125" bestFit="1" customWidth="1"/>
    <col min="18" max="18" width="7.5703125" bestFit="1" customWidth="1"/>
    <col min="19" max="19" width="8" bestFit="1" customWidth="1"/>
    <col min="20" max="20" width="24" customWidth="1"/>
  </cols>
  <sheetData>
    <row r="1" spans="1:20" ht="15.75" thickBot="1" x14ac:dyDescent="0.3">
      <c r="A1" s="1067"/>
      <c r="B1" s="1067"/>
      <c r="C1" s="1067"/>
      <c r="D1" s="1067"/>
      <c r="E1" s="1067"/>
      <c r="F1" s="1067"/>
      <c r="G1" s="1067"/>
      <c r="H1" s="1067"/>
      <c r="I1" s="1067"/>
      <c r="J1" s="1067"/>
      <c r="K1" s="1067"/>
      <c r="L1" s="1067"/>
      <c r="M1" s="1067"/>
      <c r="N1" s="1067"/>
      <c r="O1" s="1067"/>
      <c r="P1" s="1067"/>
      <c r="Q1" s="1067"/>
      <c r="R1" s="1067"/>
      <c r="S1" s="1067"/>
      <c r="T1" s="1067"/>
    </row>
    <row r="2" spans="1:20" ht="15.75" thickBot="1" x14ac:dyDescent="0.3">
      <c r="A2" s="2296" t="s">
        <v>872</v>
      </c>
      <c r="B2" s="2291" t="s">
        <v>919</v>
      </c>
      <c r="C2" s="2292"/>
      <c r="D2" s="2293"/>
      <c r="E2" s="2298" t="s">
        <v>874</v>
      </c>
      <c r="F2" s="2299"/>
      <c r="G2" s="2296"/>
      <c r="H2" s="2291" t="s">
        <v>52</v>
      </c>
      <c r="I2" s="2291"/>
      <c r="J2" s="2293"/>
      <c r="K2" s="2300" t="s">
        <v>715</v>
      </c>
      <c r="L2" s="2301"/>
      <c r="M2" s="2302"/>
      <c r="N2" s="2291" t="s">
        <v>714</v>
      </c>
      <c r="O2" s="2292"/>
      <c r="P2" s="2293"/>
      <c r="Q2" s="2291" t="s">
        <v>713</v>
      </c>
      <c r="R2" s="2292"/>
      <c r="S2" s="2293"/>
      <c r="T2" s="2294" t="s">
        <v>875</v>
      </c>
    </row>
    <row r="3" spans="1:20" ht="15.75" thickBot="1" x14ac:dyDescent="0.3">
      <c r="A3" s="2297"/>
      <c r="B3" s="1157" t="s">
        <v>837</v>
      </c>
      <c r="C3" s="1157" t="s">
        <v>1044</v>
      </c>
      <c r="D3" s="1157" t="s">
        <v>1045</v>
      </c>
      <c r="E3" s="1157" t="s">
        <v>837</v>
      </c>
      <c r="F3" s="1157" t="s">
        <v>1044</v>
      </c>
      <c r="G3" s="1157" t="s">
        <v>1045</v>
      </c>
      <c r="H3" s="1157" t="s">
        <v>837</v>
      </c>
      <c r="I3" s="1157" t="s">
        <v>1044</v>
      </c>
      <c r="J3" s="1157" t="s">
        <v>1045</v>
      </c>
      <c r="K3" s="1157" t="s">
        <v>837</v>
      </c>
      <c r="L3" s="1157" t="s">
        <v>1044</v>
      </c>
      <c r="M3" s="1157" t="s">
        <v>1045</v>
      </c>
      <c r="N3" s="1157" t="s">
        <v>837</v>
      </c>
      <c r="O3" s="1157" t="s">
        <v>1044</v>
      </c>
      <c r="P3" s="1157" t="s">
        <v>1045</v>
      </c>
      <c r="Q3" s="1157" t="s">
        <v>837</v>
      </c>
      <c r="R3" s="1157" t="s">
        <v>1044</v>
      </c>
      <c r="S3" s="1157" t="s">
        <v>1045</v>
      </c>
      <c r="T3" s="2295"/>
    </row>
    <row r="4" spans="1:20" x14ac:dyDescent="0.25">
      <c r="A4" s="1034" t="s">
        <v>876</v>
      </c>
      <c r="B4" s="1035">
        <f>ТрЗ_ОВ!$E$83</f>
        <v>0</v>
      </c>
      <c r="C4" s="1035">
        <f>ТрЗ_ОВ!$E$83</f>
        <v>0</v>
      </c>
      <c r="D4" s="1035">
        <f>ТрЗ_ОВ!$E$83</f>
        <v>0</v>
      </c>
      <c r="E4" s="1158"/>
      <c r="F4" s="1158"/>
      <c r="G4" s="1158"/>
      <c r="H4" s="1036"/>
      <c r="I4" s="1036"/>
      <c r="J4" s="1036"/>
      <c r="K4" s="1039"/>
      <c r="L4" s="1039"/>
      <c r="M4" s="1039"/>
      <c r="N4" s="1036"/>
      <c r="O4" s="1036"/>
      <c r="P4" s="1036"/>
      <c r="Q4" s="1036"/>
      <c r="R4" s="1036"/>
      <c r="S4" s="1036"/>
      <c r="T4" s="1036"/>
    </row>
    <row r="5" spans="1:20" x14ac:dyDescent="0.25">
      <c r="A5" s="1034" t="s">
        <v>1046</v>
      </c>
      <c r="B5" s="1035">
        <f>ТрЗ_ОВ!$H$83</f>
        <v>0</v>
      </c>
      <c r="C5" s="1035">
        <f>ТрЗ_ОВ!$H$83</f>
        <v>0</v>
      </c>
      <c r="D5" s="1035">
        <f>ТрЗ_ОВ!$H$83</f>
        <v>0</v>
      </c>
      <c r="E5" s="1158"/>
      <c r="F5" s="1158"/>
      <c r="G5" s="1158"/>
      <c r="H5" s="1036"/>
      <c r="I5" s="1036"/>
      <c r="J5" s="1036"/>
      <c r="K5" s="1039"/>
      <c r="L5" s="1039"/>
      <c r="M5" s="1039"/>
      <c r="N5" s="1036"/>
      <c r="O5" s="1036"/>
      <c r="P5" s="1036"/>
      <c r="Q5" s="1036"/>
      <c r="R5" s="1036"/>
      <c r="S5" s="1036"/>
      <c r="T5" s="1036"/>
    </row>
    <row r="6" spans="1:20" x14ac:dyDescent="0.25">
      <c r="A6" s="1034" t="s">
        <v>909</v>
      </c>
      <c r="B6" s="1035">
        <f>ТрЗ_ОВ!$J$83</f>
        <v>0</v>
      </c>
      <c r="C6" s="1035">
        <f>ТрЗ_ОВ!$J$83</f>
        <v>0</v>
      </c>
      <c r="D6" s="1035">
        <f>ТрЗ_ОВ!$J$83</f>
        <v>0</v>
      </c>
      <c r="E6" s="1158"/>
      <c r="F6" s="1158"/>
      <c r="G6" s="1158"/>
      <c r="H6" s="1036"/>
      <c r="I6" s="1036"/>
      <c r="J6" s="1036"/>
      <c r="K6" s="1039"/>
      <c r="L6" s="1039"/>
      <c r="M6" s="1039"/>
      <c r="N6" s="1036"/>
      <c r="O6" s="1036"/>
      <c r="P6" s="1036"/>
      <c r="Q6" s="1036"/>
      <c r="R6" s="1036"/>
      <c r="S6" s="1036"/>
      <c r="T6" s="1036"/>
    </row>
    <row r="7" spans="1:20" x14ac:dyDescent="0.25">
      <c r="A7" s="1034" t="s">
        <v>1047</v>
      </c>
      <c r="B7" s="1035">
        <f>ТрЗ_ОВ!$M$83</f>
        <v>0</v>
      </c>
      <c r="C7" s="1035">
        <f>ТрЗ_ОВ!$M$83</f>
        <v>0</v>
      </c>
      <c r="D7" s="1035">
        <f>ТрЗ_ОВ!$M$83</f>
        <v>0</v>
      </c>
      <c r="E7" s="1158">
        <v>8</v>
      </c>
      <c r="F7" s="1158">
        <v>8</v>
      </c>
      <c r="G7" s="1158">
        <v>8</v>
      </c>
      <c r="H7" s="1036"/>
      <c r="I7" s="1036"/>
      <c r="J7" s="1036"/>
      <c r="K7" s="1158"/>
      <c r="L7" s="1158"/>
      <c r="M7" s="1158"/>
      <c r="N7" s="1036"/>
      <c r="O7" s="1036"/>
      <c r="P7" s="1036"/>
      <c r="Q7" s="1036"/>
      <c r="R7" s="1036"/>
      <c r="S7" s="1036"/>
      <c r="T7" s="1036"/>
    </row>
    <row r="8" spans="1:20" ht="25.5" x14ac:dyDescent="0.25">
      <c r="A8" s="1071" t="s">
        <v>881</v>
      </c>
      <c r="B8" s="1041" t="s">
        <v>882</v>
      </c>
      <c r="C8" s="1041" t="s">
        <v>882</v>
      </c>
      <c r="D8" s="1041" t="s">
        <v>882</v>
      </c>
      <c r="E8" s="1040">
        <v>4</v>
      </c>
      <c r="F8" s="1040">
        <v>4</v>
      </c>
      <c r="G8" s="1040">
        <v>4</v>
      </c>
      <c r="H8" s="1039">
        <f>B5*E8+H9</f>
        <v>6</v>
      </c>
      <c r="I8" s="1039">
        <f>C5*F8+I9</f>
        <v>6</v>
      </c>
      <c r="J8" s="1039">
        <f>D5*G8+J9</f>
        <v>6</v>
      </c>
      <c r="K8" s="1040">
        <f>0.3*$H$8</f>
        <v>1.7999999999999998</v>
      </c>
      <c r="L8" s="1040">
        <f>0.3*$I$8</f>
        <v>1.7999999999999998</v>
      </c>
      <c r="M8" s="1040">
        <f>0.3*$J$8</f>
        <v>1.7999999999999998</v>
      </c>
      <c r="N8" s="1040">
        <f>0.5*$H$8</f>
        <v>3</v>
      </c>
      <c r="O8" s="1040">
        <f>0.5*$I$8</f>
        <v>3</v>
      </c>
      <c r="P8" s="1040">
        <f>0.5*$J$8</f>
        <v>3</v>
      </c>
      <c r="Q8" s="1040">
        <f>0.2*$H$8</f>
        <v>1.2000000000000002</v>
      </c>
      <c r="R8" s="1040">
        <f>0.2*$I$8</f>
        <v>1.2000000000000002</v>
      </c>
      <c r="S8" s="1040">
        <f>0.2*$J$8</f>
        <v>1.2000000000000002</v>
      </c>
      <c r="T8" s="1039"/>
    </row>
    <row r="9" spans="1:20" x14ac:dyDescent="0.25">
      <c r="A9" s="1037" t="s">
        <v>880</v>
      </c>
      <c r="B9" s="1038">
        <v>1</v>
      </c>
      <c r="C9" s="1038">
        <v>1</v>
      </c>
      <c r="D9" s="1038">
        <v>1</v>
      </c>
      <c r="E9" s="1040">
        <v>6</v>
      </c>
      <c r="F9" s="1040">
        <v>6</v>
      </c>
      <c r="G9" s="1040">
        <v>6</v>
      </c>
      <c r="H9" s="1039">
        <f>IF(B9&gt;0,E9,0)</f>
        <v>6</v>
      </c>
      <c r="I9" s="1039">
        <f>IF(C9&gt;0,F9,0)</f>
        <v>6</v>
      </c>
      <c r="J9" s="1039">
        <f>IF(D9&gt;0,G9,0)</f>
        <v>6</v>
      </c>
      <c r="K9" s="1040">
        <f>(0.2*H9)/8</f>
        <v>0.15000000000000002</v>
      </c>
      <c r="L9" s="1040">
        <f>(0.2*I9)/8</f>
        <v>0.15000000000000002</v>
      </c>
      <c r="M9" s="1040">
        <f>(0.2*J9)/8</f>
        <v>0.15000000000000002</v>
      </c>
      <c r="N9" s="1159">
        <f>(0.5*H9)/8</f>
        <v>0.375</v>
      </c>
      <c r="O9" s="1159">
        <f>(0.5*I9)/8</f>
        <v>0.375</v>
      </c>
      <c r="P9" s="1159">
        <f>(0.5*J9)/8</f>
        <v>0.375</v>
      </c>
      <c r="Q9" s="1040">
        <f>(0.3*H9)/9</f>
        <v>0.19999999999999998</v>
      </c>
      <c r="R9" s="1160">
        <f>(0.3*I9)/8</f>
        <v>0.22499999999999998</v>
      </c>
      <c r="S9" s="1040">
        <f>(0.3*J9)/9</f>
        <v>0.19999999999999998</v>
      </c>
      <c r="T9" s="1039"/>
    </row>
    <row r="10" spans="1:20" ht="25.5" x14ac:dyDescent="0.25">
      <c r="A10" s="1042" t="s">
        <v>883</v>
      </c>
      <c r="B10" s="1043" t="s">
        <v>1048</v>
      </c>
      <c r="C10" s="1043" t="s">
        <v>1049</v>
      </c>
      <c r="D10" s="1043" t="s">
        <v>1049</v>
      </c>
      <c r="E10" s="1040">
        <v>1</v>
      </c>
      <c r="F10" s="1040">
        <v>1</v>
      </c>
      <c r="G10" s="1040">
        <v>1</v>
      </c>
      <c r="H10" s="1039"/>
      <c r="I10" s="1039"/>
      <c r="J10" s="1039"/>
      <c r="K10" s="1040"/>
      <c r="L10" s="1040"/>
      <c r="M10" s="1040"/>
      <c r="N10" s="1039"/>
      <c r="O10" s="1039"/>
      <c r="P10" s="1039"/>
      <c r="Q10" s="1039"/>
      <c r="R10" s="1039"/>
      <c r="S10" s="1039"/>
      <c r="T10" s="1039"/>
    </row>
    <row r="11" spans="1:20" x14ac:dyDescent="0.25">
      <c r="A11" s="1042" t="s">
        <v>884</v>
      </c>
      <c r="B11" s="1043">
        <v>1</v>
      </c>
      <c r="C11" s="1043">
        <v>1</v>
      </c>
      <c r="D11" s="1043">
        <v>1</v>
      </c>
      <c r="E11" s="1040">
        <v>1</v>
      </c>
      <c r="F11" s="1040">
        <v>1</v>
      </c>
      <c r="G11" s="1040">
        <v>1</v>
      </c>
      <c r="H11" s="1039"/>
      <c r="I11" s="1039"/>
      <c r="J11" s="1039"/>
      <c r="K11" s="1040"/>
      <c r="L11" s="1040"/>
      <c r="M11" s="1040"/>
      <c r="N11" s="1039"/>
      <c r="O11" s="1039"/>
      <c r="P11" s="1039"/>
      <c r="Q11" s="1039"/>
      <c r="R11" s="1039"/>
      <c r="S11" s="1039"/>
      <c r="T11" s="1039"/>
    </row>
    <row r="12" spans="1:20" x14ac:dyDescent="0.25">
      <c r="A12" s="1042" t="s">
        <v>885</v>
      </c>
      <c r="B12" s="1043">
        <v>1</v>
      </c>
      <c r="C12" s="1043">
        <v>1</v>
      </c>
      <c r="D12" s="1043">
        <v>1</v>
      </c>
      <c r="E12" s="1040">
        <v>1</v>
      </c>
      <c r="F12" s="1040">
        <v>1</v>
      </c>
      <c r="G12" s="1040">
        <v>1</v>
      </c>
      <c r="H12" s="1039"/>
      <c r="I12" s="1039"/>
      <c r="J12" s="1039"/>
      <c r="K12" s="1040"/>
      <c r="L12" s="1040"/>
      <c r="M12" s="1040"/>
      <c r="N12" s="1039"/>
      <c r="O12" s="1039"/>
      <c r="P12" s="1039"/>
      <c r="Q12" s="1039"/>
      <c r="R12" s="1039"/>
      <c r="S12" s="1039"/>
      <c r="T12" s="1039"/>
    </row>
    <row r="13" spans="1:20" x14ac:dyDescent="0.25">
      <c r="A13" s="1042" t="s">
        <v>886</v>
      </c>
      <c r="B13" s="1043">
        <v>1</v>
      </c>
      <c r="C13" s="1043">
        <v>1</v>
      </c>
      <c r="D13" s="1043">
        <v>1</v>
      </c>
      <c r="E13" s="1040">
        <v>1</v>
      </c>
      <c r="F13" s="1040">
        <v>1</v>
      </c>
      <c r="G13" s="1040">
        <v>1</v>
      </c>
      <c r="H13" s="1039"/>
      <c r="I13" s="1039"/>
      <c r="J13" s="1039"/>
      <c r="K13" s="1040"/>
      <c r="L13" s="1040"/>
      <c r="M13" s="1040"/>
      <c r="N13" s="1039"/>
      <c r="O13" s="1039"/>
      <c r="P13" s="1039"/>
      <c r="Q13" s="1039"/>
      <c r="R13" s="1039"/>
      <c r="S13" s="1039"/>
      <c r="T13" s="1039"/>
    </row>
    <row r="14" spans="1:20" x14ac:dyDescent="0.25">
      <c r="A14" s="1037" t="s">
        <v>887</v>
      </c>
      <c r="B14" s="1041"/>
      <c r="C14" s="1041"/>
      <c r="D14" s="1041"/>
      <c r="E14" s="1040"/>
      <c r="F14" s="1040"/>
      <c r="G14" s="1040"/>
      <c r="H14" s="1039">
        <f t="shared" ref="H14:S14" si="0">SUM(H16:H41)</f>
        <v>24</v>
      </c>
      <c r="I14" s="1039">
        <f t="shared" si="0"/>
        <v>56</v>
      </c>
      <c r="J14" s="1039">
        <f t="shared" si="0"/>
        <v>56</v>
      </c>
      <c r="K14" s="1039">
        <f t="shared" si="0"/>
        <v>0</v>
      </c>
      <c r="L14" s="1039">
        <f t="shared" si="0"/>
        <v>3.2</v>
      </c>
      <c r="M14" s="1039">
        <f t="shared" si="0"/>
        <v>3.2</v>
      </c>
      <c r="N14" s="1039">
        <f t="shared" si="0"/>
        <v>12.8</v>
      </c>
      <c r="O14" s="1039">
        <f t="shared" si="0"/>
        <v>24</v>
      </c>
      <c r="P14" s="1039">
        <f t="shared" si="0"/>
        <v>24</v>
      </c>
      <c r="Q14" s="1039">
        <f t="shared" si="0"/>
        <v>19.2</v>
      </c>
      <c r="R14" s="1039">
        <f t="shared" si="0"/>
        <v>36.799999999999997</v>
      </c>
      <c r="S14" s="1039">
        <f t="shared" si="0"/>
        <v>36.799999999999997</v>
      </c>
      <c r="T14" s="1039"/>
    </row>
    <row r="15" spans="1:20" x14ac:dyDescent="0.25">
      <c r="A15" s="1037" t="s">
        <v>1050</v>
      </c>
      <c r="B15" s="1041"/>
      <c r="C15" s="1041"/>
      <c r="D15" s="1041"/>
      <c r="E15" s="1040"/>
      <c r="F15" s="1040"/>
      <c r="G15" s="1040"/>
      <c r="H15" s="1039"/>
      <c r="I15" s="1039"/>
      <c r="J15" s="1039"/>
      <c r="K15" s="1040"/>
      <c r="L15" s="1040"/>
      <c r="M15" s="1040"/>
      <c r="N15" s="1039"/>
      <c r="O15" s="1039"/>
      <c r="P15" s="1039"/>
      <c r="Q15" s="1039"/>
      <c r="R15" s="1039"/>
      <c r="S15" s="1039"/>
      <c r="T15" s="1039"/>
    </row>
    <row r="16" spans="1:20" x14ac:dyDescent="0.25">
      <c r="A16" s="1042" t="s">
        <v>1051</v>
      </c>
      <c r="B16" s="1038">
        <f>IF(ТрЗ_ОВ!$D$87="Да",1,0)</f>
        <v>1</v>
      </c>
      <c r="C16" s="1038">
        <f>IF(ТрЗ_ОВ!$D$87="Да",1,0)</f>
        <v>1</v>
      </c>
      <c r="D16" s="1038">
        <f>IF(ТрЗ_ОВ!$D$87="Да",1,0)</f>
        <v>1</v>
      </c>
      <c r="E16" s="1040">
        <v>6</v>
      </c>
      <c r="F16" s="1040">
        <v>4</v>
      </c>
      <c r="G16" s="1040">
        <v>4</v>
      </c>
      <c r="H16" s="1039">
        <f>B16*E16</f>
        <v>6</v>
      </c>
      <c r="I16" s="1039">
        <f>C16*F16</f>
        <v>4</v>
      </c>
      <c r="J16" s="1039">
        <f>D16*G16</f>
        <v>4</v>
      </c>
      <c r="K16" s="1040">
        <f>$H$16*0.4</f>
        <v>2.4000000000000004</v>
      </c>
      <c r="L16" s="1040">
        <f>$I$16*0.4</f>
        <v>1.6</v>
      </c>
      <c r="M16" s="1040">
        <f>$J$16*0.4</f>
        <v>1.6</v>
      </c>
      <c r="N16" s="1040">
        <f>$H$16*0.5</f>
        <v>3</v>
      </c>
      <c r="O16" s="1040">
        <f>$I$16*0.5</f>
        <v>2</v>
      </c>
      <c r="P16" s="1040">
        <f>$J$16*0.5</f>
        <v>2</v>
      </c>
      <c r="Q16" s="1040">
        <f>$H$16*0.1</f>
        <v>0.60000000000000009</v>
      </c>
      <c r="R16" s="1040">
        <f>$I$16*0.1</f>
        <v>0.4</v>
      </c>
      <c r="S16" s="1040">
        <f>$J$16*0.1</f>
        <v>0.4</v>
      </c>
      <c r="T16" s="1039"/>
    </row>
    <row r="17" spans="1:20" x14ac:dyDescent="0.25">
      <c r="A17" s="1042" t="s">
        <v>889</v>
      </c>
      <c r="B17" s="1043">
        <v>1</v>
      </c>
      <c r="C17" s="1043">
        <v>1</v>
      </c>
      <c r="D17" s="1043">
        <v>1</v>
      </c>
      <c r="E17" s="1040">
        <v>2</v>
      </c>
      <c r="F17" s="1040">
        <v>2</v>
      </c>
      <c r="G17" s="1040">
        <v>2</v>
      </c>
      <c r="H17" s="1039">
        <f>(B5-1)*E17</f>
        <v>-2</v>
      </c>
      <c r="I17" s="1039">
        <f>C5*F17</f>
        <v>0</v>
      </c>
      <c r="J17" s="1039">
        <f>D5*G17</f>
        <v>0</v>
      </c>
      <c r="K17" s="1040">
        <f t="shared" ref="K17:M25" si="1">H17*0.4</f>
        <v>-0.8</v>
      </c>
      <c r="L17" s="1040">
        <f t="shared" si="1"/>
        <v>0</v>
      </c>
      <c r="M17" s="1040">
        <f t="shared" si="1"/>
        <v>0</v>
      </c>
      <c r="N17" s="1040">
        <f t="shared" ref="N17:P25" si="2">H17*0.5</f>
        <v>-1</v>
      </c>
      <c r="O17" s="1040">
        <f t="shared" si="2"/>
        <v>0</v>
      </c>
      <c r="P17" s="1040">
        <f t="shared" si="2"/>
        <v>0</v>
      </c>
      <c r="Q17" s="1040">
        <f t="shared" ref="Q17:S25" si="3">H17*0.1</f>
        <v>-0.2</v>
      </c>
      <c r="R17" s="1040">
        <f t="shared" si="3"/>
        <v>0</v>
      </c>
      <c r="S17" s="1040">
        <f t="shared" si="3"/>
        <v>0</v>
      </c>
      <c r="T17" s="1039"/>
    </row>
    <row r="18" spans="1:20" x14ac:dyDescent="0.25">
      <c r="A18" s="1042" t="s">
        <v>1052</v>
      </c>
      <c r="B18" s="1043">
        <v>1</v>
      </c>
      <c r="C18" s="1043">
        <v>1</v>
      </c>
      <c r="D18" s="1043">
        <v>1</v>
      </c>
      <c r="E18" s="1040">
        <v>1</v>
      </c>
      <c r="F18" s="1040">
        <v>1</v>
      </c>
      <c r="G18" s="1040">
        <v>1</v>
      </c>
      <c r="H18" s="1039">
        <f>B6*E18</f>
        <v>0</v>
      </c>
      <c r="I18" s="1039">
        <f>C6*F18</f>
        <v>0</v>
      </c>
      <c r="J18" s="1039">
        <f>D6*G18</f>
        <v>0</v>
      </c>
      <c r="K18" s="1040">
        <f t="shared" si="1"/>
        <v>0</v>
      </c>
      <c r="L18" s="1040">
        <f t="shared" si="1"/>
        <v>0</v>
      </c>
      <c r="M18" s="1040">
        <f t="shared" si="1"/>
        <v>0</v>
      </c>
      <c r="N18" s="1040">
        <f t="shared" si="2"/>
        <v>0</v>
      </c>
      <c r="O18" s="1040">
        <f t="shared" si="2"/>
        <v>0</v>
      </c>
      <c r="P18" s="1040">
        <f t="shared" si="2"/>
        <v>0</v>
      </c>
      <c r="Q18" s="1040">
        <f t="shared" si="3"/>
        <v>0</v>
      </c>
      <c r="R18" s="1040">
        <f t="shared" si="3"/>
        <v>0</v>
      </c>
      <c r="S18" s="1040">
        <f t="shared" si="3"/>
        <v>0</v>
      </c>
      <c r="T18" s="1039"/>
    </row>
    <row r="19" spans="1:20" x14ac:dyDescent="0.25">
      <c r="A19" s="1042" t="s">
        <v>1053</v>
      </c>
      <c r="B19" s="1043">
        <v>1</v>
      </c>
      <c r="C19" s="1043">
        <v>1</v>
      </c>
      <c r="D19" s="1043">
        <v>1</v>
      </c>
      <c r="E19" s="1040">
        <v>0.5</v>
      </c>
      <c r="F19" s="1040">
        <v>0.5</v>
      </c>
      <c r="G19" s="1040">
        <v>0.5</v>
      </c>
      <c r="H19" s="1039">
        <f>E19*(B5-B6)</f>
        <v>0</v>
      </c>
      <c r="I19" s="1039">
        <f>F19*(C5-C6)</f>
        <v>0</v>
      </c>
      <c r="J19" s="1039">
        <f>G19*(D5-D6)</f>
        <v>0</v>
      </c>
      <c r="K19" s="1040">
        <f t="shared" si="1"/>
        <v>0</v>
      </c>
      <c r="L19" s="1040">
        <f t="shared" si="1"/>
        <v>0</v>
      </c>
      <c r="M19" s="1040">
        <f t="shared" si="1"/>
        <v>0</v>
      </c>
      <c r="N19" s="1040">
        <f t="shared" si="2"/>
        <v>0</v>
      </c>
      <c r="O19" s="1040">
        <f t="shared" si="2"/>
        <v>0</v>
      </c>
      <c r="P19" s="1040">
        <f t="shared" si="2"/>
        <v>0</v>
      </c>
      <c r="Q19" s="1040">
        <f t="shared" si="3"/>
        <v>0</v>
      </c>
      <c r="R19" s="1040">
        <f t="shared" si="3"/>
        <v>0</v>
      </c>
      <c r="S19" s="1040">
        <f t="shared" si="3"/>
        <v>0</v>
      </c>
      <c r="T19" s="1039"/>
    </row>
    <row r="20" spans="1:20" x14ac:dyDescent="0.25">
      <c r="A20" s="1042" t="s">
        <v>1054</v>
      </c>
      <c r="B20" s="1043">
        <v>1</v>
      </c>
      <c r="C20" s="1043">
        <v>1</v>
      </c>
      <c r="D20" s="1043">
        <v>1</v>
      </c>
      <c r="E20" s="1040">
        <v>1</v>
      </c>
      <c r="F20" s="1040">
        <v>1</v>
      </c>
      <c r="G20" s="1040">
        <v>1</v>
      </c>
      <c r="H20" s="1039">
        <f>B5*E20</f>
        <v>0</v>
      </c>
      <c r="I20" s="1039">
        <f>C5*F20</f>
        <v>0</v>
      </c>
      <c r="J20" s="1039">
        <f>D5*G20</f>
        <v>0</v>
      </c>
      <c r="K20" s="1040">
        <f t="shared" si="1"/>
        <v>0</v>
      </c>
      <c r="L20" s="1040">
        <f t="shared" si="1"/>
        <v>0</v>
      </c>
      <c r="M20" s="1040">
        <f t="shared" si="1"/>
        <v>0</v>
      </c>
      <c r="N20" s="1040">
        <f t="shared" si="2"/>
        <v>0</v>
      </c>
      <c r="O20" s="1040">
        <f t="shared" si="2"/>
        <v>0</v>
      </c>
      <c r="P20" s="1040">
        <f t="shared" si="2"/>
        <v>0</v>
      </c>
      <c r="Q20" s="1040">
        <f t="shared" si="3"/>
        <v>0</v>
      </c>
      <c r="R20" s="1040">
        <f t="shared" si="3"/>
        <v>0</v>
      </c>
      <c r="S20" s="1040">
        <f t="shared" si="3"/>
        <v>0</v>
      </c>
      <c r="T20" s="1039"/>
    </row>
    <row r="21" spans="1:20" x14ac:dyDescent="0.25">
      <c r="A21" s="1042" t="s">
        <v>1055</v>
      </c>
      <c r="B21" s="1043">
        <v>1</v>
      </c>
      <c r="C21" s="1043">
        <v>1</v>
      </c>
      <c r="D21" s="1043">
        <v>1</v>
      </c>
      <c r="E21" s="1040">
        <v>1</v>
      </c>
      <c r="F21" s="1040">
        <v>1</v>
      </c>
      <c r="G21" s="1040">
        <v>1</v>
      </c>
      <c r="H21" s="1039">
        <f>(B5-1)*E21</f>
        <v>-1</v>
      </c>
      <c r="I21" s="1039">
        <f>(C5-C6)*F21</f>
        <v>0</v>
      </c>
      <c r="J21" s="1039">
        <f>(D5-D6)*G21</f>
        <v>0</v>
      </c>
      <c r="K21" s="1040">
        <f t="shared" si="1"/>
        <v>-0.4</v>
      </c>
      <c r="L21" s="1040">
        <f t="shared" si="1"/>
        <v>0</v>
      </c>
      <c r="M21" s="1040">
        <f t="shared" si="1"/>
        <v>0</v>
      </c>
      <c r="N21" s="1040">
        <f t="shared" si="2"/>
        <v>-0.5</v>
      </c>
      <c r="O21" s="1040">
        <f t="shared" si="2"/>
        <v>0</v>
      </c>
      <c r="P21" s="1040">
        <f t="shared" si="2"/>
        <v>0</v>
      </c>
      <c r="Q21" s="1040">
        <f t="shared" si="3"/>
        <v>-0.1</v>
      </c>
      <c r="R21" s="1040">
        <f t="shared" si="3"/>
        <v>0</v>
      </c>
      <c r="S21" s="1040">
        <f t="shared" si="3"/>
        <v>0</v>
      </c>
      <c r="T21" s="1039"/>
    </row>
    <row r="22" spans="1:20" x14ac:dyDescent="0.25">
      <c r="A22" s="1042" t="s">
        <v>756</v>
      </c>
      <c r="B22" s="1043">
        <v>1</v>
      </c>
      <c r="C22" s="1043">
        <v>1</v>
      </c>
      <c r="D22" s="1043">
        <v>1</v>
      </c>
      <c r="E22" s="1040">
        <v>2</v>
      </c>
      <c r="F22" s="1040">
        <v>2</v>
      </c>
      <c r="G22" s="1040">
        <v>2</v>
      </c>
      <c r="H22" s="1039">
        <f>(B5-1)*E22</f>
        <v>-2</v>
      </c>
      <c r="I22" s="1039">
        <f>(C5-C6)*F22</f>
        <v>0</v>
      </c>
      <c r="J22" s="1039">
        <f>(D5-D6)*G22</f>
        <v>0</v>
      </c>
      <c r="K22" s="1040">
        <f t="shared" si="1"/>
        <v>-0.8</v>
      </c>
      <c r="L22" s="1040">
        <f t="shared" si="1"/>
        <v>0</v>
      </c>
      <c r="M22" s="1040">
        <f t="shared" si="1"/>
        <v>0</v>
      </c>
      <c r="N22" s="1040">
        <f t="shared" si="2"/>
        <v>-1</v>
      </c>
      <c r="O22" s="1040">
        <f t="shared" si="2"/>
        <v>0</v>
      </c>
      <c r="P22" s="1040">
        <f t="shared" si="2"/>
        <v>0</v>
      </c>
      <c r="Q22" s="1040">
        <f t="shared" si="3"/>
        <v>-0.2</v>
      </c>
      <c r="R22" s="1040">
        <f t="shared" si="3"/>
        <v>0</v>
      </c>
      <c r="S22" s="1040">
        <f t="shared" si="3"/>
        <v>0</v>
      </c>
      <c r="T22" s="1039"/>
    </row>
    <row r="23" spans="1:20" x14ac:dyDescent="0.25">
      <c r="A23" s="1042" t="s">
        <v>1027</v>
      </c>
      <c r="B23" s="1043">
        <v>1</v>
      </c>
      <c r="C23" s="1043">
        <v>1</v>
      </c>
      <c r="D23" s="1043">
        <v>1</v>
      </c>
      <c r="E23" s="1040">
        <v>0.5</v>
      </c>
      <c r="F23" s="1040">
        <v>0.5</v>
      </c>
      <c r="G23" s="1040">
        <v>0.5</v>
      </c>
      <c r="H23" s="1039">
        <f>(B5-B6)*E23</f>
        <v>0</v>
      </c>
      <c r="I23" s="1039">
        <f>(C5-C6)*F23</f>
        <v>0</v>
      </c>
      <c r="J23" s="1039">
        <f>(D5-D6)*G23</f>
        <v>0</v>
      </c>
      <c r="K23" s="1040">
        <f t="shared" si="1"/>
        <v>0</v>
      </c>
      <c r="L23" s="1040">
        <f t="shared" si="1"/>
        <v>0</v>
      </c>
      <c r="M23" s="1040">
        <f t="shared" si="1"/>
        <v>0</v>
      </c>
      <c r="N23" s="1040">
        <f t="shared" si="2"/>
        <v>0</v>
      </c>
      <c r="O23" s="1040">
        <f t="shared" si="2"/>
        <v>0</v>
      </c>
      <c r="P23" s="1040">
        <f t="shared" si="2"/>
        <v>0</v>
      </c>
      <c r="Q23" s="1040">
        <f t="shared" si="3"/>
        <v>0</v>
      </c>
      <c r="R23" s="1040">
        <f t="shared" si="3"/>
        <v>0</v>
      </c>
      <c r="S23" s="1040">
        <f t="shared" si="3"/>
        <v>0</v>
      </c>
      <c r="T23" s="1039"/>
    </row>
    <row r="24" spans="1:20" x14ac:dyDescent="0.25">
      <c r="A24" s="1042" t="s">
        <v>1056</v>
      </c>
      <c r="B24" s="1043">
        <v>1</v>
      </c>
      <c r="C24" s="1043">
        <v>1</v>
      </c>
      <c r="D24" s="1043">
        <v>1</v>
      </c>
      <c r="E24" s="1040">
        <v>1</v>
      </c>
      <c r="F24" s="1040">
        <v>1</v>
      </c>
      <c r="G24" s="1040">
        <v>1</v>
      </c>
      <c r="H24" s="1039">
        <f>E24*B7</f>
        <v>0</v>
      </c>
      <c r="I24" s="1039">
        <f>F24*C7</f>
        <v>0</v>
      </c>
      <c r="J24" s="1039">
        <f>G24*D7</f>
        <v>0</v>
      </c>
      <c r="K24" s="1040">
        <f t="shared" si="1"/>
        <v>0</v>
      </c>
      <c r="L24" s="1040">
        <f t="shared" si="1"/>
        <v>0</v>
      </c>
      <c r="M24" s="1040">
        <f t="shared" si="1"/>
        <v>0</v>
      </c>
      <c r="N24" s="1040">
        <f t="shared" si="2"/>
        <v>0</v>
      </c>
      <c r="O24" s="1040">
        <f t="shared" si="2"/>
        <v>0</v>
      </c>
      <c r="P24" s="1040">
        <f t="shared" si="2"/>
        <v>0</v>
      </c>
      <c r="Q24" s="1040">
        <f t="shared" si="3"/>
        <v>0</v>
      </c>
      <c r="R24" s="1040">
        <f t="shared" si="3"/>
        <v>0</v>
      </c>
      <c r="S24" s="1040">
        <f t="shared" si="3"/>
        <v>0</v>
      </c>
      <c r="T24" s="1039"/>
    </row>
    <row r="25" spans="1:20" x14ac:dyDescent="0.25">
      <c r="A25" s="1042" t="s">
        <v>1057</v>
      </c>
      <c r="B25" s="1043">
        <v>1</v>
      </c>
      <c r="C25" s="1043">
        <v>1</v>
      </c>
      <c r="D25" s="1043">
        <v>1</v>
      </c>
      <c r="E25" s="1040">
        <v>4</v>
      </c>
      <c r="F25" s="1040">
        <v>4</v>
      </c>
      <c r="G25" s="1040">
        <v>4</v>
      </c>
      <c r="H25" s="1039">
        <f>B5*E25</f>
        <v>0</v>
      </c>
      <c r="I25" s="1039">
        <f>C5*F25</f>
        <v>0</v>
      </c>
      <c r="J25" s="1039">
        <f>D5*G25</f>
        <v>0</v>
      </c>
      <c r="K25" s="1040">
        <f t="shared" si="1"/>
        <v>0</v>
      </c>
      <c r="L25" s="1040">
        <f t="shared" si="1"/>
        <v>0</v>
      </c>
      <c r="M25" s="1040">
        <f t="shared" si="1"/>
        <v>0</v>
      </c>
      <c r="N25" s="1040">
        <f t="shared" si="2"/>
        <v>0</v>
      </c>
      <c r="O25" s="1040">
        <f t="shared" si="2"/>
        <v>0</v>
      </c>
      <c r="P25" s="1040">
        <f t="shared" si="2"/>
        <v>0</v>
      </c>
      <c r="Q25" s="1040">
        <f t="shared" si="3"/>
        <v>0</v>
      </c>
      <c r="R25" s="1040">
        <f t="shared" si="3"/>
        <v>0</v>
      </c>
      <c r="S25" s="1040">
        <f t="shared" si="3"/>
        <v>0</v>
      </c>
      <c r="T25" s="1039"/>
    </row>
    <row r="26" spans="1:20" x14ac:dyDescent="0.25">
      <c r="A26" s="1037" t="s">
        <v>1058</v>
      </c>
      <c r="B26" s="1041"/>
      <c r="C26" s="1041"/>
      <c r="D26" s="1041"/>
      <c r="E26" s="1040"/>
      <c r="F26" s="1040"/>
      <c r="G26" s="1040"/>
      <c r="H26" s="1039"/>
      <c r="I26" s="1039"/>
      <c r="J26" s="1039"/>
      <c r="K26" s="1040"/>
      <c r="L26" s="1040"/>
      <c r="M26" s="1040"/>
      <c r="N26" s="1040"/>
      <c r="O26" s="1040"/>
      <c r="P26" s="1040"/>
      <c r="Q26" s="1040"/>
      <c r="R26" s="1040"/>
      <c r="S26" s="1040"/>
      <c r="T26" s="1039"/>
    </row>
    <row r="27" spans="1:20" x14ac:dyDescent="0.25">
      <c r="A27" s="1042" t="s">
        <v>1059</v>
      </c>
      <c r="B27" s="1129">
        <f>IF(ТрЗ_ОВ!$D$90="Да",1,0)</f>
        <v>1</v>
      </c>
      <c r="C27" s="1129">
        <f>IF(ТрЗ_ОВ!$D$90="Да",1,0)</f>
        <v>1</v>
      </c>
      <c r="D27" s="1129">
        <f>IF(ТрЗ_ОВ!$D$90="Да",1,0)</f>
        <v>1</v>
      </c>
      <c r="E27" s="1040" t="s">
        <v>1060</v>
      </c>
      <c r="F27" s="1040" t="s">
        <v>1060</v>
      </c>
      <c r="G27" s="1040" t="s">
        <v>1060</v>
      </c>
      <c r="H27" s="1039">
        <f>IF(B27&gt;0,IF((0.5*($B$5-$B$6))&gt;2,(0.5*($B$5-$B$6)),2),0)</f>
        <v>2</v>
      </c>
      <c r="I27" s="1039">
        <f>IF(C27&gt;0,IF((0.5*($C$5-$C$6))&gt;2,(0.5*($C$5-$C$6)),2),0)</f>
        <v>2</v>
      </c>
      <c r="J27" s="1039">
        <f>IF(D27&gt;0,IF((0.5*($D$5-$D$6))&gt;2,(0.5*($D$5-$D$6)),2),0)</f>
        <v>2</v>
      </c>
      <c r="K27" s="1040">
        <f t="shared" ref="K27:M29" si="4">H27*0.4</f>
        <v>0.8</v>
      </c>
      <c r="L27" s="1040">
        <f t="shared" si="4"/>
        <v>0.8</v>
      </c>
      <c r="M27" s="1040">
        <f t="shared" si="4"/>
        <v>0.8</v>
      </c>
      <c r="N27" s="1040">
        <f t="shared" ref="N27:P29" si="5">H27*0.5</f>
        <v>1</v>
      </c>
      <c r="O27" s="1040">
        <f t="shared" si="5"/>
        <v>1</v>
      </c>
      <c r="P27" s="1040">
        <f t="shared" si="5"/>
        <v>1</v>
      </c>
      <c r="Q27" s="1040">
        <f t="shared" ref="Q27:S29" si="6">H27*0.1</f>
        <v>0.2</v>
      </c>
      <c r="R27" s="1040">
        <f t="shared" si="6"/>
        <v>0.2</v>
      </c>
      <c r="S27" s="1040">
        <f t="shared" si="6"/>
        <v>0.2</v>
      </c>
      <c r="T27" s="1039"/>
    </row>
    <row r="28" spans="1:20" x14ac:dyDescent="0.25">
      <c r="A28" s="1042" t="s">
        <v>1061</v>
      </c>
      <c r="B28" s="1129">
        <f>IF(ТрЗ_ОВ!$D$91="Да",1,0)</f>
        <v>1</v>
      </c>
      <c r="C28" s="1129">
        <f>IF(ТрЗ_ОВ!$D$91="Да",1,0)</f>
        <v>1</v>
      </c>
      <c r="D28" s="1129">
        <f>IF(ТрЗ_ОВ!$D$91="Да",1,0)</f>
        <v>1</v>
      </c>
      <c r="E28" s="1040" t="s">
        <v>1062</v>
      </c>
      <c r="F28" s="1040" t="s">
        <v>1062</v>
      </c>
      <c r="G28" s="1040" t="s">
        <v>1062</v>
      </c>
      <c r="H28" s="1039">
        <f>IF(B28&gt;0,IF((0.5*($B$5-$B$6))&gt;1,(0.5*($B$5-$B$6)),1),0)</f>
        <v>1</v>
      </c>
      <c r="I28" s="1039">
        <f>IF(C28&gt;0,IF((0.5*($C$5-$C$6))&gt;2,(0.5*($C$5-$C$6)),2),0)</f>
        <v>2</v>
      </c>
      <c r="J28" s="1039">
        <f>IF(D28&gt;0,IF((0.5*($D$5-$D$6))&gt;2,(0.5*($D$5-$D$6)),2),0)</f>
        <v>2</v>
      </c>
      <c r="K28" s="1040">
        <f t="shared" si="4"/>
        <v>0.4</v>
      </c>
      <c r="L28" s="1040">
        <f t="shared" si="4"/>
        <v>0.8</v>
      </c>
      <c r="M28" s="1040">
        <f t="shared" si="4"/>
        <v>0.8</v>
      </c>
      <c r="N28" s="1040">
        <f t="shared" si="5"/>
        <v>0.5</v>
      </c>
      <c r="O28" s="1040">
        <f t="shared" si="5"/>
        <v>1</v>
      </c>
      <c r="P28" s="1040">
        <f t="shared" si="5"/>
        <v>1</v>
      </c>
      <c r="Q28" s="1040">
        <f t="shared" si="6"/>
        <v>0.1</v>
      </c>
      <c r="R28" s="1040">
        <f t="shared" si="6"/>
        <v>0.2</v>
      </c>
      <c r="S28" s="1040">
        <f t="shared" si="6"/>
        <v>0.2</v>
      </c>
      <c r="T28" s="1039"/>
    </row>
    <row r="29" spans="1:20" x14ac:dyDescent="0.25">
      <c r="A29" s="1161" t="s">
        <v>1063</v>
      </c>
      <c r="B29" s="1129">
        <f>IF(ТрЗ_ОВ!$D$92="Да",1,0)</f>
        <v>1</v>
      </c>
      <c r="C29" s="1129">
        <f>IF(ТрЗ_ОВ!$D$92="Да",1,0)</f>
        <v>1</v>
      </c>
      <c r="D29" s="1129">
        <f>IF(ТрЗ_ОВ!$D$92="Да",1,0)</f>
        <v>1</v>
      </c>
      <c r="E29" s="1040">
        <v>4</v>
      </c>
      <c r="F29" s="1040">
        <v>4</v>
      </c>
      <c r="G29" s="1040">
        <v>4</v>
      </c>
      <c r="H29" s="1039">
        <f>E29*(B5-1)</f>
        <v>-4</v>
      </c>
      <c r="I29" s="1039">
        <f>F29*C5</f>
        <v>0</v>
      </c>
      <c r="J29" s="1039">
        <f>G29*D5</f>
        <v>0</v>
      </c>
      <c r="K29" s="1040">
        <f t="shared" si="4"/>
        <v>-1.6</v>
      </c>
      <c r="L29" s="1040">
        <f t="shared" si="4"/>
        <v>0</v>
      </c>
      <c r="M29" s="1040">
        <f t="shared" si="4"/>
        <v>0</v>
      </c>
      <c r="N29" s="1040">
        <f t="shared" si="5"/>
        <v>-2</v>
      </c>
      <c r="O29" s="1040">
        <f t="shared" si="5"/>
        <v>0</v>
      </c>
      <c r="P29" s="1040">
        <f t="shared" si="5"/>
        <v>0</v>
      </c>
      <c r="Q29" s="1040">
        <f t="shared" si="6"/>
        <v>-0.4</v>
      </c>
      <c r="R29" s="1040">
        <f t="shared" si="6"/>
        <v>0</v>
      </c>
      <c r="S29" s="1040">
        <f t="shared" si="6"/>
        <v>0</v>
      </c>
      <c r="T29" s="1039"/>
    </row>
    <row r="30" spans="1:20" x14ac:dyDescent="0.25">
      <c r="A30" s="1042" t="s">
        <v>961</v>
      </c>
      <c r="B30" s="1129">
        <f>IF(ТрЗ_ОВ!$D$93="Да",1,0)</f>
        <v>1</v>
      </c>
      <c r="C30" s="1129">
        <f>IF(ТрЗ_ОВ!$D$93="Да",1,0)</f>
        <v>1</v>
      </c>
      <c r="D30" s="1129">
        <f>IF(ТрЗ_ОВ!$D$93="Да",1,0)</f>
        <v>1</v>
      </c>
      <c r="E30" s="1040" t="s">
        <v>1064</v>
      </c>
      <c r="F30" s="1040" t="s">
        <v>1064</v>
      </c>
      <c r="G30" s="1040" t="s">
        <v>1064</v>
      </c>
      <c r="H30" s="1039">
        <f>IF(B30&gt;0,IF(12*($B$5-$B$6)&gt;24,12*($B$5-$B$6),40),0)</f>
        <v>40</v>
      </c>
      <c r="I30" s="1039">
        <f>IF(C30&gt;0,IF(12*($C$5-$C$6)&gt;24,12*($C$5-$C$6),40),0)</f>
        <v>40</v>
      </c>
      <c r="J30" s="1039">
        <f>IF(D30&gt;0,IF(12*($D$5-$D$6)&gt;24,12*($D$5-$D$6),40),0)</f>
        <v>40</v>
      </c>
      <c r="K30" s="1040"/>
      <c r="L30" s="1040"/>
      <c r="M30" s="1040"/>
      <c r="N30" s="1040">
        <f>H30*0.3</f>
        <v>12</v>
      </c>
      <c r="O30" s="1040">
        <f>I30*0.3</f>
        <v>12</v>
      </c>
      <c r="P30" s="1040">
        <f>J30*0.3</f>
        <v>12</v>
      </c>
      <c r="Q30" s="1040">
        <f>H30*0.7</f>
        <v>28</v>
      </c>
      <c r="R30" s="1040">
        <f>I30*0.7</f>
        <v>28</v>
      </c>
      <c r="S30" s="1040">
        <f>J30*0.7</f>
        <v>28</v>
      </c>
      <c r="T30" s="1039"/>
    </row>
    <row r="31" spans="1:20" x14ac:dyDescent="0.25">
      <c r="A31" s="1034" t="s">
        <v>1065</v>
      </c>
      <c r="B31" s="1035">
        <f>IF(ТрЗ_ОВ!$D$96="Да",1,0)</f>
        <v>0</v>
      </c>
      <c r="C31" s="1035">
        <f>IF(ТрЗ_ОВ!$D$96="Да",1,0)</f>
        <v>0</v>
      </c>
      <c r="D31" s="1035">
        <f>IF(ТрЗ_ОВ!$D$96="Да",1,0)</f>
        <v>0</v>
      </c>
      <c r="E31" s="1158"/>
      <c r="F31" s="1158"/>
      <c r="G31" s="1158"/>
      <c r="H31" s="1036"/>
      <c r="I31" s="1036"/>
      <c r="J31" s="1036"/>
      <c r="K31" s="1040"/>
      <c r="L31" s="1040"/>
      <c r="M31" s="1040"/>
      <c r="N31" s="1040"/>
      <c r="O31" s="1040"/>
      <c r="P31" s="1040"/>
      <c r="Q31" s="1040"/>
      <c r="R31" s="1040"/>
      <c r="S31" s="1040"/>
      <c r="T31" s="1036"/>
    </row>
    <row r="32" spans="1:20" x14ac:dyDescent="0.25">
      <c r="A32" s="1037" t="s">
        <v>1066</v>
      </c>
      <c r="B32" s="1043"/>
      <c r="C32" s="1043"/>
      <c r="D32" s="1043"/>
      <c r="E32" s="1162"/>
      <c r="F32" s="1162"/>
      <c r="G32" s="1040"/>
      <c r="H32" s="1039"/>
      <c r="I32" s="1039"/>
      <c r="J32" s="1039"/>
      <c r="K32" s="1040"/>
      <c r="L32" s="1040"/>
      <c r="M32" s="1040"/>
      <c r="N32" s="1040"/>
      <c r="O32" s="1040"/>
      <c r="P32" s="1040"/>
      <c r="Q32" s="1040"/>
      <c r="R32" s="1040"/>
      <c r="S32" s="1040"/>
      <c r="T32" s="1039"/>
    </row>
    <row r="33" spans="1:20" x14ac:dyDescent="0.25">
      <c r="A33" s="1042" t="s">
        <v>728</v>
      </c>
      <c r="B33" s="1038">
        <f>ТрЗ_ОВ!$D$97</f>
        <v>0</v>
      </c>
      <c r="C33" s="1038">
        <f>ТрЗ_ОВ!$D$97</f>
        <v>0</v>
      </c>
      <c r="D33" s="1038">
        <f>ТрЗ_ОВ!$D$97</f>
        <v>0</v>
      </c>
      <c r="E33" s="1040" t="s">
        <v>1067</v>
      </c>
      <c r="F33" s="1040" t="s">
        <v>1067</v>
      </c>
      <c r="G33" s="1040" t="s">
        <v>1067</v>
      </c>
      <c r="H33" s="1039">
        <f>IF(B31&gt;0,IF(B33&gt;0,IF((0.15*B33)&gt;4,(0.15*B33),4),0),0)</f>
        <v>0</v>
      </c>
      <c r="I33" s="1039">
        <f>IF(C31&gt;0,IF(C33&gt;0,IF((0.15*C33)&gt;4,(0.15*C33),4),0),0)</f>
        <v>0</v>
      </c>
      <c r="J33" s="1039">
        <f>IF(D31&gt;0,IF(D33&gt;0,IF((0.15*D33)&gt;4,(0.15*D33),4),0),0)</f>
        <v>0</v>
      </c>
      <c r="K33" s="1040">
        <f t="shared" ref="K33:M34" si="7">H33*0.5</f>
        <v>0</v>
      </c>
      <c r="L33" s="1040">
        <f t="shared" si="7"/>
        <v>0</v>
      </c>
      <c r="M33" s="1040">
        <f t="shared" si="7"/>
        <v>0</v>
      </c>
      <c r="N33" s="1040">
        <f t="shared" ref="N33:P34" si="8">H33*0.4</f>
        <v>0</v>
      </c>
      <c r="O33" s="1040">
        <f t="shared" si="8"/>
        <v>0</v>
      </c>
      <c r="P33" s="1040">
        <f t="shared" si="8"/>
        <v>0</v>
      </c>
      <c r="Q33" s="1040">
        <f t="shared" ref="Q33:S34" si="9">H33*0.1</f>
        <v>0</v>
      </c>
      <c r="R33" s="1040">
        <f t="shared" si="9"/>
        <v>0</v>
      </c>
      <c r="S33" s="1040">
        <f t="shared" si="9"/>
        <v>0</v>
      </c>
      <c r="T33" s="1039"/>
    </row>
    <row r="34" spans="1:20" x14ac:dyDescent="0.25">
      <c r="A34" s="1042" t="s">
        <v>756</v>
      </c>
      <c r="B34" s="1038">
        <f>ТрЗ_ОВ!$D$98</f>
        <v>0</v>
      </c>
      <c r="C34" s="1038">
        <f>ТрЗ_ОВ!$D$98</f>
        <v>0</v>
      </c>
      <c r="D34" s="1038">
        <f>ТрЗ_ОВ!$D$98</f>
        <v>0</v>
      </c>
      <c r="E34" s="1040" t="s">
        <v>1068</v>
      </c>
      <c r="F34" s="1040" t="s">
        <v>1068</v>
      </c>
      <c r="G34" s="1040" t="s">
        <v>1068</v>
      </c>
      <c r="H34" s="1039">
        <f>IF(B31&gt;0,IF(B34&gt;0,IF((0.2*B34)&gt;2,(0.2*B34),2),0),0)</f>
        <v>0</v>
      </c>
      <c r="I34" s="1039">
        <f>IF(C31&gt;0,IF(C34&gt;0,IF((0.2*C34)&gt;2,(0.2*C34),2),0),0)</f>
        <v>0</v>
      </c>
      <c r="J34" s="1039">
        <f>IF(D31&gt;0,IF(D34&gt;0,IF((0.2*D34)&gt;2,(0.2*D34),2),0),0)</f>
        <v>0</v>
      </c>
      <c r="K34" s="1040">
        <f t="shared" si="7"/>
        <v>0</v>
      </c>
      <c r="L34" s="1040">
        <f t="shared" si="7"/>
        <v>0</v>
      </c>
      <c r="M34" s="1040">
        <f t="shared" si="7"/>
        <v>0</v>
      </c>
      <c r="N34" s="1040">
        <f t="shared" si="8"/>
        <v>0</v>
      </c>
      <c r="O34" s="1040">
        <f t="shared" si="8"/>
        <v>0</v>
      </c>
      <c r="P34" s="1040">
        <f t="shared" si="8"/>
        <v>0</v>
      </c>
      <c r="Q34" s="1040">
        <f t="shared" si="9"/>
        <v>0</v>
      </c>
      <c r="R34" s="1040">
        <f t="shared" si="9"/>
        <v>0</v>
      </c>
      <c r="S34" s="1040">
        <f t="shared" si="9"/>
        <v>0</v>
      </c>
      <c r="T34" s="1039"/>
    </row>
    <row r="35" spans="1:20" x14ac:dyDescent="0.25">
      <c r="A35" s="1042" t="s">
        <v>729</v>
      </c>
      <c r="B35" s="1038">
        <f>ТрЗ_ОВ!$D$99</f>
        <v>0</v>
      </c>
      <c r="C35" s="1038">
        <f>ТрЗ_ОВ!$D$99</f>
        <v>0</v>
      </c>
      <c r="D35" s="1038">
        <f>ТрЗ_ОВ!$D$99</f>
        <v>0</v>
      </c>
      <c r="E35" s="1040" t="s">
        <v>1069</v>
      </c>
      <c r="F35" s="1040" t="s">
        <v>1069</v>
      </c>
      <c r="G35" s="1040" t="s">
        <v>1069</v>
      </c>
      <c r="H35" s="1039">
        <f>IF(B31&gt;0,IF(B35&gt;0,IF((0.25*B35)&gt;4,(0.25*B35),4),0),0)</f>
        <v>0</v>
      </c>
      <c r="I35" s="1039">
        <f>IF(C31&gt;0,IF(C35&gt;0,IF((0.25*C35)&gt;4,(0.25*C35),4),0),0)</f>
        <v>0</v>
      </c>
      <c r="J35" s="1039">
        <f>IF(D31&gt;0,IF(D35&gt;0,IF((0.25*D35)&gt;4,(0.25*D35),4),0),0)</f>
        <v>0</v>
      </c>
      <c r="K35" s="1040"/>
      <c r="L35" s="1040"/>
      <c r="M35" s="1040"/>
      <c r="N35" s="1040">
        <f>H35*0.7</f>
        <v>0</v>
      </c>
      <c r="O35" s="1040">
        <f>I35*0.7</f>
        <v>0</v>
      </c>
      <c r="P35" s="1040">
        <f>J35*0.7</f>
        <v>0</v>
      </c>
      <c r="Q35" s="1040">
        <f>H35*0.3</f>
        <v>0</v>
      </c>
      <c r="R35" s="1040">
        <f>I35*0.3</f>
        <v>0</v>
      </c>
      <c r="S35" s="1040">
        <f>J35*0.3</f>
        <v>0</v>
      </c>
      <c r="T35" s="1039"/>
    </row>
    <row r="36" spans="1:20" x14ac:dyDescent="0.25">
      <c r="A36" s="1037" t="s">
        <v>1070</v>
      </c>
      <c r="B36" s="1073"/>
      <c r="C36" s="1073"/>
      <c r="D36" s="1073"/>
      <c r="E36" s="641"/>
      <c r="F36" s="641"/>
      <c r="G36" s="641"/>
      <c r="H36" s="1039"/>
      <c r="I36" s="1039"/>
      <c r="J36" s="1039"/>
      <c r="K36" s="641"/>
      <c r="L36" s="641"/>
      <c r="M36" s="641"/>
      <c r="N36" s="1040"/>
      <c r="O36" s="1040"/>
      <c r="P36" s="1040"/>
      <c r="Q36" s="1040"/>
      <c r="R36" s="1040"/>
      <c r="S36" s="1040"/>
      <c r="T36" s="1039"/>
    </row>
    <row r="37" spans="1:20" ht="25.5" x14ac:dyDescent="0.25">
      <c r="A37" s="1042" t="s">
        <v>742</v>
      </c>
      <c r="B37" s="1129">
        <f>ТрЗ_ОВ!$D$102</f>
        <v>0</v>
      </c>
      <c r="C37" s="1129">
        <f>ТрЗ_ОВ!$D$102</f>
        <v>0</v>
      </c>
      <c r="D37" s="1129">
        <f>ТрЗ_ОВ!$D$102</f>
        <v>0</v>
      </c>
      <c r="E37" s="1040" t="s">
        <v>1071</v>
      </c>
      <c r="F37" s="1040" t="s">
        <v>1071</v>
      </c>
      <c r="G37" s="1040" t="s">
        <v>1071</v>
      </c>
      <c r="H37" s="1039">
        <f>IF(B37&gt;0,IF((0.25*B37)&gt;2,(0.25*B37),2),0)</f>
        <v>0</v>
      </c>
      <c r="I37" s="1039">
        <f>IF(C37&gt;0,IF((0.25*C37)&gt;2,(0.25*C37),2),0)</f>
        <v>0</v>
      </c>
      <c r="J37" s="1039">
        <f>IF(D37&gt;0,IF((0.25*D37)&gt;2,(0.25*D37),2),0)</f>
        <v>0</v>
      </c>
      <c r="K37" s="1040"/>
      <c r="L37" s="1040"/>
      <c r="M37" s="1040"/>
      <c r="N37" s="1040">
        <f t="shared" ref="N37:P40" si="10">H37*0.3</f>
        <v>0</v>
      </c>
      <c r="O37" s="1040">
        <f t="shared" si="10"/>
        <v>0</v>
      </c>
      <c r="P37" s="1040">
        <f t="shared" si="10"/>
        <v>0</v>
      </c>
      <c r="Q37" s="1040">
        <f t="shared" ref="Q37:S40" si="11">H37*0.7</f>
        <v>0</v>
      </c>
      <c r="R37" s="1040">
        <f t="shared" si="11"/>
        <v>0</v>
      </c>
      <c r="S37" s="1040">
        <f t="shared" si="11"/>
        <v>0</v>
      </c>
      <c r="T37" s="1039"/>
    </row>
    <row r="38" spans="1:20" ht="38.25" x14ac:dyDescent="0.25">
      <c r="A38" s="1042" t="s">
        <v>743</v>
      </c>
      <c r="B38" s="1129">
        <f>ТрЗ_ОВ!$D$103</f>
        <v>0</v>
      </c>
      <c r="C38" s="1129">
        <f>ТрЗ_ОВ!$D$103</f>
        <v>0</v>
      </c>
      <c r="D38" s="1129">
        <f>ТрЗ_ОВ!$D$103</f>
        <v>0</v>
      </c>
      <c r="E38" s="1040" t="s">
        <v>1071</v>
      </c>
      <c r="F38" s="1040" t="s">
        <v>1071</v>
      </c>
      <c r="G38" s="1040" t="s">
        <v>1071</v>
      </c>
      <c r="H38" s="1039">
        <f>IF(B38&gt;0,IF((4*B38)&gt;40,(4*B38),40),0)</f>
        <v>0</v>
      </c>
      <c r="I38" s="1039">
        <f>IF(C38&gt;0,IF((4*C38)&gt;40,(4*C38),40),0)</f>
        <v>0</v>
      </c>
      <c r="J38" s="1039">
        <f>IF(D38&gt;0,IF((4*D38)&gt;40,(4*D38),40),0)</f>
        <v>0</v>
      </c>
      <c r="K38" s="1040"/>
      <c r="L38" s="1040"/>
      <c r="M38" s="1040"/>
      <c r="N38" s="1040">
        <f t="shared" si="10"/>
        <v>0</v>
      </c>
      <c r="O38" s="1040">
        <f t="shared" si="10"/>
        <v>0</v>
      </c>
      <c r="P38" s="1040">
        <f t="shared" si="10"/>
        <v>0</v>
      </c>
      <c r="Q38" s="1040">
        <f t="shared" si="11"/>
        <v>0</v>
      </c>
      <c r="R38" s="1040">
        <f t="shared" si="11"/>
        <v>0</v>
      </c>
      <c r="S38" s="1040">
        <f t="shared" si="11"/>
        <v>0</v>
      </c>
      <c r="T38" s="1149" t="s">
        <v>1072</v>
      </c>
    </row>
    <row r="39" spans="1:20" x14ac:dyDescent="0.25">
      <c r="A39" s="1042" t="s">
        <v>737</v>
      </c>
      <c r="B39" s="1129">
        <f>IF(ТрЗ_ОВ!$D$104="Да",1,0)</f>
        <v>1</v>
      </c>
      <c r="C39" s="1129">
        <f>IF(ТрЗ_ОВ!$D$104="Да",1,0)</f>
        <v>1</v>
      </c>
      <c r="D39" s="1129">
        <f>IF(ТрЗ_ОВ!$D$104="Да",1,0)</f>
        <v>1</v>
      </c>
      <c r="E39" s="1040">
        <v>8</v>
      </c>
      <c r="F39" s="1040">
        <v>8</v>
      </c>
      <c r="G39" s="1040">
        <v>8</v>
      </c>
      <c r="H39" s="1039">
        <f>IF(B39&gt;0,E39*($B$5-$B$6-1),0)</f>
        <v>-8</v>
      </c>
      <c r="I39" s="1039">
        <f>IF(C39&gt;0,F39*($C$5-$C$6),0)</f>
        <v>0</v>
      </c>
      <c r="J39" s="1039">
        <f>IF(D39&gt;0,G39*($D$5-$D$6),0)</f>
        <v>0</v>
      </c>
      <c r="K39" s="1040"/>
      <c r="L39" s="1040"/>
      <c r="M39" s="1040"/>
      <c r="N39" s="1040">
        <f t="shared" si="10"/>
        <v>-2.4</v>
      </c>
      <c r="O39" s="1040">
        <f t="shared" si="10"/>
        <v>0</v>
      </c>
      <c r="P39" s="1040">
        <f t="shared" si="10"/>
        <v>0</v>
      </c>
      <c r="Q39" s="1040">
        <f t="shared" si="11"/>
        <v>-5.6</v>
      </c>
      <c r="R39" s="1040">
        <f t="shared" si="11"/>
        <v>0</v>
      </c>
      <c r="S39" s="1040">
        <f t="shared" si="11"/>
        <v>0</v>
      </c>
      <c r="T39" s="1039"/>
    </row>
    <row r="40" spans="1:20" x14ac:dyDescent="0.25">
      <c r="A40" s="1042" t="s">
        <v>759</v>
      </c>
      <c r="B40" s="1129">
        <f>IF(ТрЗ_ОВ!$D$105="Да",1,0)</f>
        <v>1</v>
      </c>
      <c r="C40" s="1129">
        <f>IF(ТрЗ_ОВ!$D$105="Да",1,0)</f>
        <v>1</v>
      </c>
      <c r="D40" s="1129">
        <f>IF(ТрЗ_ОВ!$D$105="Да",1,0)</f>
        <v>1</v>
      </c>
      <c r="E40" s="1040">
        <v>16</v>
      </c>
      <c r="F40" s="1040">
        <v>16</v>
      </c>
      <c r="G40" s="1040">
        <v>16</v>
      </c>
      <c r="H40" s="1039">
        <f>IF(B40&gt;0,E40*($B$5-$B$6-1),0)</f>
        <v>-16</v>
      </c>
      <c r="I40" s="1039">
        <f>IF(C40&gt;0,F40*($C$5-$C$6),0)</f>
        <v>0</v>
      </c>
      <c r="J40" s="1039">
        <f>IF(D40&gt;0,G40*($D$5-$D$6),0)</f>
        <v>0</v>
      </c>
      <c r="K40" s="1040"/>
      <c r="L40" s="1040"/>
      <c r="M40" s="1040"/>
      <c r="N40" s="1040">
        <f t="shared" si="10"/>
        <v>-4.8</v>
      </c>
      <c r="O40" s="1040">
        <f t="shared" si="10"/>
        <v>0</v>
      </c>
      <c r="P40" s="1040">
        <f t="shared" si="10"/>
        <v>0</v>
      </c>
      <c r="Q40" s="1040">
        <f t="shared" si="11"/>
        <v>-11.2</v>
      </c>
      <c r="R40" s="1040">
        <f t="shared" si="11"/>
        <v>0</v>
      </c>
      <c r="S40" s="1040">
        <f t="shared" si="11"/>
        <v>0</v>
      </c>
      <c r="T40" s="1039"/>
    </row>
    <row r="41" spans="1:20" ht="25.5" x14ac:dyDescent="0.25">
      <c r="A41" s="1037" t="s">
        <v>1073</v>
      </c>
      <c r="B41" s="1043">
        <v>1</v>
      </c>
      <c r="C41" s="1043">
        <v>1</v>
      </c>
      <c r="D41" s="1043">
        <v>1</v>
      </c>
      <c r="E41" s="1040" t="s">
        <v>1074</v>
      </c>
      <c r="F41" s="1040" t="s">
        <v>1074</v>
      </c>
      <c r="G41" s="1040" t="s">
        <v>1074</v>
      </c>
      <c r="H41" s="1039">
        <f>ROUNDUP(IF(0.1*(SUM($B$16:$B$40))&gt;8,0.1*(SUM($B$16:$B$40)),8),0)</f>
        <v>8</v>
      </c>
      <c r="I41" s="1039">
        <f>ROUNDUP(IF(0.1*(SUM($C$16:$C$40))&gt;8,0.1*(SUM($C$16:$C$40)),8),0)</f>
        <v>8</v>
      </c>
      <c r="J41" s="1039">
        <f>ROUNDUP(IF(0.1*(SUM($D$16:$D$40))&gt;8,0.1*(SUM($D$16:$D$40)),8),0)</f>
        <v>8</v>
      </c>
      <c r="K41" s="1040"/>
      <c r="L41" s="1040"/>
      <c r="M41" s="1040"/>
      <c r="N41" s="1039">
        <f t="shared" ref="N41:P42" si="12">IF(0.5*H41&gt;4,0.5*H41,8)</f>
        <v>8</v>
      </c>
      <c r="O41" s="1039">
        <f t="shared" si="12"/>
        <v>8</v>
      </c>
      <c r="P41" s="1039">
        <f t="shared" si="12"/>
        <v>8</v>
      </c>
      <c r="Q41" s="1039">
        <f t="shared" ref="Q41:S42" si="13">IF(0.5*H41&gt;4,0.5*H41,8)</f>
        <v>8</v>
      </c>
      <c r="R41" s="1039">
        <f t="shared" si="13"/>
        <v>8</v>
      </c>
      <c r="S41" s="1039">
        <f t="shared" si="13"/>
        <v>8</v>
      </c>
      <c r="T41" s="1039"/>
    </row>
    <row r="42" spans="1:20" ht="26.25" thickBot="1" x14ac:dyDescent="0.3">
      <c r="A42" s="1070" t="s">
        <v>898</v>
      </c>
      <c r="B42" s="1163">
        <v>1</v>
      </c>
      <c r="C42" s="1163">
        <v>1</v>
      </c>
      <c r="D42" s="1163">
        <v>1</v>
      </c>
      <c r="E42" s="1053" t="s">
        <v>1075</v>
      </c>
      <c r="F42" s="1132" t="s">
        <v>1075</v>
      </c>
      <c r="G42" s="1132" t="s">
        <v>1075</v>
      </c>
      <c r="H42" s="1053">
        <f>ROUNDUP(IF(0.05*(SUM($B$16:$B$40))&gt;8,0.05*(SUM($B$16:$B$40)),8),0)</f>
        <v>8</v>
      </c>
      <c r="I42" s="1053">
        <f>ROUNDUP(IF(0.05*(SUM($C$16:$C$40))&gt;8,0.05*(SUM($C$16:$C$40)),8),0)</f>
        <v>8</v>
      </c>
      <c r="J42" s="1053">
        <f>ROUNDUP(IF(0.05*(SUM($D$16:$D$40))&gt;8,0.05*(SUM($D$16:$D$40)),8),0)</f>
        <v>8</v>
      </c>
      <c r="K42" s="1132"/>
      <c r="L42" s="1132"/>
      <c r="M42" s="1132"/>
      <c r="N42" s="1053">
        <f t="shared" si="12"/>
        <v>8</v>
      </c>
      <c r="O42" s="1053">
        <f t="shared" si="12"/>
        <v>8</v>
      </c>
      <c r="P42" s="1053">
        <f t="shared" si="12"/>
        <v>8</v>
      </c>
      <c r="Q42" s="1053">
        <f t="shared" si="13"/>
        <v>8</v>
      </c>
      <c r="R42" s="1053">
        <f t="shared" si="13"/>
        <v>8</v>
      </c>
      <c r="S42" s="1053">
        <f t="shared" si="13"/>
        <v>8</v>
      </c>
      <c r="T42" s="1053"/>
    </row>
    <row r="43" spans="1:20" x14ac:dyDescent="0.25">
      <c r="A43" s="1067"/>
      <c r="B43" s="1067"/>
      <c r="C43" s="1067"/>
      <c r="D43" s="1067"/>
      <c r="E43" s="1067"/>
      <c r="F43" s="1067"/>
      <c r="G43" s="1067"/>
      <c r="H43" s="1068">
        <f t="shared" ref="H43:S43" si="14">SUM(H8:H42)</f>
        <v>68</v>
      </c>
      <c r="I43" s="1068">
        <f t="shared" si="14"/>
        <v>132</v>
      </c>
      <c r="J43" s="1068">
        <f t="shared" si="14"/>
        <v>132</v>
      </c>
      <c r="K43" s="1068">
        <f t="shared" si="14"/>
        <v>1.9499999999999993</v>
      </c>
      <c r="L43" s="1068">
        <f t="shared" si="14"/>
        <v>8.35</v>
      </c>
      <c r="M43" s="1068">
        <f t="shared" si="14"/>
        <v>8.35</v>
      </c>
      <c r="N43" s="1068">
        <f t="shared" si="14"/>
        <v>36.975000000000001</v>
      </c>
      <c r="O43" s="1068">
        <f t="shared" si="14"/>
        <v>59.375</v>
      </c>
      <c r="P43" s="1068">
        <f t="shared" si="14"/>
        <v>59.375</v>
      </c>
      <c r="Q43" s="1068">
        <f t="shared" si="14"/>
        <v>47.8</v>
      </c>
      <c r="R43" s="1068">
        <f t="shared" si="14"/>
        <v>83.025000000000006</v>
      </c>
      <c r="S43" s="1068">
        <f t="shared" si="14"/>
        <v>83</v>
      </c>
      <c r="T43" s="1068"/>
    </row>
    <row r="44" spans="1:20" ht="15.75" thickBot="1" x14ac:dyDescent="0.3">
      <c r="A44" s="1067"/>
      <c r="B44" s="1067"/>
      <c r="C44" s="1067"/>
      <c r="D44" s="1067"/>
      <c r="E44" s="1067"/>
      <c r="F44" s="1067"/>
      <c r="G44" s="1067"/>
      <c r="H44" s="1067"/>
      <c r="I44" s="1067"/>
      <c r="J44" s="1067"/>
      <c r="K44" s="1067"/>
      <c r="L44" s="1067"/>
      <c r="M44" s="1067"/>
      <c r="N44" s="1067"/>
      <c r="O44" s="1067"/>
      <c r="P44" s="1067"/>
      <c r="Q44" s="1067"/>
      <c r="R44" s="1067"/>
      <c r="S44" s="1067"/>
      <c r="T44" s="1067"/>
    </row>
    <row r="45" spans="1:20" ht="15.75" thickBot="1" x14ac:dyDescent="0.3">
      <c r="A45" s="1067"/>
      <c r="B45" s="1067"/>
      <c r="C45" s="1067"/>
      <c r="D45" s="1067"/>
      <c r="E45" s="1067"/>
      <c r="F45" s="1067"/>
      <c r="G45" s="1067"/>
      <c r="H45" s="1164" t="s">
        <v>1076</v>
      </c>
      <c r="I45" s="1164" t="s">
        <v>1077</v>
      </c>
      <c r="J45" s="1165" t="s">
        <v>1078</v>
      </c>
      <c r="K45" s="1067"/>
      <c r="L45" s="1067"/>
      <c r="M45" s="1067"/>
      <c r="N45" s="1067"/>
      <c r="O45" s="1067"/>
      <c r="P45" s="1067"/>
      <c r="Q45" s="1067"/>
      <c r="R45" s="1067"/>
      <c r="S45" s="1067"/>
      <c r="T45" s="1067"/>
    </row>
    <row r="46" spans="1:20" x14ac:dyDescent="0.25">
      <c r="A46" s="1067"/>
      <c r="B46" s="1067"/>
      <c r="C46" s="1067"/>
      <c r="D46" s="1067"/>
      <c r="E46" s="1067"/>
      <c r="F46" s="1067"/>
      <c r="G46" s="1166" t="s">
        <v>1079</v>
      </c>
      <c r="H46" s="1167">
        <f>ROUNDUP(K8/8,0)</f>
        <v>1</v>
      </c>
      <c r="I46" s="1167">
        <f>ROUNDUP(N8/8,0)</f>
        <v>1</v>
      </c>
      <c r="J46" s="1168"/>
      <c r="K46" s="1067"/>
      <c r="L46" s="1067"/>
      <c r="M46" s="1067"/>
      <c r="N46" s="1067"/>
      <c r="O46" s="1067"/>
      <c r="P46" s="1067"/>
      <c r="Q46" s="1067"/>
      <c r="R46" s="1067"/>
      <c r="S46" s="1067"/>
      <c r="T46" s="1067"/>
    </row>
    <row r="47" spans="1:20" x14ac:dyDescent="0.25">
      <c r="A47" s="1067"/>
      <c r="B47" s="1067"/>
      <c r="C47" s="1067"/>
      <c r="D47" s="1067"/>
      <c r="E47" s="1067"/>
      <c r="F47" s="1067"/>
      <c r="G47" s="1073" t="s">
        <v>1080</v>
      </c>
      <c r="H47" s="1169">
        <f>ROUNDUP(K14/8,0)</f>
        <v>0</v>
      </c>
      <c r="I47" s="1169">
        <f>ROUNDUP(N14/8,0)</f>
        <v>2</v>
      </c>
      <c r="J47" s="714">
        <f>ROUNDUP(Q14/8,0)</f>
        <v>3</v>
      </c>
      <c r="K47" s="1067"/>
      <c r="L47" s="1067"/>
      <c r="M47" s="1067"/>
      <c r="N47" s="1067"/>
      <c r="O47" s="1067"/>
      <c r="P47" s="1067"/>
      <c r="Q47" s="1067"/>
      <c r="R47" s="1067"/>
      <c r="S47" s="1067"/>
      <c r="T47" s="1067"/>
    </row>
    <row r="48" spans="1:20" ht="15.75" thickBot="1" x14ac:dyDescent="0.3">
      <c r="A48" s="1067"/>
      <c r="B48" s="1067"/>
      <c r="C48" s="1067"/>
      <c r="D48" s="1067"/>
      <c r="E48" s="1067"/>
      <c r="F48" s="1067"/>
      <c r="G48" s="1170" t="s">
        <v>1081</v>
      </c>
      <c r="H48" s="1171"/>
      <c r="I48" s="1171">
        <f>ROUNDUP(N42/8,0)</f>
        <v>1</v>
      </c>
      <c r="J48" s="1172">
        <f>ROUNDUP(Q42/8,0)</f>
        <v>1</v>
      </c>
      <c r="K48" s="1067"/>
      <c r="L48" s="1067"/>
      <c r="M48" s="1067"/>
      <c r="N48" s="1067"/>
      <c r="O48" s="1067"/>
      <c r="P48" s="1067"/>
      <c r="Q48" s="1067"/>
      <c r="R48" s="1067"/>
      <c r="S48" s="1067"/>
      <c r="T48" s="1067"/>
    </row>
    <row r="49" spans="1:20" ht="15.75" thickBot="1" x14ac:dyDescent="0.3">
      <c r="A49" s="1067"/>
      <c r="B49" s="1067"/>
      <c r="C49" s="1067"/>
      <c r="D49" s="1067"/>
      <c r="E49" s="1067"/>
      <c r="F49" s="1067"/>
      <c r="G49" s="1164" t="s">
        <v>1082</v>
      </c>
      <c r="H49" s="1173">
        <f>SUM(H46:H48)</f>
        <v>1</v>
      </c>
      <c r="I49" s="1173">
        <f>SUM(I46:I48)</f>
        <v>4</v>
      </c>
      <c r="J49" s="1174">
        <f>SUM(J46:J48)</f>
        <v>4</v>
      </c>
      <c r="K49" s="1067">
        <f>SUM(H49:J49)</f>
        <v>9</v>
      </c>
      <c r="L49" s="1067"/>
      <c r="M49" s="1067"/>
      <c r="N49" s="1067"/>
      <c r="O49" s="1067"/>
      <c r="P49" s="1067"/>
      <c r="Q49" s="1067"/>
      <c r="R49" s="1067"/>
      <c r="S49" s="1067"/>
      <c r="T49" s="1067"/>
    </row>
    <row r="50" spans="1:20" ht="15.75" thickBot="1" x14ac:dyDescent="0.3">
      <c r="A50" s="1067"/>
      <c r="B50" s="1067"/>
      <c r="C50" s="1067"/>
      <c r="D50" s="1067"/>
      <c r="E50" s="1067"/>
      <c r="F50" s="1067"/>
      <c r="G50" s="1067"/>
      <c r="H50" s="1067"/>
      <c r="I50" s="1067"/>
      <c r="J50" s="1067"/>
      <c r="K50" s="1067"/>
      <c r="L50" s="1067"/>
      <c r="M50" s="1067"/>
      <c r="N50" s="1067"/>
      <c r="O50" s="1067"/>
      <c r="P50" s="1067"/>
      <c r="Q50" s="1067"/>
      <c r="R50" s="1067"/>
      <c r="S50" s="1067"/>
      <c r="T50" s="1067"/>
    </row>
    <row r="51" spans="1:20" ht="15.75" thickBot="1" x14ac:dyDescent="0.3">
      <c r="A51" s="1067"/>
      <c r="B51" s="1067"/>
      <c r="C51" s="1067"/>
      <c r="D51" s="1067"/>
      <c r="E51" s="1067"/>
      <c r="F51" s="1067"/>
      <c r="G51" s="1067"/>
      <c r="H51" s="1164" t="s">
        <v>1076</v>
      </c>
      <c r="I51" s="1164" t="s">
        <v>1077</v>
      </c>
      <c r="J51" s="1165" t="s">
        <v>1078</v>
      </c>
      <c r="K51" s="1067"/>
      <c r="L51" s="1067"/>
      <c r="M51" s="1067"/>
      <c r="N51" s="1067"/>
      <c r="O51" s="1067"/>
      <c r="P51" s="1067"/>
      <c r="Q51" s="1067"/>
      <c r="R51" s="1067"/>
      <c r="S51" s="1067"/>
      <c r="T51" s="1067"/>
    </row>
    <row r="52" spans="1:20" x14ac:dyDescent="0.25">
      <c r="A52" s="1067"/>
      <c r="B52" s="1067"/>
      <c r="C52" s="1067"/>
      <c r="D52" s="1067"/>
      <c r="E52" s="1067"/>
      <c r="F52" s="1067"/>
      <c r="G52" s="1166" t="s">
        <v>1083</v>
      </c>
      <c r="H52" s="1167">
        <f>ROUNDUP(L8/8,0)</f>
        <v>1</v>
      </c>
      <c r="I52" s="1167">
        <f>ROUNDUP(O8/8,0)</f>
        <v>1</v>
      </c>
      <c r="J52" s="1168"/>
      <c r="K52" s="1067"/>
      <c r="L52" s="1067"/>
      <c r="M52" s="1067"/>
      <c r="N52" s="1067"/>
      <c r="O52" s="1067"/>
      <c r="P52" s="1067"/>
      <c r="Q52" s="1067"/>
      <c r="R52" s="1067"/>
      <c r="S52" s="1067"/>
      <c r="T52" s="1067"/>
    </row>
    <row r="53" spans="1:20" x14ac:dyDescent="0.25">
      <c r="A53" s="1067"/>
      <c r="B53" s="1067"/>
      <c r="C53" s="1067"/>
      <c r="D53" s="1067"/>
      <c r="E53" s="1067"/>
      <c r="F53" s="1067"/>
      <c r="G53" s="1073" t="s">
        <v>1084</v>
      </c>
      <c r="H53" s="1169">
        <f>ROUNDUP(L14/8,0)</f>
        <v>1</v>
      </c>
      <c r="I53" s="1169">
        <f>ROUNDUP(O14/8,0)</f>
        <v>3</v>
      </c>
      <c r="J53" s="714">
        <f>ROUNDUP(R14/8,0)</f>
        <v>5</v>
      </c>
      <c r="K53" s="1067"/>
      <c r="L53" s="1067"/>
      <c r="M53" s="1067"/>
      <c r="N53" s="1067"/>
      <c r="O53" s="1067"/>
      <c r="P53" s="1067"/>
      <c r="Q53" s="1067"/>
      <c r="R53" s="1067"/>
      <c r="S53" s="1067"/>
      <c r="T53" s="1067"/>
    </row>
    <row r="54" spans="1:20" ht="15.75" thickBot="1" x14ac:dyDescent="0.3">
      <c r="A54" s="1067"/>
      <c r="B54" s="1067"/>
      <c r="C54" s="1067"/>
      <c r="D54" s="1067"/>
      <c r="E54" s="1067"/>
      <c r="F54" s="1067"/>
      <c r="G54" s="1054" t="s">
        <v>1085</v>
      </c>
      <c r="H54" s="1171"/>
      <c r="I54" s="1171">
        <f>ROUNDUP(O42/8,0)</f>
        <v>1</v>
      </c>
      <c r="J54" s="1172">
        <f>ROUNDUP(R42/8,0)</f>
        <v>1</v>
      </c>
      <c r="K54" s="1067"/>
      <c r="L54" s="1067"/>
      <c r="M54" s="1067"/>
      <c r="N54" s="1067"/>
      <c r="O54" s="1067"/>
      <c r="P54" s="1067"/>
      <c r="Q54" s="1067"/>
      <c r="R54" s="1067"/>
      <c r="S54" s="1067"/>
      <c r="T54" s="1067"/>
    </row>
    <row r="55" spans="1:20" ht="15.75" thickBot="1" x14ac:dyDescent="0.3">
      <c r="A55" s="1067"/>
      <c r="B55" s="1067"/>
      <c r="C55" s="1067"/>
      <c r="D55" s="1067"/>
      <c r="E55" s="1067"/>
      <c r="F55" s="1067"/>
      <c r="G55" s="1164" t="s">
        <v>1082</v>
      </c>
      <c r="H55" s="1173">
        <f>SUM(H52:H54)</f>
        <v>2</v>
      </c>
      <c r="I55" s="1173">
        <f>SUM(I52:I54)</f>
        <v>5</v>
      </c>
      <c r="J55" s="1174">
        <f>SUM(J52:J54)</f>
        <v>6</v>
      </c>
      <c r="K55" s="1067">
        <f>SUM(H55:J55)</f>
        <v>13</v>
      </c>
      <c r="L55" s="1067"/>
      <c r="M55" s="1067"/>
      <c r="N55" s="1067"/>
      <c r="O55" s="1067"/>
      <c r="P55" s="1067"/>
      <c r="Q55" s="1067"/>
      <c r="R55" s="1067"/>
      <c r="S55" s="1067"/>
      <c r="T55" s="1067"/>
    </row>
    <row r="56" spans="1:20" ht="15.75" thickBot="1" x14ac:dyDescent="0.3">
      <c r="A56" s="1067"/>
      <c r="B56" s="1067"/>
      <c r="C56" s="1067"/>
      <c r="D56" s="1067"/>
      <c r="E56" s="1067"/>
      <c r="F56" s="1067"/>
      <c r="G56" s="1067"/>
      <c r="H56" s="1067"/>
      <c r="I56" s="1067"/>
      <c r="J56" s="1067"/>
      <c r="K56" s="1067"/>
      <c r="L56" s="1067"/>
      <c r="M56" s="1067"/>
      <c r="N56" s="1067"/>
      <c r="O56" s="1067"/>
      <c r="P56" s="1067"/>
      <c r="Q56" s="1067"/>
      <c r="R56" s="1067"/>
      <c r="S56" s="1067"/>
      <c r="T56" s="1067"/>
    </row>
    <row r="57" spans="1:20" ht="15.75" thickBot="1" x14ac:dyDescent="0.3">
      <c r="A57" s="1067"/>
      <c r="B57" s="1067"/>
      <c r="C57" s="1067"/>
      <c r="D57" s="1067"/>
      <c r="E57" s="1067"/>
      <c r="F57" s="1067"/>
      <c r="G57" s="1067"/>
      <c r="H57" s="1164" t="s">
        <v>1076</v>
      </c>
      <c r="I57" s="1164" t="s">
        <v>1077</v>
      </c>
      <c r="J57" s="1165" t="s">
        <v>1078</v>
      </c>
      <c r="K57" s="1067"/>
      <c r="L57" s="1067"/>
      <c r="M57" s="1067"/>
      <c r="N57" s="1067"/>
      <c r="O57" s="1067"/>
      <c r="P57" s="1067"/>
      <c r="Q57" s="1067"/>
      <c r="R57" s="1067"/>
      <c r="S57" s="1067"/>
      <c r="T57" s="1067"/>
    </row>
    <row r="58" spans="1:20" x14ac:dyDescent="0.25">
      <c r="A58" s="1067"/>
      <c r="B58" s="1067"/>
      <c r="C58" s="1067"/>
      <c r="D58" s="1067"/>
      <c r="E58" s="1067"/>
      <c r="F58" s="1067"/>
      <c r="G58" s="1166" t="s">
        <v>1086</v>
      </c>
      <c r="H58" s="1167">
        <f>ROUNDUP(M8/8,0)</f>
        <v>1</v>
      </c>
      <c r="I58" s="1167">
        <f>ROUNDUP(P8/8,0)</f>
        <v>1</v>
      </c>
      <c r="J58" s="1168"/>
      <c r="K58" s="1067"/>
      <c r="L58" s="1067"/>
      <c r="M58" s="1067"/>
      <c r="N58" s="1067"/>
      <c r="O58" s="1067"/>
      <c r="P58" s="1067"/>
      <c r="Q58" s="1067"/>
      <c r="R58" s="1067"/>
      <c r="S58" s="1067"/>
      <c r="T58" s="1067"/>
    </row>
    <row r="59" spans="1:20" x14ac:dyDescent="0.25">
      <c r="A59" s="1067"/>
      <c r="B59" s="1067"/>
      <c r="C59" s="1067"/>
      <c r="D59" s="1067"/>
      <c r="E59" s="1067"/>
      <c r="F59" s="1067"/>
      <c r="G59" s="1073" t="s">
        <v>1087</v>
      </c>
      <c r="H59" s="1169">
        <f>ROUNDUP(M14/8,0)</f>
        <v>1</v>
      </c>
      <c r="I59" s="1169">
        <f>ROUNDUP(P14/8,0)</f>
        <v>3</v>
      </c>
      <c r="J59" s="714">
        <f>ROUNDUP(S14/8,0)</f>
        <v>5</v>
      </c>
      <c r="K59" s="1067"/>
      <c r="L59" s="1067"/>
      <c r="M59" s="1067"/>
      <c r="N59" s="1067"/>
      <c r="O59" s="1067"/>
      <c r="P59" s="1067"/>
      <c r="Q59" s="1067"/>
      <c r="R59" s="1067"/>
      <c r="S59" s="1067"/>
      <c r="T59" s="1067"/>
    </row>
    <row r="60" spans="1:20" ht="15.75" thickBot="1" x14ac:dyDescent="0.3">
      <c r="A60" s="1067"/>
      <c r="B60" s="1067"/>
      <c r="C60" s="1067"/>
      <c r="D60" s="1067"/>
      <c r="E60" s="1067"/>
      <c r="F60" s="1067"/>
      <c r="G60" s="1054" t="s">
        <v>1088</v>
      </c>
      <c r="H60" s="1171"/>
      <c r="I60" s="1171">
        <f>ROUNDUP(P42/8,0)</f>
        <v>1</v>
      </c>
      <c r="J60" s="1172">
        <f>ROUNDUP(S42/8,0)</f>
        <v>1</v>
      </c>
      <c r="K60" s="1067"/>
      <c r="L60" s="1067"/>
      <c r="M60" s="1067"/>
      <c r="N60" s="1067"/>
      <c r="O60" s="1067"/>
      <c r="P60" s="1067"/>
      <c r="Q60" s="1067"/>
      <c r="R60" s="1067"/>
      <c r="S60" s="1067"/>
      <c r="T60" s="1067"/>
    </row>
    <row r="61" spans="1:20" ht="15.75" thickBot="1" x14ac:dyDescent="0.3">
      <c r="A61" s="1067"/>
      <c r="B61" s="1067"/>
      <c r="C61" s="1067"/>
      <c r="D61" s="1067"/>
      <c r="E61" s="1067"/>
      <c r="F61" s="1067"/>
      <c r="G61" s="1164" t="s">
        <v>1082</v>
      </c>
      <c r="H61" s="1173">
        <f>SUM(H58:H60)</f>
        <v>2</v>
      </c>
      <c r="I61" s="1173">
        <f>SUM(I58:I60)</f>
        <v>5</v>
      </c>
      <c r="J61" s="1174">
        <f>SUM(J58:J60)</f>
        <v>6</v>
      </c>
      <c r="K61" s="1067">
        <f>SUM(H61:J61)</f>
        <v>13</v>
      </c>
      <c r="L61" s="1067"/>
      <c r="M61" s="1067"/>
      <c r="N61" s="1067"/>
      <c r="O61" s="1067"/>
      <c r="P61" s="1067"/>
      <c r="Q61" s="1067"/>
      <c r="R61" s="1067"/>
      <c r="S61" s="1067"/>
      <c r="T61" s="1067"/>
    </row>
  </sheetData>
  <mergeCells count="8">
    <mergeCell ref="Q2:S2"/>
    <mergeCell ref="T2:T3"/>
    <mergeCell ref="A2:A3"/>
    <mergeCell ref="B2:D2"/>
    <mergeCell ref="E2:G2"/>
    <mergeCell ref="H2:J2"/>
    <mergeCell ref="K2:M2"/>
    <mergeCell ref="N2:P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Лист52">
    <tabColor theme="8"/>
  </sheetPr>
  <dimension ref="A1:W54"/>
  <sheetViews>
    <sheetView topLeftCell="A45" workbookViewId="0">
      <selection activeCell="G54" sqref="G54"/>
    </sheetView>
  </sheetViews>
  <sheetFormatPr defaultRowHeight="15" x14ac:dyDescent="0.25"/>
  <cols>
    <col min="1" max="1" width="41" customWidth="1"/>
    <col min="2" max="2" width="16.5703125" customWidth="1"/>
    <col min="3" max="3" width="17.7109375" customWidth="1"/>
    <col min="4" max="4" width="17.28515625" customWidth="1"/>
    <col min="5" max="5" width="21.7109375" customWidth="1"/>
    <col min="6" max="6" width="21" customWidth="1"/>
    <col min="7" max="7" width="20.28515625" customWidth="1"/>
    <col min="8" max="8" width="0" hidden="1" customWidth="1"/>
    <col min="9" max="9" width="16.5703125" customWidth="1"/>
    <col min="10" max="10" width="9.7109375" customWidth="1"/>
    <col min="11" max="13" width="29.7109375" customWidth="1"/>
    <col min="14" max="14" width="26.28515625" customWidth="1"/>
    <col min="15" max="15" width="27.140625" customWidth="1"/>
    <col min="16" max="16" width="26.5703125" customWidth="1"/>
    <col min="17" max="19" width="0" hidden="1" customWidth="1"/>
  </cols>
  <sheetData>
    <row r="1" spans="1:23" ht="15.75" x14ac:dyDescent="0.25">
      <c r="A1" s="2305" t="s">
        <v>1089</v>
      </c>
      <c r="B1" s="2305"/>
      <c r="C1" s="2305"/>
      <c r="D1" s="2305"/>
      <c r="E1" s="2305"/>
      <c r="F1" s="2305"/>
      <c r="G1" s="2305"/>
      <c r="H1" s="2305" t="s">
        <v>1090</v>
      </c>
      <c r="I1" s="2305"/>
      <c r="J1" s="2305"/>
      <c r="K1" s="2305"/>
      <c r="L1" s="2305"/>
      <c r="M1" s="2305"/>
      <c r="N1" s="2305" t="s">
        <v>1091</v>
      </c>
      <c r="O1" s="2305"/>
      <c r="P1" s="2305"/>
      <c r="Q1" s="2305" t="s">
        <v>866</v>
      </c>
      <c r="R1" s="2305"/>
      <c r="S1" s="2305"/>
      <c r="T1" s="2305"/>
      <c r="U1" s="2305"/>
      <c r="V1" s="2305"/>
      <c r="W1" s="2305"/>
    </row>
    <row r="2" spans="1:23" ht="75" x14ac:dyDescent="0.25">
      <c r="A2" s="1175" t="s">
        <v>1092</v>
      </c>
      <c r="B2" s="1176" t="s">
        <v>1093</v>
      </c>
      <c r="C2" s="1176" t="s">
        <v>1094</v>
      </c>
      <c r="D2" s="1177" t="s">
        <v>1095</v>
      </c>
      <c r="E2" s="1178" t="s">
        <v>715</v>
      </c>
      <c r="F2" s="1178" t="s">
        <v>714</v>
      </c>
      <c r="G2" s="1178" t="s">
        <v>713</v>
      </c>
      <c r="H2" s="1175" t="s">
        <v>1092</v>
      </c>
      <c r="I2" s="1176" t="s">
        <v>1093</v>
      </c>
      <c r="J2" s="1179" t="s">
        <v>1095</v>
      </c>
      <c r="K2" s="1180" t="s">
        <v>715</v>
      </c>
      <c r="L2" s="1180" t="s">
        <v>714</v>
      </c>
      <c r="M2" s="1180" t="s">
        <v>713</v>
      </c>
      <c r="N2" s="1180" t="s">
        <v>715</v>
      </c>
      <c r="O2" s="1180" t="s">
        <v>714</v>
      </c>
      <c r="P2" s="1180" t="s">
        <v>713</v>
      </c>
      <c r="Q2" s="1175" t="s">
        <v>1092</v>
      </c>
      <c r="R2" s="1176" t="s">
        <v>1093</v>
      </c>
      <c r="S2" s="1176" t="s">
        <v>1094</v>
      </c>
      <c r="T2" s="1177" t="s">
        <v>1095</v>
      </c>
      <c r="U2" s="1178" t="s">
        <v>715</v>
      </c>
      <c r="V2" s="1178" t="s">
        <v>714</v>
      </c>
      <c r="W2" s="1178" t="s">
        <v>713</v>
      </c>
    </row>
    <row r="3" spans="1:23" ht="35.450000000000003" customHeight="1" x14ac:dyDescent="0.25">
      <c r="A3" s="1181" t="s">
        <v>1096</v>
      </c>
      <c r="B3" s="879">
        <f>ТрЗ_ОВ!$E$107</f>
        <v>0</v>
      </c>
      <c r="C3" s="879">
        <f>ТрЗ_ОВ!$E$107</f>
        <v>0</v>
      </c>
      <c r="D3" s="1182"/>
      <c r="E3" s="1183"/>
      <c r="F3" s="1183"/>
      <c r="G3" s="1183"/>
      <c r="H3" s="1110" t="s">
        <v>1096</v>
      </c>
      <c r="I3" s="1184">
        <f>ТрЗ_ОВ!$E$107</f>
        <v>0</v>
      </c>
      <c r="J3" s="1182"/>
      <c r="K3" s="1183"/>
      <c r="L3" s="1183"/>
      <c r="M3" s="1183"/>
      <c r="N3" s="1183"/>
      <c r="O3" s="1183"/>
      <c r="P3" s="1183"/>
      <c r="Q3" s="1181" t="s">
        <v>1096</v>
      </c>
      <c r="R3" s="879">
        <f>ТрЗ_ОВ!$E$107</f>
        <v>0</v>
      </c>
      <c r="S3" s="879">
        <f>ТрЗ_ОВ!$E$107</f>
        <v>0</v>
      </c>
      <c r="T3" s="1182"/>
      <c r="U3" s="1183"/>
      <c r="V3" s="1183"/>
      <c r="W3" s="1183"/>
    </row>
    <row r="4" spans="1:23" ht="24.6" customHeight="1" x14ac:dyDescent="0.25">
      <c r="A4" s="1181" t="s">
        <v>877</v>
      </c>
      <c r="B4" s="879">
        <f>ТрЗ_ОВ!H107</f>
        <v>0</v>
      </c>
      <c r="C4" s="879">
        <f>ТрЗ_ОВ!H107</f>
        <v>0</v>
      </c>
      <c r="D4" s="1182"/>
      <c r="E4" s="1183"/>
      <c r="F4" s="1183"/>
      <c r="G4" s="1183"/>
      <c r="H4" s="1181" t="s">
        <v>1097</v>
      </c>
      <c r="I4" s="1184">
        <f>ТрЗ_ОВ!H107</f>
        <v>0</v>
      </c>
      <c r="J4" s="1185">
        <v>1</v>
      </c>
      <c r="K4" s="879"/>
      <c r="L4" s="879"/>
      <c r="M4" s="879"/>
      <c r="N4" s="879"/>
      <c r="O4" s="879"/>
      <c r="P4" s="879"/>
      <c r="Q4" s="1181" t="s">
        <v>877</v>
      </c>
      <c r="R4" s="879">
        <f>ТрЗ_ОВ!X107</f>
        <v>0</v>
      </c>
      <c r="S4" s="879">
        <f>ТрЗ_ОВ!X107</f>
        <v>0</v>
      </c>
      <c r="T4" s="1182"/>
      <c r="U4" s="1183"/>
      <c r="V4" s="1183"/>
      <c r="W4" s="1183"/>
    </row>
    <row r="5" spans="1:23" ht="30.6" customHeight="1" x14ac:dyDescent="0.25">
      <c r="A5" s="1110" t="s">
        <v>880</v>
      </c>
      <c r="B5" s="1186"/>
      <c r="C5" s="879"/>
      <c r="D5" s="1182"/>
      <c r="E5" s="1183">
        <v>0</v>
      </c>
      <c r="F5" s="1187">
        <f>4/8</f>
        <v>0.5</v>
      </c>
      <c r="G5" s="1183">
        <v>0</v>
      </c>
      <c r="H5" s="1110" t="s">
        <v>880</v>
      </c>
      <c r="I5" s="1186"/>
      <c r="J5" s="1182"/>
      <c r="K5" s="1183"/>
      <c r="L5" s="1183"/>
      <c r="M5" s="1183"/>
      <c r="N5" s="1183"/>
      <c r="O5" s="1183"/>
      <c r="P5" s="1183"/>
      <c r="Q5" s="1110" t="s">
        <v>880</v>
      </c>
      <c r="R5" s="1186"/>
      <c r="S5" s="879"/>
      <c r="T5" s="1182"/>
      <c r="U5" s="1183"/>
      <c r="V5" s="1183"/>
      <c r="W5" s="1183"/>
    </row>
    <row r="6" spans="1:23" x14ac:dyDescent="0.25">
      <c r="A6" s="2306" t="s">
        <v>881</v>
      </c>
      <c r="B6" s="2306"/>
      <c r="C6" s="2306"/>
      <c r="D6" s="2307"/>
      <c r="E6" s="1188"/>
      <c r="F6" s="1188"/>
      <c r="G6" s="1188"/>
      <c r="H6" s="2306" t="s">
        <v>881</v>
      </c>
      <c r="I6" s="2306"/>
      <c r="J6" s="2307"/>
      <c r="K6" s="1188"/>
      <c r="L6" s="1188"/>
      <c r="M6" s="1188"/>
      <c r="N6" s="1188"/>
      <c r="O6" s="1188"/>
      <c r="P6" s="1188"/>
      <c r="Q6" s="2306" t="s">
        <v>881</v>
      </c>
      <c r="R6" s="2306"/>
      <c r="S6" s="2306"/>
      <c r="T6" s="2307"/>
      <c r="U6" s="1188"/>
      <c r="V6" s="1188"/>
      <c r="W6" s="1188"/>
    </row>
    <row r="7" spans="1:23" ht="12" customHeight="1" x14ac:dyDescent="0.25">
      <c r="A7" s="1189" t="s">
        <v>883</v>
      </c>
      <c r="B7" s="1190">
        <f>2*$B$3</f>
        <v>0</v>
      </c>
      <c r="C7" s="1190">
        <f>2*$C$3</f>
        <v>0</v>
      </c>
      <c r="D7" s="1182"/>
      <c r="E7" s="1191">
        <f>IF(ТрЗ_ОВ!$C$107="Red Check (desktop)",$B7*0.5,IF(ТрЗ_ОВ!$C$107="Red Check (web)",$C7*0.5,0))</f>
        <v>0</v>
      </c>
      <c r="F7" s="1191">
        <f>IF(ТрЗ_ОВ!$C$107="Red Check (desktop)",$B7*0.5,IF(ТрЗ_ОВ!$C$107="Red Check (web)",$C7*0.5,0))</f>
        <v>0</v>
      </c>
      <c r="G7" s="1183"/>
      <c r="H7" s="1189" t="s">
        <v>883</v>
      </c>
      <c r="I7" s="1190">
        <f>2*$B$3</f>
        <v>0</v>
      </c>
      <c r="J7" s="1182"/>
      <c r="K7" s="1191">
        <f>IF(ТрЗ_ОВ!$C$107="PT xSpider",0.5*$B7,0)</f>
        <v>0</v>
      </c>
      <c r="L7" s="1191">
        <f>IF(ТрЗ_ОВ!$C$107="PT xSpider",0.5*$B7,0)</f>
        <v>0</v>
      </c>
      <c r="M7" s="1183"/>
      <c r="N7" s="1191">
        <f>IF(ТрЗ_ОВ!$C$107="Сканер-ВС",0.5*$B7,0)</f>
        <v>0</v>
      </c>
      <c r="O7" s="1191">
        <f>IF(ТрЗ_ОВ!$C$107="PT xSpider",0.5*$B7,0)</f>
        <v>0</v>
      </c>
      <c r="P7" s="1183"/>
      <c r="Q7" s="1189" t="s">
        <v>883</v>
      </c>
      <c r="R7" s="1190">
        <f>2*$B$3</f>
        <v>0</v>
      </c>
      <c r="S7" s="1190">
        <f>2*$C$3</f>
        <v>0</v>
      </c>
      <c r="T7" s="1182"/>
      <c r="U7" s="1191">
        <f>IF(ТрЗ_ОВ!$C$107="MaxPatrol VM",$B7*0.5,IF(ТрЗ_ОВ!$C$107="Red Check (web)",$C7*0.5,0))</f>
        <v>0</v>
      </c>
      <c r="V7" s="1191">
        <f>IF(ТрЗ_ОВ!$C$107="MaxPatrol VM",$B7*0.5,IF(ТрЗ_ОВ!$C$107="Red Check (web)",$C7*0.5,0))</f>
        <v>0</v>
      </c>
      <c r="W7" s="1183"/>
    </row>
    <row r="8" spans="1:23" ht="16.149999999999999" customHeight="1" x14ac:dyDescent="0.25">
      <c r="A8" s="1189" t="s">
        <v>884</v>
      </c>
      <c r="B8" s="1190">
        <f>2*$B$3</f>
        <v>0</v>
      </c>
      <c r="C8" s="1190">
        <f>2*$C$3</f>
        <v>0</v>
      </c>
      <c r="D8" s="1182"/>
      <c r="E8" s="1191">
        <f>IF(ТрЗ_ОВ!$C$107="Red Check (desktop)",$B8*0.5,IF(ТрЗ_ОВ!$C$107="Red Check (web)",$C8*0.5,0))</f>
        <v>0</v>
      </c>
      <c r="F8" s="1191">
        <f>IF(ТрЗ_ОВ!$C$107="Red Check (desktop)",$B8*0.5,IF(ТрЗ_ОВ!$C$107="Red Check (web)",$C8*0.5,0))</f>
        <v>0</v>
      </c>
      <c r="G8" s="1183"/>
      <c r="H8" s="1189" t="s">
        <v>884</v>
      </c>
      <c r="I8" s="1190">
        <f t="shared" ref="I8" si="0">2*$B$3</f>
        <v>0</v>
      </c>
      <c r="J8" s="1182"/>
      <c r="K8" s="1191">
        <f>IF(ТрЗ_ОВ!$C$107="PT xSpider",0.5*$B8,0)</f>
        <v>0</v>
      </c>
      <c r="L8" s="1191">
        <f>IF(ТрЗ_ОВ!$C$107="PT xSpider",0.5*$B8,0)</f>
        <v>0</v>
      </c>
      <c r="M8" s="1183"/>
      <c r="N8" s="1191">
        <f>IF(ТрЗ_ОВ!$C$107="PT xSpider",0.5*$B8,0)</f>
        <v>0</v>
      </c>
      <c r="O8" s="1191">
        <f>IF(ТрЗ_ОВ!$C$107="PT xSpider",0.5*$B8,0)</f>
        <v>0</v>
      </c>
      <c r="P8" s="1183"/>
      <c r="Q8" s="1189" t="s">
        <v>884</v>
      </c>
      <c r="R8" s="1190">
        <f>2*$B$3</f>
        <v>0</v>
      </c>
      <c r="S8" s="1190">
        <f>2*$C$3</f>
        <v>0</v>
      </c>
      <c r="T8" s="1182"/>
      <c r="U8" s="1191">
        <f>IF(ТрЗ_ОВ!$C$107="MaxPatrol VM",$B8*0.5,IF(ТрЗ_ОВ!$C$107="Red Check (web)",$C8*0.5,0))</f>
        <v>0</v>
      </c>
      <c r="V8" s="1191">
        <f>IF(ТрЗ_ОВ!$C$107="MaxPatrol VM",$B8*0.5,IF(ТрЗ_ОВ!$C$107="Red Check (web)",$C8*0.5,0))</f>
        <v>0</v>
      </c>
      <c r="W8" s="1183"/>
    </row>
    <row r="9" spans="1:23" ht="16.149999999999999" customHeight="1" x14ac:dyDescent="0.25">
      <c r="A9" s="1189" t="s">
        <v>885</v>
      </c>
      <c r="B9" s="1190">
        <f>3*$B$3</f>
        <v>0</v>
      </c>
      <c r="C9" s="1190">
        <f>3*$C$3</f>
        <v>0</v>
      </c>
      <c r="D9" s="1182"/>
      <c r="E9" s="1191">
        <f>IF(ТрЗ_ОВ!$C$107="Red Check (desktop)",$B9*0.5,IF(ТрЗ_ОВ!$C$107="Red Check (web)",$C9*0.5,0))</f>
        <v>0</v>
      </c>
      <c r="F9" s="1191">
        <f>IF(ТрЗ_ОВ!$C$107="Red Check (desktop)",$B9*0.5,IF(ТрЗ_ОВ!$C$107="Red Check (web)",$C9*0.5,0))</f>
        <v>0</v>
      </c>
      <c r="G9" s="1183"/>
      <c r="H9" s="1189" t="s">
        <v>885</v>
      </c>
      <c r="I9" s="1190">
        <f>3*$B$3</f>
        <v>0</v>
      </c>
      <c r="J9" s="1182"/>
      <c r="K9" s="1191">
        <f>IF(ТрЗ_ОВ!$C$107="PT xSpider",0.5*$B9,0)</f>
        <v>0</v>
      </c>
      <c r="L9" s="1191">
        <f>IF(ТрЗ_ОВ!$C$107="PT xSpider",0.5*$B9,0)</f>
        <v>0</v>
      </c>
      <c r="M9" s="1183"/>
      <c r="N9" s="1191">
        <f>IF(ТрЗ_ОВ!$C$107="PT xSpider",0.5*$B9,0)</f>
        <v>0</v>
      </c>
      <c r="O9" s="1191">
        <f>IF(ТрЗ_ОВ!$C$107="PT xSpider",0.5*$B9,0)</f>
        <v>0</v>
      </c>
      <c r="P9" s="1183"/>
      <c r="Q9" s="1189" t="s">
        <v>885</v>
      </c>
      <c r="R9" s="1190">
        <f>3*$B$3</f>
        <v>0</v>
      </c>
      <c r="S9" s="1190">
        <f>3*$C$3</f>
        <v>0</v>
      </c>
      <c r="T9" s="1182"/>
      <c r="U9" s="1191">
        <f>IF(ТрЗ_ОВ!$C$107="MaxPatrol VM",$B9*0.5,IF(ТрЗ_ОВ!$C$107="Red Check (web)",$C9*0.5,0))</f>
        <v>0</v>
      </c>
      <c r="V9" s="1191">
        <f>IF(ТрЗ_ОВ!$C$107="MaxPatrol VM",$B9*0.5,IF(ТрЗ_ОВ!$C$107="Red Check (web)",$C9*0.5,0))</f>
        <v>0</v>
      </c>
      <c r="W9" s="1183"/>
    </row>
    <row r="10" spans="1:23" ht="12" customHeight="1" x14ac:dyDescent="0.25">
      <c r="A10" s="1189" t="s">
        <v>886</v>
      </c>
      <c r="B10" s="1190">
        <f>1*$B$3</f>
        <v>0</v>
      </c>
      <c r="C10" s="1190">
        <f>1*$C$3</f>
        <v>0</v>
      </c>
      <c r="D10" s="1182"/>
      <c r="E10" s="1191">
        <f>IF(ТрЗ_ОВ!$C$107="Red Check (desktop)",$B10*0.5,IF(ТрЗ_ОВ!$C$107="Red Check (web)",$C10*0.5,0))</f>
        <v>0</v>
      </c>
      <c r="F10" s="1191">
        <f>IF(ТрЗ_ОВ!$C$107="Red Check (desktop)",$B10*0.5,IF(ТрЗ_ОВ!$C$107="Red Check (web)",$C10*0.5,0))</f>
        <v>0</v>
      </c>
      <c r="G10" s="1183"/>
      <c r="H10" s="1189" t="s">
        <v>886</v>
      </c>
      <c r="I10" s="1190">
        <f>1*$B$3</f>
        <v>0</v>
      </c>
      <c r="J10" s="1182"/>
      <c r="K10" s="1191">
        <f>IF(ТрЗ_ОВ!$C$107="PT xSpider",0.5*$B10,0)</f>
        <v>0</v>
      </c>
      <c r="L10" s="1191">
        <f>IF(ТрЗ_ОВ!$C$107="PT xSpider",0.5*$B10,0)</f>
        <v>0</v>
      </c>
      <c r="M10" s="1183"/>
      <c r="N10" s="1191">
        <f>IF(ТрЗ_ОВ!$C$107="PT xSpider",0.5*$B10,0)</f>
        <v>0</v>
      </c>
      <c r="O10" s="1191">
        <f>IF(ТрЗ_ОВ!$C$107="PT xSpider",0.5*$B10,0)</f>
        <v>0</v>
      </c>
      <c r="P10" s="1183"/>
      <c r="Q10" s="1189" t="s">
        <v>886</v>
      </c>
      <c r="R10" s="1190">
        <f>1*$B$3</f>
        <v>0</v>
      </c>
      <c r="S10" s="1190">
        <f>1*$C$3</f>
        <v>0</v>
      </c>
      <c r="T10" s="1182"/>
      <c r="U10" s="1191">
        <f>IF(ТрЗ_ОВ!$C$107="MaxPatrol VM",$B10*0.5,IF(ТрЗ_ОВ!$C$107="Red Check (web)",$C10*0.5,0))</f>
        <v>0</v>
      </c>
      <c r="V10" s="1191">
        <f>IF(ТрЗ_ОВ!$C$107="MaxPatrol VM",$B10*0.5,IF(ТрЗ_ОВ!$C$107="Red Check (web)",$C10*0.5,0))</f>
        <v>0</v>
      </c>
      <c r="W10" s="1183"/>
    </row>
    <row r="11" spans="1:23" x14ac:dyDescent="0.25">
      <c r="A11" s="2306" t="s">
        <v>887</v>
      </c>
      <c r="B11" s="2306"/>
      <c r="C11" s="2306"/>
      <c r="D11" s="2307"/>
      <c r="E11" s="1188"/>
      <c r="F11" s="1188"/>
      <c r="G11" s="1188"/>
      <c r="H11" s="2306" t="s">
        <v>887</v>
      </c>
      <c r="I11" s="2306"/>
      <c r="J11" s="2307"/>
      <c r="K11" s="1188"/>
      <c r="L11" s="1188"/>
      <c r="M11" s="1188"/>
      <c r="N11" s="1188"/>
      <c r="O11" s="1188"/>
      <c r="P11" s="1188"/>
      <c r="Q11" s="2306" t="s">
        <v>887</v>
      </c>
      <c r="R11" s="2306"/>
      <c r="S11" s="2306"/>
      <c r="T11" s="2307"/>
      <c r="U11" s="1188"/>
      <c r="V11" s="1188"/>
      <c r="W11" s="1188"/>
    </row>
    <row r="12" spans="1:23" ht="27" customHeight="1" x14ac:dyDescent="0.25">
      <c r="A12" s="1110" t="s">
        <v>1050</v>
      </c>
      <c r="B12" s="1187"/>
      <c r="C12" s="879"/>
      <c r="D12" s="1182"/>
      <c r="E12" s="1191"/>
      <c r="F12" s="1191"/>
      <c r="G12" s="1183"/>
      <c r="H12" s="1110" t="s">
        <v>1050</v>
      </c>
      <c r="I12" s="1187"/>
      <c r="J12" s="1182"/>
      <c r="K12" s="1191"/>
      <c r="L12" s="1191"/>
      <c r="M12" s="1183"/>
      <c r="N12" s="1191"/>
      <c r="O12" s="1191"/>
      <c r="P12" s="1183"/>
      <c r="Q12" s="1110" t="s">
        <v>1050</v>
      </c>
      <c r="R12" s="1187"/>
      <c r="S12" s="879"/>
      <c r="T12" s="1182"/>
      <c r="U12" s="1191"/>
      <c r="V12" s="1191"/>
      <c r="W12" s="1183"/>
    </row>
    <row r="13" spans="1:23" ht="13.9" customHeight="1" x14ac:dyDescent="0.25">
      <c r="A13" s="1106" t="s">
        <v>1098</v>
      </c>
      <c r="B13" s="1187">
        <v>1</v>
      </c>
      <c r="C13" s="1187">
        <v>1.25</v>
      </c>
      <c r="D13" s="1182">
        <v>0.3</v>
      </c>
      <c r="E13" s="1191">
        <f>IF(ТрЗ_ОВ!$C$107="Red Check (desktop)",$B13*0.8,IF(ТрЗ_ОВ!$C$107="Red Check (web)",$C13*0.8,0))</f>
        <v>0</v>
      </c>
      <c r="F13" s="1191">
        <f>IF(ТрЗ_ОВ!$C$107="Red Check (desktop)",$B13*0.2,IF(ТрЗ_ОВ!$C$107="Red Check (web)",$C13*0.2,0))</f>
        <v>0</v>
      </c>
      <c r="G13" s="1183"/>
      <c r="H13" s="1106" t="s">
        <v>1098</v>
      </c>
      <c r="I13" s="1187">
        <v>2</v>
      </c>
      <c r="J13" s="1182">
        <v>0.3</v>
      </c>
      <c r="K13" s="1191">
        <f>IF(ТрЗ_ОВ!$C$107="PT xSpider",0.8*$B13,0)</f>
        <v>0</v>
      </c>
      <c r="L13" s="1191">
        <f>IF(ТрЗ_ОВ!$C$107="PT xSpider",0.2*$B13,0)</f>
        <v>0</v>
      </c>
      <c r="M13" s="1183"/>
      <c r="N13" s="1191">
        <f>IF(ТрЗ_ОВ!$C$107="PT xSpider",0.8*$B13,0)</f>
        <v>0</v>
      </c>
      <c r="O13" s="1191">
        <f>IF(ТрЗ_ОВ!$C$107="PT xSpider",0.2*$B13,0)</f>
        <v>0</v>
      </c>
      <c r="P13" s="1183"/>
      <c r="Q13" s="1106" t="s">
        <v>1098</v>
      </c>
      <c r="R13" s="1187">
        <v>1</v>
      </c>
      <c r="S13" s="1187">
        <v>1.25</v>
      </c>
      <c r="T13" s="1182">
        <v>0.3</v>
      </c>
      <c r="U13" s="1191">
        <f>IF(ТрЗ_ОВ!$C$107="MaxPatrol VM",$B13*0.8,IF(ТрЗ_ОВ!$C$107="Red Check (web)",$C13*0.8,0))</f>
        <v>0</v>
      </c>
      <c r="V13" s="1191">
        <f>IF(ТрЗ_ОВ!$C$107="MaxPatrol VM",$B13*0.2,IF(ТрЗ_ОВ!$C$107="Red Check (web)",$C13*0.2,0))</f>
        <v>0</v>
      </c>
      <c r="W13" s="1183"/>
    </row>
    <row r="14" spans="1:23" ht="16.149999999999999" customHeight="1" x14ac:dyDescent="0.25">
      <c r="A14" s="1106" t="s">
        <v>1099</v>
      </c>
      <c r="B14" s="1187">
        <v>1.25</v>
      </c>
      <c r="C14" s="1187">
        <v>1.25</v>
      </c>
      <c r="D14" s="1182"/>
      <c r="E14" s="1191">
        <f>IF(ТрЗ_ОВ!$C$107="Red Check (desktop)",$B14*0.8,IF(ТрЗ_ОВ!$C$107="Red Check (web)",$C14*0.8,0))</f>
        <v>0</v>
      </c>
      <c r="F14" s="1191">
        <f>IF(ТрЗ_ОВ!$C$107="Red Check (desktop)",$B14*0.2,IF(ТрЗ_ОВ!$C$107="Red Check (web)",$C14*0.2,0))</f>
        <v>0</v>
      </c>
      <c r="G14" s="1183"/>
      <c r="H14" s="1106" t="s">
        <v>1100</v>
      </c>
      <c r="I14" s="1187">
        <v>1.25</v>
      </c>
      <c r="J14" s="1182"/>
      <c r="K14" s="1191">
        <f>IF(ТрЗ_ОВ!$C$107="PT xSpider",0.8*$B14,0)</f>
        <v>0</v>
      </c>
      <c r="L14" s="1191">
        <f>IF(ТрЗ_ОВ!$C$107="PT xSpider",0.2*$B14,0)</f>
        <v>0</v>
      </c>
      <c r="M14" s="1183"/>
      <c r="N14" s="1191">
        <f>IF(ТрЗ_ОВ!$C$107="PT xSpider",0.8*$B14,0)</f>
        <v>0</v>
      </c>
      <c r="O14" s="1191">
        <f>IF(ТрЗ_ОВ!$C$107="PT xSpider",0.2*$B14,0)</f>
        <v>0</v>
      </c>
      <c r="P14" s="1183"/>
      <c r="Q14" s="1106" t="s">
        <v>1099</v>
      </c>
      <c r="R14" s="1187">
        <v>1.25</v>
      </c>
      <c r="S14" s="1187">
        <v>1.25</v>
      </c>
      <c r="T14" s="1182"/>
      <c r="U14" s="1191">
        <f>IF(ТрЗ_ОВ!$C$107="MaxPatrol VM",$B14*0.8,IF(ТрЗ_ОВ!$C$107="Red Check (web)",$C14*0.8,0))</f>
        <v>0</v>
      </c>
      <c r="V14" s="1191">
        <f>IF(ТрЗ_ОВ!$C$107="MaxPatrol VM",$B14*0.2,IF(ТрЗ_ОВ!$C$107="Red Check (web)",$C14*0.2,0))</f>
        <v>0</v>
      </c>
      <c r="W14" s="1183"/>
    </row>
    <row r="15" spans="1:23" ht="15.6" customHeight="1" x14ac:dyDescent="0.25">
      <c r="A15" s="1106" t="s">
        <v>1101</v>
      </c>
      <c r="B15" s="1187">
        <v>0.5</v>
      </c>
      <c r="C15" s="879">
        <v>0.5</v>
      </c>
      <c r="D15" s="1182"/>
      <c r="E15" s="1191">
        <f>IF(ТрЗ_ОВ!$C$107="Red Check (desktop)",$B15*0.8,IF(ТрЗ_ОВ!$C$107="Red Check (web)",$C15*0.8,0))</f>
        <v>0</v>
      </c>
      <c r="F15" s="1191">
        <f>IF(ТрЗ_ОВ!$C$107="Red Check (desktop)",$B15*0.2,IF(ТрЗ_ОВ!$C$107="Red Check (web)",$C15*0.2,0))</f>
        <v>0</v>
      </c>
      <c r="G15" s="1183"/>
      <c r="H15" s="1106" t="s">
        <v>1102</v>
      </c>
      <c r="I15" s="1187">
        <v>2</v>
      </c>
      <c r="J15" s="1182">
        <v>0.3</v>
      </c>
      <c r="K15" s="1191">
        <f>IF(ТрЗ_ОВ!$C$107="PT xSpider",0.8*$B15,0)</f>
        <v>0</v>
      </c>
      <c r="L15" s="1191">
        <f>IF(ТрЗ_ОВ!$C$107="PT xSpider",0.2*$B15,0)</f>
        <v>0</v>
      </c>
      <c r="M15" s="1183"/>
      <c r="N15" s="1191">
        <f>IF(ТрЗ_ОВ!$C$107="PT xSpider",0.8*$B15,0)</f>
        <v>0</v>
      </c>
      <c r="O15" s="1191">
        <f>IF(ТрЗ_ОВ!$C$107="PT xSpider",0.2*$B15,0)</f>
        <v>0</v>
      </c>
      <c r="P15" s="1183"/>
      <c r="Q15" s="1106" t="s">
        <v>1101</v>
      </c>
      <c r="R15" s="1187">
        <v>0.5</v>
      </c>
      <c r="S15" s="879">
        <v>0.5</v>
      </c>
      <c r="T15" s="1182"/>
      <c r="U15" s="1191">
        <f>IF(ТрЗ_ОВ!$C$107="MaxPatrol VM",$B15*0.8,IF(ТрЗ_ОВ!$C$107="Red Check (web)",$C15*0.8,0))</f>
        <v>0</v>
      </c>
      <c r="V15" s="1191">
        <f>IF(ТрЗ_ОВ!$C$107="MaxPatrol VM",$B15*0.2,IF(ТрЗ_ОВ!$C$107="Red Check (web)",$C15*0.2,0))</f>
        <v>0</v>
      </c>
      <c r="W15" s="1183"/>
    </row>
    <row r="16" spans="1:23" ht="25.5" x14ac:dyDescent="0.25">
      <c r="A16" s="1106" t="s">
        <v>1102</v>
      </c>
      <c r="B16" s="1187">
        <v>1.5</v>
      </c>
      <c r="C16" s="1187">
        <v>1.5</v>
      </c>
      <c r="D16" s="1182">
        <v>0.3</v>
      </c>
      <c r="E16" s="1191">
        <f>IF(ТрЗ_ОВ!$C$107="Red Check (desktop)",$B16*0.8,IF(ТрЗ_ОВ!$C$107="Red Check (web)",$C16*0.8,0))</f>
        <v>0</v>
      </c>
      <c r="F16" s="1191">
        <f>IF(ТрЗ_ОВ!$C$107="Red Check (desktop)",$B16*0.2,IF(ТрЗ_ОВ!$C$107="Red Check (web)",$C16*0.2,0))</f>
        <v>0</v>
      </c>
      <c r="G16" s="1183"/>
      <c r="H16" s="129" t="s">
        <v>1103</v>
      </c>
      <c r="I16" s="1187">
        <v>0.5</v>
      </c>
      <c r="J16" s="1182">
        <v>0.3</v>
      </c>
      <c r="K16" s="1191">
        <f>IF(ТрЗ_ОВ!$C$107="PT xSpider",0.8*$B16,0)</f>
        <v>0</v>
      </c>
      <c r="L16" s="1191">
        <f>IF(ТрЗ_ОВ!$C$107="PT xSpider",0.2*$B16,0)</f>
        <v>0</v>
      </c>
      <c r="M16" s="1183"/>
      <c r="N16" s="1191">
        <f>IF(ТрЗ_ОВ!$C$107="PT xSpider",0.8*$B16,0)</f>
        <v>0</v>
      </c>
      <c r="O16" s="1191">
        <f>IF(ТрЗ_ОВ!$C$107="PT xSpider",0.2*$B16,0)</f>
        <v>0</v>
      </c>
      <c r="P16" s="1183"/>
      <c r="Q16" s="1106" t="s">
        <v>1102</v>
      </c>
      <c r="R16" s="1187">
        <v>1.5</v>
      </c>
      <c r="S16" s="1187">
        <v>1.5</v>
      </c>
      <c r="T16" s="1182">
        <v>0.3</v>
      </c>
      <c r="U16" s="1191">
        <f>IF(ТрЗ_ОВ!$C$107="MaxPatrol VM",$B16*0.8,IF(ТрЗ_ОВ!$C$107="Red Check (web)",$C16*0.8,0))</f>
        <v>0</v>
      </c>
      <c r="V16" s="1191">
        <f>IF(ТрЗ_ОВ!$C$107="MaxPatrol VM",$B16*0.2,IF(ТрЗ_ОВ!$C$107="Red Check (web)",$C16*0.2,0))</f>
        <v>0</v>
      </c>
      <c r="W16" s="1183"/>
    </row>
    <row r="17" spans="1:23" ht="51" x14ac:dyDescent="0.25">
      <c r="A17" s="1106" t="s">
        <v>1104</v>
      </c>
      <c r="B17" s="1187"/>
      <c r="C17" s="879">
        <v>1</v>
      </c>
      <c r="D17" s="1182"/>
      <c r="E17" s="1191">
        <f>IF(ТрЗ_ОВ!$C$107="Red Check (desktop)",$B17*0.8,IF(ТрЗ_ОВ!$C$107="Red Check (web)",$C17*0.8,0))</f>
        <v>0</v>
      </c>
      <c r="F17" s="1191">
        <f>IF(ТрЗ_ОВ!$C$107="Red Check (desktop)",$B17*0.2,IF(ТрЗ_ОВ!$C$107="Red Check (web)",$C17*0.2,0))</f>
        <v>0</v>
      </c>
      <c r="G17" s="1183"/>
      <c r="H17" s="129" t="s">
        <v>1105</v>
      </c>
      <c r="I17" s="1187">
        <v>0.6</v>
      </c>
      <c r="J17" s="1182">
        <v>0.3</v>
      </c>
      <c r="K17" s="1191">
        <f>IF(ТрЗ_ОВ!$C$107="PT xSpider",0.8*$B17,0)</f>
        <v>0</v>
      </c>
      <c r="L17" s="1191">
        <f>IF(ТрЗ_ОВ!$C$107="PT xSpider",0.2*$B17,0)</f>
        <v>0</v>
      </c>
      <c r="M17" s="1183"/>
      <c r="N17" s="1191">
        <f>IF(ТрЗ_ОВ!$C$107="PT xSpider",0.8*$B17,0)</f>
        <v>0</v>
      </c>
      <c r="O17" s="1191">
        <f>IF(ТрЗ_ОВ!$C$107="PT xSpider",0.2*$B17,0)</f>
        <v>0</v>
      </c>
      <c r="P17" s="1183"/>
      <c r="Q17" s="1106" t="s">
        <v>1104</v>
      </c>
      <c r="R17" s="1187"/>
      <c r="S17" s="879">
        <v>1</v>
      </c>
      <c r="T17" s="1182"/>
      <c r="U17" s="1191">
        <f>IF(ТрЗ_ОВ!$C$107="MaxPatrol VM",$B17*0.8,IF(ТрЗ_ОВ!$C$107="Red Check (web)",$C17*0.8,0))</f>
        <v>0</v>
      </c>
      <c r="V17" s="1191">
        <f>IF(ТрЗ_ОВ!$C$107="MaxPatrol VM",$B17*0.2,IF(ТрЗ_ОВ!$C$107="Red Check (web)",$C17*0.2,0))</f>
        <v>0</v>
      </c>
      <c r="W17" s="1183"/>
    </row>
    <row r="18" spans="1:23" x14ac:dyDescent="0.25">
      <c r="A18" s="129" t="s">
        <v>1106</v>
      </c>
      <c r="B18" s="1187"/>
      <c r="C18" s="879">
        <v>0.2</v>
      </c>
      <c r="D18" s="1182"/>
      <c r="E18" s="1191">
        <f>IF(ТрЗ_ОВ!$C$107="Red Check (desktop)",$B18*0.8,IF(ТрЗ_ОВ!$C$107="Red Check (web)",$C18*0.8,0))</f>
        <v>0</v>
      </c>
      <c r="F18" s="1191">
        <f>IF(ТрЗ_ОВ!$C$107="Red Check (desktop)",$B18*0.2,IF(ТрЗ_ОВ!$C$107="Red Check (web)",$C18*0.2,0))</f>
        <v>0</v>
      </c>
      <c r="G18" s="1183"/>
      <c r="H18" s="2303" t="s">
        <v>1107</v>
      </c>
      <c r="I18" s="2303"/>
      <c r="J18" s="2304"/>
      <c r="K18" s="1192"/>
      <c r="L18" s="1192"/>
      <c r="M18" s="1192"/>
      <c r="N18" s="1192"/>
      <c r="O18" s="1192"/>
      <c r="P18" s="1192"/>
      <c r="Q18" s="129" t="s">
        <v>1106</v>
      </c>
      <c r="R18" s="1187"/>
      <c r="S18" s="879">
        <v>0.2</v>
      </c>
      <c r="T18" s="1182"/>
      <c r="U18" s="1191">
        <f>IF(ТрЗ_ОВ!$C$107="MaxPatrol VM",$B18*0.8,IF(ТрЗ_ОВ!$C$107="Red Check (web)",$C18*0.8,0))</f>
        <v>0</v>
      </c>
      <c r="V18" s="1191">
        <f>IF(ТрЗ_ОВ!$C$107="MaxPatrol VM",$B18*0.2,IF(ТрЗ_ОВ!$C$107="Red Check (web)",$C18*0.2,0))</f>
        <v>0</v>
      </c>
      <c r="W18" s="1183"/>
    </row>
    <row r="19" spans="1:23" ht="19.149999999999999" customHeight="1" x14ac:dyDescent="0.25">
      <c r="A19" s="1193" t="s">
        <v>1108</v>
      </c>
      <c r="B19" s="1187"/>
      <c r="C19" s="879">
        <v>0.5</v>
      </c>
      <c r="D19" s="1182"/>
      <c r="E19" s="1191">
        <f>IF(ТрЗ_ОВ!$C$107="Red Check (desktop)",$B19*0.8,IF(ТрЗ_ОВ!$C$107="Red Check (web)",$C19*0.8,0))</f>
        <v>0</v>
      </c>
      <c r="F19" s="1191">
        <f>IF(ТрЗ_ОВ!$C$107="Red Check (desktop)",$B19*0.2,IF(ТрЗ_ОВ!$C$107="Red Check (web)",$C19*0.2,0))</f>
        <v>0</v>
      </c>
      <c r="G19" s="1183"/>
      <c r="H19" s="879" t="s">
        <v>1109</v>
      </c>
      <c r="I19" s="1194">
        <v>0.4</v>
      </c>
      <c r="J19" s="1182"/>
      <c r="K19" s="1191">
        <f>IF(ТрЗ_ОВ!$C$107="PT xSpider",0.5*$B19*$B$4,0)</f>
        <v>0</v>
      </c>
      <c r="L19" s="1191">
        <f>IF(ТрЗ_ОВ!$C$107="PT xSpider",0.5*$B19*$B$4,0)</f>
        <v>0</v>
      </c>
      <c r="M19" s="1183"/>
      <c r="N19" s="1191">
        <f>IF(ТрЗ_ОВ!$C$107="PT xSpider",0.5*$B19*$B$4,0)</f>
        <v>0</v>
      </c>
      <c r="O19" s="1191">
        <f>IF(ТрЗ_ОВ!$C$107="PT xSpider",0.5*$B19*$B$4,0)</f>
        <v>0</v>
      </c>
      <c r="P19" s="1183"/>
      <c r="Q19" s="1193" t="s">
        <v>1108</v>
      </c>
      <c r="R19" s="1187"/>
      <c r="S19" s="879">
        <v>0.5</v>
      </c>
      <c r="T19" s="1182"/>
      <c r="U19" s="1191">
        <f>IF(ТрЗ_ОВ!$C$107="MaxPatrol VM",$B19*0.8,IF(ТрЗ_ОВ!$C$107="Red Check (web)",$C19*0.8,0))</f>
        <v>0</v>
      </c>
      <c r="V19" s="1191">
        <f>IF(ТрЗ_ОВ!$C$107="MaxPatrol VM",$B19*0.2,IF(ТрЗ_ОВ!$C$107="Red Check (web)",$C19*0.2,0))</f>
        <v>0</v>
      </c>
      <c r="W19" s="1183"/>
    </row>
    <row r="20" spans="1:23" ht="90" x14ac:dyDescent="0.25">
      <c r="A20" s="1193" t="s">
        <v>1110</v>
      </c>
      <c r="B20" s="1187"/>
      <c r="C20" s="879">
        <v>1.5</v>
      </c>
      <c r="D20" s="1182"/>
      <c r="E20" s="1191">
        <f>IF(ТрЗ_ОВ!$C$107="Red Check (desktop)",$B20*0.8,IF(ТрЗ_ОВ!$C$107="Red Check (web)",$C20*0.8,0))</f>
        <v>0</v>
      </c>
      <c r="F20" s="1191">
        <f>IF(ТрЗ_ОВ!$C$107="Red Check (desktop)",$B20*0.2,IF(ТрЗ_ОВ!$C$107="Red Check (web)",$C20*0.2,0))</f>
        <v>0</v>
      </c>
      <c r="G20" s="1183"/>
      <c r="H20" s="2303" t="s">
        <v>1111</v>
      </c>
      <c r="I20" s="2303"/>
      <c r="J20" s="2304"/>
      <c r="K20" s="1192"/>
      <c r="L20" s="1192"/>
      <c r="M20" s="1192"/>
      <c r="N20" s="1192"/>
      <c r="O20" s="1192"/>
      <c r="P20" s="1192"/>
      <c r="Q20" s="1193" t="s">
        <v>1110</v>
      </c>
      <c r="R20" s="1187"/>
      <c r="S20" s="879">
        <v>1.5</v>
      </c>
      <c r="T20" s="1182"/>
      <c r="U20" s="1191">
        <f>IF(ТрЗ_ОВ!$C$107="MaxPatrol VM",$B20*0.8,IF(ТрЗ_ОВ!$C$107="Red Check (web)",$C20*0.8,0))</f>
        <v>0</v>
      </c>
      <c r="V20" s="1191">
        <f>IF(ТрЗ_ОВ!$C$107="MaxPatrol VM",$B20*0.2,IF(ТрЗ_ОВ!$C$107="Red Check (web)",$C20*0.2,0))</f>
        <v>0</v>
      </c>
      <c r="W20" s="1183"/>
    </row>
    <row r="21" spans="1:23" x14ac:dyDescent="0.25">
      <c r="A21" s="129" t="s">
        <v>1112</v>
      </c>
      <c r="B21" s="1187"/>
      <c r="C21" s="879">
        <v>0.5</v>
      </c>
      <c r="D21" s="1182"/>
      <c r="E21" s="1191">
        <f>IF(ТрЗ_ОВ!$C$107="Red Check (desktop)",$B21*0.8,IF(ТрЗ_ОВ!$C$107="Red Check (web)",$C21*0.8,0))</f>
        <v>0</v>
      </c>
      <c r="F21" s="1191">
        <f>IF(ТрЗ_ОВ!$C$107="Red Check (desktop)",$B21*0.2,IF(ТрЗ_ОВ!$C$107="Red Check (web)",$C21*0.2,0))</f>
        <v>0</v>
      </c>
      <c r="G21" s="1183"/>
      <c r="H21" s="129" t="s">
        <v>1113</v>
      </c>
      <c r="I21" s="1195">
        <v>0.5</v>
      </c>
      <c r="J21" s="1182"/>
      <c r="K21" s="1191">
        <f>IF(ТрЗ_ОВ!$C$107="PT xSpider",0.6*$B21*$B$4,0)</f>
        <v>0</v>
      </c>
      <c r="L21" s="1191">
        <f>IF(ТрЗ_ОВ!$C$107="PT xSpider",0.4*$B21*$B$4,0)</f>
        <v>0</v>
      </c>
      <c r="M21" s="1183"/>
      <c r="N21" s="1191">
        <f>IF(ТрЗ_ОВ!$C$107="PT xSpider",0.6*$B21*$B$4,0)</f>
        <v>0</v>
      </c>
      <c r="O21" s="1191">
        <f>IF(ТрЗ_ОВ!$C$107="PT xSpider",0.4*$B21*$B$4,0)</f>
        <v>0</v>
      </c>
      <c r="P21" s="1183"/>
      <c r="Q21" s="129" t="s">
        <v>1112</v>
      </c>
      <c r="R21" s="1187"/>
      <c r="S21" s="879">
        <v>0.5</v>
      </c>
      <c r="T21" s="1182"/>
      <c r="U21" s="1191">
        <f>IF(ТрЗ_ОВ!$C$107="MaxPatrol VM",$B21*0.8,IF(ТрЗ_ОВ!$C$107="Red Check (web)",$C21*0.8,0))</f>
        <v>0</v>
      </c>
      <c r="V21" s="1191">
        <f>IF(ТрЗ_ОВ!$C$107="MaxPatrol VM",$B21*0.2,IF(ТрЗ_ОВ!$C$107="Red Check (web)",$C21*0.2,0))</f>
        <v>0</v>
      </c>
      <c r="W21" s="1183"/>
    </row>
    <row r="22" spans="1:23" x14ac:dyDescent="0.25">
      <c r="A22" s="129" t="s">
        <v>1114</v>
      </c>
      <c r="B22" s="1187"/>
      <c r="C22" s="879">
        <v>0.2</v>
      </c>
      <c r="D22" s="1182"/>
      <c r="E22" s="1191">
        <f>IF(ТрЗ_ОВ!$C$107="Red Check (desktop)",$B22*0.8,IF(ТрЗ_ОВ!$C$107="Red Check (web)",$C22*0.8,0))</f>
        <v>0</v>
      </c>
      <c r="F22" s="1191">
        <f>IF(ТрЗ_ОВ!$C$107="Red Check (desktop)",$B22*0.2,IF(ТрЗ_ОВ!$C$107="Red Check (web)",$C22*0.2,0))</f>
        <v>0</v>
      </c>
      <c r="G22" s="1183"/>
      <c r="H22" s="129" t="s">
        <v>1115</v>
      </c>
      <c r="I22" s="1195">
        <v>0.4</v>
      </c>
      <c r="J22" s="1182"/>
      <c r="K22" s="1191">
        <f>IF(ТрЗ_ОВ!$C$107="PT xSpider",0.4*$B22*$B$4,0)</f>
        <v>0</v>
      </c>
      <c r="L22" s="1191">
        <f>IF(ТрЗ_ОВ!$C$107="PT xSpider",0.6*$B22*$B$4,IF(ТрЗ_ОВ!$C$107="Xpider (виртуальный)",0.6*#REF!*#REF!,0))</f>
        <v>0</v>
      </c>
      <c r="M22" s="1183"/>
      <c r="N22" s="1191">
        <f>IF(ТрЗ_ОВ!$C$107="PT xSpider",0.4*$B22*$B$4,0)</f>
        <v>0</v>
      </c>
      <c r="O22" s="1191">
        <f>IF(ТрЗ_ОВ!$C$107="PT xSpider",0.6*$B22*$B$4,IF(ТрЗ_ОВ!$C$107="Xpider (виртуальный)",0.6*#REF!*#REF!,0))</f>
        <v>0</v>
      </c>
      <c r="P22" s="1183"/>
      <c r="Q22" s="129" t="s">
        <v>1114</v>
      </c>
      <c r="R22" s="1187"/>
      <c r="S22" s="879">
        <v>0.2</v>
      </c>
      <c r="T22" s="1182"/>
      <c r="U22" s="1191">
        <f>IF(ТрЗ_ОВ!$C$107="MaxPatrol VM",$B22*0.8,IF(ТрЗ_ОВ!$C$107="Red Check (web)",$C22*0.8,0))</f>
        <v>0</v>
      </c>
      <c r="V22" s="1191">
        <f>IF(ТрЗ_ОВ!$C$107="MaxPatrol VM",$B22*0.2,IF(ТрЗ_ОВ!$C$107="Red Check (web)",$C22*0.2,0))</f>
        <v>0</v>
      </c>
      <c r="W22" s="1183"/>
    </row>
    <row r="23" spans="1:23" ht="15.6" customHeight="1" x14ac:dyDescent="0.25">
      <c r="A23" s="129" t="s">
        <v>1116</v>
      </c>
      <c r="B23" s="1187"/>
      <c r="C23" s="1194">
        <v>0.7</v>
      </c>
      <c r="D23" s="1182"/>
      <c r="E23" s="1191">
        <f>IF(ТрЗ_ОВ!$C$107="Red Check (desktop)",$B23*0.5,IF(ТрЗ_ОВ!$C$107="Red Check (web)",$C23*$C$4*0.5,0))</f>
        <v>0</v>
      </c>
      <c r="F23" s="1191">
        <f>IF(ТрЗ_ОВ!$C$107="Red Check (desktop)",$B23*0.8,IF(ТрЗ_ОВ!$C$107="Red Check (web)",$C23*$C$4*0.8,0))</f>
        <v>0</v>
      </c>
      <c r="G23" s="1183"/>
      <c r="H23" s="879" t="s">
        <v>1117</v>
      </c>
      <c r="I23" s="1195">
        <v>0.4</v>
      </c>
      <c r="J23" s="1182"/>
      <c r="K23" s="1191">
        <f>IF(ТрЗ_ОВ!$C$107="PT xSpider",0.5*$B23*$B$4,0)</f>
        <v>0</v>
      </c>
      <c r="L23" s="1191">
        <f>IF(ТрЗ_ОВ!$C$107="PT xSpider",0.5*$B23*$B$4,0)</f>
        <v>0</v>
      </c>
      <c r="M23" s="1183"/>
      <c r="N23" s="1191">
        <f>IF(ТрЗ_ОВ!$C$107="PT xSpider",0.5*$B23*$B$4,0)</f>
        <v>0</v>
      </c>
      <c r="O23" s="1191">
        <f>IF(ТрЗ_ОВ!$C$107="PT xSpider",0.5*$B23*$B$4,0)</f>
        <v>0</v>
      </c>
      <c r="P23" s="1183"/>
      <c r="Q23" s="129" t="s">
        <v>1116</v>
      </c>
      <c r="R23" s="1187"/>
      <c r="S23" s="1194">
        <v>0.7</v>
      </c>
      <c r="T23" s="1182"/>
      <c r="U23" s="1191">
        <f>IF(ТрЗ_ОВ!$C$107="MaxPatrol VM",$B23*0.5,IF(ТрЗ_ОВ!$C$107="Red Check (web)",$C23*$C$4*0.5,0))</f>
        <v>0</v>
      </c>
      <c r="V23" s="1191">
        <f>IF(ТрЗ_ОВ!$C$107="MaxPatrol VM",$B23*0.8,IF(ТрЗ_ОВ!$C$107="Red Check (web)",$C23*$C$4*0.8,0))</f>
        <v>0</v>
      </c>
      <c r="W23" s="1183"/>
    </row>
    <row r="24" spans="1:23" x14ac:dyDescent="0.25">
      <c r="A24" s="129" t="s">
        <v>1118</v>
      </c>
      <c r="B24" s="1187">
        <v>0.5</v>
      </c>
      <c r="C24" s="879">
        <v>0.5</v>
      </c>
      <c r="D24" s="1182">
        <v>0.2</v>
      </c>
      <c r="E24" s="1191">
        <f>IF(ТрЗ_ОВ!$C$107="Red Check (desktop)",$B24*0.2,IF(ТрЗ_ОВ!$C$107="Red Check (web)",$C24*0.2,0))</f>
        <v>0</v>
      </c>
      <c r="F24" s="1191">
        <f>IF(ТрЗ_ОВ!$C$107="Red Check (desktop)",$B24*0.8,IF(ТрЗ_ОВ!$C$107="Red Check (web)",$C24*0.8,0))</f>
        <v>0</v>
      </c>
      <c r="G24" s="1183"/>
      <c r="H24" s="2303" t="s">
        <v>1119</v>
      </c>
      <c r="I24" s="2303"/>
      <c r="J24" s="2304"/>
      <c r="K24" s="1192"/>
      <c r="L24" s="1192"/>
      <c r="M24" s="1192"/>
      <c r="N24" s="1192"/>
      <c r="O24" s="1192"/>
      <c r="P24" s="1192"/>
      <c r="Q24" s="129" t="s">
        <v>1118</v>
      </c>
      <c r="R24" s="1187">
        <v>0.5</v>
      </c>
      <c r="S24" s="879">
        <v>0.5</v>
      </c>
      <c r="T24" s="1182">
        <v>0.2</v>
      </c>
      <c r="U24" s="1191">
        <f>IF(ТрЗ_ОВ!$C$107="MaxPatrol VM",$B24*0.2,IF(ТрЗ_ОВ!$C$107="Red Check (web)",$C24*0.2,0))</f>
        <v>0</v>
      </c>
      <c r="V24" s="1191">
        <f>IF(ТрЗ_ОВ!$C$107="MaxPatrol VM",$B24*0.8,IF(ТрЗ_ОВ!$C$107="Red Check (web)",$C24*0.8,0))</f>
        <v>0</v>
      </c>
      <c r="W24" s="1183"/>
    </row>
    <row r="25" spans="1:23" ht="15.6" customHeight="1" x14ac:dyDescent="0.25">
      <c r="A25" s="129" t="s">
        <v>1105</v>
      </c>
      <c r="B25" s="1187">
        <v>0.6</v>
      </c>
      <c r="C25" s="879">
        <v>0.6</v>
      </c>
      <c r="D25" s="1182">
        <v>0.2</v>
      </c>
      <c r="E25" s="1191">
        <f>IF(ТрЗ_ОВ!$C$107="Red Check (desktop)",$B25*0.2,IF(ТрЗ_ОВ!$C$107="Red Check (web)",$C25*0.2,0))</f>
        <v>0</v>
      </c>
      <c r="F25" s="1191">
        <f>IF(ТрЗ_ОВ!$C$107="Red Check (desktop)",$B25*0.8,IF(ТрЗ_ОВ!$C$107="Red Check (web)",$C25*0.8,0))</f>
        <v>0</v>
      </c>
      <c r="G25" s="1183"/>
      <c r="H25" s="1196" t="s">
        <v>1120</v>
      </c>
      <c r="I25" s="1195">
        <v>0.25</v>
      </c>
      <c r="J25" s="1182"/>
      <c r="K25" s="1191">
        <f>IF(ТрЗ_ОВ!$C$107="PT xSpider",0.8*$B25*$B$4,0)</f>
        <v>0</v>
      </c>
      <c r="L25" s="1191">
        <f>IF(ТрЗ_ОВ!$C$107="PT xSpider",0.2*$B25*$B$4,0)</f>
        <v>0</v>
      </c>
      <c r="M25" s="1183"/>
      <c r="N25" s="1191">
        <f>IF(ТрЗ_ОВ!$C$107="PT xSpider",0.8*$B25*$B$4,0)</f>
        <v>0</v>
      </c>
      <c r="O25" s="1191">
        <f>IF(ТрЗ_ОВ!$C$107="PT xSpider",0.2*$B25*$B$4,0)</f>
        <v>0</v>
      </c>
      <c r="P25" s="1183"/>
      <c r="Q25" s="129" t="s">
        <v>1105</v>
      </c>
      <c r="R25" s="1187">
        <v>0.6</v>
      </c>
      <c r="S25" s="879">
        <v>0.6</v>
      </c>
      <c r="T25" s="1182">
        <v>0.2</v>
      </c>
      <c r="U25" s="1191">
        <f>IF(ТрЗ_ОВ!$C$107="MaxPatrol VM",$B25*0.2,IF(ТрЗ_ОВ!$C$107="Red Check (web)",$C25*0.2,0))</f>
        <v>0</v>
      </c>
      <c r="V25" s="1191">
        <f>IF(ТрЗ_ОВ!$C$107="MaxPatrol VM",$B25*0.8,IF(ТрЗ_ОВ!$C$107="Red Check (web)",$C25*0.8,0))</f>
        <v>0</v>
      </c>
      <c r="W25" s="1183"/>
    </row>
    <row r="26" spans="1:23" x14ac:dyDescent="0.25">
      <c r="A26" s="129" t="s">
        <v>1121</v>
      </c>
      <c r="B26" s="1187">
        <v>0.25</v>
      </c>
      <c r="C26" s="879">
        <v>0.25</v>
      </c>
      <c r="D26" s="1182"/>
      <c r="E26" s="1191">
        <f>IF(ТрЗ_ОВ!$C$107="Red Check (desktop)",$B26*0.2,IF(ТрЗ_ОВ!$C$107="Red Check (web)",$C26*0.2,0))</f>
        <v>0</v>
      </c>
      <c r="F26" s="1191">
        <f>IF(ТрЗ_ОВ!$C$107="Red Check (desktop)",$B26*0.8,IF(ТрЗ_ОВ!$C$107="Red Check (web)",$C26*0.8,0))</f>
        <v>0</v>
      </c>
      <c r="G26" s="1183"/>
      <c r="H26" s="2303" t="s">
        <v>1122</v>
      </c>
      <c r="I26" s="2303"/>
      <c r="J26" s="2304"/>
      <c r="K26" s="1192"/>
      <c r="L26" s="1192"/>
      <c r="M26" s="1192"/>
      <c r="N26" s="1192"/>
      <c r="O26" s="1192"/>
      <c r="P26" s="1192"/>
      <c r="Q26" s="129" t="s">
        <v>1121</v>
      </c>
      <c r="R26" s="1187">
        <v>0.25</v>
      </c>
      <c r="S26" s="879">
        <v>0.25</v>
      </c>
      <c r="T26" s="1182"/>
      <c r="U26" s="1191">
        <f>IF(ТрЗ_ОВ!$C$107="MaxPatrol VM",$B26*0.2,IF(ТрЗ_ОВ!$C$107="Red Check (web)",$C26*0.2,0))</f>
        <v>0</v>
      </c>
      <c r="V26" s="1191">
        <f>IF(ТрЗ_ОВ!$C$107="MaxPatrol VM",$B26*0.8,IF(ТрЗ_ОВ!$C$107="Red Check (web)",$C26*0.8,0))</f>
        <v>0</v>
      </c>
      <c r="W26" s="1183"/>
    </row>
    <row r="27" spans="1:23" x14ac:dyDescent="0.25">
      <c r="A27" s="2303" t="s">
        <v>1107</v>
      </c>
      <c r="B27" s="2303"/>
      <c r="C27" s="2303"/>
      <c r="D27" s="2304"/>
      <c r="E27" s="1192"/>
      <c r="F27" s="1192"/>
      <c r="G27" s="1192"/>
      <c r="H27" s="129" t="s">
        <v>1123</v>
      </c>
      <c r="I27" s="129"/>
      <c r="J27" s="1183"/>
      <c r="K27" s="1197">
        <f>IF(ТрЗ_ОВ!$C$107="PT xSpider",IF((0.5*0.1*($B$31+$B$32))&gt;8,0.5*0.1*($B$31+$B$32),8*0.5),0)</f>
        <v>0</v>
      </c>
      <c r="L27" s="1197">
        <f>IF(ТрЗ_ОВ!$C$107="PT xSpider",IF((0.5*0.1*($B$31+$B$32))&gt;8,0.5*0.1*($B$31+$B$32),8*0.5),0)</f>
        <v>0</v>
      </c>
      <c r="M27" s="1191"/>
      <c r="N27" s="1197">
        <f>IF(ТрЗ_ОВ!$C$107="PT xSpider",IF((0.5*0.1*($B$31+$B$32))&gt;8,0.5*0.1*($B$31+$B$32),8*0.5),0)</f>
        <v>0</v>
      </c>
      <c r="O27" s="1197">
        <f>IF(ТрЗ_ОВ!$C$107="PT xSpider",IF((0.5*0.1*($B$31+$B$32))&gt;8,0.5*0.1*($B$31+$B$32),8*0.5),0)</f>
        <v>0</v>
      </c>
      <c r="P27" s="1191"/>
      <c r="Q27" s="2303" t="s">
        <v>1107</v>
      </c>
      <c r="R27" s="2303"/>
      <c r="S27" s="2303"/>
      <c r="T27" s="2304"/>
      <c r="U27" s="1192"/>
      <c r="V27" s="1192"/>
      <c r="W27" s="1192"/>
    </row>
    <row r="28" spans="1:23" ht="90" x14ac:dyDescent="0.25">
      <c r="A28" s="1198" t="s">
        <v>1124</v>
      </c>
      <c r="B28" s="1198">
        <v>1.5</v>
      </c>
      <c r="C28" s="1198">
        <v>1.5</v>
      </c>
      <c r="D28" s="1199"/>
      <c r="E28" s="1191">
        <f>IF(ТрЗ_ОВ!$C$107="Red Check (desktop)",$B28*0.6,IF(ТрЗ_ОВ!$C$107="Red Check (web)",$C28*0.6,0))</f>
        <v>0</v>
      </c>
      <c r="F28" s="1191">
        <f>IF(ТрЗ_ОВ!$C$107="Red Check (desktop)",$B28*0.4,IF(ТрЗ_ОВ!$C$107="Red Check (web)",$C28*0.4,0))</f>
        <v>0</v>
      </c>
      <c r="G28" s="1183"/>
      <c r="H28" s="2303" t="s">
        <v>1125</v>
      </c>
      <c r="I28" s="2303"/>
      <c r="J28" s="2304"/>
      <c r="K28" s="1192"/>
      <c r="L28" s="1192"/>
      <c r="M28" s="1192"/>
      <c r="N28" s="1192"/>
      <c r="O28" s="1192"/>
      <c r="P28" s="1192"/>
      <c r="Q28" s="879" t="s">
        <v>1124</v>
      </c>
      <c r="R28" s="1194">
        <v>1.5</v>
      </c>
      <c r="S28" s="1194">
        <v>1.5</v>
      </c>
      <c r="T28" s="1182"/>
      <c r="U28" s="1191">
        <f>IF(ТрЗ_ОВ!$C$107="MaxPatrol VM",$B28*0.6,IF(ТрЗ_ОВ!$C$107="Red Check (web)",$C28*0.6,0))</f>
        <v>0</v>
      </c>
      <c r="V28" s="1191">
        <f>IF(ТрЗ_ОВ!$C$107="MaxPatrol VM",$B28*0.4,IF(ТрЗ_ОВ!$C$107="Red Check (web)",$C28*0.4,0))</f>
        <v>0</v>
      </c>
      <c r="W28" s="1183"/>
    </row>
    <row r="29" spans="1:23" ht="105" x14ac:dyDescent="0.25">
      <c r="A29" s="1198" t="s">
        <v>1126</v>
      </c>
      <c r="B29" s="1198">
        <v>0.7</v>
      </c>
      <c r="C29" s="1198">
        <v>0.7</v>
      </c>
      <c r="D29" s="1199"/>
      <c r="E29" s="1191">
        <f>IF(ТрЗ_ОВ!$C$107="Red Check (desktop)",$B29*$B$4*0.6,IF(ТрЗ_ОВ!$C$107="Red Check (web)",$C29*$B$4*0.6,0))</f>
        <v>0</v>
      </c>
      <c r="F29" s="1191">
        <f>IF(ТрЗ_ОВ!$C$107="Red Check (desktop)",$B29*$C$4*0.4,IF(ТрЗ_ОВ!$C$107="Red Check (web)",$C29*$C$4*0.4,0))</f>
        <v>0</v>
      </c>
      <c r="G29" s="1183"/>
      <c r="H29" s="129" t="s">
        <v>1127</v>
      </c>
      <c r="I29" s="129">
        <f>IF(ТрЗ_ОВ!$C$107="PT xSpider",$B$3*8,IF(ТрЗ_ОВ!$C$107="Xpider (виртуальный)",#REF!*8,0))</f>
        <v>0</v>
      </c>
      <c r="J29" s="1182"/>
      <c r="K29" s="1191"/>
      <c r="L29" s="1191">
        <f>IF(ТрЗ_ОВ!$C$107="PT xSpider",I29*0.5,0)</f>
        <v>0</v>
      </c>
      <c r="M29" s="1191">
        <f>IF(ТрЗ_ОВ!$C$107="PT xSpider",I29*0.5,0)</f>
        <v>0</v>
      </c>
      <c r="N29" s="1191"/>
      <c r="O29" s="1191">
        <f>IF(ТрЗ_ОВ!$C$107="PT xSpider",L29*0.5,0)</f>
        <v>0</v>
      </c>
      <c r="P29" s="1191">
        <f>IF(ТрЗ_ОВ!$C$107="PT xSpider",L29*0.5,0)</f>
        <v>0</v>
      </c>
      <c r="Q29" s="879" t="s">
        <v>1126</v>
      </c>
      <c r="R29" s="1194">
        <v>0.7</v>
      </c>
      <c r="S29" s="1194">
        <v>0.7</v>
      </c>
      <c r="T29" s="1182"/>
      <c r="U29" s="1191">
        <f>IF(ТрЗ_ОВ!$C$107="MaxPatrol VM",$B29*$B$4*0.6,IF(ТрЗ_ОВ!$C$107="Red Check (web)",$C29*$B$4*0.6,0))</f>
        <v>0</v>
      </c>
      <c r="V29" s="1191">
        <f>IF(ТрЗ_ОВ!$C$107="MaxPatrol VM",$B29*$C$4*0.4,IF(ТрЗ_ОВ!$C$107="Red Check (web)",$C29*$C$4*0.4,0))</f>
        <v>0</v>
      </c>
      <c r="W29" s="1183"/>
    </row>
    <row r="30" spans="1:23" x14ac:dyDescent="0.25">
      <c r="A30" s="2308" t="s">
        <v>1111</v>
      </c>
      <c r="B30" s="2308"/>
      <c r="C30" s="2308"/>
      <c r="D30" s="2309"/>
      <c r="E30" s="1192"/>
      <c r="F30" s="1192"/>
      <c r="G30" s="1192"/>
      <c r="H30" s="268"/>
      <c r="I30" s="268"/>
      <c r="J30" s="1200">
        <f>IF(ТрЗ_ОВ!$C$107="PT xSpider",I3*(SUM(J13,J15:J17)),0)</f>
        <v>0</v>
      </c>
      <c r="K30" s="1200"/>
      <c r="L30" s="1200"/>
      <c r="M30" s="1200"/>
      <c r="N30" s="1200"/>
      <c r="O30" s="1200"/>
      <c r="P30" s="1200"/>
      <c r="Q30" s="2303" t="s">
        <v>1111</v>
      </c>
      <c r="R30" s="2303"/>
      <c r="S30" s="2303"/>
      <c r="T30" s="2304"/>
      <c r="U30" s="1192"/>
      <c r="V30" s="1192"/>
      <c r="W30" s="1192"/>
    </row>
    <row r="31" spans="1:23" ht="18.75" x14ac:dyDescent="0.3">
      <c r="A31" s="64" t="s">
        <v>1128</v>
      </c>
      <c r="B31" s="1201">
        <v>0.5</v>
      </c>
      <c r="C31" s="1201">
        <v>0.5</v>
      </c>
      <c r="D31" s="1199"/>
      <c r="E31" s="1191">
        <f>IF(ТрЗ_ОВ!$C$107="Red Check (desktop)",$B31*$B$4*0.6,IF(ТрЗ_ОВ!$C$107="Red Check (web)",$C31*$B$4*0.6,0))</f>
        <v>0</v>
      </c>
      <c r="F31" s="1191">
        <f>IF(ТрЗ_ОВ!$C$107="Red Check (desktop)",$B31*$C$4*0.4,IF(ТрЗ_ОВ!$C$107="Red Check (web)",$C31*$C$4*0.4,0))</f>
        <v>0</v>
      </c>
      <c r="G31" s="1183"/>
      <c r="H31" s="1202" t="s">
        <v>1129</v>
      </c>
      <c r="I31" s="1203">
        <f>I4*SUM(I21:I23,I19,I25)+SUM(I13:I17)</f>
        <v>6.35</v>
      </c>
      <c r="J31" s="1204"/>
      <c r="K31" s="1205">
        <f>SUM(K13:K25,J30*0.5)</f>
        <v>0</v>
      </c>
      <c r="L31" s="1205">
        <f>SUM(L13:L25,J30*0.5)</f>
        <v>0</v>
      </c>
      <c r="M31" s="1206"/>
      <c r="N31" s="1205">
        <f>SUM(N13:N25,M30*0.5)</f>
        <v>0</v>
      </c>
      <c r="O31" s="1205">
        <f>SUM(O13:O25,M30*0.5)</f>
        <v>0</v>
      </c>
      <c r="P31" s="1206"/>
      <c r="Q31" s="129" t="s">
        <v>1128</v>
      </c>
      <c r="R31" s="1195">
        <v>0.5</v>
      </c>
      <c r="S31" s="1195">
        <v>0.5</v>
      </c>
      <c r="T31" s="1182"/>
      <c r="U31" s="1191">
        <f>IF(ТрЗ_ОВ!$C$107="MaxPatrol VM",$B31*$B$4*0.6,IF(ТрЗ_ОВ!$C$107="Red Check (web)",$C31*$B$4*0.6,0))</f>
        <v>0</v>
      </c>
      <c r="V31" s="1191">
        <f>IF(ТрЗ_ОВ!$C$107="MaxPatrol VM",$B31*$C$4*0.4,IF(ТрЗ_ОВ!$C$107="Red Check (web)",$C31*$C$4*0.4,0))</f>
        <v>0</v>
      </c>
      <c r="W31" s="1183"/>
    </row>
    <row r="32" spans="1:23" ht="18.75" x14ac:dyDescent="0.3">
      <c r="A32" s="64" t="s">
        <v>1130</v>
      </c>
      <c r="B32" s="1201">
        <v>0.3</v>
      </c>
      <c r="C32" s="1198">
        <v>0.3</v>
      </c>
      <c r="D32" s="1199"/>
      <c r="E32" s="1191">
        <f>IF(ТрЗ_ОВ!$C$107="Red Check (desktop)",$B32*$B$4*0.6,IF(ТрЗ_ОВ!$C$107="Red Check (web)",$C32*$B$4*0.6,0))</f>
        <v>0</v>
      </c>
      <c r="F32" s="1191">
        <f>IF(ТрЗ_ОВ!$C$107="Red Check (desktop)",$B32*$C$4*0.4,IF(ТрЗ_ОВ!$C$107="Red Check (web)",$C32*$C$4*0.4,0))</f>
        <v>0</v>
      </c>
      <c r="G32" s="1183"/>
      <c r="H32" s="1207" t="s">
        <v>1131</v>
      </c>
      <c r="I32" s="1208">
        <f>$B$3*(I7+I8+I9+I10)</f>
        <v>0</v>
      </c>
      <c r="J32" s="1209"/>
      <c r="K32" s="1210">
        <f>SUM(K7:K10)</f>
        <v>0</v>
      </c>
      <c r="L32" s="1210">
        <f>SUM(L7:L10)</f>
        <v>0</v>
      </c>
      <c r="M32" s="1208"/>
      <c r="N32" s="1210">
        <f>SUM(N7:N10)</f>
        <v>0</v>
      </c>
      <c r="O32" s="1210">
        <f>SUM(O7:O10)</f>
        <v>0</v>
      </c>
      <c r="P32" s="1208"/>
      <c r="Q32" s="129" t="s">
        <v>1130</v>
      </c>
      <c r="R32" s="1195">
        <v>0.3</v>
      </c>
      <c r="S32" s="1194">
        <v>0.3</v>
      </c>
      <c r="T32" s="1182"/>
      <c r="U32" s="1191">
        <f>IF(ТрЗ_ОВ!$C$107="MaxPatrol VM",$B32*$B$4*0.6,IF(ТрЗ_ОВ!$C$107="Red Check (web)",$C32*$B$4*0.6,0))</f>
        <v>0</v>
      </c>
      <c r="V32" s="1191">
        <f>IF(ТрЗ_ОВ!$C$107="MaxPatrol VM",$B32*$C$4*0.4,IF(ТрЗ_ОВ!$C$107="Red Check (web)",$C32*$C$4*0.4,0))</f>
        <v>0</v>
      </c>
      <c r="W32" s="1183"/>
    </row>
    <row r="33" spans="1:23" ht="18.75" x14ac:dyDescent="0.3">
      <c r="A33" s="64" t="s">
        <v>1132</v>
      </c>
      <c r="B33" s="1201">
        <v>0.25</v>
      </c>
      <c r="C33" s="1201">
        <v>0.25</v>
      </c>
      <c r="D33" s="1199"/>
      <c r="E33" s="1191">
        <f>IF(ТрЗ_ОВ!$C$107="Red Check (desktop)",$B33*$B$4*0.6,IF(ТрЗ_ОВ!$C$107="Red Check (web)",$C33*$B$4*0.6,0))</f>
        <v>0</v>
      </c>
      <c r="F33" s="1191">
        <f>IF(ТрЗ_ОВ!$C$107="Red Check (desktop)",$B33*$C$4*0.4,IF(ТрЗ_ОВ!$C$107="Red Check (web)",$C33*$C$4*0.4,0))</f>
        <v>0</v>
      </c>
      <c r="G33" s="1183"/>
      <c r="H33" s="1207" t="s">
        <v>245</v>
      </c>
      <c r="I33" s="1208">
        <f>I29*I4</f>
        <v>0</v>
      </c>
      <c r="J33" s="1204"/>
      <c r="K33" s="1205">
        <f t="shared" ref="K33:P33" si="1">K29</f>
        <v>0</v>
      </c>
      <c r="L33" s="1205">
        <f t="shared" si="1"/>
        <v>0</v>
      </c>
      <c r="M33" s="1205">
        <f t="shared" si="1"/>
        <v>0</v>
      </c>
      <c r="N33" s="1205">
        <f t="shared" si="1"/>
        <v>0</v>
      </c>
      <c r="O33" s="1205">
        <f t="shared" si="1"/>
        <v>0</v>
      </c>
      <c r="P33" s="1205">
        <f t="shared" si="1"/>
        <v>0</v>
      </c>
      <c r="Q33" s="129" t="s">
        <v>1132</v>
      </c>
      <c r="R33" s="1195">
        <v>0.25</v>
      </c>
      <c r="S33" s="1195">
        <v>0.25</v>
      </c>
      <c r="T33" s="1182"/>
      <c r="U33" s="1191">
        <f>IF(ТрЗ_ОВ!$C$107="MaxPatrol VM",$B33*$B$4*0.6,IF(ТрЗ_ОВ!$C$107="Red Check (web)",$C33*$B$4*0.6,0))</f>
        <v>0</v>
      </c>
      <c r="V33" s="1191">
        <f>IF(ТрЗ_ОВ!$C$107="MaxPatrol VM",$B33*$C$4*0.4,IF(ТрЗ_ОВ!$C$107="Red Check (web)",$C33*$C$4*0.4,0))</f>
        <v>0</v>
      </c>
      <c r="W33" s="1183"/>
    </row>
    <row r="34" spans="1:23" x14ac:dyDescent="0.25">
      <c r="A34" s="64" t="s">
        <v>1133</v>
      </c>
      <c r="B34" s="1201">
        <v>0.25</v>
      </c>
      <c r="C34" s="1201">
        <v>0.25</v>
      </c>
      <c r="D34" s="1199"/>
      <c r="E34" s="1191">
        <f>IF(ТрЗ_ОВ!$C$107="Red Check (desktop)",$B34*$B$4*0.6,IF(ТрЗ_ОВ!$C$107="Red Check (web)",$C34*$B$4*0.6,0))</f>
        <v>0</v>
      </c>
      <c r="F34" s="1191">
        <f>IF(ТрЗ_ОВ!$C$107="Red Check (desktop)",$B34*$C$4*0.4,IF(ТрЗ_ОВ!$C$107="Red Check (web)",$C34*$C$4*0.4,0))</f>
        <v>0</v>
      </c>
      <c r="G34" s="1183"/>
      <c r="J34" t="s">
        <v>1134</v>
      </c>
      <c r="K34">
        <f t="shared" ref="K34:P34" si="2">ROUNDUP(K$32/8,0)</f>
        <v>0</v>
      </c>
      <c r="L34">
        <f t="shared" si="2"/>
        <v>0</v>
      </c>
      <c r="M34">
        <f t="shared" si="2"/>
        <v>0</v>
      </c>
      <c r="N34">
        <f t="shared" si="2"/>
        <v>0</v>
      </c>
      <c r="O34">
        <f t="shared" si="2"/>
        <v>0</v>
      </c>
      <c r="P34">
        <f t="shared" si="2"/>
        <v>0</v>
      </c>
      <c r="Q34" s="129" t="s">
        <v>1133</v>
      </c>
      <c r="R34" s="1195">
        <v>0.25</v>
      </c>
      <c r="S34" s="1195">
        <v>0.25</v>
      </c>
      <c r="T34" s="1182"/>
      <c r="U34" s="1191">
        <f>IF(ТрЗ_ОВ!$C$107="MaxPatrol VM",$B34*$B$4*0.6,IF(ТрЗ_ОВ!$C$107="Red Check (web)",$C34*$B$4*0.6,0))</f>
        <v>0</v>
      </c>
      <c r="V34" s="1191">
        <f>IF(ТрЗ_ОВ!$C$107="MaxPatrol VM",$B34*$C$4*0.4,IF(ТрЗ_ОВ!$C$107="Red Check (web)",$C34*$C$4*0.4,0))</f>
        <v>0</v>
      </c>
      <c r="W34" s="1183"/>
    </row>
    <row r="35" spans="1:23" x14ac:dyDescent="0.25">
      <c r="A35" s="2303" t="s">
        <v>1119</v>
      </c>
      <c r="B35" s="2303"/>
      <c r="C35" s="2303"/>
      <c r="D35" s="2304"/>
      <c r="E35" s="1192"/>
      <c r="F35" s="1192"/>
      <c r="G35" s="1192"/>
      <c r="J35" t="s">
        <v>902</v>
      </c>
      <c r="K35">
        <f t="shared" ref="K35:P35" si="3">ROUNDUP(K31/8,0)</f>
        <v>0</v>
      </c>
      <c r="L35">
        <f t="shared" si="3"/>
        <v>0</v>
      </c>
      <c r="M35">
        <f t="shared" si="3"/>
        <v>0</v>
      </c>
      <c r="N35">
        <f t="shared" si="3"/>
        <v>0</v>
      </c>
      <c r="O35">
        <f t="shared" si="3"/>
        <v>0</v>
      </c>
      <c r="P35">
        <f t="shared" si="3"/>
        <v>0</v>
      </c>
      <c r="Q35" s="2303" t="s">
        <v>1119</v>
      </c>
      <c r="R35" s="2303"/>
      <c r="S35" s="2303"/>
      <c r="T35" s="2304"/>
      <c r="U35" s="1192"/>
      <c r="V35" s="1192"/>
      <c r="W35" s="1192"/>
    </row>
    <row r="36" spans="1:23" ht="105" x14ac:dyDescent="0.25">
      <c r="A36" s="1198" t="s">
        <v>1120</v>
      </c>
      <c r="B36" s="1201">
        <v>0.15</v>
      </c>
      <c r="C36" s="1201">
        <v>0.15</v>
      </c>
      <c r="D36" s="1199"/>
      <c r="E36" s="1191">
        <f>IF(ТрЗ_ОВ!$C$107="Red Check (desktop)",$B36*$B$4,IF(ТрЗ_ОВ!$C$107="Red Check (web)",$C36*$C$4,0))</f>
        <v>0</v>
      </c>
      <c r="F36" s="1191"/>
      <c r="G36" s="1183"/>
      <c r="J36" t="s">
        <v>903</v>
      </c>
      <c r="K36">
        <f>ROUNDUP(K33/8,0)</f>
        <v>0</v>
      </c>
      <c r="L36">
        <f t="shared" ref="L36:M36" si="4">ROUNDUP(L33/8,0)</f>
        <v>0</v>
      </c>
      <c r="M36">
        <f t="shared" si="4"/>
        <v>0</v>
      </c>
      <c r="N36">
        <f>ROUNDUP(N33/8,0)</f>
        <v>0</v>
      </c>
      <c r="O36">
        <f t="shared" ref="O36:P36" si="5">ROUNDUP(O33/8,0)</f>
        <v>0</v>
      </c>
      <c r="P36">
        <f t="shared" si="5"/>
        <v>0</v>
      </c>
      <c r="Q36" s="1196" t="s">
        <v>1120</v>
      </c>
      <c r="R36" s="1195">
        <v>0.15</v>
      </c>
      <c r="S36" s="1195">
        <v>0.15</v>
      </c>
      <c r="T36" s="1182"/>
      <c r="U36" s="1191">
        <f>IF(ТрЗ_ОВ!$C$107="MaxPatrol VM",$B36*$B$4,IF(ТрЗ_ОВ!$C$107="Red Check (web)",$C36*$C$4,0))</f>
        <v>0</v>
      </c>
      <c r="V36" s="1191"/>
      <c r="W36" s="1183"/>
    </row>
    <row r="37" spans="1:23" x14ac:dyDescent="0.25">
      <c r="A37" s="2303" t="s">
        <v>1135</v>
      </c>
      <c r="B37" s="2303"/>
      <c r="C37" s="2303"/>
      <c r="D37" s="2304"/>
      <c r="E37" s="1192"/>
      <c r="F37" s="1192"/>
      <c r="G37" s="1192"/>
      <c r="Q37" s="2303" t="s">
        <v>1135</v>
      </c>
      <c r="R37" s="2303"/>
      <c r="S37" s="2303"/>
      <c r="T37" s="2304"/>
      <c r="U37" s="1192"/>
      <c r="V37" s="1192"/>
      <c r="W37" s="1192"/>
    </row>
    <row r="38" spans="1:23" ht="105" x14ac:dyDescent="0.25">
      <c r="A38" s="879" t="s">
        <v>1136</v>
      </c>
      <c r="B38" s="1183"/>
      <c r="C38" s="1194">
        <v>5</v>
      </c>
      <c r="D38" s="1182"/>
      <c r="E38" s="1191"/>
      <c r="F38" s="1211">
        <f>IF(ТрЗ_ОВ!$C$107="Red Check (desktop)",0,IF(ТрЗ_ОВ!$C$107="Red Check (web)",5,0))</f>
        <v>0</v>
      </c>
      <c r="G38" s="1183"/>
      <c r="Q38" s="879" t="s">
        <v>1136</v>
      </c>
      <c r="R38" s="1183"/>
      <c r="S38" s="1194">
        <v>5</v>
      </c>
      <c r="T38" s="1182"/>
      <c r="U38" s="1191"/>
      <c r="V38" s="1211">
        <f>IF(ТрЗ_ОВ!$C$107="MaxPatrol VM",0,IF(ТрЗ_ОВ!$C$107="Red Check (web)",5,0))</f>
        <v>0</v>
      </c>
      <c r="W38" s="1183"/>
    </row>
    <row r="39" spans="1:23" x14ac:dyDescent="0.25">
      <c r="A39" s="2303" t="s">
        <v>1122</v>
      </c>
      <c r="B39" s="2303"/>
      <c r="C39" s="2303"/>
      <c r="D39" s="2304"/>
      <c r="E39" s="1192"/>
      <c r="F39" s="1192"/>
      <c r="G39" s="1192"/>
      <c r="Q39" s="2303" t="s">
        <v>1122</v>
      </c>
      <c r="R39" s="2303"/>
      <c r="S39" s="2303"/>
      <c r="T39" s="2304"/>
      <c r="U39" s="1192"/>
      <c r="V39" s="1192"/>
      <c r="W39" s="1192"/>
    </row>
    <row r="40" spans="1:23" x14ac:dyDescent="0.25">
      <c r="A40" s="129" t="s">
        <v>1123</v>
      </c>
      <c r="B40" s="129"/>
      <c r="C40" s="129"/>
      <c r="D40" s="1183"/>
      <c r="E40" s="1197">
        <f>IF(ТрЗ_ОВ!$C$107="Red Check (desktop)",IF((0.1*SUM(E13:E26,E28:E36))&gt;8,0.1*SUM(E13:E26,E28:E36),8),IF(ТрЗ_ОВ!$C$107="Red Check (web)",IF((0.1*SUM(E13:E26,E28:E36))&gt;8,0.1*SUM(E13:E26,E28:E36),8),0))</f>
        <v>0</v>
      </c>
      <c r="F40" s="1197">
        <f>IF(ТрЗ_ОВ!$C$107="Red Check (desktop)",IF((0.1*SUM(F13:F26,F28:F36))&gt;8,0.1*SUM(F13:F26,F28:F36),8),IF(ТрЗ_ОВ!$C$107="Red Check (web)",IF((0.1*SUM(F13:F26,F28:F36))&gt;8,0.1*SUM(F13:F26,F28:F36),8),0))</f>
        <v>0</v>
      </c>
      <c r="G40" s="1191"/>
      <c r="Q40" s="129" t="s">
        <v>1123</v>
      </c>
      <c r="R40" s="129"/>
      <c r="S40" s="129"/>
      <c r="T40" s="1183"/>
      <c r="U40" s="1197">
        <f>IF(ТрЗ_ОВ!$C$107="MaxPatrol VM",IF((0.1*SUM(U13:U26,U28:U36))&gt;8,0.1*SUM(U13:U26,U28:U36),8),IF(ТрЗ_ОВ!$C$107="Red Check (web)",IF((0.1*SUM(U13:U26,U28:U36))&gt;8,0.1*SUM(U13:U26,U28:U36),8),0))</f>
        <v>0</v>
      </c>
      <c r="V40" s="1197">
        <f>IF(ТрЗ_ОВ!$C$107="MaxPatrol VM",IF((0.1*SUM(V13:V26,V28:V36))&gt;8,0.1*SUM(V13:V26,V28:V36),8),IF(ТрЗ_ОВ!$C$107="Red Check (web)",IF((0.1*SUM(V13:V26,V28:V36))&gt;8,0.1*SUM(V13:V26,V28:V36),8),0))</f>
        <v>0</v>
      </c>
      <c r="W40" s="1191"/>
    </row>
    <row r="41" spans="1:23" x14ac:dyDescent="0.25">
      <c r="A41" s="2303" t="s">
        <v>1125</v>
      </c>
      <c r="B41" s="2303"/>
      <c r="C41" s="2303"/>
      <c r="D41" s="2304"/>
      <c r="E41" s="1192"/>
      <c r="F41" s="1192"/>
      <c r="G41" s="1192"/>
      <c r="Q41" s="2303" t="s">
        <v>1125</v>
      </c>
      <c r="R41" s="2303"/>
      <c r="S41" s="2303"/>
      <c r="T41" s="2304"/>
      <c r="U41" s="1192"/>
      <c r="V41" s="1192"/>
      <c r="W41" s="1192"/>
    </row>
    <row r="42" spans="1:23" x14ac:dyDescent="0.25">
      <c r="A42" s="129" t="s">
        <v>1127</v>
      </c>
      <c r="B42" s="129">
        <f>IF(ТрЗ_ОВ!$C$107="Red Check (desktop)",8*$B$3,IF(ТрЗ_ОВ!$C$107="Red Check (web)",8*$B$3,0))</f>
        <v>0</v>
      </c>
      <c r="C42" s="129">
        <f>IF(ТрЗ_ОВ!$C$107="Red Check (desktop)",8*$B$3,IF(ТрЗ_ОВ!$C$107="Red Check (web)",8*$B$3,0))</f>
        <v>0</v>
      </c>
      <c r="D42" s="1182"/>
      <c r="E42" s="1191"/>
      <c r="F42" s="1191">
        <f>C42*0.5</f>
        <v>0</v>
      </c>
      <c r="G42" s="1191">
        <f>B42*0.5</f>
        <v>0</v>
      </c>
      <c r="Q42" s="129" t="s">
        <v>1127</v>
      </c>
      <c r="R42" s="129">
        <f>IF(ТрЗ_ОВ!$C$107="MaxPatrol VM",8*$B$3,IF(ТрЗ_ОВ!$C$107="Red Check (web)",8*$B$3,0))</f>
        <v>0</v>
      </c>
      <c r="S42" s="129">
        <f>IF(ТрЗ_ОВ!$C$107="MaxPatrol VM",8*$B$3,IF(ТрЗ_ОВ!$C$107="Red Check (web)",8*$B$3,0))</f>
        <v>0</v>
      </c>
      <c r="T42" s="1182"/>
      <c r="U42" s="1191"/>
      <c r="V42" s="1191">
        <f>S42*0.5</f>
        <v>0</v>
      </c>
      <c r="W42" s="1191">
        <f>R42*0.5</f>
        <v>0</v>
      </c>
    </row>
    <row r="43" spans="1:23" x14ac:dyDescent="0.25">
      <c r="A43" s="268"/>
      <c r="B43" s="268"/>
      <c r="C43" s="1212"/>
      <c r="D43" s="1200">
        <f>IF(ТрЗ_ОВ!$C$107="Red Check (desktop)",$B$3*SUM(D13:D25),IF(ТрЗ_ОВ!$C$107="Red Check (web)",$C$3*SUM(D13:D25),0))</f>
        <v>0</v>
      </c>
      <c r="E43" s="1200"/>
      <c r="F43" s="1200"/>
      <c r="G43" s="1200"/>
      <c r="Q43" s="268"/>
      <c r="R43" s="268"/>
      <c r="S43" s="1212"/>
      <c r="T43" s="1200">
        <f>IF(ТрЗ_ОВ!$C$107="MaxPatrol VM",$B$3*SUM(T13:T25),IF(ТрЗ_ОВ!$C$107="Red Check (web)",$C$3*SUM(T13:T25),0))</f>
        <v>0</v>
      </c>
      <c r="U43" s="1200"/>
      <c r="V43" s="1200"/>
      <c r="W43" s="1200"/>
    </row>
    <row r="44" spans="1:23" ht="18.75" x14ac:dyDescent="0.3">
      <c r="A44" s="1207" t="s">
        <v>1137</v>
      </c>
      <c r="B44" s="1206">
        <f>SUM(B13:B26,B28,B36)+(B4*(B31+B32+B33+B34))+D43</f>
        <v>7.25</v>
      </c>
      <c r="C44" s="1213">
        <f>SUM(C13:C22,C24:C26,C36,D43,C28)+(C4*(C31+C32+C33+C34))</f>
        <v>11.399999999999999</v>
      </c>
      <c r="D44" s="1214"/>
      <c r="E44" s="1215">
        <f>SUM(E13:E28,E31:E36,D43,E40)</f>
        <v>0</v>
      </c>
      <c r="F44" s="1215">
        <f>SUM(F13:F28,F31:F36,D43,F40,F38)</f>
        <v>0</v>
      </c>
      <c r="G44" s="1215">
        <v>0</v>
      </c>
      <c r="Q44" s="1207" t="s">
        <v>1137</v>
      </c>
      <c r="R44" s="1206">
        <f>SUM(R13:R26,R28,R36)+(R4*(R31+R32+R33+R34))+T43</f>
        <v>7.25</v>
      </c>
      <c r="S44" s="1213">
        <f>SUM(S13:S22,S24:S26,S36,T43,S28)+(S4*(S31+S32+S33+S34))</f>
        <v>11.399999999999999</v>
      </c>
      <c r="T44" s="1214"/>
      <c r="U44" s="1215">
        <f>SUM(U13:U28,U31:U36,T43,U40)</f>
        <v>0</v>
      </c>
      <c r="V44" s="1215">
        <f>SUM(V13:V28,V31:V36,T43,V40,V38)</f>
        <v>0</v>
      </c>
      <c r="W44" s="1215">
        <v>0</v>
      </c>
    </row>
    <row r="45" spans="1:23" ht="18.75" x14ac:dyDescent="0.3">
      <c r="A45" s="1207" t="s">
        <v>1129</v>
      </c>
      <c r="B45" s="1208">
        <f>SUM(B13:B26)+(B4*(B29+B31+B32+B33+B34+B36)+D43)</f>
        <v>5.6</v>
      </c>
      <c r="C45" s="1213">
        <f>SUM(C13:C22,C24:C26,C36,D43)+(C4*(C31+C32+C33+C34+C29))</f>
        <v>9.8999999999999986</v>
      </c>
      <c r="D45" s="1204"/>
      <c r="E45" s="1215">
        <f>SUM(E13:E27,E29:E36,D43,E40)</f>
        <v>0</v>
      </c>
      <c r="F45" s="1215">
        <f>SUM(F13:F27,F29:F36,D43,F40,F38)</f>
        <v>0</v>
      </c>
      <c r="G45" s="1215">
        <v>0</v>
      </c>
      <c r="Q45" s="1207" t="s">
        <v>1129</v>
      </c>
      <c r="R45" s="1208">
        <f>SUM(R13:R26)+(R4*(R29+R31+R32+R33+R34+R36)+T43)</f>
        <v>5.6</v>
      </c>
      <c r="S45" s="1213">
        <f>SUM(S13:S22,S24:S26,S36,T43)+(S4*(S31+S32+S33+S34+S29))</f>
        <v>9.8999999999999986</v>
      </c>
      <c r="T45" s="1204"/>
      <c r="U45" s="1215">
        <f>SUM(U13:U27,U29:U36,T43,U40)</f>
        <v>0</v>
      </c>
      <c r="V45" s="1215">
        <f>SUM(V13:V27,V29:V36,T43,V40,V38)</f>
        <v>0</v>
      </c>
      <c r="W45" s="1215">
        <v>0</v>
      </c>
    </row>
    <row r="46" spans="1:23" ht="18.75" x14ac:dyDescent="0.3">
      <c r="A46" s="1207" t="s">
        <v>1131</v>
      </c>
      <c r="B46" s="1208" t="e">
        <f>#REF!</f>
        <v>#REF!</v>
      </c>
      <c r="C46" s="1208" t="e">
        <f>#REF!</f>
        <v>#REF!</v>
      </c>
      <c r="D46" s="1209"/>
      <c r="E46" s="1216">
        <f>SUM(E7:E10)</f>
        <v>0</v>
      </c>
      <c r="F46" s="1216">
        <f>SUM(F7:F10)</f>
        <v>0</v>
      </c>
      <c r="G46" s="1216">
        <v>0</v>
      </c>
      <c r="Q46" s="1207" t="s">
        <v>1131</v>
      </c>
      <c r="R46" s="1208" t="e">
        <f>#REF!</f>
        <v>#REF!</v>
      </c>
      <c r="S46" s="1208" t="e">
        <f>#REF!</f>
        <v>#REF!</v>
      </c>
      <c r="T46" s="1209"/>
      <c r="U46" s="1216">
        <f>SUM(U7:U10)</f>
        <v>0</v>
      </c>
      <c r="V46" s="1216">
        <f>SUM(V7:V10)</f>
        <v>0</v>
      </c>
      <c r="W46" s="1216">
        <v>0</v>
      </c>
    </row>
    <row r="47" spans="1:23" ht="18.75" x14ac:dyDescent="0.3">
      <c r="A47" s="1207" t="s">
        <v>245</v>
      </c>
      <c r="B47" s="1208">
        <f>B42</f>
        <v>0</v>
      </c>
      <c r="C47" s="1213">
        <f>C42</f>
        <v>0</v>
      </c>
      <c r="D47" s="1204"/>
      <c r="E47" s="1215">
        <f>E42</f>
        <v>0</v>
      </c>
      <c r="F47" s="1215">
        <f>F42</f>
        <v>0</v>
      </c>
      <c r="G47" s="1215">
        <f>G42</f>
        <v>0</v>
      </c>
      <c r="Q47" s="1207" t="s">
        <v>245</v>
      </c>
      <c r="R47" s="1208">
        <f>R42</f>
        <v>0</v>
      </c>
      <c r="S47" s="1213">
        <f>S42</f>
        <v>0</v>
      </c>
      <c r="T47" s="1204"/>
      <c r="U47" s="1215">
        <f>U42</f>
        <v>0</v>
      </c>
      <c r="V47" s="1215">
        <f>V42</f>
        <v>0</v>
      </c>
      <c r="W47" s="1215">
        <f>W42</f>
        <v>0</v>
      </c>
    </row>
    <row r="48" spans="1:23" x14ac:dyDescent="0.25">
      <c r="D48" t="s">
        <v>1134</v>
      </c>
      <c r="E48">
        <f>ROUNDUP(E$46/8,0)</f>
        <v>0</v>
      </c>
      <c r="F48">
        <f t="shared" ref="F48:G48" si="6">ROUNDUP(F$46/8,0)</f>
        <v>0</v>
      </c>
      <c r="G48">
        <f t="shared" si="6"/>
        <v>0</v>
      </c>
      <c r="T48" t="s">
        <v>1134</v>
      </c>
      <c r="U48">
        <f>ROUNDUP(U$46/8,0)</f>
        <v>0</v>
      </c>
      <c r="V48">
        <f t="shared" ref="V48:W48" si="7">ROUNDUP(V$46/8,0)</f>
        <v>0</v>
      </c>
      <c r="W48">
        <f t="shared" si="7"/>
        <v>0</v>
      </c>
    </row>
    <row r="49" spans="4:23" x14ac:dyDescent="0.25">
      <c r="D49" t="s">
        <v>1138</v>
      </c>
      <c r="E49">
        <f>ROUNDUP(E$44/8,0)</f>
        <v>0</v>
      </c>
      <c r="F49">
        <f t="shared" ref="F49:G49" si="8">ROUNDUP(F$44/8,0)</f>
        <v>0</v>
      </c>
      <c r="G49">
        <f t="shared" si="8"/>
        <v>0</v>
      </c>
      <c r="T49" t="s">
        <v>1138</v>
      </c>
      <c r="U49">
        <f>ROUNDUP(U$44/8,0)</f>
        <v>0</v>
      </c>
      <c r="V49">
        <f t="shared" ref="V49:W49" si="9">ROUNDUP(V$44/8,0)</f>
        <v>0</v>
      </c>
      <c r="W49">
        <f t="shared" si="9"/>
        <v>0</v>
      </c>
    </row>
    <row r="50" spans="4:23" x14ac:dyDescent="0.25">
      <c r="D50" t="s">
        <v>902</v>
      </c>
      <c r="E50">
        <f>ROUNDUP(E$45/8,0)</f>
        <v>0</v>
      </c>
      <c r="F50">
        <f t="shared" ref="F50:G50" si="10">ROUNDUP(F$45/8,0)</f>
        <v>0</v>
      </c>
      <c r="G50">
        <f t="shared" si="10"/>
        <v>0</v>
      </c>
      <c r="T50" t="s">
        <v>902</v>
      </c>
      <c r="U50">
        <f>ROUNDUP(U$45/8,0)</f>
        <v>0</v>
      </c>
      <c r="V50">
        <f t="shared" ref="V50:W50" si="11">ROUNDUP(V$45/8,0)</f>
        <v>0</v>
      </c>
      <c r="W50">
        <f t="shared" si="11"/>
        <v>0</v>
      </c>
    </row>
    <row r="51" spans="4:23" x14ac:dyDescent="0.25">
      <c r="D51" t="s">
        <v>903</v>
      </c>
      <c r="E51">
        <f>ROUNDUP(E47/8,0)</f>
        <v>0</v>
      </c>
      <c r="F51">
        <f t="shared" ref="F51:G51" si="12">ROUNDUP(F47/8,0)</f>
        <v>0</v>
      </c>
      <c r="G51">
        <f t="shared" si="12"/>
        <v>0</v>
      </c>
      <c r="T51" t="s">
        <v>903</v>
      </c>
      <c r="U51">
        <f>ROUNDUP(U47/8,0)</f>
        <v>0</v>
      </c>
      <c r="V51">
        <f t="shared" ref="V51:W51" si="13">ROUNDUP(V47/8,0)</f>
        <v>0</v>
      </c>
      <c r="W51">
        <f t="shared" si="13"/>
        <v>0</v>
      </c>
    </row>
    <row r="54" spans="4:23" x14ac:dyDescent="0.25">
      <c r="D54" t="s">
        <v>46</v>
      </c>
      <c r="E54">
        <f>(($B$4*SUM($B$31:$B$34))*0.4)/8</f>
        <v>0</v>
      </c>
      <c r="F54">
        <f t="shared" ref="F54" si="14">(($B$4*SUM($B$31:$B$34))*0.4)/8</f>
        <v>0</v>
      </c>
      <c r="G54">
        <f>(($B$4*SUM($B$31:$B$34))*0.2)/8</f>
        <v>0</v>
      </c>
    </row>
  </sheetData>
  <mergeCells count="27">
    <mergeCell ref="A41:D41"/>
    <mergeCell ref="Q41:T41"/>
    <mergeCell ref="A35:D35"/>
    <mergeCell ref="Q35:T35"/>
    <mergeCell ref="A37:D37"/>
    <mergeCell ref="Q37:T37"/>
    <mergeCell ref="A39:D39"/>
    <mergeCell ref="Q39:T39"/>
    <mergeCell ref="H26:J26"/>
    <mergeCell ref="A27:D27"/>
    <mergeCell ref="Q27:T27"/>
    <mergeCell ref="H28:J28"/>
    <mergeCell ref="A30:D30"/>
    <mergeCell ref="Q30:T30"/>
    <mergeCell ref="H24:J24"/>
    <mergeCell ref="A1:G1"/>
    <mergeCell ref="H1:M1"/>
    <mergeCell ref="N1:P1"/>
    <mergeCell ref="Q1:W1"/>
    <mergeCell ref="A6:D6"/>
    <mergeCell ref="H6:J6"/>
    <mergeCell ref="Q6:T6"/>
    <mergeCell ref="A11:D11"/>
    <mergeCell ref="H11:J11"/>
    <mergeCell ref="Q11:T11"/>
    <mergeCell ref="H18:J18"/>
    <mergeCell ref="H20:J20"/>
  </mergeCell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Лист53">
    <tabColor theme="8"/>
  </sheetPr>
  <dimension ref="A1:H42"/>
  <sheetViews>
    <sheetView topLeftCell="A5" workbookViewId="0">
      <selection activeCell="B5" sqref="B5"/>
    </sheetView>
  </sheetViews>
  <sheetFormatPr defaultRowHeight="15" x14ac:dyDescent="0.25"/>
  <cols>
    <col min="1" max="1" width="69.5703125" customWidth="1"/>
    <col min="2" max="2" width="26.42578125" customWidth="1"/>
    <col min="3" max="3" width="23.5703125" customWidth="1"/>
    <col min="4" max="4" width="11.5703125" bestFit="1" customWidth="1"/>
    <col min="5" max="7" width="27.28515625" customWidth="1"/>
    <col min="8" max="8" width="15.7109375" customWidth="1"/>
  </cols>
  <sheetData>
    <row r="1" spans="1:8" x14ac:dyDescent="0.25">
      <c r="A1" s="1136"/>
      <c r="B1" s="1137" t="s">
        <v>75</v>
      </c>
      <c r="C1" s="1138" t="s">
        <v>68</v>
      </c>
      <c r="D1" s="1067"/>
      <c r="E1" s="1067"/>
      <c r="F1" s="1067"/>
      <c r="G1" s="1067"/>
      <c r="H1" s="1067"/>
    </row>
    <row r="2" spans="1:8" x14ac:dyDescent="0.25">
      <c r="A2" s="1139"/>
      <c r="B2" s="1067"/>
      <c r="C2" s="1138"/>
      <c r="D2" s="1067"/>
      <c r="E2" s="1067"/>
      <c r="F2" s="1067"/>
      <c r="G2" s="1067"/>
      <c r="H2" s="1067"/>
    </row>
    <row r="3" spans="1:8" ht="15.75" thickBot="1" x14ac:dyDescent="0.3">
      <c r="A3" s="1067"/>
      <c r="B3" s="1067"/>
      <c r="C3" s="1138"/>
      <c r="D3" s="1067"/>
      <c r="E3" s="1067"/>
      <c r="F3" s="1067"/>
      <c r="G3" s="1067"/>
      <c r="H3" s="1067"/>
    </row>
    <row r="4" spans="1:8" ht="25.5" x14ac:dyDescent="0.25">
      <c r="A4" s="1140" t="s">
        <v>872</v>
      </c>
      <c r="B4" s="1141" t="s">
        <v>873</v>
      </c>
      <c r="C4" s="1142" t="s">
        <v>874</v>
      </c>
      <c r="D4" s="1141" t="s">
        <v>52</v>
      </c>
      <c r="E4" s="1142" t="s">
        <v>715</v>
      </c>
      <c r="F4" s="1142" t="s">
        <v>714</v>
      </c>
      <c r="G4" s="1142" t="s">
        <v>713</v>
      </c>
      <c r="H4" s="1141" t="s">
        <v>875</v>
      </c>
    </row>
    <row r="5" spans="1:8" ht="89.25" x14ac:dyDescent="0.25">
      <c r="A5" s="1037" t="s">
        <v>876</v>
      </c>
      <c r="B5" s="1245">
        <f>ТрЗ_ОВ!E108</f>
        <v>0</v>
      </c>
      <c r="C5" s="1040"/>
      <c r="D5" s="1039"/>
      <c r="E5" s="1040"/>
      <c r="F5" s="1039"/>
      <c r="G5" s="1040"/>
      <c r="H5" s="1039" t="s">
        <v>1020</v>
      </c>
    </row>
    <row r="6" spans="1:8" x14ac:dyDescent="0.25">
      <c r="A6" s="1037" t="s">
        <v>1194</v>
      </c>
      <c r="B6" s="1245">
        <f>ТрЗ_ОВ!H108</f>
        <v>0</v>
      </c>
      <c r="C6" s="1040"/>
      <c r="D6" s="1039"/>
      <c r="E6" s="1040"/>
      <c r="F6" s="1039"/>
      <c r="G6" s="1040"/>
      <c r="H6" s="1039"/>
    </row>
    <row r="7" spans="1:8" x14ac:dyDescent="0.25">
      <c r="A7" s="1037" t="s">
        <v>1195</v>
      </c>
      <c r="B7" s="1245">
        <f>ТрЗ_ОВ!J108</f>
        <v>0</v>
      </c>
      <c r="C7" s="1040"/>
      <c r="D7" s="1039"/>
      <c r="E7" s="1040"/>
      <c r="F7" s="1039"/>
      <c r="G7" s="1040"/>
      <c r="H7" s="1039"/>
    </row>
    <row r="8" spans="1:8" x14ac:dyDescent="0.25">
      <c r="A8" s="1037" t="s">
        <v>880</v>
      </c>
      <c r="B8" s="1039">
        <v>1</v>
      </c>
      <c r="C8" s="1040">
        <v>4</v>
      </c>
      <c r="D8" s="1039">
        <v>4</v>
      </c>
      <c r="E8" s="1040"/>
      <c r="F8" s="1039">
        <f>D8/8</f>
        <v>0.5</v>
      </c>
      <c r="G8" s="1040"/>
      <c r="H8" s="1039"/>
    </row>
    <row r="9" spans="1:8" x14ac:dyDescent="0.25">
      <c r="A9" s="1037" t="s">
        <v>881</v>
      </c>
      <c r="B9" s="1039" t="s">
        <v>882</v>
      </c>
      <c r="C9" s="1040"/>
      <c r="D9" s="1039"/>
      <c r="E9" s="1040"/>
      <c r="F9" s="1040"/>
      <c r="G9" s="1040"/>
      <c r="H9" s="1039"/>
    </row>
    <row r="10" spans="1:8" x14ac:dyDescent="0.25">
      <c r="A10" s="1042" t="s">
        <v>883</v>
      </c>
      <c r="B10" s="1246">
        <v>1</v>
      </c>
      <c r="C10" s="1040">
        <v>1</v>
      </c>
      <c r="D10" s="1039">
        <f t="shared" ref="D10:D13" si="0">C10*($B$6)</f>
        <v>0</v>
      </c>
      <c r="E10" s="1040">
        <f>0.5*D10</f>
        <v>0</v>
      </c>
      <c r="F10" s="1040">
        <f>0.5*D10</f>
        <v>0</v>
      </c>
      <c r="G10" s="1040"/>
      <c r="H10" s="1039"/>
    </row>
    <row r="11" spans="1:8" x14ac:dyDescent="0.25">
      <c r="A11" s="1042" t="s">
        <v>884</v>
      </c>
      <c r="B11" s="1246">
        <v>1</v>
      </c>
      <c r="C11" s="1040">
        <v>1</v>
      </c>
      <c r="D11" s="1039">
        <f t="shared" si="0"/>
        <v>0</v>
      </c>
      <c r="E11" s="1040">
        <f t="shared" ref="E11:E13" si="1">0.5*D11</f>
        <v>0</v>
      </c>
      <c r="F11" s="1040">
        <f t="shared" ref="F11:F13" si="2">0.5*D11</f>
        <v>0</v>
      </c>
      <c r="G11" s="1040"/>
      <c r="H11" s="1039"/>
    </row>
    <row r="12" spans="1:8" x14ac:dyDescent="0.25">
      <c r="A12" s="1042" t="s">
        <v>885</v>
      </c>
      <c r="B12" s="1246">
        <v>1</v>
      </c>
      <c r="C12" s="1040">
        <v>1</v>
      </c>
      <c r="D12" s="1039">
        <f t="shared" si="0"/>
        <v>0</v>
      </c>
      <c r="E12" s="1040">
        <f t="shared" si="1"/>
        <v>0</v>
      </c>
      <c r="F12" s="1040">
        <f t="shared" si="2"/>
        <v>0</v>
      </c>
      <c r="G12" s="1040"/>
      <c r="H12" s="1039"/>
    </row>
    <row r="13" spans="1:8" x14ac:dyDescent="0.25">
      <c r="A13" s="1042" t="s">
        <v>886</v>
      </c>
      <c r="B13" s="1246">
        <v>1</v>
      </c>
      <c r="C13" s="1040">
        <v>1</v>
      </c>
      <c r="D13" s="1039">
        <f t="shared" si="0"/>
        <v>0</v>
      </c>
      <c r="E13" s="1040">
        <f t="shared" si="1"/>
        <v>0</v>
      </c>
      <c r="F13" s="1040">
        <f t="shared" si="2"/>
        <v>0</v>
      </c>
      <c r="G13" s="1040"/>
      <c r="H13" s="1039"/>
    </row>
    <row r="14" spans="1:8" x14ac:dyDescent="0.25">
      <c r="A14" s="1037" t="s">
        <v>887</v>
      </c>
      <c r="B14" s="1246"/>
      <c r="C14" s="1040"/>
      <c r="D14" s="1039"/>
      <c r="E14" s="1040"/>
      <c r="F14" s="1039"/>
      <c r="G14" s="1040"/>
      <c r="H14" s="1039"/>
    </row>
    <row r="15" spans="1:8" x14ac:dyDescent="0.25">
      <c r="A15" s="1037" t="s">
        <v>888</v>
      </c>
      <c r="B15" s="1246"/>
      <c r="C15" s="1040"/>
      <c r="D15" s="1039"/>
      <c r="E15" s="1040"/>
      <c r="F15" s="1039"/>
      <c r="G15" s="1040"/>
      <c r="H15" s="1039"/>
    </row>
    <row r="16" spans="1:8" x14ac:dyDescent="0.25">
      <c r="A16" s="1042" t="s">
        <v>1024</v>
      </c>
      <c r="B16" s="1247">
        <v>1</v>
      </c>
      <c r="C16" s="1099">
        <v>1</v>
      </c>
      <c r="D16" s="1040">
        <f>C16*$B$6</f>
        <v>0</v>
      </c>
      <c r="E16" s="1040">
        <f>0.5*$D16</f>
        <v>0</v>
      </c>
      <c r="F16" s="1040">
        <f>0.5*$D16</f>
        <v>0</v>
      </c>
      <c r="G16" s="1040"/>
      <c r="H16" s="1039"/>
    </row>
    <row r="17" spans="1:8" x14ac:dyDescent="0.25">
      <c r="A17" s="1189" t="s">
        <v>937</v>
      </c>
      <c r="B17" s="1247">
        <v>1</v>
      </c>
      <c r="C17" s="1099">
        <v>1</v>
      </c>
      <c r="D17" s="1040">
        <f t="shared" ref="D17:D23" si="3">C17*$B$6</f>
        <v>0</v>
      </c>
      <c r="E17" s="1040">
        <f t="shared" ref="E17:F23" si="4">0.5*$D17</f>
        <v>0</v>
      </c>
      <c r="F17" s="1040">
        <f t="shared" si="4"/>
        <v>0</v>
      </c>
      <c r="G17" s="1040"/>
      <c r="H17" s="1039"/>
    </row>
    <row r="18" spans="1:8" x14ac:dyDescent="0.25">
      <c r="A18" s="1189" t="s">
        <v>1025</v>
      </c>
      <c r="B18" s="1247">
        <v>1</v>
      </c>
      <c r="C18" s="1099">
        <v>1</v>
      </c>
      <c r="D18" s="1040">
        <f t="shared" si="3"/>
        <v>0</v>
      </c>
      <c r="E18" s="1040">
        <f t="shared" si="4"/>
        <v>0</v>
      </c>
      <c r="F18" s="1040">
        <f t="shared" si="4"/>
        <v>0</v>
      </c>
      <c r="G18" s="1040"/>
      <c r="H18" s="1039"/>
    </row>
    <row r="19" spans="1:8" x14ac:dyDescent="0.25">
      <c r="A19" s="1189" t="s">
        <v>895</v>
      </c>
      <c r="B19" s="1247">
        <v>0.5</v>
      </c>
      <c r="C19" s="1099">
        <v>1</v>
      </c>
      <c r="D19" s="1040">
        <f t="shared" si="3"/>
        <v>0</v>
      </c>
      <c r="E19" s="1040">
        <f t="shared" si="4"/>
        <v>0</v>
      </c>
      <c r="F19" s="1040">
        <f t="shared" si="4"/>
        <v>0</v>
      </c>
      <c r="G19" s="1040"/>
      <c r="H19" s="1039"/>
    </row>
    <row r="20" spans="1:8" x14ac:dyDescent="0.25">
      <c r="A20" s="1189" t="s">
        <v>1026</v>
      </c>
      <c r="B20" s="1247">
        <v>2</v>
      </c>
      <c r="C20" s="1099">
        <v>1</v>
      </c>
      <c r="D20" s="1040">
        <f t="shared" si="3"/>
        <v>0</v>
      </c>
      <c r="E20" s="1040">
        <f t="shared" si="4"/>
        <v>0</v>
      </c>
      <c r="F20" s="1040">
        <f t="shared" si="4"/>
        <v>0</v>
      </c>
      <c r="G20" s="1040"/>
      <c r="H20" s="1039"/>
    </row>
    <row r="21" spans="1:8" x14ac:dyDescent="0.25">
      <c r="A21" s="1189" t="s">
        <v>1196</v>
      </c>
      <c r="B21" s="1247">
        <v>1</v>
      </c>
      <c r="C21" s="1099">
        <v>1</v>
      </c>
      <c r="D21" s="1040">
        <f t="shared" si="3"/>
        <v>0</v>
      </c>
      <c r="E21" s="1040">
        <f t="shared" si="4"/>
        <v>0</v>
      </c>
      <c r="F21" s="1040">
        <f t="shared" si="4"/>
        <v>0</v>
      </c>
      <c r="G21" s="1040"/>
      <c r="H21" s="1039"/>
    </row>
    <row r="22" spans="1:8" x14ac:dyDescent="0.25">
      <c r="A22" s="1134" t="s">
        <v>1026</v>
      </c>
      <c r="B22" s="1247">
        <v>1</v>
      </c>
      <c r="C22" s="1099">
        <v>1</v>
      </c>
      <c r="D22" s="1040">
        <f t="shared" si="3"/>
        <v>0</v>
      </c>
      <c r="E22" s="1040">
        <f t="shared" si="4"/>
        <v>0</v>
      </c>
      <c r="F22" s="1040">
        <f t="shared" si="4"/>
        <v>0</v>
      </c>
      <c r="G22" s="1040"/>
      <c r="H22" s="1039"/>
    </row>
    <row r="23" spans="1:8" x14ac:dyDescent="0.25">
      <c r="A23" s="1134" t="s">
        <v>1027</v>
      </c>
      <c r="B23" s="1247">
        <v>1</v>
      </c>
      <c r="C23" s="1099">
        <v>1</v>
      </c>
      <c r="D23" s="1040">
        <f t="shared" si="3"/>
        <v>0</v>
      </c>
      <c r="E23" s="1040">
        <f t="shared" si="4"/>
        <v>0</v>
      </c>
      <c r="F23" s="1040">
        <f t="shared" si="4"/>
        <v>0</v>
      </c>
      <c r="G23" s="1040"/>
      <c r="H23" s="1039"/>
    </row>
    <row r="24" spans="1:8" x14ac:dyDescent="0.25">
      <c r="A24" s="1037" t="s">
        <v>1197</v>
      </c>
      <c r="B24" s="1246"/>
      <c r="C24" s="1040"/>
      <c r="D24" s="1039"/>
      <c r="E24" s="1040"/>
      <c r="F24" s="1039"/>
      <c r="G24" s="1040"/>
      <c r="H24" s="1039"/>
    </row>
    <row r="25" spans="1:8" x14ac:dyDescent="0.25">
      <c r="A25" s="1189" t="s">
        <v>1029</v>
      </c>
      <c r="B25" s="1099">
        <v>1</v>
      </c>
      <c r="C25" s="1099">
        <v>1</v>
      </c>
      <c r="D25" s="1130">
        <f>C25*$B$6</f>
        <v>0</v>
      </c>
      <c r="E25" s="1040">
        <f t="shared" ref="E25:E34" si="5">0.5*$D25</f>
        <v>0</v>
      </c>
      <c r="F25" s="1040">
        <f>0.4*$D25</f>
        <v>0</v>
      </c>
      <c r="G25" s="1040">
        <f>0.1*$D25</f>
        <v>0</v>
      </c>
      <c r="H25" s="1039"/>
    </row>
    <row r="26" spans="1:8" x14ac:dyDescent="0.25">
      <c r="A26" s="1189" t="s">
        <v>1030</v>
      </c>
      <c r="B26" s="1099">
        <v>1</v>
      </c>
      <c r="C26" s="1099">
        <v>0.5</v>
      </c>
      <c r="D26" s="1130">
        <f t="shared" ref="D26:D32" si="6">C26*$B$6</f>
        <v>0</v>
      </c>
      <c r="E26" s="1040">
        <f t="shared" si="5"/>
        <v>0</v>
      </c>
      <c r="F26" s="1040">
        <f t="shared" ref="F26:F34" si="7">0.4*$D26</f>
        <v>0</v>
      </c>
      <c r="G26" s="1040">
        <f t="shared" ref="G26:G34" si="8">0.1*$D26</f>
        <v>0</v>
      </c>
      <c r="H26" s="1039"/>
    </row>
    <row r="27" spans="1:8" x14ac:dyDescent="0.25">
      <c r="A27" s="1189" t="s">
        <v>1198</v>
      </c>
      <c r="B27" s="1099">
        <v>1</v>
      </c>
      <c r="C27" s="1099">
        <v>1</v>
      </c>
      <c r="D27" s="1130">
        <f t="shared" si="6"/>
        <v>0</v>
      </c>
      <c r="E27" s="1040">
        <f t="shared" si="5"/>
        <v>0</v>
      </c>
      <c r="F27" s="1040">
        <f t="shared" si="7"/>
        <v>0</v>
      </c>
      <c r="G27" s="1040">
        <f t="shared" si="8"/>
        <v>0</v>
      </c>
      <c r="H27" s="1039"/>
    </row>
    <row r="28" spans="1:8" x14ac:dyDescent="0.25">
      <c r="A28" s="1189" t="s">
        <v>1199</v>
      </c>
      <c r="B28" s="1099">
        <v>1</v>
      </c>
      <c r="C28" s="1099">
        <v>16</v>
      </c>
      <c r="D28" s="1130">
        <f t="shared" si="6"/>
        <v>0</v>
      </c>
      <c r="E28" s="1040">
        <f t="shared" si="5"/>
        <v>0</v>
      </c>
      <c r="F28" s="1040">
        <f t="shared" si="7"/>
        <v>0</v>
      </c>
      <c r="G28" s="1040">
        <f t="shared" si="8"/>
        <v>0</v>
      </c>
      <c r="H28" s="1039"/>
    </row>
    <row r="29" spans="1:8" x14ac:dyDescent="0.25">
      <c r="A29" s="1189" t="s">
        <v>1200</v>
      </c>
      <c r="B29" s="1099">
        <v>1</v>
      </c>
      <c r="C29" s="1099">
        <v>1</v>
      </c>
      <c r="D29" s="1130">
        <f t="shared" si="6"/>
        <v>0</v>
      </c>
      <c r="E29" s="1040">
        <f t="shared" si="5"/>
        <v>0</v>
      </c>
      <c r="F29" s="1040">
        <f t="shared" si="7"/>
        <v>0</v>
      </c>
      <c r="G29" s="1040">
        <f t="shared" si="8"/>
        <v>0</v>
      </c>
      <c r="H29" s="1039"/>
    </row>
    <row r="30" spans="1:8" x14ac:dyDescent="0.25">
      <c r="A30" s="1189" t="s">
        <v>1034</v>
      </c>
      <c r="B30" s="1099">
        <v>1</v>
      </c>
      <c r="C30" s="1099">
        <v>8</v>
      </c>
      <c r="D30" s="1130">
        <f t="shared" si="6"/>
        <v>0</v>
      </c>
      <c r="E30" s="1040">
        <f t="shared" si="5"/>
        <v>0</v>
      </c>
      <c r="F30" s="1040">
        <f t="shared" si="7"/>
        <v>0</v>
      </c>
      <c r="G30" s="1040">
        <f t="shared" si="8"/>
        <v>0</v>
      </c>
      <c r="H30" s="1039"/>
    </row>
    <row r="31" spans="1:8" x14ac:dyDescent="0.25">
      <c r="A31" s="1189" t="s">
        <v>1035</v>
      </c>
      <c r="B31" s="1099">
        <v>1</v>
      </c>
      <c r="C31" s="1099">
        <v>0.5</v>
      </c>
      <c r="D31" s="1130">
        <f t="shared" si="6"/>
        <v>0</v>
      </c>
      <c r="E31" s="1040">
        <f t="shared" si="5"/>
        <v>0</v>
      </c>
      <c r="F31" s="1040">
        <f t="shared" si="7"/>
        <v>0</v>
      </c>
      <c r="G31" s="1040">
        <f t="shared" si="8"/>
        <v>0</v>
      </c>
      <c r="H31" s="1039"/>
    </row>
    <row r="32" spans="1:8" x14ac:dyDescent="0.25">
      <c r="A32" s="1189" t="s">
        <v>1201</v>
      </c>
      <c r="B32" s="1099">
        <v>1</v>
      </c>
      <c r="C32" s="1099">
        <v>2</v>
      </c>
      <c r="D32" s="1130">
        <f t="shared" si="6"/>
        <v>0</v>
      </c>
      <c r="E32" s="1040">
        <f t="shared" si="5"/>
        <v>0</v>
      </c>
      <c r="F32" s="1040">
        <f t="shared" si="7"/>
        <v>0</v>
      </c>
      <c r="G32" s="1040">
        <f t="shared" si="8"/>
        <v>0</v>
      </c>
      <c r="H32" s="1039"/>
    </row>
    <row r="33" spans="1:8" x14ac:dyDescent="0.25">
      <c r="A33" s="1248" t="s">
        <v>1202</v>
      </c>
      <c r="B33" s="1101">
        <v>1</v>
      </c>
      <c r="C33" s="1101">
        <v>0.5</v>
      </c>
      <c r="D33" s="1101">
        <f>C33*$B$7</f>
        <v>0</v>
      </c>
      <c r="E33" s="1148"/>
      <c r="F33" s="1148"/>
      <c r="G33" s="1148"/>
      <c r="H33" s="1149"/>
    </row>
    <row r="34" spans="1:8" x14ac:dyDescent="0.25">
      <c r="A34" s="1189" t="s">
        <v>1203</v>
      </c>
      <c r="B34" s="1099">
        <v>1</v>
      </c>
      <c r="C34" s="1099">
        <v>0.5</v>
      </c>
      <c r="D34" s="1130">
        <f>C34*$B$7</f>
        <v>0</v>
      </c>
      <c r="E34" s="1040">
        <f t="shared" si="5"/>
        <v>0</v>
      </c>
      <c r="F34" s="1040">
        <f t="shared" si="7"/>
        <v>0</v>
      </c>
      <c r="G34" s="1040">
        <f t="shared" si="8"/>
        <v>0</v>
      </c>
      <c r="H34" s="1039"/>
    </row>
    <row r="35" spans="1:8" ht="25.5" x14ac:dyDescent="0.25">
      <c r="A35" s="1037" t="s">
        <v>963</v>
      </c>
      <c r="B35" s="1246">
        <v>1</v>
      </c>
      <c r="C35" s="1040" t="s">
        <v>897</v>
      </c>
      <c r="D35" s="1039">
        <f>ROUNDUP(IF(0.1*(SUM($D$16:$D$34))&gt;8,0.1*(SUM($D$16:$D$34)),8),0)</f>
        <v>8</v>
      </c>
      <c r="E35" s="1040"/>
      <c r="F35" s="1040">
        <f>0.5*$D35</f>
        <v>4</v>
      </c>
      <c r="G35" s="1040">
        <f>0.5*$D35</f>
        <v>4</v>
      </c>
      <c r="H35" s="1039"/>
    </row>
    <row r="36" spans="1:8" ht="26.25" thickBot="1" x14ac:dyDescent="0.3">
      <c r="A36" s="1070" t="s">
        <v>964</v>
      </c>
      <c r="B36" s="1246">
        <v>1</v>
      </c>
      <c r="C36" s="1155" t="s">
        <v>899</v>
      </c>
      <c r="D36" s="1156">
        <f>ROUNDUP(IF(0.05*(SUM($D$16:$D$34))&gt;8,0.05*(SUM($D$16:$D$34)),8),0)</f>
        <v>8</v>
      </c>
      <c r="E36" s="1155"/>
      <c r="F36" s="1155">
        <f>0.5*$D36</f>
        <v>4</v>
      </c>
      <c r="G36" s="1155">
        <f>0.5*$D36</f>
        <v>4</v>
      </c>
      <c r="H36" s="1156"/>
    </row>
    <row r="37" spans="1:8" x14ac:dyDescent="0.25">
      <c r="A37" s="1067" t="s">
        <v>564</v>
      </c>
      <c r="B37" s="268"/>
      <c r="C37" s="268"/>
      <c r="D37" s="268">
        <f>SUM(D8:D36)</f>
        <v>20</v>
      </c>
      <c r="E37" s="268">
        <f>SUM(E8:E36)</f>
        <v>0</v>
      </c>
      <c r="F37" s="268">
        <f>SUM(F8:F36)</f>
        <v>8.5</v>
      </c>
      <c r="G37" s="268">
        <f>SUM(G8:G36)</f>
        <v>8</v>
      </c>
      <c r="H37" s="268"/>
    </row>
    <row r="38" spans="1:8" x14ac:dyDescent="0.25">
      <c r="A38" s="1067"/>
      <c r="B38" s="1067"/>
      <c r="C38" s="1067"/>
      <c r="D38" s="1067"/>
      <c r="E38" s="1067"/>
      <c r="F38" s="1067"/>
      <c r="G38" s="1067"/>
      <c r="H38" s="1067"/>
    </row>
    <row r="39" spans="1:8" x14ac:dyDescent="0.25">
      <c r="A39" s="1067"/>
      <c r="B39" s="1067"/>
      <c r="C39" s="268" t="s">
        <v>901</v>
      </c>
      <c r="D39" s="268">
        <f>ROUNDUP(SUM(D8:D13)/8,0)</f>
        <v>1</v>
      </c>
      <c r="E39" s="268">
        <f t="shared" ref="E39:G39" si="9">ROUNDUP(SUM(E8:E13)/8,0)</f>
        <v>0</v>
      </c>
      <c r="F39" s="268">
        <f t="shared" si="9"/>
        <v>1</v>
      </c>
      <c r="G39" s="268">
        <f t="shared" si="9"/>
        <v>0</v>
      </c>
      <c r="H39" s="1067"/>
    </row>
    <row r="40" spans="1:8" x14ac:dyDescent="0.25">
      <c r="A40" s="1067"/>
      <c r="B40" s="1067"/>
      <c r="C40" s="63" t="s">
        <v>902</v>
      </c>
      <c r="D40" s="63">
        <f>ROUNDUP(SUM(D16:D35)/8,0)</f>
        <v>1</v>
      </c>
      <c r="E40" s="63">
        <f>ROUNDUP(SUM(E16:E35)/8,0)</f>
        <v>0</v>
      </c>
      <c r="F40" s="63">
        <f>ROUNDUP(SUM(F16:F35)/8,0)</f>
        <v>1</v>
      </c>
      <c r="G40" s="63">
        <f>ROUNDUP(SUM(G16:G35)/8,0)</f>
        <v>1</v>
      </c>
      <c r="H40" s="1067"/>
    </row>
    <row r="41" spans="1:8" x14ac:dyDescent="0.25">
      <c r="A41" s="1067"/>
      <c r="B41" s="1067"/>
      <c r="C41" s="268" t="s">
        <v>903</v>
      </c>
      <c r="D41" s="268">
        <f>ROUNDUP(SUM(D36)/8,0)</f>
        <v>1</v>
      </c>
      <c r="E41" s="268">
        <f t="shared" ref="E41:G41" si="10">ROUNDUP(SUM(E36)/8,0)</f>
        <v>0</v>
      </c>
      <c r="F41" s="268">
        <f t="shared" si="10"/>
        <v>1</v>
      </c>
      <c r="G41" s="268">
        <f t="shared" si="10"/>
        <v>1</v>
      </c>
      <c r="H41" s="1067"/>
    </row>
    <row r="42" spans="1:8" x14ac:dyDescent="0.25">
      <c r="A42" s="1067"/>
      <c r="B42" s="1067"/>
      <c r="C42" s="63" t="s">
        <v>904</v>
      </c>
      <c r="D42" s="63">
        <f>ROUNDUP(D37/8,0)</f>
        <v>3</v>
      </c>
      <c r="E42" s="63">
        <f>ROUNDUP(E37/8,0)</f>
        <v>0</v>
      </c>
      <c r="F42" s="63">
        <f>ROUNDUP(F37/8,0)</f>
        <v>2</v>
      </c>
      <c r="G42" s="63">
        <f>ROUNDUP(G37/8,0)</f>
        <v>1</v>
      </c>
      <c r="H42" s="1067"/>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Лист54">
    <tabColor theme="8"/>
  </sheetPr>
  <dimension ref="A1:I55"/>
  <sheetViews>
    <sheetView workbookViewId="0">
      <selection activeCell="B3" sqref="B3"/>
    </sheetView>
  </sheetViews>
  <sheetFormatPr defaultRowHeight="15" x14ac:dyDescent="0.25"/>
  <cols>
    <col min="1" max="1" width="84.42578125" customWidth="1"/>
    <col min="2" max="3" width="17.85546875" customWidth="1"/>
    <col min="4" max="6" width="10.42578125" customWidth="1"/>
    <col min="7" max="7" width="34.85546875" bestFit="1" customWidth="1"/>
  </cols>
  <sheetData>
    <row r="1" spans="1:9" ht="15.75" thickBot="1" x14ac:dyDescent="0.3">
      <c r="A1" t="s">
        <v>426</v>
      </c>
      <c r="D1" s="1074" t="s">
        <v>108</v>
      </c>
      <c r="E1" s="1075"/>
      <c r="F1" s="1076"/>
    </row>
    <row r="2" spans="1:9" ht="39" thickBot="1" x14ac:dyDescent="0.3">
      <c r="A2" s="1077" t="s">
        <v>872</v>
      </c>
      <c r="B2" s="1077" t="s">
        <v>919</v>
      </c>
      <c r="C2" s="1078" t="s">
        <v>920</v>
      </c>
      <c r="D2" s="1079" t="s">
        <v>921</v>
      </c>
      <c r="E2" s="1080" t="s">
        <v>922</v>
      </c>
      <c r="F2" s="1081" t="s">
        <v>923</v>
      </c>
      <c r="G2" s="1078" t="s">
        <v>875</v>
      </c>
      <c r="H2" s="1249"/>
      <c r="I2" s="291"/>
    </row>
    <row r="3" spans="1:9" x14ac:dyDescent="0.25">
      <c r="A3" s="1082" t="s">
        <v>924</v>
      </c>
      <c r="B3" s="1083">
        <f>ТрЗ_ОВ!E127</f>
        <v>0</v>
      </c>
      <c r="C3" s="1084"/>
      <c r="D3" s="1084"/>
      <c r="E3" s="1084"/>
      <c r="F3" s="1084"/>
      <c r="G3" s="1085"/>
      <c r="H3" t="s">
        <v>106</v>
      </c>
    </row>
    <row r="4" spans="1:9" x14ac:dyDescent="0.25">
      <c r="A4" s="1086" t="s">
        <v>925</v>
      </c>
      <c r="B4" s="1087">
        <f>ТрЗ_ОВ!H127</f>
        <v>0</v>
      </c>
      <c r="C4" s="1088"/>
      <c r="D4" s="1088"/>
      <c r="E4" s="1088"/>
      <c r="F4" s="1088"/>
      <c r="G4" s="1089"/>
      <c r="H4" t="s">
        <v>107</v>
      </c>
    </row>
    <row r="5" spans="1:9" x14ac:dyDescent="0.25">
      <c r="A5" s="1086" t="s">
        <v>926</v>
      </c>
      <c r="B5" s="1087">
        <f>ТрЗ_ОВ!J127</f>
        <v>0</v>
      </c>
      <c r="C5" s="1088"/>
      <c r="D5" s="1088"/>
      <c r="E5" s="1088"/>
      <c r="F5" s="1088"/>
      <c r="G5" s="1089"/>
      <c r="H5" s="216"/>
      <c r="I5" t="s">
        <v>1204</v>
      </c>
    </row>
    <row r="6" spans="1:9" x14ac:dyDescent="0.25">
      <c r="A6" s="1086" t="s">
        <v>927</v>
      </c>
      <c r="B6" s="1087">
        <f>ТрЗ_ОВ!M127</f>
        <v>0</v>
      </c>
      <c r="C6" s="1088"/>
      <c r="D6" s="1088"/>
      <c r="E6" s="1088"/>
      <c r="F6" s="1088"/>
      <c r="G6" s="1089"/>
    </row>
    <row r="7" spans="1:9" x14ac:dyDescent="0.25">
      <c r="A7" s="1086" t="s">
        <v>928</v>
      </c>
      <c r="B7" s="1087">
        <f>ТрЗ_ОВ!O127</f>
        <v>0</v>
      </c>
      <c r="C7" s="1088"/>
      <c r="D7" s="1088"/>
      <c r="E7" s="1088"/>
      <c r="F7" s="1088"/>
      <c r="G7" s="1089"/>
    </row>
    <row r="8" spans="1:9" x14ac:dyDescent="0.25">
      <c r="A8" s="1086" t="s">
        <v>762</v>
      </c>
      <c r="B8" s="1087" t="s">
        <v>106</v>
      </c>
      <c r="C8" s="1088"/>
      <c r="D8" s="1088"/>
      <c r="E8" s="1088"/>
      <c r="F8" s="1088"/>
      <c r="G8" s="1089"/>
    </row>
    <row r="9" spans="1:9" x14ac:dyDescent="0.25">
      <c r="A9" s="1086" t="s">
        <v>763</v>
      </c>
      <c r="B9" s="1087" t="str">
        <f>ТрЗ_ОВ!D132</f>
        <v>Да</v>
      </c>
      <c r="C9" s="1088"/>
      <c r="D9" s="1088"/>
      <c r="E9" s="1088"/>
      <c r="F9" s="1088"/>
      <c r="G9" s="1089"/>
    </row>
    <row r="10" spans="1:9" x14ac:dyDescent="0.25">
      <c r="A10" s="1086" t="s">
        <v>764</v>
      </c>
      <c r="B10" s="1087" t="str">
        <f>ТрЗ_ОВ!D133</f>
        <v>Да</v>
      </c>
      <c r="C10" s="1088"/>
      <c r="D10" s="1088"/>
      <c r="E10" s="1088"/>
      <c r="F10" s="1088"/>
      <c r="G10" s="1089"/>
    </row>
    <row r="11" spans="1:9" x14ac:dyDescent="0.25">
      <c r="A11" s="1086" t="s">
        <v>765</v>
      </c>
      <c r="B11" s="1087">
        <f>ТрЗ_ОВ!D134</f>
        <v>0</v>
      </c>
      <c r="C11" s="1088"/>
      <c r="D11" s="1088"/>
      <c r="E11" s="1088"/>
      <c r="F11" s="1088"/>
      <c r="G11" s="1089"/>
    </row>
    <row r="12" spans="1:9" x14ac:dyDescent="0.25">
      <c r="A12" s="1086" t="s">
        <v>766</v>
      </c>
      <c r="B12" s="1087">
        <f>ТрЗ_ОВ!D135</f>
        <v>0</v>
      </c>
      <c r="C12" s="1088"/>
      <c r="D12" s="1088"/>
      <c r="E12" s="1088"/>
      <c r="F12" s="1088"/>
      <c r="G12" s="1089"/>
    </row>
    <row r="13" spans="1:9" ht="25.5" x14ac:dyDescent="0.25">
      <c r="A13" s="1086" t="s">
        <v>929</v>
      </c>
      <c r="B13" s="1087" t="s">
        <v>106</v>
      </c>
      <c r="C13" s="1088"/>
      <c r="D13" s="1088"/>
      <c r="E13" s="1088"/>
      <c r="F13" s="1088"/>
      <c r="G13" s="1089"/>
    </row>
    <row r="14" spans="1:9" x14ac:dyDescent="0.25">
      <c r="A14" s="1086" t="s">
        <v>753</v>
      </c>
      <c r="B14" s="1087" t="str">
        <f>ТрЗ_ОВ!D136</f>
        <v>Да</v>
      </c>
      <c r="C14" s="1088"/>
      <c r="D14" s="1088"/>
      <c r="E14" s="1088"/>
      <c r="F14" s="1088"/>
      <c r="G14" s="1089"/>
    </row>
    <row r="15" spans="1:9" ht="15.75" thickBot="1" x14ac:dyDescent="0.3">
      <c r="A15" s="1090"/>
      <c r="B15" s="1091"/>
      <c r="C15" s="1088"/>
      <c r="D15" s="1088"/>
      <c r="E15" s="1088"/>
      <c r="F15" s="1088"/>
      <c r="G15" s="1089"/>
    </row>
    <row r="16" spans="1:9" x14ac:dyDescent="0.25">
      <c r="A16" s="1092" t="s">
        <v>881</v>
      </c>
      <c r="B16" s="1093"/>
      <c r="C16" s="1094"/>
      <c r="D16" s="1095"/>
      <c r="E16" s="1095"/>
      <c r="F16" s="1094"/>
      <c r="G16" s="1096"/>
    </row>
    <row r="17" spans="1:7" x14ac:dyDescent="0.25">
      <c r="A17" s="1097" t="s">
        <v>930</v>
      </c>
      <c r="B17" s="1098">
        <f>IF(B13="Да",1,0)</f>
        <v>1</v>
      </c>
      <c r="C17" s="1099">
        <f>ROUNDUP(IF(B17=1,B3*50/60,0),1)</f>
        <v>0</v>
      </c>
      <c r="D17" s="1100">
        <f t="shared" ref="D17:D22" si="0">C17*0.5</f>
        <v>0</v>
      </c>
      <c r="E17" s="1101">
        <f t="shared" ref="E17:E22" si="1">C17*0.5</f>
        <v>0</v>
      </c>
      <c r="F17" s="1102"/>
      <c r="G17" s="1103"/>
    </row>
    <row r="18" spans="1:7" x14ac:dyDescent="0.25">
      <c r="A18" s="1097" t="s">
        <v>931</v>
      </c>
      <c r="B18" s="1098">
        <f>IF(B13="Да",IF(B4&gt;0,1,0),0)</f>
        <v>0</v>
      </c>
      <c r="C18" s="1099">
        <f>ROUNDUP(IF(B18=1,B4*50/60,0),1)</f>
        <v>0</v>
      </c>
      <c r="D18" s="1100">
        <f t="shared" si="0"/>
        <v>0</v>
      </c>
      <c r="E18" s="1101">
        <f t="shared" si="1"/>
        <v>0</v>
      </c>
      <c r="F18" s="1102"/>
      <c r="G18" s="1103"/>
    </row>
    <row r="19" spans="1:7" x14ac:dyDescent="0.25">
      <c r="A19" s="1097" t="s">
        <v>932</v>
      </c>
      <c r="B19" s="1098">
        <f>IF(B13="Да",IF(B5&gt;0,1,0),0)</f>
        <v>0</v>
      </c>
      <c r="C19" s="1099">
        <f>ROUNDUP(IF(B19=1,B5*50/60,0),1)</f>
        <v>0</v>
      </c>
      <c r="D19" s="1100">
        <f t="shared" si="0"/>
        <v>0</v>
      </c>
      <c r="E19" s="1101">
        <f t="shared" si="1"/>
        <v>0</v>
      </c>
      <c r="F19" s="1102"/>
      <c r="G19" s="1103"/>
    </row>
    <row r="20" spans="1:7" x14ac:dyDescent="0.25">
      <c r="A20" s="1097" t="s">
        <v>933</v>
      </c>
      <c r="B20" s="1098">
        <f>IF(B13="Да",1,0)</f>
        <v>1</v>
      </c>
      <c r="C20" s="1099">
        <f>ROUNDUP(IF(B20=1,(B3+B4+B5)*50/60,0),1)</f>
        <v>0</v>
      </c>
      <c r="D20" s="1100">
        <f t="shared" si="0"/>
        <v>0</v>
      </c>
      <c r="E20" s="1101">
        <f t="shared" si="1"/>
        <v>0</v>
      </c>
      <c r="F20" s="1102"/>
      <c r="G20" s="1103"/>
    </row>
    <row r="21" spans="1:7" x14ac:dyDescent="0.25">
      <c r="A21" s="1097" t="s">
        <v>934</v>
      </c>
      <c r="B21" s="1098">
        <f>IF(B13="Да",1,0)</f>
        <v>1</v>
      </c>
      <c r="C21" s="1099">
        <f>ROUNDUP(IF(B21=1,(B3+B4+B5)*50/60,0),1)</f>
        <v>0</v>
      </c>
      <c r="D21" s="1100">
        <f t="shared" si="0"/>
        <v>0</v>
      </c>
      <c r="E21" s="1101">
        <f t="shared" si="1"/>
        <v>0</v>
      </c>
      <c r="F21" s="1102"/>
      <c r="G21" s="1103"/>
    </row>
    <row r="22" spans="1:7" x14ac:dyDescent="0.25">
      <c r="A22" s="1097" t="s">
        <v>935</v>
      </c>
      <c r="B22" s="1098">
        <f>IF(B13="Да",1,0)</f>
        <v>1</v>
      </c>
      <c r="C22" s="1099">
        <f>ROUNDUP(IF(B22=1,(B3+B4+B5)*50/60,0),1)</f>
        <v>0</v>
      </c>
      <c r="D22" s="1100">
        <f t="shared" si="0"/>
        <v>0</v>
      </c>
      <c r="E22" s="1101">
        <f t="shared" si="1"/>
        <v>0</v>
      </c>
      <c r="F22" s="1102"/>
      <c r="G22" s="1103"/>
    </row>
    <row r="23" spans="1:7" x14ac:dyDescent="0.25">
      <c r="A23" s="1097" t="s">
        <v>936</v>
      </c>
      <c r="B23" s="1098">
        <f>IF(B13="Нет",1,0)</f>
        <v>0</v>
      </c>
      <c r="C23" s="1099">
        <f>ROUNDUP(IF(B23=1,(((B3+B4+B5)*60)+(B6*10))/60,0),1)</f>
        <v>0</v>
      </c>
      <c r="D23" s="1100"/>
      <c r="E23" s="1101">
        <f>(C23*0.32)/8</f>
        <v>0</v>
      </c>
      <c r="F23" s="1102">
        <f>(C23*0.68)/8</f>
        <v>0</v>
      </c>
      <c r="G23" s="1103"/>
    </row>
    <row r="24" spans="1:7" x14ac:dyDescent="0.25">
      <c r="A24" s="1104" t="s">
        <v>887</v>
      </c>
      <c r="B24" s="1105"/>
      <c r="C24" s="1099"/>
      <c r="D24" s="1099"/>
      <c r="E24" s="1099"/>
      <c r="F24" s="1099"/>
      <c r="G24" s="1103"/>
    </row>
    <row r="25" spans="1:7" x14ac:dyDescent="0.25">
      <c r="A25" s="1104" t="s">
        <v>888</v>
      </c>
      <c r="B25" s="1106"/>
      <c r="C25" s="1099"/>
      <c r="D25" s="1107"/>
      <c r="E25" s="1107"/>
      <c r="F25" s="1099"/>
      <c r="G25" s="1103"/>
    </row>
    <row r="26" spans="1:7" x14ac:dyDescent="0.25">
      <c r="A26" s="1108" t="s">
        <v>937</v>
      </c>
      <c r="B26" s="1106">
        <v>1</v>
      </c>
      <c r="C26" s="1099">
        <f>B3*1</f>
        <v>0</v>
      </c>
      <c r="D26" s="1100">
        <f>C26*0.5</f>
        <v>0</v>
      </c>
      <c r="E26" s="1101">
        <f>C26*0.5</f>
        <v>0</v>
      </c>
      <c r="F26" s="1102"/>
      <c r="G26" s="1103"/>
    </row>
    <row r="27" spans="1:7" x14ac:dyDescent="0.25">
      <c r="A27" s="1108" t="s">
        <v>938</v>
      </c>
      <c r="B27" s="1106">
        <v>1</v>
      </c>
      <c r="C27" s="1099">
        <f>B3*1</f>
        <v>0</v>
      </c>
      <c r="D27" s="1100">
        <f>C27*0.5</f>
        <v>0</v>
      </c>
      <c r="E27" s="1101">
        <f>C27*0.5</f>
        <v>0</v>
      </c>
      <c r="F27" s="1102"/>
      <c r="G27" s="1103"/>
    </row>
    <row r="28" spans="1:7" x14ac:dyDescent="0.25">
      <c r="A28" s="1104" t="s">
        <v>939</v>
      </c>
      <c r="B28" s="1106"/>
      <c r="C28" s="1099"/>
      <c r="D28" s="1107"/>
      <c r="E28" s="1107"/>
      <c r="F28" s="1099"/>
      <c r="G28" s="1103"/>
    </row>
    <row r="29" spans="1:7" x14ac:dyDescent="0.25">
      <c r="A29" s="1108" t="s">
        <v>940</v>
      </c>
      <c r="B29" s="1106">
        <v>1</v>
      </c>
      <c r="C29" s="1099">
        <f>B3*2</f>
        <v>0</v>
      </c>
      <c r="D29" s="1100">
        <f>C29*0.5</f>
        <v>0</v>
      </c>
      <c r="E29" s="1101">
        <f>C29*0.5</f>
        <v>0</v>
      </c>
      <c r="F29" s="1102"/>
      <c r="G29" s="1103"/>
    </row>
    <row r="30" spans="1:7" x14ac:dyDescent="0.25">
      <c r="A30" s="1108" t="s">
        <v>941</v>
      </c>
      <c r="B30" s="1106">
        <v>1</v>
      </c>
      <c r="C30" s="1099">
        <f>B3*0.5</f>
        <v>0</v>
      </c>
      <c r="D30" s="1100">
        <f>C30*0.5</f>
        <v>0</v>
      </c>
      <c r="E30" s="1101">
        <f>C30*0.5</f>
        <v>0</v>
      </c>
      <c r="F30" s="1102"/>
      <c r="G30" s="1103"/>
    </row>
    <row r="31" spans="1:7" x14ac:dyDescent="0.25">
      <c r="A31" s="1097" t="s">
        <v>942</v>
      </c>
      <c r="B31" s="1106">
        <v>1</v>
      </c>
      <c r="C31" s="1099">
        <f>B3*1</f>
        <v>0</v>
      </c>
      <c r="D31" s="1100">
        <f>C31*0.5</f>
        <v>0</v>
      </c>
      <c r="E31" s="1101">
        <f>C31*0.5</f>
        <v>0</v>
      </c>
      <c r="F31" s="1102"/>
      <c r="G31" s="1103"/>
    </row>
    <row r="32" spans="1:7" x14ac:dyDescent="0.25">
      <c r="A32" s="1109" t="s">
        <v>943</v>
      </c>
      <c r="B32" s="1110"/>
      <c r="C32" s="1099"/>
      <c r="D32" s="1099"/>
      <c r="E32" s="1099"/>
      <c r="F32" s="1099"/>
      <c r="G32" s="1103"/>
    </row>
    <row r="33" spans="1:7" x14ac:dyDescent="0.25">
      <c r="A33" s="1097" t="s">
        <v>944</v>
      </c>
      <c r="B33" s="1106">
        <v>1</v>
      </c>
      <c r="C33" s="1099">
        <f>B3*0.5</f>
        <v>0</v>
      </c>
      <c r="D33" s="1100">
        <f>C33*0.5</f>
        <v>0</v>
      </c>
      <c r="E33" s="1101">
        <f>C33*0.4</f>
        <v>0</v>
      </c>
      <c r="F33" s="1102">
        <f>C33*0.1</f>
        <v>0</v>
      </c>
      <c r="G33" s="1103"/>
    </row>
    <row r="34" spans="1:7" x14ac:dyDescent="0.25">
      <c r="A34" s="1097" t="s">
        <v>945</v>
      </c>
      <c r="B34" s="1106">
        <v>1</v>
      </c>
      <c r="C34" s="1099">
        <f>B3*0.5</f>
        <v>0</v>
      </c>
      <c r="D34" s="1100">
        <f>C34*0.5</f>
        <v>0</v>
      </c>
      <c r="E34" s="1101">
        <f>C34*0.4</f>
        <v>0</v>
      </c>
      <c r="F34" s="1102">
        <f>C34*0.1</f>
        <v>0</v>
      </c>
      <c r="G34" s="1103"/>
    </row>
    <row r="35" spans="1:7" x14ac:dyDescent="0.25">
      <c r="A35" s="1097" t="s">
        <v>946</v>
      </c>
      <c r="B35" s="1098">
        <v>0</v>
      </c>
      <c r="C35" s="1099">
        <f>IF(B8="Да",2*$B$3, 0)</f>
        <v>0</v>
      </c>
      <c r="D35" s="1100">
        <f>C35*0.5</f>
        <v>0</v>
      </c>
      <c r="E35" s="1101">
        <f>C35*0.4</f>
        <v>0</v>
      </c>
      <c r="F35" s="1102">
        <f>C35*0.1</f>
        <v>0</v>
      </c>
      <c r="G35" s="1103"/>
    </row>
    <row r="36" spans="1:7" x14ac:dyDescent="0.25">
      <c r="A36" s="1097" t="s">
        <v>947</v>
      </c>
      <c r="B36" s="1098">
        <v>0</v>
      </c>
      <c r="C36" s="1099">
        <f>IF(B9="Да",1*$B$3, 0)</f>
        <v>0</v>
      </c>
      <c r="D36" s="1100">
        <f>C36*0.5</f>
        <v>0</v>
      </c>
      <c r="E36" s="1101">
        <f>C36*0.4</f>
        <v>0</v>
      </c>
      <c r="F36" s="1102">
        <f>C36*0.1</f>
        <v>0</v>
      </c>
      <c r="G36" s="1103"/>
    </row>
    <row r="37" spans="1:7" x14ac:dyDescent="0.25">
      <c r="A37" s="1097" t="s">
        <v>948</v>
      </c>
      <c r="B37" s="1098">
        <v>0</v>
      </c>
      <c r="C37" s="1099">
        <f>IF(B10="Да",1*$B$3, 0)</f>
        <v>0</v>
      </c>
      <c r="D37" s="1100">
        <f>C37*0.5</f>
        <v>0</v>
      </c>
      <c r="E37" s="1101">
        <f>C37*0.4</f>
        <v>0</v>
      </c>
      <c r="F37" s="1102">
        <f>C37*0.1</f>
        <v>0</v>
      </c>
      <c r="G37" s="1103"/>
    </row>
    <row r="38" spans="1:7" x14ac:dyDescent="0.25">
      <c r="A38" s="1109" t="s">
        <v>949</v>
      </c>
      <c r="B38" s="1110"/>
      <c r="C38" s="1099"/>
      <c r="D38" s="1099"/>
      <c r="E38" s="1099"/>
      <c r="F38" s="1099"/>
      <c r="G38" s="1103"/>
    </row>
    <row r="39" spans="1:7" x14ac:dyDescent="0.25">
      <c r="A39" s="1108" t="s">
        <v>950</v>
      </c>
      <c r="B39" s="1106">
        <v>1</v>
      </c>
      <c r="C39" s="1099">
        <f>B3*1</f>
        <v>0</v>
      </c>
      <c r="D39" s="1100">
        <f>C39*0.7</f>
        <v>0</v>
      </c>
      <c r="E39" s="1101">
        <f>C39*0.3</f>
        <v>0</v>
      </c>
      <c r="F39" s="1102"/>
      <c r="G39" s="1103"/>
    </row>
    <row r="40" spans="1:7" x14ac:dyDescent="0.25">
      <c r="A40" s="1097" t="s">
        <v>951</v>
      </c>
      <c r="B40" s="1106">
        <v>1</v>
      </c>
      <c r="C40" s="1099">
        <f>IF($B$7&lt;=50,ROUNDUP(10*$B$7/60,1),IF($B$7&lt;=100,ROUNDUP(12*$B$7/60,1),ROUNDUP(15*$B$7/60,1)))</f>
        <v>0</v>
      </c>
      <c r="D40" s="1100">
        <f>C40*0.45</f>
        <v>0</v>
      </c>
      <c r="E40" s="1101">
        <f>C40*0.45</f>
        <v>0</v>
      </c>
      <c r="F40" s="1102">
        <f>C40*0.1</f>
        <v>0</v>
      </c>
      <c r="G40" s="1103"/>
    </row>
    <row r="41" spans="1:7" x14ac:dyDescent="0.25">
      <c r="A41" s="1097" t="s">
        <v>952</v>
      </c>
      <c r="B41" s="1106">
        <v>1</v>
      </c>
      <c r="C41" s="1099">
        <f>ROUNDUP((B3*16)+(B7*10)/60,1)</f>
        <v>0</v>
      </c>
      <c r="D41" s="1100">
        <f>C41*0.2</f>
        <v>0</v>
      </c>
      <c r="E41" s="1101">
        <f>C41*0.6</f>
        <v>0</v>
      </c>
      <c r="F41" s="1102">
        <f>C41*0.2</f>
        <v>0</v>
      </c>
      <c r="G41" s="1103"/>
    </row>
    <row r="42" spans="1:7" x14ac:dyDescent="0.25">
      <c r="A42" s="1097" t="s">
        <v>953</v>
      </c>
      <c r="B42" s="1106">
        <v>1</v>
      </c>
      <c r="C42" s="1099">
        <f>B6*0.5</f>
        <v>0</v>
      </c>
      <c r="D42" s="1100">
        <f>C42*0.8</f>
        <v>0</v>
      </c>
      <c r="E42" s="1101">
        <f>C42*0.2</f>
        <v>0</v>
      </c>
      <c r="F42" s="1102"/>
      <c r="G42" s="1103"/>
    </row>
    <row r="43" spans="1:7" x14ac:dyDescent="0.25">
      <c r="A43" s="1109" t="s">
        <v>954</v>
      </c>
      <c r="B43" s="1110"/>
      <c r="C43" s="1099"/>
      <c r="D43" s="1099"/>
      <c r="E43" s="1099"/>
      <c r="F43" s="1099"/>
      <c r="G43" s="1103"/>
    </row>
    <row r="44" spans="1:7" x14ac:dyDescent="0.25">
      <c r="A44" s="1097" t="s">
        <v>955</v>
      </c>
      <c r="B44" s="1098">
        <v>0</v>
      </c>
      <c r="C44" s="1099">
        <f>B11*0.5</f>
        <v>0</v>
      </c>
      <c r="D44" s="1100"/>
      <c r="E44" s="1101"/>
      <c r="F44" s="1102">
        <f>B44</f>
        <v>0</v>
      </c>
      <c r="G44" s="1103"/>
    </row>
    <row r="45" spans="1:7" x14ac:dyDescent="0.25">
      <c r="A45" s="1097" t="s">
        <v>956</v>
      </c>
      <c r="B45" s="1098">
        <v>0</v>
      </c>
      <c r="C45" s="1099">
        <f>ROUNDUP(B12*20/60,1)</f>
        <v>0</v>
      </c>
      <c r="D45" s="1100"/>
      <c r="E45" s="1101"/>
      <c r="F45" s="1102">
        <f>C45</f>
        <v>0</v>
      </c>
      <c r="G45" s="1103" t="s">
        <v>957</v>
      </c>
    </row>
    <row r="46" spans="1:7" x14ac:dyDescent="0.25">
      <c r="A46" s="1097" t="s">
        <v>959</v>
      </c>
      <c r="B46" s="1098">
        <v>0</v>
      </c>
      <c r="C46" s="1099">
        <f>B4*0.5</f>
        <v>0</v>
      </c>
      <c r="D46" s="1100">
        <f>C46*0.5</f>
        <v>0</v>
      </c>
      <c r="E46" s="1101">
        <f>C46*0.4</f>
        <v>0</v>
      </c>
      <c r="F46" s="1102">
        <f>C46*0.1</f>
        <v>0</v>
      </c>
      <c r="G46" s="1103"/>
    </row>
    <row r="47" spans="1:7" x14ac:dyDescent="0.25">
      <c r="A47" s="1097" t="s">
        <v>960</v>
      </c>
      <c r="B47" s="1098">
        <v>0</v>
      </c>
      <c r="C47" s="1099">
        <f>B5*6</f>
        <v>0</v>
      </c>
      <c r="D47" s="1100">
        <f>C47*0.5</f>
        <v>0</v>
      </c>
      <c r="E47" s="1101">
        <f>C47*0.4</f>
        <v>0</v>
      </c>
      <c r="F47" s="1102">
        <f>C47*0.1</f>
        <v>0</v>
      </c>
      <c r="G47" s="1103"/>
    </row>
    <row r="48" spans="1:7" x14ac:dyDescent="0.25">
      <c r="A48" s="1097" t="s">
        <v>961</v>
      </c>
      <c r="B48" s="1098">
        <v>0</v>
      </c>
      <c r="C48" s="1099">
        <f>IF(B14="Да",24,0)</f>
        <v>24</v>
      </c>
      <c r="D48" s="1100"/>
      <c r="E48" s="1101">
        <f>C48*0.3</f>
        <v>7.1999999999999993</v>
      </c>
      <c r="F48" s="1102">
        <f>C48*0.7</f>
        <v>16.799999999999997</v>
      </c>
      <c r="G48" s="1103"/>
    </row>
    <row r="49" spans="1:7" x14ac:dyDescent="0.25">
      <c r="A49" s="1112" t="s">
        <v>962</v>
      </c>
      <c r="B49" s="1113"/>
      <c r="C49" s="1114"/>
      <c r="D49" s="1114"/>
      <c r="E49" s="1114"/>
      <c r="F49" s="1114"/>
      <c r="G49" s="1111"/>
    </row>
    <row r="50" spans="1:7" x14ac:dyDescent="0.25">
      <c r="A50" s="1104" t="s">
        <v>963</v>
      </c>
      <c r="B50" s="1106">
        <v>1</v>
      </c>
      <c r="C50" s="1099">
        <f>ROUNDUP(IF(SUM(C17:C47)*0.1&gt;8,SUM(C17:C47)*0.1,8),1)</f>
        <v>8</v>
      </c>
      <c r="D50" s="1099"/>
      <c r="E50" s="1099">
        <f>C50*0.5</f>
        <v>4</v>
      </c>
      <c r="F50" s="1099">
        <f>C50*0.5</f>
        <v>4</v>
      </c>
      <c r="G50" s="1103"/>
    </row>
    <row r="51" spans="1:7" x14ac:dyDescent="0.25">
      <c r="A51" s="1104" t="s">
        <v>964</v>
      </c>
      <c r="B51" s="1106">
        <v>1</v>
      </c>
      <c r="C51" s="1099">
        <f>ROUNDUP(IF(SUM(C17:C47)*0.05&gt;8,SUM(C17:C47)*0.05,8),1)</f>
        <v>8</v>
      </c>
      <c r="D51" s="1099"/>
      <c r="E51" s="1099">
        <f>C51*0.5</f>
        <v>4</v>
      </c>
      <c r="F51" s="1099">
        <f>C51*0.5</f>
        <v>4</v>
      </c>
      <c r="G51" s="1103"/>
    </row>
    <row r="52" spans="1:7" ht="15.75" thickBot="1" x14ac:dyDescent="0.3">
      <c r="A52" s="1116"/>
      <c r="B52" s="1117"/>
      <c r="C52" s="1118"/>
      <c r="D52" s="1118"/>
      <c r="E52" s="1118"/>
      <c r="F52" s="1118"/>
      <c r="G52" s="1115"/>
    </row>
    <row r="53" spans="1:7" x14ac:dyDescent="0.25">
      <c r="B53" s="1119" t="s">
        <v>965</v>
      </c>
      <c r="C53" s="274">
        <f>ROUNDUP(SUM(D53:F53),0)</f>
        <v>0</v>
      </c>
      <c r="D53" s="1120">
        <f>ROUNDUP(SUM(D17:D23)/8,0)</f>
        <v>0</v>
      </c>
      <c r="E53" s="202">
        <f>ROUNDUP(SUM(E17:E23)/8,0)</f>
        <v>0</v>
      </c>
      <c r="F53" s="78">
        <f>ROUNDUP(SUM(F17:F23)/8,0)</f>
        <v>0</v>
      </c>
    </row>
    <row r="54" spans="1:7" x14ac:dyDescent="0.25">
      <c r="B54" s="1119" t="s">
        <v>966</v>
      </c>
      <c r="C54" s="274">
        <f>ROUNDUP(SUM(D54:F54),0)</f>
        <v>4</v>
      </c>
      <c r="D54" s="1120">
        <f>ROUNDUP(SUM(D26:D48)/8,0)</f>
        <v>0</v>
      </c>
      <c r="E54" s="202">
        <f>ROUNDUP(SUM(E26:E48)/8,0)</f>
        <v>1</v>
      </c>
      <c r="F54" s="78">
        <f>ROUNDUP(SUM(F26:F48)/8,0)</f>
        <v>3</v>
      </c>
    </row>
    <row r="55" spans="1:7" x14ac:dyDescent="0.25">
      <c r="B55" s="1119" t="s">
        <v>967</v>
      </c>
      <c r="C55" s="274">
        <f>ROUNDUP(SUM(D55:F55),0)</f>
        <v>2</v>
      </c>
      <c r="D55" s="1120">
        <f>ROUNDUP(D51/8,0)</f>
        <v>0</v>
      </c>
      <c r="E55" s="202">
        <f>ROUNDUP(E51/8,0)</f>
        <v>1</v>
      </c>
      <c r="F55" s="78">
        <f>ROUNDUP(F51/8,0)</f>
        <v>1</v>
      </c>
    </row>
  </sheetData>
  <dataValidations count="2">
    <dataValidation type="list" allowBlank="1" showInputMessage="1" showErrorMessage="1" sqref="B8:B14" xr:uid="{00000000-0002-0000-3100-000000000000}">
      <formula1>$H$3:$H$4</formula1>
    </dataValidation>
    <dataValidation type="list" allowBlank="1" showInputMessage="1" showErrorMessage="1" sqref="B52" xr:uid="{00000000-0002-0000-3100-000001000000}">
      <formula1>$H$3:$H$5</formula1>
    </dataValidation>
  </dataValidation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Лист55">
    <tabColor theme="8"/>
  </sheetPr>
  <dimension ref="A1:H29"/>
  <sheetViews>
    <sheetView workbookViewId="0">
      <selection activeCell="B2" sqref="B2"/>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 t="array" ref="B2:C2">ТрЗ_ОВ!E82:F82</f>
        <v>0</v>
      </c>
      <c r="C2" s="1036">
        <v>0</v>
      </c>
      <c r="D2" s="1036"/>
      <c r="E2" s="1036"/>
      <c r="F2" s="1036"/>
      <c r="G2" s="1036"/>
      <c r="H2" s="1036"/>
    </row>
    <row r="3" spans="1:8" x14ac:dyDescent="0.25">
      <c r="A3" s="1034" t="s">
        <v>877</v>
      </c>
      <c r="B3" s="1035">
        <f>ТрЗ_ОВ!H82</f>
        <v>0</v>
      </c>
      <c r="C3" s="1036"/>
      <c r="D3" s="1036"/>
      <c r="E3" s="1036"/>
      <c r="F3" s="1036"/>
      <c r="G3" s="1036"/>
      <c r="H3" s="1036"/>
    </row>
    <row r="4" spans="1:8" x14ac:dyDescent="0.25">
      <c r="A4" s="1037" t="s">
        <v>878</v>
      </c>
      <c r="B4" s="1038">
        <f t="array" ref="B4:C4">ТрЗ_ОВ!J82:K82</f>
        <v>0</v>
      </c>
      <c r="C4" s="1039">
        <v>0</v>
      </c>
      <c r="D4" s="1039"/>
      <c r="E4" s="1039"/>
      <c r="F4" s="1039"/>
      <c r="G4" s="1039"/>
      <c r="H4" s="1039"/>
    </row>
    <row r="5" spans="1:8" x14ac:dyDescent="0.25">
      <c r="A5" s="1037" t="s">
        <v>879</v>
      </c>
      <c r="B5" s="1038">
        <f>ТрЗ_ОВ!M82</f>
        <v>0</v>
      </c>
      <c r="C5" s="1040"/>
      <c r="D5" s="1039"/>
      <c r="E5" s="1040"/>
      <c r="F5" s="1039"/>
      <c r="G5" s="1039"/>
      <c r="H5" s="1039"/>
    </row>
    <row r="6" spans="1:8" x14ac:dyDescent="0.25">
      <c r="A6" s="1037" t="s">
        <v>880</v>
      </c>
      <c r="B6" s="1038">
        <v>1</v>
      </c>
      <c r="C6" s="1040">
        <v>4</v>
      </c>
      <c r="D6" s="1039">
        <v>4</v>
      </c>
      <c r="E6" s="1040"/>
      <c r="F6" s="1039">
        <f>D6/8</f>
        <v>0.5</v>
      </c>
      <c r="G6" s="1040"/>
      <c r="H6" s="1039"/>
    </row>
    <row r="7" spans="1:8" x14ac:dyDescent="0.25">
      <c r="A7" s="1037" t="s">
        <v>881</v>
      </c>
      <c r="B7" s="1041" t="s">
        <v>882</v>
      </c>
      <c r="C7" s="1040">
        <f>SUM(C8:C11)</f>
        <v>4</v>
      </c>
      <c r="D7" s="1039">
        <f>C7*$B$3</f>
        <v>0</v>
      </c>
      <c r="E7" s="1040">
        <f>0.5*$D$11</f>
        <v>0</v>
      </c>
      <c r="F7" s="1040">
        <f>0.5*$D$11</f>
        <v>0</v>
      </c>
      <c r="G7" s="1040"/>
      <c r="H7" s="1039"/>
    </row>
    <row r="8" spans="1:8" x14ac:dyDescent="0.25">
      <c r="A8" s="1042" t="s">
        <v>883</v>
      </c>
      <c r="B8" s="1043">
        <v>1</v>
      </c>
      <c r="C8" s="1040">
        <v>1</v>
      </c>
      <c r="D8" s="1039">
        <f t="shared" ref="D8:D11" si="0">C8*$B$3</f>
        <v>0</v>
      </c>
      <c r="E8" s="1040"/>
      <c r="F8" s="1039"/>
      <c r="G8" s="1040"/>
      <c r="H8" s="1039"/>
    </row>
    <row r="9" spans="1:8" x14ac:dyDescent="0.25">
      <c r="A9" s="1042" t="s">
        <v>884</v>
      </c>
      <c r="B9" s="1043">
        <v>1</v>
      </c>
      <c r="C9" s="1040">
        <v>1</v>
      </c>
      <c r="D9" s="1039">
        <f t="shared" si="0"/>
        <v>0</v>
      </c>
      <c r="E9" s="1040"/>
      <c r="F9" s="1039"/>
      <c r="G9" s="1040"/>
      <c r="H9" s="1039"/>
    </row>
    <row r="10" spans="1:8" x14ac:dyDescent="0.25">
      <c r="A10" s="1042" t="s">
        <v>885</v>
      </c>
      <c r="B10" s="1043">
        <v>1</v>
      </c>
      <c r="C10" s="1040">
        <v>1</v>
      </c>
      <c r="D10" s="1039">
        <f t="shared" si="0"/>
        <v>0</v>
      </c>
      <c r="E10" s="1040"/>
      <c r="F10" s="1039"/>
      <c r="G10" s="1040"/>
      <c r="H10" s="1039"/>
    </row>
    <row r="11" spans="1:8" ht="15.75" thickBot="1" x14ac:dyDescent="0.3">
      <c r="A11" s="1042" t="s">
        <v>886</v>
      </c>
      <c r="B11" s="1043">
        <v>1</v>
      </c>
      <c r="C11" s="1040">
        <v>1</v>
      </c>
      <c r="D11" s="1039">
        <f t="shared" si="0"/>
        <v>0</v>
      </c>
      <c r="E11" s="1040"/>
      <c r="F11" s="1039"/>
      <c r="G11" s="1040"/>
      <c r="H11" s="1039"/>
    </row>
    <row r="12" spans="1:8" x14ac:dyDescent="0.25">
      <c r="A12" s="1044" t="s">
        <v>887</v>
      </c>
      <c r="B12" s="1045"/>
      <c r="C12" s="1046"/>
      <c r="D12" s="1046"/>
      <c r="E12" s="1046"/>
      <c r="F12" s="1046"/>
      <c r="G12" s="1046"/>
      <c r="H12" s="1046"/>
    </row>
    <row r="13" spans="1:8" x14ac:dyDescent="0.25">
      <c r="A13" s="1041" t="s">
        <v>888</v>
      </c>
      <c r="B13" s="1043"/>
      <c r="C13" s="1039"/>
      <c r="D13" s="1039"/>
      <c r="E13" s="1039"/>
      <c r="F13" s="1039"/>
      <c r="G13" s="1039"/>
      <c r="H13" s="1039"/>
    </row>
    <row r="14" spans="1:8" x14ac:dyDescent="0.25">
      <c r="A14" s="1043" t="s">
        <v>889</v>
      </c>
      <c r="B14" s="1043">
        <v>1</v>
      </c>
      <c r="C14" s="1047"/>
      <c r="D14" s="1039"/>
      <c r="E14" s="1039"/>
      <c r="F14" s="1039"/>
      <c r="G14" s="1039"/>
      <c r="H14" s="1039"/>
    </row>
    <row r="15" spans="1:8" x14ac:dyDescent="0.25">
      <c r="A15" s="1043" t="s">
        <v>890</v>
      </c>
      <c r="B15" s="1043">
        <v>1</v>
      </c>
      <c r="C15" s="1039">
        <v>2</v>
      </c>
      <c r="D15" s="1039">
        <f>C15*$B$3</f>
        <v>0</v>
      </c>
      <c r="E15" s="1039">
        <f>0.7*D15</f>
        <v>0</v>
      </c>
      <c r="F15" s="1039">
        <f>0.3*D15</f>
        <v>0</v>
      </c>
      <c r="G15" s="1039"/>
      <c r="H15" s="1039"/>
    </row>
    <row r="16" spans="1:8" x14ac:dyDescent="0.25">
      <c r="A16" s="1043" t="s">
        <v>891</v>
      </c>
      <c r="B16" s="1043">
        <v>1</v>
      </c>
      <c r="C16" s="1039">
        <v>2</v>
      </c>
      <c r="D16" s="1039">
        <f>C16*$B$3</f>
        <v>0</v>
      </c>
      <c r="E16" s="1039">
        <f t="shared" ref="E16:E20" si="1">0.7*D16</f>
        <v>0</v>
      </c>
      <c r="F16" s="1039">
        <f t="shared" ref="F16:F20" si="2">0.3*D16</f>
        <v>0</v>
      </c>
      <c r="G16" s="1039"/>
      <c r="H16" s="1039"/>
    </row>
    <row r="17" spans="1:8" x14ac:dyDescent="0.25">
      <c r="A17" s="1043" t="s">
        <v>892</v>
      </c>
      <c r="B17" s="1043">
        <v>1</v>
      </c>
      <c r="C17" s="1039">
        <v>1</v>
      </c>
      <c r="D17" s="1048">
        <f>C17*B4</f>
        <v>0</v>
      </c>
      <c r="E17" s="1039"/>
      <c r="F17" s="1040">
        <f>0.7*D17</f>
        <v>0</v>
      </c>
      <c r="G17" s="1039">
        <f>0.3*D17</f>
        <v>0</v>
      </c>
      <c r="H17" s="1039"/>
    </row>
    <row r="18" spans="1:8" x14ac:dyDescent="0.25">
      <c r="A18" s="1043" t="s">
        <v>893</v>
      </c>
      <c r="B18" s="1043">
        <v>1</v>
      </c>
      <c r="C18" s="1039">
        <v>0.5</v>
      </c>
      <c r="D18" s="1048">
        <f>C18*B5</f>
        <v>0</v>
      </c>
      <c r="E18" s="1039"/>
      <c r="F18" s="1040">
        <f>0.7*D18</f>
        <v>0</v>
      </c>
      <c r="G18" s="1039">
        <f>0.3*D18</f>
        <v>0</v>
      </c>
      <c r="H18" s="1039"/>
    </row>
    <row r="19" spans="1:8" x14ac:dyDescent="0.25">
      <c r="A19" s="1049" t="s">
        <v>894</v>
      </c>
      <c r="B19" s="1043">
        <v>1</v>
      </c>
      <c r="C19" s="1039">
        <v>0.5</v>
      </c>
      <c r="D19" s="1048">
        <f>C19*B2</f>
        <v>0</v>
      </c>
      <c r="E19" s="1039">
        <f t="shared" si="1"/>
        <v>0</v>
      </c>
      <c r="F19" s="1039">
        <f>0.3*D19</f>
        <v>0</v>
      </c>
      <c r="G19" s="1039"/>
      <c r="H19" s="1039"/>
    </row>
    <row r="20" spans="1:8" ht="15.75" thickBot="1" x14ac:dyDescent="0.3">
      <c r="A20" s="1050" t="s">
        <v>895</v>
      </c>
      <c r="B20" s="1051">
        <v>1</v>
      </c>
      <c r="C20" s="1052">
        <v>0.5</v>
      </c>
      <c r="D20" s="1053">
        <f>C20*$B$4</f>
        <v>0</v>
      </c>
      <c r="E20" s="1053">
        <f t="shared" si="1"/>
        <v>0</v>
      </c>
      <c r="F20" s="1053">
        <f t="shared" si="2"/>
        <v>0</v>
      </c>
      <c r="G20" s="1054"/>
      <c r="H20" s="1054"/>
    </row>
    <row r="21" spans="1:8" ht="26.25" thickBot="1" x14ac:dyDescent="0.3">
      <c r="A21" s="1055" t="s">
        <v>896</v>
      </c>
      <c r="B21" s="1056" t="s">
        <v>897</v>
      </c>
      <c r="C21" s="1057"/>
      <c r="D21" s="1058">
        <f>SUM(D6:D20)*0.1</f>
        <v>0.4</v>
      </c>
      <c r="E21" s="1059"/>
      <c r="F21" s="1058">
        <f>D21*0.5</f>
        <v>0.2</v>
      </c>
      <c r="G21" s="1058">
        <f>D21*0.5</f>
        <v>0.2</v>
      </c>
      <c r="H21" s="1060"/>
    </row>
    <row r="22" spans="1:8" ht="26.25" thickBot="1" x14ac:dyDescent="0.3">
      <c r="A22" s="1061" t="s">
        <v>898</v>
      </c>
      <c r="B22" s="1062" t="s">
        <v>899</v>
      </c>
      <c r="C22" s="1063"/>
      <c r="D22" s="1064">
        <f>SUM(D12:D20)*0.1</f>
        <v>0</v>
      </c>
      <c r="E22" s="1065"/>
      <c r="F22" s="1064">
        <f>D22*0.5</f>
        <v>0</v>
      </c>
      <c r="G22" s="1064">
        <f>D22*0.5</f>
        <v>0</v>
      </c>
      <c r="H22" s="1066"/>
    </row>
    <row r="23" spans="1:8" x14ac:dyDescent="0.25">
      <c r="A23" s="1067" t="s">
        <v>564</v>
      </c>
      <c r="B23" s="1068"/>
      <c r="C23" s="1068"/>
      <c r="D23" s="1068">
        <f>SUM(D6:D22)</f>
        <v>4.4000000000000004</v>
      </c>
      <c r="E23" s="1068">
        <f>SUM(E6:E22)</f>
        <v>0</v>
      </c>
      <c r="F23" s="1068">
        <f>SUM(F6:F22)</f>
        <v>0.7</v>
      </c>
      <c r="G23" s="1068">
        <f>SUM(G6:G22)</f>
        <v>0.2</v>
      </c>
      <c r="H23" s="1068"/>
    </row>
    <row r="24" spans="1:8" x14ac:dyDescent="0.25">
      <c r="A24" s="1067"/>
      <c r="B24" s="1067"/>
      <c r="C24" s="1067"/>
      <c r="D24" s="1067"/>
      <c r="E24" s="1067"/>
      <c r="F24" s="1067"/>
      <c r="G24" s="1067"/>
      <c r="H24" s="1067"/>
    </row>
    <row r="25" spans="1:8" x14ac:dyDescent="0.25">
      <c r="A25" s="1067"/>
      <c r="B25" s="1067"/>
      <c r="C25" s="1069" t="s">
        <v>900</v>
      </c>
      <c r="D25" s="1069"/>
      <c r="E25" s="1069"/>
      <c r="F25" s="1069"/>
      <c r="G25" s="1069"/>
      <c r="H25" s="1067"/>
    </row>
    <row r="26" spans="1:8" x14ac:dyDescent="0.25">
      <c r="A26" s="1067"/>
      <c r="B26" s="1067"/>
      <c r="C26" s="268" t="s">
        <v>901</v>
      </c>
      <c r="D26" s="268">
        <f>SUM(D7)/8</f>
        <v>0</v>
      </c>
      <c r="E26" s="268">
        <f>ROUNDUP(SUM(E8:E11)/8,1)</f>
        <v>0</v>
      </c>
      <c r="F26" s="268">
        <f>ROUNDUP(SUM(F7)/8,1)</f>
        <v>0</v>
      </c>
      <c r="G26" s="268">
        <f>ROUNDUP(SUM(G6:G11)/8,1)</f>
        <v>0</v>
      </c>
      <c r="H26" s="1067"/>
    </row>
    <row r="27" spans="1:8" x14ac:dyDescent="0.25">
      <c r="A27" s="1067"/>
      <c r="B27" s="1067"/>
      <c r="C27" s="63" t="s">
        <v>902</v>
      </c>
      <c r="D27" s="63">
        <f>SUM(D14:D20)/8</f>
        <v>0</v>
      </c>
      <c r="E27" s="63">
        <f>ROUNDUP(SUM(F21:F21)/8,1)</f>
        <v>0.1</v>
      </c>
      <c r="F27" s="63">
        <f>ROUNDUP(SUM(G21:G21)/8,1)</f>
        <v>0.1</v>
      </c>
      <c r="G27" s="63">
        <f>ROUNDUP(SUM(G15:G20)/8,1)</f>
        <v>0</v>
      </c>
      <c r="H27" s="1067"/>
    </row>
    <row r="28" spans="1:8" x14ac:dyDescent="0.25">
      <c r="A28" s="1067"/>
      <c r="B28" s="1067"/>
      <c r="C28" s="268" t="s">
        <v>903</v>
      </c>
      <c r="D28" s="268">
        <f>ROUNDUP(SUM(D22)/8,0)</f>
        <v>0</v>
      </c>
      <c r="E28" s="268">
        <f>ROUNDUP(SUM(E22)/8,1)</f>
        <v>0</v>
      </c>
      <c r="F28" s="268">
        <f>ROUNDUP(SUM(F22)/8,1)</f>
        <v>0</v>
      </c>
      <c r="G28" s="268">
        <f>ROUNDUP(SUM(G22)/8,1)</f>
        <v>0</v>
      </c>
      <c r="H28" s="1067"/>
    </row>
    <row r="29" spans="1:8" x14ac:dyDescent="0.25">
      <c r="A29" s="1067"/>
      <c r="B29" s="1067"/>
      <c r="C29" s="63" t="s">
        <v>904</v>
      </c>
      <c r="D29" s="63">
        <f>ROUNDUP(D23/8,0)</f>
        <v>1</v>
      </c>
      <c r="E29" s="63">
        <f>ROUNDUP(E23/8,1)</f>
        <v>0</v>
      </c>
      <c r="F29" s="63">
        <f>ROUNDUP(F23/8,1)</f>
        <v>0.1</v>
      </c>
      <c r="G29" s="63">
        <f>ROUNDUP(G23/8,1)</f>
        <v>0.1</v>
      </c>
      <c r="H29" s="1067"/>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Лист56">
    <tabColor theme="8"/>
  </sheetPr>
  <dimension ref="A1:H21"/>
  <sheetViews>
    <sheetView workbookViewId="0">
      <selection activeCell="B3" sqref="B3"/>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c r="C2" s="1036"/>
      <c r="D2" s="1036"/>
      <c r="E2" s="1036"/>
      <c r="F2" s="1036"/>
      <c r="G2" s="1036"/>
      <c r="H2" s="1036"/>
    </row>
    <row r="3" spans="1:8" x14ac:dyDescent="0.25">
      <c r="A3" s="1037" t="s">
        <v>907</v>
      </c>
      <c r="B3" s="1038">
        <f>ТрЗ_ОВ!H163</f>
        <v>0</v>
      </c>
      <c r="C3" s="1039"/>
      <c r="D3" s="1039"/>
      <c r="E3" s="1039"/>
      <c r="F3" s="1039"/>
      <c r="G3" s="1039"/>
      <c r="H3" s="1039"/>
    </row>
    <row r="4" spans="1:8" x14ac:dyDescent="0.25">
      <c r="A4" s="1037" t="s">
        <v>880</v>
      </c>
      <c r="B4" s="1041"/>
      <c r="C4" s="1039"/>
      <c r="D4" s="1039"/>
      <c r="E4" s="1039"/>
      <c r="F4" s="1039"/>
      <c r="G4" s="1039"/>
      <c r="H4" s="1039"/>
    </row>
    <row r="5" spans="1:8" x14ac:dyDescent="0.25">
      <c r="A5" s="1037" t="s">
        <v>881</v>
      </c>
      <c r="B5" s="1041" t="s">
        <v>882</v>
      </c>
      <c r="C5" s="1039"/>
      <c r="D5" s="1039"/>
      <c r="E5" s="1039"/>
      <c r="F5" s="1039"/>
      <c r="G5" s="1039"/>
      <c r="H5" s="1039"/>
    </row>
    <row r="6" spans="1:8" x14ac:dyDescent="0.25">
      <c r="A6" s="1042" t="s">
        <v>883</v>
      </c>
      <c r="B6" s="1043">
        <v>1</v>
      </c>
      <c r="C6" s="1039"/>
      <c r="D6" s="1039"/>
      <c r="E6" s="1039"/>
      <c r="F6" s="1039"/>
      <c r="G6" s="1039"/>
      <c r="H6" s="1039"/>
    </row>
    <row r="7" spans="1:8" x14ac:dyDescent="0.25">
      <c r="A7" s="1042" t="s">
        <v>884</v>
      </c>
      <c r="B7" s="1043">
        <v>1</v>
      </c>
      <c r="C7" s="1039"/>
      <c r="D7" s="1039"/>
      <c r="E7" s="1039"/>
      <c r="F7" s="1039"/>
      <c r="G7" s="1039"/>
      <c r="H7" s="1039"/>
    </row>
    <row r="8" spans="1:8" x14ac:dyDescent="0.25">
      <c r="A8" s="1042" t="s">
        <v>885</v>
      </c>
      <c r="B8" s="1043">
        <v>1</v>
      </c>
      <c r="C8" s="1039"/>
      <c r="D8" s="1039"/>
      <c r="E8" s="1039"/>
      <c r="F8" s="1039"/>
      <c r="G8" s="1039"/>
      <c r="H8" s="1039"/>
    </row>
    <row r="9" spans="1:8" x14ac:dyDescent="0.25">
      <c r="A9" s="1042" t="s">
        <v>886</v>
      </c>
      <c r="B9" s="1043">
        <v>1</v>
      </c>
      <c r="C9" s="1039"/>
      <c r="D9" s="1039"/>
      <c r="E9" s="1039"/>
      <c r="F9" s="1039"/>
      <c r="G9" s="1039"/>
      <c r="H9" s="1039"/>
    </row>
    <row r="10" spans="1:8" x14ac:dyDescent="0.25">
      <c r="A10" s="1037" t="s">
        <v>887</v>
      </c>
      <c r="B10" s="1043"/>
      <c r="C10" s="1039"/>
      <c r="D10" s="1039"/>
      <c r="E10" s="1039"/>
      <c r="F10" s="1039"/>
      <c r="G10" s="1039"/>
      <c r="H10" s="1039"/>
    </row>
    <row r="11" spans="1:8" x14ac:dyDescent="0.25">
      <c r="A11" s="1037" t="s">
        <v>888</v>
      </c>
      <c r="B11" s="1043"/>
      <c r="C11" s="1039"/>
      <c r="D11" s="1039"/>
      <c r="E11" s="1039"/>
      <c r="F11" s="1039"/>
      <c r="G11" s="1039"/>
      <c r="H11" s="1039"/>
    </row>
    <row r="12" spans="1:8" x14ac:dyDescent="0.25">
      <c r="A12" s="1042" t="s">
        <v>906</v>
      </c>
      <c r="B12" s="1043">
        <v>1</v>
      </c>
      <c r="C12" s="1047">
        <v>2</v>
      </c>
      <c r="D12" s="1039">
        <f>C12*B3</f>
        <v>0</v>
      </c>
      <c r="E12" s="1039">
        <f>0.5*D12</f>
        <v>0</v>
      </c>
      <c r="F12" s="1039">
        <f>0.5*D12</f>
        <v>0</v>
      </c>
      <c r="G12" s="1039"/>
      <c r="H12" s="1039"/>
    </row>
    <row r="13" spans="1:8" ht="25.5" x14ac:dyDescent="0.25">
      <c r="A13" s="1037" t="s">
        <v>896</v>
      </c>
      <c r="B13" s="1039" t="s">
        <v>897</v>
      </c>
      <c r="C13" s="1039"/>
      <c r="D13" s="1039">
        <f>D12*0.1</f>
        <v>0</v>
      </c>
      <c r="E13" s="817"/>
      <c r="F13" s="1039">
        <f>0.5*D13</f>
        <v>0</v>
      </c>
      <c r="G13" s="1039">
        <f>0.5*D13</f>
        <v>0</v>
      </c>
      <c r="H13" s="1039"/>
    </row>
    <row r="14" spans="1:8" ht="26.25" thickBot="1" x14ac:dyDescent="0.3">
      <c r="A14" s="1070" t="s">
        <v>898</v>
      </c>
      <c r="B14" s="1053" t="s">
        <v>899</v>
      </c>
      <c r="C14" s="1053"/>
      <c r="D14" s="1053">
        <f>D12*0.1</f>
        <v>0</v>
      </c>
      <c r="E14" s="324"/>
      <c r="F14" s="1039">
        <f>0.5*D14</f>
        <v>0</v>
      </c>
      <c r="G14" s="1039">
        <f>0.5*D14</f>
        <v>0</v>
      </c>
      <c r="H14" s="1053"/>
    </row>
    <row r="15" spans="1:8" x14ac:dyDescent="0.25">
      <c r="A15" s="1067" t="s">
        <v>564</v>
      </c>
      <c r="B15" s="1068"/>
      <c r="C15" s="1068"/>
      <c r="D15" s="1068">
        <f>SUM(D4:D14)</f>
        <v>0</v>
      </c>
      <c r="E15" s="1068">
        <f>SUM(E4:E14)</f>
        <v>0</v>
      </c>
      <c r="F15" s="1068">
        <f>SUM(F4:F14)</f>
        <v>0</v>
      </c>
      <c r="G15" s="1068">
        <f>SUM(G4:G14)</f>
        <v>0</v>
      </c>
      <c r="H15" s="1068"/>
    </row>
    <row r="16" spans="1:8" x14ac:dyDescent="0.25">
      <c r="A16" s="1067"/>
      <c r="B16" s="1067"/>
      <c r="C16" s="1067"/>
      <c r="D16" s="1067"/>
      <c r="E16" s="1067"/>
      <c r="F16" s="1067"/>
      <c r="G16" s="1067"/>
      <c r="H16" s="1067"/>
    </row>
    <row r="17" spans="1:8" x14ac:dyDescent="0.25">
      <c r="A17" s="1067"/>
      <c r="B17" s="1067"/>
      <c r="C17" s="1069" t="s">
        <v>900</v>
      </c>
      <c r="D17" s="1069"/>
      <c r="E17" s="1069"/>
      <c r="F17" s="1069"/>
      <c r="G17" s="1069"/>
      <c r="H17" s="1067"/>
    </row>
    <row r="18" spans="1:8" x14ac:dyDescent="0.25">
      <c r="A18" s="1067"/>
      <c r="B18" s="1067"/>
      <c r="C18" s="268" t="s">
        <v>901</v>
      </c>
      <c r="D18" s="268">
        <f>SUM(D6:D9)/8</f>
        <v>0</v>
      </c>
      <c r="E18" s="268">
        <f>ROUNDUP(SUM(E6:E9)/8,0)</f>
        <v>0</v>
      </c>
      <c r="F18" s="268">
        <f>ROUNDUP(SUM(F6:F9)/8,0)</f>
        <v>0</v>
      </c>
      <c r="G18" s="268">
        <f>ROUNDUP(SUM(G4:G9)/8,0)</f>
        <v>0</v>
      </c>
      <c r="H18" s="1067"/>
    </row>
    <row r="19" spans="1:8" x14ac:dyDescent="0.25">
      <c r="A19" s="1067"/>
      <c r="B19" s="1067"/>
      <c r="C19" s="63" t="s">
        <v>902</v>
      </c>
      <c r="D19" s="63">
        <f>SUM(D12:D13)/8</f>
        <v>0</v>
      </c>
      <c r="E19" s="63">
        <f t="shared" ref="E19:G19" si="0">SUM(E12:E13)/8</f>
        <v>0</v>
      </c>
      <c r="F19" s="63">
        <f t="shared" si="0"/>
        <v>0</v>
      </c>
      <c r="G19" s="63">
        <f t="shared" si="0"/>
        <v>0</v>
      </c>
      <c r="H19" s="1067"/>
    </row>
    <row r="20" spans="1:8" x14ac:dyDescent="0.25">
      <c r="A20" s="1067"/>
      <c r="B20" s="1067"/>
      <c r="C20" s="268" t="s">
        <v>903</v>
      </c>
      <c r="D20" s="268">
        <f>SUM(D14)/8</f>
        <v>0</v>
      </c>
      <c r="E20" s="268">
        <f t="shared" ref="E20:G20" si="1">SUM(E14)/8</f>
        <v>0</v>
      </c>
      <c r="F20" s="268">
        <f t="shared" si="1"/>
        <v>0</v>
      </c>
      <c r="G20" s="268">
        <f t="shared" si="1"/>
        <v>0</v>
      </c>
      <c r="H20" s="1067"/>
    </row>
    <row r="21" spans="1:8" x14ac:dyDescent="0.25">
      <c r="A21" s="1067"/>
      <c r="B21" s="1067"/>
      <c r="C21" s="63" t="s">
        <v>904</v>
      </c>
      <c r="D21" s="63">
        <f>ROUNDUP(D15/8,0)</f>
        <v>0</v>
      </c>
      <c r="E21" s="63">
        <f>ROUNDUP(E15/8,0)</f>
        <v>0</v>
      </c>
      <c r="F21" s="63">
        <f>ROUNDUP(F15/8,0)</f>
        <v>0</v>
      </c>
      <c r="G21" s="63">
        <f>ROUNDUP(G15/8,0)</f>
        <v>0</v>
      </c>
      <c r="H21" s="1067"/>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Лист57">
    <tabColor theme="8"/>
  </sheetPr>
  <dimension ref="A1:K30"/>
  <sheetViews>
    <sheetView workbookViewId="0">
      <selection activeCell="B2" sqref="B2"/>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11" ht="39" thickBot="1" x14ac:dyDescent="0.3">
      <c r="A1" s="1033" t="s">
        <v>872</v>
      </c>
      <c r="B1" s="1033" t="s">
        <v>873</v>
      </c>
      <c r="C1" s="1033" t="s">
        <v>874</v>
      </c>
      <c r="D1" s="1033" t="s">
        <v>52</v>
      </c>
      <c r="E1" s="1033" t="s">
        <v>715</v>
      </c>
      <c r="F1" s="1033" t="s">
        <v>714</v>
      </c>
      <c r="G1" s="1033" t="s">
        <v>713</v>
      </c>
      <c r="H1" s="1033" t="s">
        <v>875</v>
      </c>
    </row>
    <row r="2" spans="1:11" x14ac:dyDescent="0.25">
      <c r="A2" s="1034" t="s">
        <v>876</v>
      </c>
      <c r="B2" s="1035">
        <f>ТрЗ_ОВ!E140</f>
        <v>0</v>
      </c>
      <c r="C2" s="1036"/>
      <c r="D2" s="1036"/>
      <c r="E2" s="1036"/>
      <c r="F2" s="1036"/>
      <c r="G2" s="1036"/>
      <c r="H2" s="1036"/>
    </row>
    <row r="3" spans="1:11" x14ac:dyDescent="0.25">
      <c r="A3" s="1071" t="s">
        <v>908</v>
      </c>
      <c r="B3" s="1038">
        <f>ТрЗ_ОВ!H140</f>
        <v>0</v>
      </c>
      <c r="C3" s="1039"/>
      <c r="D3" s="1039"/>
      <c r="E3" s="1039"/>
      <c r="F3" s="1039"/>
      <c r="G3" s="1039"/>
      <c r="H3" s="1039"/>
    </row>
    <row r="4" spans="1:11" x14ac:dyDescent="0.25">
      <c r="A4" s="1071" t="s">
        <v>909</v>
      </c>
      <c r="B4" s="1038">
        <f>ТрЗ_ОВ!J140</f>
        <v>0</v>
      </c>
      <c r="C4" s="1040"/>
      <c r="D4" s="1039"/>
      <c r="E4" s="1040"/>
      <c r="F4" s="1039"/>
      <c r="G4" s="1040"/>
      <c r="H4" s="1039"/>
    </row>
    <row r="5" spans="1:11" x14ac:dyDescent="0.25">
      <c r="A5" s="1037" t="s">
        <v>880</v>
      </c>
      <c r="B5" s="1038">
        <v>1</v>
      </c>
      <c r="C5" s="1040">
        <v>4</v>
      </c>
      <c r="D5" s="1039">
        <v>4</v>
      </c>
      <c r="E5" s="1040"/>
      <c r="F5" s="1039">
        <f>D5/8</f>
        <v>0.5</v>
      </c>
      <c r="G5" s="1040"/>
      <c r="H5" s="1039"/>
    </row>
    <row r="6" spans="1:11" x14ac:dyDescent="0.25">
      <c r="A6" s="1037" t="s">
        <v>881</v>
      </c>
      <c r="B6" s="1041" t="s">
        <v>882</v>
      </c>
      <c r="C6" s="1040">
        <f>SUM(C7:C10)</f>
        <v>4</v>
      </c>
      <c r="D6" s="1039">
        <f>C6*$B$3</f>
        <v>0</v>
      </c>
      <c r="E6" s="1040">
        <f>0.5*SUM(D7:D10)</f>
        <v>0</v>
      </c>
      <c r="F6" s="1040">
        <f>0.5*SUM($D$7:$D$10)</f>
        <v>0</v>
      </c>
      <c r="G6" s="1040"/>
      <c r="H6" s="1039"/>
    </row>
    <row r="7" spans="1:11" x14ac:dyDescent="0.25">
      <c r="A7" s="1042" t="s">
        <v>883</v>
      </c>
      <c r="B7" s="1043">
        <v>1</v>
      </c>
      <c r="C7" s="1040">
        <v>1</v>
      </c>
      <c r="D7" s="1039">
        <f t="shared" ref="D7:D10" si="0">C7*$B$3</f>
        <v>0</v>
      </c>
      <c r="E7" s="1040"/>
      <c r="F7" s="1039"/>
      <c r="G7" s="1040"/>
      <c r="H7" s="1039"/>
    </row>
    <row r="8" spans="1:11" x14ac:dyDescent="0.25">
      <c r="A8" s="1042" t="s">
        <v>884</v>
      </c>
      <c r="B8" s="1043">
        <v>1</v>
      </c>
      <c r="C8" s="1040">
        <v>1</v>
      </c>
      <c r="D8" s="1039">
        <f t="shared" si="0"/>
        <v>0</v>
      </c>
      <c r="E8" s="1040"/>
      <c r="F8" s="1039"/>
      <c r="G8" s="1040"/>
      <c r="H8" s="1039"/>
    </row>
    <row r="9" spans="1:11" x14ac:dyDescent="0.25">
      <c r="A9" s="1042" t="s">
        <v>885</v>
      </c>
      <c r="B9" s="1043">
        <v>1</v>
      </c>
      <c r="C9" s="1040">
        <v>1</v>
      </c>
      <c r="D9" s="1039">
        <f t="shared" si="0"/>
        <v>0</v>
      </c>
      <c r="E9" s="1040"/>
      <c r="F9" s="1039"/>
      <c r="G9" s="1040"/>
      <c r="H9" s="1039"/>
    </row>
    <row r="10" spans="1:11" x14ac:dyDescent="0.25">
      <c r="A10" s="1042" t="s">
        <v>886</v>
      </c>
      <c r="B10" s="1043">
        <v>1</v>
      </c>
      <c r="C10" s="1040">
        <v>1</v>
      </c>
      <c r="D10" s="1039">
        <f t="shared" si="0"/>
        <v>0</v>
      </c>
      <c r="E10" s="1040"/>
      <c r="F10" s="1039"/>
      <c r="G10" s="1040"/>
      <c r="H10" s="1039"/>
    </row>
    <row r="11" spans="1:11" x14ac:dyDescent="0.25">
      <c r="A11" s="1037" t="s">
        <v>887</v>
      </c>
      <c r="B11" s="1043"/>
      <c r="C11" s="1039"/>
      <c r="D11" s="1039"/>
      <c r="E11" s="1039"/>
      <c r="F11" s="1039"/>
      <c r="G11" s="1039"/>
      <c r="H11" s="1039"/>
    </row>
    <row r="12" spans="1:11" x14ac:dyDescent="0.25">
      <c r="A12" s="1037" t="s">
        <v>888</v>
      </c>
      <c r="B12" s="1043"/>
      <c r="C12" s="1039"/>
      <c r="D12" s="1039"/>
      <c r="E12" s="1039"/>
      <c r="F12" s="1039"/>
      <c r="G12" s="1039"/>
      <c r="H12" s="1039"/>
    </row>
    <row r="13" spans="1:11" x14ac:dyDescent="0.25">
      <c r="A13" s="1072" t="s">
        <v>910</v>
      </c>
      <c r="B13" s="1043">
        <v>1</v>
      </c>
      <c r="C13" s="1039">
        <v>2</v>
      </c>
      <c r="D13" s="1039">
        <f>C13*B3</f>
        <v>0</v>
      </c>
      <c r="E13" s="1039">
        <f>D13*0.5</f>
        <v>0</v>
      </c>
      <c r="F13" s="1039">
        <f>D13*0.5</f>
        <v>0</v>
      </c>
      <c r="G13" s="1039"/>
      <c r="H13" s="1039"/>
    </row>
    <row r="14" spans="1:11" x14ac:dyDescent="0.25">
      <c r="A14" s="1072" t="s">
        <v>911</v>
      </c>
      <c r="B14" s="1043">
        <v>1</v>
      </c>
      <c r="C14" s="1047">
        <v>1</v>
      </c>
      <c r="D14" s="1039">
        <f>C14*B4</f>
        <v>0</v>
      </c>
      <c r="E14" s="1039">
        <f t="shared" ref="E14:E20" si="1">D14*0.5</f>
        <v>0</v>
      </c>
      <c r="F14" s="1039">
        <f t="shared" ref="F14:F20" si="2">D14*0.5</f>
        <v>0</v>
      </c>
      <c r="G14" s="1039"/>
      <c r="H14" s="1039"/>
    </row>
    <row r="15" spans="1:11" x14ac:dyDescent="0.25">
      <c r="A15" s="1072" t="s">
        <v>912</v>
      </c>
      <c r="B15" s="1038">
        <f>IF(ТрЗ_ОВ!D144="Да",1,0)</f>
        <v>1</v>
      </c>
      <c r="C15" s="1047">
        <v>1</v>
      </c>
      <c r="D15" s="1039">
        <f>C15*B15</f>
        <v>1</v>
      </c>
      <c r="F15" s="1039">
        <f>D15*0.7</f>
        <v>0.7</v>
      </c>
      <c r="G15" s="1039">
        <f>D15*0.3</f>
        <v>0.3</v>
      </c>
      <c r="H15" s="1073" t="s">
        <v>913</v>
      </c>
    </row>
    <row r="16" spans="1:11" x14ac:dyDescent="0.25">
      <c r="A16" s="1072" t="s">
        <v>914</v>
      </c>
      <c r="B16" s="1038">
        <f>IF(ТрЗ_ОВ!D145="Да",1,0)</f>
        <v>1</v>
      </c>
      <c r="C16" s="1047">
        <v>1</v>
      </c>
      <c r="D16" s="1039">
        <f t="shared" ref="D16:D19" si="3">C16*B16</f>
        <v>1</v>
      </c>
      <c r="F16" s="1039">
        <f t="shared" ref="F16:F19" si="4">D16*0.7</f>
        <v>0.7</v>
      </c>
      <c r="G16" s="1039">
        <f t="shared" ref="G16:G19" si="5">D16*0.3</f>
        <v>0.3</v>
      </c>
      <c r="H16" s="1073" t="s">
        <v>913</v>
      </c>
      <c r="K16" s="1073"/>
    </row>
    <row r="17" spans="1:8" x14ac:dyDescent="0.25">
      <c r="A17" s="1072" t="s">
        <v>915</v>
      </c>
      <c r="B17" s="1038">
        <f>ТрЗ_ОВ!D146</f>
        <v>0</v>
      </c>
      <c r="C17" s="1047">
        <v>0.5</v>
      </c>
      <c r="D17" s="1039">
        <f t="shared" si="3"/>
        <v>0</v>
      </c>
      <c r="F17" s="1039">
        <f t="shared" si="4"/>
        <v>0</v>
      </c>
      <c r="G17" s="1039">
        <f t="shared" si="5"/>
        <v>0</v>
      </c>
      <c r="H17" s="1073" t="s">
        <v>916</v>
      </c>
    </row>
    <row r="18" spans="1:8" x14ac:dyDescent="0.25">
      <c r="A18" s="1072" t="s">
        <v>917</v>
      </c>
      <c r="B18" s="1038">
        <f>ТрЗ_ОВ!D147</f>
        <v>0</v>
      </c>
      <c r="C18" s="1047">
        <v>1</v>
      </c>
      <c r="D18" s="1039">
        <f t="shared" si="3"/>
        <v>0</v>
      </c>
      <c r="F18" s="1039">
        <f t="shared" si="4"/>
        <v>0</v>
      </c>
      <c r="G18" s="1039">
        <f t="shared" si="5"/>
        <v>0</v>
      </c>
      <c r="H18" s="1073" t="s">
        <v>916</v>
      </c>
    </row>
    <row r="19" spans="1:8" x14ac:dyDescent="0.25">
      <c r="A19" s="1072" t="s">
        <v>918</v>
      </c>
      <c r="B19" s="1038">
        <f>ТрЗ_ОВ!D148</f>
        <v>0</v>
      </c>
      <c r="C19" s="1047">
        <v>1</v>
      </c>
      <c r="D19" s="1039">
        <f t="shared" si="3"/>
        <v>0</v>
      </c>
      <c r="F19" s="1039">
        <f t="shared" si="4"/>
        <v>0</v>
      </c>
      <c r="G19" s="1039">
        <f t="shared" si="5"/>
        <v>0</v>
      </c>
      <c r="H19" s="1073" t="s">
        <v>916</v>
      </c>
    </row>
    <row r="20" spans="1:8" x14ac:dyDescent="0.25">
      <c r="A20" s="1072" t="s">
        <v>775</v>
      </c>
      <c r="B20" s="1043">
        <f>IF(ТрЗ_ОВ!D149="Да",1,0)</f>
        <v>1</v>
      </c>
      <c r="C20" s="1047">
        <v>0.5</v>
      </c>
      <c r="D20" s="1039">
        <f>C20*B3</f>
        <v>0</v>
      </c>
      <c r="E20" s="1039">
        <f t="shared" si="1"/>
        <v>0</v>
      </c>
      <c r="F20" s="1039">
        <f t="shared" si="2"/>
        <v>0</v>
      </c>
      <c r="G20" s="1073"/>
      <c r="H20" s="1073" t="s">
        <v>913</v>
      </c>
    </row>
    <row r="21" spans="1:8" x14ac:dyDescent="0.25">
      <c r="A21" s="1072" t="s">
        <v>776</v>
      </c>
      <c r="B21" s="1043">
        <f>IF(ТрЗ_ОВ!D150="Да",1,0)</f>
        <v>1</v>
      </c>
      <c r="C21" s="1047">
        <v>1</v>
      </c>
      <c r="D21" s="1039">
        <f>C21*B21</f>
        <v>1</v>
      </c>
      <c r="E21" s="1039"/>
      <c r="F21" s="1039">
        <f t="shared" ref="F21" si="6">D21*0.7</f>
        <v>0.7</v>
      </c>
      <c r="G21" s="1039">
        <f t="shared" ref="G21" si="7">D21*0.3</f>
        <v>0.3</v>
      </c>
      <c r="H21" s="1073" t="s">
        <v>913</v>
      </c>
    </row>
    <row r="22" spans="1:8" ht="25.5" x14ac:dyDescent="0.25">
      <c r="A22" s="1037" t="s">
        <v>896</v>
      </c>
      <c r="B22" s="1039" t="s">
        <v>897</v>
      </c>
      <c r="C22" s="1039"/>
      <c r="D22" s="1039">
        <f>ROUNDUP(SUM(D13:D21),1)</f>
        <v>3</v>
      </c>
      <c r="E22" s="1039"/>
      <c r="F22" s="1039">
        <f>D22*0.5</f>
        <v>1.5</v>
      </c>
      <c r="G22" s="1039">
        <f>D22*0.5</f>
        <v>1.5</v>
      </c>
      <c r="H22" s="1039"/>
    </row>
    <row r="23" spans="1:8" ht="26.25" thickBot="1" x14ac:dyDescent="0.3">
      <c r="A23" s="1070" t="s">
        <v>898</v>
      </c>
      <c r="B23" s="1053" t="s">
        <v>899</v>
      </c>
      <c r="C23" s="1053"/>
      <c r="D23" s="1039">
        <f>ROUNDUP(SUM(D13:D21),1)</f>
        <v>3</v>
      </c>
      <c r="E23" s="1053"/>
      <c r="F23" s="1039">
        <f>D23*0.5</f>
        <v>1.5</v>
      </c>
      <c r="G23" s="1039">
        <f>D23*0.5</f>
        <v>1.5</v>
      </c>
      <c r="H23" s="1053"/>
    </row>
    <row r="24" spans="1:8" x14ac:dyDescent="0.25">
      <c r="A24" s="1067" t="s">
        <v>564</v>
      </c>
      <c r="B24" s="1068"/>
      <c r="C24" s="1068"/>
      <c r="D24" s="1068">
        <f>SUM(D5:D23)</f>
        <v>13</v>
      </c>
      <c r="E24" s="1068">
        <f>SUM(E5:E23)</f>
        <v>0</v>
      </c>
      <c r="F24" s="1068">
        <f>SUM(F5:F23)</f>
        <v>5.6</v>
      </c>
      <c r="G24" s="1068">
        <f>SUM(G5:G23)</f>
        <v>3.9</v>
      </c>
      <c r="H24" s="1068"/>
    </row>
    <row r="25" spans="1:8" x14ac:dyDescent="0.25">
      <c r="A25" s="1067"/>
      <c r="B25" s="1067"/>
      <c r="C25" s="1067"/>
      <c r="D25" s="1067"/>
      <c r="E25" s="1067"/>
      <c r="F25" s="1067"/>
      <c r="G25" s="1067"/>
      <c r="H25" s="1067"/>
    </row>
    <row r="26" spans="1:8" x14ac:dyDescent="0.25">
      <c r="A26" s="1067"/>
      <c r="B26" s="1067"/>
      <c r="C26" s="1069" t="s">
        <v>900</v>
      </c>
      <c r="D26" s="1069"/>
      <c r="E26" s="1069"/>
      <c r="F26" s="1069"/>
      <c r="G26" s="1069"/>
      <c r="H26" s="1067"/>
    </row>
    <row r="27" spans="1:8" x14ac:dyDescent="0.25">
      <c r="A27" s="1067"/>
      <c r="B27" s="1067"/>
      <c r="C27" s="268" t="s">
        <v>901</v>
      </c>
      <c r="D27" s="268">
        <f>D6/8</f>
        <v>0</v>
      </c>
      <c r="E27" s="268">
        <f t="shared" ref="E27:G27" si="8">E6/8</f>
        <v>0</v>
      </c>
      <c r="F27" s="268">
        <f t="shared" si="8"/>
        <v>0</v>
      </c>
      <c r="G27" s="268">
        <f t="shared" si="8"/>
        <v>0</v>
      </c>
      <c r="H27" s="1067"/>
    </row>
    <row r="28" spans="1:8" x14ac:dyDescent="0.25">
      <c r="A28" s="1067"/>
      <c r="B28" s="1067"/>
      <c r="C28" s="63" t="s">
        <v>902</v>
      </c>
      <c r="D28" s="63">
        <f>ROUNDUP(SUM(D13:D22)/8,1)</f>
        <v>0.79999999999999993</v>
      </c>
      <c r="E28" s="63">
        <f t="shared" ref="E28:G28" si="9">ROUNDUP(SUM(E13:E22)/8,1)</f>
        <v>0</v>
      </c>
      <c r="F28" s="63">
        <f t="shared" si="9"/>
        <v>0.5</v>
      </c>
      <c r="G28" s="63">
        <f t="shared" si="9"/>
        <v>0.3</v>
      </c>
      <c r="H28" s="1067"/>
    </row>
    <row r="29" spans="1:8" x14ac:dyDescent="0.25">
      <c r="A29" s="1067"/>
      <c r="B29" s="1067"/>
      <c r="C29" s="268" t="s">
        <v>903</v>
      </c>
      <c r="D29" s="268">
        <f>ROUNDUP(SUM(D23)/8,1)</f>
        <v>0.4</v>
      </c>
      <c r="E29" s="268">
        <f t="shared" ref="E29:G29" si="10">ROUNDUP(SUM(E23)/8,1)</f>
        <v>0</v>
      </c>
      <c r="F29" s="268">
        <f t="shared" si="10"/>
        <v>0.2</v>
      </c>
      <c r="G29" s="268">
        <f t="shared" si="10"/>
        <v>0.2</v>
      </c>
      <c r="H29" s="1067"/>
    </row>
    <row r="30" spans="1:8" x14ac:dyDescent="0.25">
      <c r="A30" s="1067"/>
      <c r="B30" s="1067"/>
      <c r="C30" s="63" t="s">
        <v>904</v>
      </c>
      <c r="D30" s="63">
        <f>ROUNDUP(D24/8,0)</f>
        <v>2</v>
      </c>
      <c r="E30" s="63">
        <f>ROUNDUP(E24/8,0)</f>
        <v>0</v>
      </c>
      <c r="F30" s="63">
        <f>ROUNDUP(F24/8,0)</f>
        <v>1</v>
      </c>
      <c r="G30" s="63">
        <f>ROUNDUP(G24/8,0)</f>
        <v>1</v>
      </c>
      <c r="H30" s="1067"/>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Лист58">
    <tabColor theme="8"/>
  </sheetPr>
  <dimension ref="A1:G57"/>
  <sheetViews>
    <sheetView workbookViewId="0">
      <selection activeCell="B3" sqref="B3"/>
    </sheetView>
  </sheetViews>
  <sheetFormatPr defaultRowHeight="15" x14ac:dyDescent="0.25"/>
  <cols>
    <col min="1" max="1" width="84.42578125" customWidth="1"/>
    <col min="2" max="3" width="17.85546875" customWidth="1"/>
    <col min="4" max="6" width="10.42578125" customWidth="1"/>
    <col min="7" max="7" width="34.85546875" bestFit="1" customWidth="1"/>
  </cols>
  <sheetData>
    <row r="1" spans="1:7" ht="15.75" thickBot="1" x14ac:dyDescent="0.3">
      <c r="A1" t="s">
        <v>426</v>
      </c>
      <c r="D1" s="1074" t="s">
        <v>108</v>
      </c>
      <c r="E1" s="1075"/>
      <c r="F1" s="1076"/>
    </row>
    <row r="2" spans="1:7" ht="39" thickBot="1" x14ac:dyDescent="0.3">
      <c r="A2" s="1077" t="s">
        <v>872</v>
      </c>
      <c r="B2" s="1077" t="s">
        <v>919</v>
      </c>
      <c r="C2" s="1078" t="s">
        <v>920</v>
      </c>
      <c r="D2" s="1079" t="s">
        <v>921</v>
      </c>
      <c r="E2" s="1080" t="s">
        <v>922</v>
      </c>
      <c r="F2" s="1081" t="s">
        <v>923</v>
      </c>
      <c r="G2" s="1078" t="s">
        <v>875</v>
      </c>
    </row>
    <row r="3" spans="1:7" x14ac:dyDescent="0.25">
      <c r="A3" s="1082" t="s">
        <v>924</v>
      </c>
      <c r="B3" s="1083">
        <f>ТрЗ_ОВ!E114</f>
        <v>0</v>
      </c>
      <c r="C3" s="1084"/>
      <c r="D3" s="1084"/>
      <c r="E3" s="1084"/>
      <c r="F3" s="1084"/>
      <c r="G3" s="1085"/>
    </row>
    <row r="4" spans="1:7" x14ac:dyDescent="0.25">
      <c r="A4" s="1086" t="s">
        <v>925</v>
      </c>
      <c r="B4" s="1087">
        <f>ТрЗ_ОВ!H114</f>
        <v>0</v>
      </c>
      <c r="C4" s="1088"/>
      <c r="D4" s="1088"/>
      <c r="E4" s="1088"/>
      <c r="F4" s="1088"/>
      <c r="G4" s="1089"/>
    </row>
    <row r="5" spans="1:7" x14ac:dyDescent="0.25">
      <c r="A5" s="1086" t="s">
        <v>926</v>
      </c>
      <c r="B5" s="1087">
        <f>ТрЗ_ОВ!J114</f>
        <v>0</v>
      </c>
      <c r="C5" s="1088"/>
      <c r="D5" s="1088"/>
      <c r="E5" s="1088"/>
      <c r="F5" s="1088"/>
      <c r="G5" s="1089"/>
    </row>
    <row r="6" spans="1:7" x14ac:dyDescent="0.25">
      <c r="A6" s="1086" t="s">
        <v>927</v>
      </c>
      <c r="B6" s="1087">
        <f>ТрЗ_ОВ!M114</f>
        <v>0</v>
      </c>
      <c r="C6" s="1088"/>
      <c r="D6" s="1088"/>
      <c r="E6" s="1088"/>
      <c r="F6" s="1088"/>
      <c r="G6" s="1089"/>
    </row>
    <row r="7" spans="1:7" x14ac:dyDescent="0.25">
      <c r="A7" s="1086" t="s">
        <v>928</v>
      </c>
      <c r="B7" s="1087">
        <f>ТрЗ_ОВ!O114</f>
        <v>0</v>
      </c>
      <c r="C7" s="1088"/>
      <c r="D7" s="1088"/>
      <c r="E7" s="1088"/>
      <c r="F7" s="1088"/>
      <c r="G7" s="1089"/>
    </row>
    <row r="8" spans="1:7" x14ac:dyDescent="0.25">
      <c r="A8" s="1086" t="s">
        <v>762</v>
      </c>
      <c r="B8" s="1087" t="str">
        <f>ТрЗ_ОВ!D118</f>
        <v>Да</v>
      </c>
      <c r="C8" s="1088"/>
      <c r="D8" s="1088"/>
      <c r="E8" s="1088"/>
      <c r="F8" s="1088"/>
      <c r="G8" s="1089"/>
    </row>
    <row r="9" spans="1:7" x14ac:dyDescent="0.25">
      <c r="A9" s="1086" t="s">
        <v>763</v>
      </c>
      <c r="B9" s="1087" t="str">
        <f>ТрЗ_ОВ!D119</f>
        <v>Да</v>
      </c>
      <c r="C9" s="1088"/>
      <c r="D9" s="1088"/>
      <c r="E9" s="1088"/>
      <c r="F9" s="1088"/>
      <c r="G9" s="1089"/>
    </row>
    <row r="10" spans="1:7" x14ac:dyDescent="0.25">
      <c r="A10" s="1086" t="s">
        <v>764</v>
      </c>
      <c r="B10" s="1087" t="str">
        <f>ТрЗ_ОВ!D120</f>
        <v>Да</v>
      </c>
      <c r="C10" s="1088"/>
      <c r="D10" s="1088"/>
      <c r="E10" s="1088"/>
      <c r="F10" s="1088"/>
      <c r="G10" s="1089"/>
    </row>
    <row r="11" spans="1:7" x14ac:dyDescent="0.25">
      <c r="A11" s="1086" t="s">
        <v>765</v>
      </c>
      <c r="B11" s="1087">
        <f>ТрЗ_ОВ!D121</f>
        <v>0</v>
      </c>
      <c r="C11" s="1088"/>
      <c r="D11" s="1088"/>
      <c r="E11" s="1088"/>
      <c r="F11" s="1088"/>
      <c r="G11" s="1089"/>
    </row>
    <row r="12" spans="1:7" x14ac:dyDescent="0.25">
      <c r="A12" s="1086" t="s">
        <v>766</v>
      </c>
      <c r="B12" s="1087">
        <f>ТрЗ_ОВ!D122</f>
        <v>0</v>
      </c>
      <c r="C12" s="1088"/>
      <c r="D12" s="1088"/>
      <c r="E12" s="1088"/>
      <c r="F12" s="1088"/>
      <c r="G12" s="1089"/>
    </row>
    <row r="13" spans="1:7" x14ac:dyDescent="0.25">
      <c r="A13" s="1086" t="s">
        <v>767</v>
      </c>
      <c r="B13" s="1087" t="str">
        <f>ТрЗ_ОВ!D123</f>
        <v>Да</v>
      </c>
      <c r="C13" s="1088"/>
      <c r="D13" s="1088"/>
      <c r="E13" s="1088"/>
      <c r="F13" s="1088"/>
      <c r="G13" s="1089"/>
    </row>
    <row r="14" spans="1:7" ht="25.5" x14ac:dyDescent="0.25">
      <c r="A14" s="1086" t="s">
        <v>929</v>
      </c>
      <c r="B14" s="1087" t="s">
        <v>106</v>
      </c>
      <c r="C14" s="1088"/>
      <c r="D14" s="1088"/>
      <c r="E14" s="1088"/>
      <c r="F14" s="1088"/>
      <c r="G14" s="1089"/>
    </row>
    <row r="15" spans="1:7" x14ac:dyDescent="0.25">
      <c r="A15" s="1086" t="s">
        <v>753</v>
      </c>
      <c r="B15" s="1087" t="str">
        <f>ТрЗ_ОВ!D124</f>
        <v>Да</v>
      </c>
      <c r="C15" s="1088"/>
      <c r="D15" s="1088"/>
      <c r="E15" s="1088"/>
      <c r="F15" s="1088"/>
      <c r="G15" s="1089"/>
    </row>
    <row r="16" spans="1:7" ht="15.75" thickBot="1" x14ac:dyDescent="0.3">
      <c r="A16" s="1090"/>
      <c r="B16" s="1091"/>
      <c r="C16" s="1088"/>
      <c r="D16" s="1088"/>
      <c r="E16" s="1088"/>
      <c r="F16" s="1088"/>
      <c r="G16" s="1089"/>
    </row>
    <row r="17" spans="1:7" x14ac:dyDescent="0.25">
      <c r="A17" s="1092" t="s">
        <v>881</v>
      </c>
      <c r="B17" s="1093"/>
      <c r="C17" s="1094"/>
      <c r="D17" s="1095"/>
      <c r="E17" s="1095"/>
      <c r="F17" s="1094"/>
      <c r="G17" s="1096"/>
    </row>
    <row r="18" spans="1:7" x14ac:dyDescent="0.25">
      <c r="A18" s="1097" t="s">
        <v>930</v>
      </c>
      <c r="B18" s="1098">
        <f>IF(B14="Да",1,0)</f>
        <v>1</v>
      </c>
      <c r="C18" s="1099">
        <f>ROUNDUP(IF(B18=1,B3*50/60,0),1)</f>
        <v>0</v>
      </c>
      <c r="D18" s="1100">
        <f t="shared" ref="D18:D23" si="0">C18*0.5</f>
        <v>0</v>
      </c>
      <c r="E18" s="1101">
        <f t="shared" ref="E18:E23" si="1">C18*0.5</f>
        <v>0</v>
      </c>
      <c r="F18" s="1102"/>
      <c r="G18" s="1103"/>
    </row>
    <row r="19" spans="1:7" x14ac:dyDescent="0.25">
      <c r="A19" s="1097" t="s">
        <v>931</v>
      </c>
      <c r="B19" s="1098">
        <f>IF(B14="Да",IF(B4&gt;0,1,0),0)</f>
        <v>0</v>
      </c>
      <c r="C19" s="1099">
        <f>ROUNDUP(IF(B19=1,B4*50/60,0),1)</f>
        <v>0</v>
      </c>
      <c r="D19" s="1100">
        <f t="shared" si="0"/>
        <v>0</v>
      </c>
      <c r="E19" s="1101">
        <f t="shared" si="1"/>
        <v>0</v>
      </c>
      <c r="F19" s="1102"/>
      <c r="G19" s="1103"/>
    </row>
    <row r="20" spans="1:7" x14ac:dyDescent="0.25">
      <c r="A20" s="1097" t="s">
        <v>932</v>
      </c>
      <c r="B20" s="1098">
        <f>IF(B14="Да",IF(B5&gt;0,1,0),0)</f>
        <v>0</v>
      </c>
      <c r="C20" s="1099">
        <f>ROUNDUP(IF(B20=1,B5*50/60,0),1)</f>
        <v>0</v>
      </c>
      <c r="D20" s="1100">
        <f t="shared" si="0"/>
        <v>0</v>
      </c>
      <c r="E20" s="1101">
        <f t="shared" si="1"/>
        <v>0</v>
      </c>
      <c r="F20" s="1102"/>
      <c r="G20" s="1103"/>
    </row>
    <row r="21" spans="1:7" x14ac:dyDescent="0.25">
      <c r="A21" s="1097" t="s">
        <v>933</v>
      </c>
      <c r="B21" s="1098">
        <f>IF(B14="Да",1,0)</f>
        <v>1</v>
      </c>
      <c r="C21" s="1099">
        <f>ROUNDUP(IF(B21=1,(B3+B4+B5)*50/60,0),1)</f>
        <v>0</v>
      </c>
      <c r="D21" s="1100">
        <f t="shared" si="0"/>
        <v>0</v>
      </c>
      <c r="E21" s="1101">
        <f t="shared" si="1"/>
        <v>0</v>
      </c>
      <c r="F21" s="1102"/>
      <c r="G21" s="1103"/>
    </row>
    <row r="22" spans="1:7" x14ac:dyDescent="0.25">
      <c r="A22" s="1097" t="s">
        <v>934</v>
      </c>
      <c r="B22" s="1098">
        <f>IF(B14="Да",1,0)</f>
        <v>1</v>
      </c>
      <c r="C22" s="1099">
        <f>ROUNDUP(IF(B22=1,(B3+B4+B5)*50/60,0),1)</f>
        <v>0</v>
      </c>
      <c r="D22" s="1100">
        <f t="shared" si="0"/>
        <v>0</v>
      </c>
      <c r="E22" s="1101">
        <f t="shared" si="1"/>
        <v>0</v>
      </c>
      <c r="F22" s="1102"/>
      <c r="G22" s="1103"/>
    </row>
    <row r="23" spans="1:7" x14ac:dyDescent="0.25">
      <c r="A23" s="1097" t="s">
        <v>935</v>
      </c>
      <c r="B23" s="1098">
        <f>IF(B14="Да",1,0)</f>
        <v>1</v>
      </c>
      <c r="C23" s="1099">
        <f>ROUNDUP(IF(B23=1,(B3+B4+B5)*50/60,0),1)</f>
        <v>0</v>
      </c>
      <c r="D23" s="1100">
        <f t="shared" si="0"/>
        <v>0</v>
      </c>
      <c r="E23" s="1101">
        <f t="shared" si="1"/>
        <v>0</v>
      </c>
      <c r="F23" s="1102"/>
      <c r="G23" s="1103"/>
    </row>
    <row r="24" spans="1:7" x14ac:dyDescent="0.25">
      <c r="A24" s="1097" t="s">
        <v>936</v>
      </c>
      <c r="B24" s="1098">
        <f>IF(B14="Нет",1,0)</f>
        <v>0</v>
      </c>
      <c r="C24" s="1099">
        <f>ROUNDUP(IF(B24=1,(((B3+B4+B5)*60)+(B6*10))/60,0),1)</f>
        <v>0</v>
      </c>
      <c r="D24" s="1100"/>
      <c r="E24" s="1101">
        <f>(C24*0.32)/8</f>
        <v>0</v>
      </c>
      <c r="F24" s="1102">
        <f>(C24*0.68)/8</f>
        <v>0</v>
      </c>
      <c r="G24" s="1103"/>
    </row>
    <row r="25" spans="1:7" x14ac:dyDescent="0.25">
      <c r="A25" s="1104" t="s">
        <v>887</v>
      </c>
      <c r="B25" s="1105"/>
      <c r="C25" s="1099"/>
      <c r="D25" s="1099"/>
      <c r="E25" s="1099"/>
      <c r="F25" s="1099"/>
      <c r="G25" s="1103"/>
    </row>
    <row r="26" spans="1:7" x14ac:dyDescent="0.25">
      <c r="A26" s="1104" t="s">
        <v>888</v>
      </c>
      <c r="B26" s="1106"/>
      <c r="C26" s="1099"/>
      <c r="D26" s="1107"/>
      <c r="E26" s="1107"/>
      <c r="F26" s="1099"/>
      <c r="G26" s="1103"/>
    </row>
    <row r="27" spans="1:7" x14ac:dyDescent="0.25">
      <c r="A27" s="1108" t="s">
        <v>937</v>
      </c>
      <c r="B27" s="1106">
        <v>1</v>
      </c>
      <c r="C27" s="1099">
        <f>B3*1</f>
        <v>0</v>
      </c>
      <c r="D27" s="1100">
        <f>C27*0.5</f>
        <v>0</v>
      </c>
      <c r="E27" s="1101">
        <f>C27*0.5</f>
        <v>0</v>
      </c>
      <c r="F27" s="1102"/>
      <c r="G27" s="1103"/>
    </row>
    <row r="28" spans="1:7" x14ac:dyDescent="0.25">
      <c r="A28" s="1108" t="s">
        <v>938</v>
      </c>
      <c r="B28" s="1106">
        <v>1</v>
      </c>
      <c r="C28" s="1099">
        <f>B3*1</f>
        <v>0</v>
      </c>
      <c r="D28" s="1100">
        <f>C28*0.5</f>
        <v>0</v>
      </c>
      <c r="E28" s="1101">
        <f>C28*0.5</f>
        <v>0</v>
      </c>
      <c r="F28" s="1102"/>
      <c r="G28" s="1103"/>
    </row>
    <row r="29" spans="1:7" x14ac:dyDescent="0.25">
      <c r="A29" s="1104" t="s">
        <v>939</v>
      </c>
      <c r="B29" s="1106"/>
      <c r="C29" s="1099"/>
      <c r="D29" s="1107"/>
      <c r="E29" s="1107"/>
      <c r="F29" s="1099"/>
      <c r="G29" s="1103"/>
    </row>
    <row r="30" spans="1:7" x14ac:dyDescent="0.25">
      <c r="A30" s="1108" t="s">
        <v>940</v>
      </c>
      <c r="B30" s="1106">
        <v>1</v>
      </c>
      <c r="C30" s="1099">
        <f>B3*2</f>
        <v>0</v>
      </c>
      <c r="D30" s="1100">
        <f>C30*0.5</f>
        <v>0</v>
      </c>
      <c r="E30" s="1101">
        <f>C30*0.5</f>
        <v>0</v>
      </c>
      <c r="F30" s="1102"/>
      <c r="G30" s="1103"/>
    </row>
    <row r="31" spans="1:7" x14ac:dyDescent="0.25">
      <c r="A31" s="1108" t="s">
        <v>941</v>
      </c>
      <c r="B31" s="1106">
        <v>1</v>
      </c>
      <c r="C31" s="1099">
        <f>B3*0.5</f>
        <v>0</v>
      </c>
      <c r="D31" s="1100">
        <f>C31*0.5</f>
        <v>0</v>
      </c>
      <c r="E31" s="1101">
        <f>C31*0.5</f>
        <v>0</v>
      </c>
      <c r="F31" s="1102"/>
      <c r="G31" s="1103"/>
    </row>
    <row r="32" spans="1:7" x14ac:dyDescent="0.25">
      <c r="A32" s="1097" t="s">
        <v>942</v>
      </c>
      <c r="B32" s="1106">
        <v>1</v>
      </c>
      <c r="C32" s="1099">
        <f>B3*1</f>
        <v>0</v>
      </c>
      <c r="D32" s="1100">
        <f>C32*0.5</f>
        <v>0</v>
      </c>
      <c r="E32" s="1101">
        <f>C32*0.5</f>
        <v>0</v>
      </c>
      <c r="F32" s="1102"/>
      <c r="G32" s="1103"/>
    </row>
    <row r="33" spans="1:7" x14ac:dyDescent="0.25">
      <c r="A33" s="1109" t="s">
        <v>943</v>
      </c>
      <c r="B33" s="1110"/>
      <c r="C33" s="1099"/>
      <c r="D33" s="1099"/>
      <c r="E33" s="1099"/>
      <c r="F33" s="1099"/>
      <c r="G33" s="1103"/>
    </row>
    <row r="34" spans="1:7" x14ac:dyDescent="0.25">
      <c r="A34" s="1097" t="s">
        <v>944</v>
      </c>
      <c r="B34" s="1106">
        <v>1</v>
      </c>
      <c r="C34" s="1099">
        <f>B3*0.5</f>
        <v>0</v>
      </c>
      <c r="D34" s="1100">
        <f>C34*0.5</f>
        <v>0</v>
      </c>
      <c r="E34" s="1101">
        <f>C34*0.4</f>
        <v>0</v>
      </c>
      <c r="F34" s="1102">
        <f>C34*0.1</f>
        <v>0</v>
      </c>
      <c r="G34" s="1103"/>
    </row>
    <row r="35" spans="1:7" x14ac:dyDescent="0.25">
      <c r="A35" s="1097" t="s">
        <v>945</v>
      </c>
      <c r="B35" s="1106">
        <v>1</v>
      </c>
      <c r="C35" s="1099">
        <f>B3*0.5</f>
        <v>0</v>
      </c>
      <c r="D35" s="1100">
        <f>C35*0.5</f>
        <v>0</v>
      </c>
      <c r="E35" s="1101">
        <f>C35*0.4</f>
        <v>0</v>
      </c>
      <c r="F35" s="1102">
        <f>C35*0.1</f>
        <v>0</v>
      </c>
      <c r="G35" s="1103"/>
    </row>
    <row r="36" spans="1:7" x14ac:dyDescent="0.25">
      <c r="A36" s="1097" t="s">
        <v>946</v>
      </c>
      <c r="B36" s="1098">
        <v>0</v>
      </c>
      <c r="C36" s="1099">
        <f>IF(B8="Да",2*$B$3, 0)</f>
        <v>0</v>
      </c>
      <c r="D36" s="1100">
        <f>C36*0.5</f>
        <v>0</v>
      </c>
      <c r="E36" s="1101">
        <f>C36*0.4</f>
        <v>0</v>
      </c>
      <c r="F36" s="1102">
        <f>C36*0.1</f>
        <v>0</v>
      </c>
      <c r="G36" s="1103"/>
    </row>
    <row r="37" spans="1:7" x14ac:dyDescent="0.25">
      <c r="A37" s="1097" t="s">
        <v>947</v>
      </c>
      <c r="B37" s="1098">
        <v>0</v>
      </c>
      <c r="C37" s="1099">
        <f>IF(B9="Да",1*$B$3, 0)</f>
        <v>0</v>
      </c>
      <c r="D37" s="1100">
        <f>C37*0.5</f>
        <v>0</v>
      </c>
      <c r="E37" s="1101">
        <f>C37*0.4</f>
        <v>0</v>
      </c>
      <c r="F37" s="1102">
        <f>C37*0.1</f>
        <v>0</v>
      </c>
      <c r="G37" s="1103"/>
    </row>
    <row r="38" spans="1:7" x14ac:dyDescent="0.25">
      <c r="A38" s="1097" t="s">
        <v>948</v>
      </c>
      <c r="B38" s="1098">
        <v>0</v>
      </c>
      <c r="C38" s="1099">
        <f>IF(B10="Да",1*$B$3, 0)</f>
        <v>0</v>
      </c>
      <c r="D38" s="1100">
        <f>C38*0.5</f>
        <v>0</v>
      </c>
      <c r="E38" s="1101">
        <f>C38*0.4</f>
        <v>0</v>
      </c>
      <c r="F38" s="1102">
        <f>C38*0.1</f>
        <v>0</v>
      </c>
      <c r="G38" s="1103"/>
    </row>
    <row r="39" spans="1:7" x14ac:dyDescent="0.25">
      <c r="A39" s="1109" t="s">
        <v>949</v>
      </c>
      <c r="B39" s="1110"/>
      <c r="C39" s="1099"/>
      <c r="D39" s="1099"/>
      <c r="E39" s="1099"/>
      <c r="F39" s="1099"/>
      <c r="G39" s="1103"/>
    </row>
    <row r="40" spans="1:7" x14ac:dyDescent="0.25">
      <c r="A40" s="1108" t="s">
        <v>950</v>
      </c>
      <c r="B40" s="1106">
        <v>1</v>
      </c>
      <c r="C40" s="1099">
        <f>B3*1</f>
        <v>0</v>
      </c>
      <c r="D40" s="1100">
        <f>C40*0.7</f>
        <v>0</v>
      </c>
      <c r="E40" s="1101">
        <f>C40*0.3</f>
        <v>0</v>
      </c>
      <c r="F40" s="1102"/>
      <c r="G40" s="1103"/>
    </row>
    <row r="41" spans="1:7" x14ac:dyDescent="0.25">
      <c r="A41" s="1097" t="s">
        <v>951</v>
      </c>
      <c r="B41" s="1106">
        <v>1</v>
      </c>
      <c r="C41" s="1099">
        <f>IF($B$7&lt;=50,ROUNDUP(10*$B$7/60,1),IF($B$7&lt;=100,ROUNDUP(12*$B$7/60,1),ROUNDUP(15*$B$7/60,1)))</f>
        <v>0</v>
      </c>
      <c r="D41" s="1100">
        <f>C41*0.45</f>
        <v>0</v>
      </c>
      <c r="E41" s="1101">
        <f>C41*0.45</f>
        <v>0</v>
      </c>
      <c r="F41" s="1102">
        <f>C41*0.1</f>
        <v>0</v>
      </c>
      <c r="G41" s="1103"/>
    </row>
    <row r="42" spans="1:7" x14ac:dyDescent="0.25">
      <c r="A42" s="1097" t="s">
        <v>952</v>
      </c>
      <c r="B42" s="1106">
        <v>1</v>
      </c>
      <c r="C42" s="1099">
        <f>ROUNDUP((B3*16)+(B7*10)/60,1)</f>
        <v>0</v>
      </c>
      <c r="D42" s="1100">
        <f>C42*0.2</f>
        <v>0</v>
      </c>
      <c r="E42" s="1101">
        <f>C42*0.6</f>
        <v>0</v>
      </c>
      <c r="F42" s="1102">
        <f>C42*0.2</f>
        <v>0</v>
      </c>
      <c r="G42" s="1103"/>
    </row>
    <row r="43" spans="1:7" x14ac:dyDescent="0.25">
      <c r="A43" s="1097" t="s">
        <v>953</v>
      </c>
      <c r="B43" s="1106">
        <v>1</v>
      </c>
      <c r="C43" s="1099">
        <f>B6*0.5</f>
        <v>0</v>
      </c>
      <c r="D43" s="1100">
        <f>C43*0.8</f>
        <v>0</v>
      </c>
      <c r="E43" s="1101">
        <f>C43*0.2</f>
        <v>0</v>
      </c>
      <c r="F43" s="1102"/>
      <c r="G43" s="1103"/>
    </row>
    <row r="44" spans="1:7" x14ac:dyDescent="0.25">
      <c r="A44" s="1109" t="s">
        <v>954</v>
      </c>
      <c r="B44" s="1110"/>
      <c r="C44" s="1099"/>
      <c r="D44" s="1099"/>
      <c r="E44" s="1099"/>
      <c r="F44" s="1099"/>
      <c r="G44" s="1103"/>
    </row>
    <row r="45" spans="1:7" x14ac:dyDescent="0.25">
      <c r="A45" s="1097" t="s">
        <v>955</v>
      </c>
      <c r="B45" s="1098">
        <v>0</v>
      </c>
      <c r="C45" s="1099">
        <f>B11*0.5</f>
        <v>0</v>
      </c>
      <c r="D45" s="1100"/>
      <c r="E45" s="1101"/>
      <c r="F45" s="1102">
        <f>B45</f>
        <v>0</v>
      </c>
      <c r="G45" s="1103"/>
    </row>
    <row r="46" spans="1:7" x14ac:dyDescent="0.25">
      <c r="A46" s="1097" t="s">
        <v>956</v>
      </c>
      <c r="B46" s="1098">
        <v>0</v>
      </c>
      <c r="C46" s="1099">
        <f>ROUNDUP(B12*20/60,1)</f>
        <v>0</v>
      </c>
      <c r="D46" s="1100"/>
      <c r="E46" s="1101"/>
      <c r="F46" s="1102">
        <f>C46</f>
        <v>0</v>
      </c>
      <c r="G46" s="1103" t="s">
        <v>957</v>
      </c>
    </row>
    <row r="47" spans="1:7" x14ac:dyDescent="0.25">
      <c r="A47" s="1097" t="s">
        <v>958</v>
      </c>
      <c r="B47" s="1098">
        <v>0</v>
      </c>
      <c r="C47" s="1099">
        <f>IF(B12="Да",120,0)</f>
        <v>0</v>
      </c>
      <c r="D47" s="1100"/>
      <c r="E47" s="1101"/>
      <c r="F47" s="1102">
        <f>C47</f>
        <v>0</v>
      </c>
      <c r="G47" s="1103"/>
    </row>
    <row r="48" spans="1:7" x14ac:dyDescent="0.25">
      <c r="A48" s="1097" t="s">
        <v>959</v>
      </c>
      <c r="B48" s="1098">
        <v>0</v>
      </c>
      <c r="C48" s="1099">
        <f>B4*0.5</f>
        <v>0</v>
      </c>
      <c r="D48" s="1100">
        <f>C48*0.5</f>
        <v>0</v>
      </c>
      <c r="E48" s="1101">
        <f>C48*0.4</f>
        <v>0</v>
      </c>
      <c r="F48" s="1102">
        <f>C48*0.1</f>
        <v>0</v>
      </c>
      <c r="G48" s="1103"/>
    </row>
    <row r="49" spans="1:7" x14ac:dyDescent="0.25">
      <c r="A49" s="1097" t="s">
        <v>960</v>
      </c>
      <c r="B49" s="1098">
        <v>0</v>
      </c>
      <c r="C49" s="1099">
        <f>B5*6</f>
        <v>0</v>
      </c>
      <c r="D49" s="1100">
        <f>C49*0.5</f>
        <v>0</v>
      </c>
      <c r="E49" s="1101">
        <f>C49*0.4</f>
        <v>0</v>
      </c>
      <c r="F49" s="1102">
        <f>C49*0.1</f>
        <v>0</v>
      </c>
      <c r="G49" s="1103"/>
    </row>
    <row r="50" spans="1:7" x14ac:dyDescent="0.25">
      <c r="A50" s="1097" t="s">
        <v>961</v>
      </c>
      <c r="B50" s="1098">
        <v>0</v>
      </c>
      <c r="C50" s="1099">
        <f>IF(B15="Да",24,0)</f>
        <v>24</v>
      </c>
      <c r="D50" s="1100"/>
      <c r="E50" s="1101">
        <f>C50*0.3</f>
        <v>7.1999999999999993</v>
      </c>
      <c r="F50" s="1102">
        <f>C50*0.7</f>
        <v>16.799999999999997</v>
      </c>
      <c r="G50" s="1111"/>
    </row>
    <row r="51" spans="1:7" x14ac:dyDescent="0.25">
      <c r="A51" s="1112" t="s">
        <v>962</v>
      </c>
      <c r="B51" s="1113"/>
      <c r="C51" s="1114"/>
      <c r="D51" s="1114"/>
      <c r="E51" s="1114"/>
      <c r="F51" s="1114"/>
      <c r="G51" s="1103"/>
    </row>
    <row r="52" spans="1:7" x14ac:dyDescent="0.25">
      <c r="A52" s="1104" t="s">
        <v>963</v>
      </c>
      <c r="B52" s="1106">
        <v>1</v>
      </c>
      <c r="C52" s="1099">
        <f>ROUNDUP(IF(SUM(C18:C49)*0.1&gt;8,SUM(C18:C49)*0.1,8),1)</f>
        <v>8</v>
      </c>
      <c r="D52" s="1099"/>
      <c r="E52" s="1099">
        <f>C52*0.5</f>
        <v>4</v>
      </c>
      <c r="F52" s="1099">
        <f>C52*0.5</f>
        <v>4</v>
      </c>
      <c r="G52" s="1103"/>
    </row>
    <row r="53" spans="1:7" ht="15.75" thickBot="1" x14ac:dyDescent="0.3">
      <c r="A53" s="1104" t="s">
        <v>964</v>
      </c>
      <c r="B53" s="1106">
        <v>1</v>
      </c>
      <c r="C53" s="1099">
        <f>ROUNDUP(IF(SUM(C18:C49)*0.05&gt;8,SUM(C18:C49)*0.05,8),1)</f>
        <v>8</v>
      </c>
      <c r="D53" s="1099"/>
      <c r="E53" s="1099">
        <f>C53*0.5</f>
        <v>4</v>
      </c>
      <c r="F53" s="1099">
        <f>C53*0.5</f>
        <v>4</v>
      </c>
      <c r="G53" s="1115"/>
    </row>
    <row r="54" spans="1:7" ht="15.75" thickBot="1" x14ac:dyDescent="0.3">
      <c r="A54" s="1116"/>
      <c r="B54" s="1117"/>
      <c r="C54" s="1118"/>
      <c r="D54" s="1118"/>
      <c r="E54" s="1118"/>
      <c r="F54" s="1118"/>
    </row>
    <row r="55" spans="1:7" x14ac:dyDescent="0.25">
      <c r="B55" s="1119" t="s">
        <v>965</v>
      </c>
      <c r="C55" s="274">
        <f>ROUNDUP(SUM(D55:F55),0)</f>
        <v>0</v>
      </c>
      <c r="D55" s="1120">
        <f>ROUNDUP(SUM(D18:D24)/8,0)</f>
        <v>0</v>
      </c>
      <c r="E55" s="202">
        <f>ROUNDUP(SUM(E18:E24)/8,0)</f>
        <v>0</v>
      </c>
      <c r="F55" s="78">
        <f>ROUNDUP(SUM(F18:F24)/8,0)</f>
        <v>0</v>
      </c>
    </row>
    <row r="56" spans="1:7" x14ac:dyDescent="0.25">
      <c r="B56" s="1119" t="s">
        <v>966</v>
      </c>
      <c r="C56" s="274">
        <f>ROUNDUP(SUM(D56:F56),0)</f>
        <v>4</v>
      </c>
      <c r="D56" s="1120">
        <f>ROUNDUP(SUM(D27:D50)/8,0)</f>
        <v>0</v>
      </c>
      <c r="E56" s="202">
        <f>ROUNDUP(SUM(E27:E50)/8,0)</f>
        <v>1</v>
      </c>
      <c r="F56" s="78">
        <f>ROUNDUP(SUM(F27:F50)/8,0)</f>
        <v>3</v>
      </c>
    </row>
    <row r="57" spans="1:7" x14ac:dyDescent="0.25">
      <c r="B57" s="1119" t="s">
        <v>967</v>
      </c>
      <c r="C57" s="274">
        <f>ROUNDUP(SUM(D57:F57),0)</f>
        <v>2</v>
      </c>
      <c r="D57" s="1120">
        <f>ROUNDUP(D53/8,0)</f>
        <v>0</v>
      </c>
      <c r="E57" s="202">
        <f>ROUNDUP(E53/8,0)</f>
        <v>1</v>
      </c>
      <c r="F57" s="78">
        <f>ROUNDUP(F53/8,0)</f>
        <v>1</v>
      </c>
    </row>
  </sheetData>
  <dataValidations count="2">
    <dataValidation type="list" allowBlank="1" showInputMessage="1" showErrorMessage="1" sqref="B14" xr:uid="{00000000-0002-0000-3500-000000000000}">
      <formula1>$H$3:$H$4</formula1>
    </dataValidation>
    <dataValidation type="list" allowBlank="1" showInputMessage="1" showErrorMessage="1" sqref="B54" xr:uid="{00000000-0002-0000-3500-000001000000}">
      <formula1>$H$3:$H$5</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Лист59">
    <tabColor theme="8"/>
  </sheetPr>
  <dimension ref="A1:H27"/>
  <sheetViews>
    <sheetView workbookViewId="0">
      <selection activeCell="B2" sqref="B2"/>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ТрЗ_ОВ!E159</f>
        <v>0</v>
      </c>
      <c r="C2" s="1036"/>
      <c r="D2" s="1036"/>
      <c r="E2" s="1036"/>
      <c r="F2" s="1036"/>
      <c r="G2" s="1036"/>
      <c r="H2" s="1036"/>
    </row>
    <row r="3" spans="1:8" x14ac:dyDescent="0.25">
      <c r="A3" s="1037" t="s">
        <v>877</v>
      </c>
      <c r="B3" s="1038">
        <f>ТрЗ_ОВ!H159</f>
        <v>0</v>
      </c>
      <c r="C3" s="1039"/>
      <c r="D3" s="1039"/>
      <c r="E3" s="1039"/>
      <c r="F3" s="1039"/>
      <c r="G3" s="1039"/>
      <c r="H3" s="1039"/>
    </row>
    <row r="4" spans="1:8" x14ac:dyDescent="0.25">
      <c r="A4" s="1037" t="s">
        <v>968</v>
      </c>
      <c r="B4" s="1038">
        <f>ТрЗ_ОВ!J159</f>
        <v>0</v>
      </c>
      <c r="C4" s="1039"/>
      <c r="D4" s="1039"/>
      <c r="E4" s="1039"/>
      <c r="F4" s="1039"/>
      <c r="G4" s="1039"/>
      <c r="H4" s="1039"/>
    </row>
    <row r="5" spans="1:8" x14ac:dyDescent="0.25">
      <c r="A5" s="1037"/>
      <c r="B5" s="1038"/>
      <c r="C5" s="1039"/>
      <c r="D5" s="1039"/>
      <c r="E5" s="1039"/>
      <c r="F5" s="1039"/>
      <c r="G5" s="1039"/>
      <c r="H5" s="1039"/>
    </row>
    <row r="6" spans="1:8" x14ac:dyDescent="0.25">
      <c r="A6" s="1037" t="s">
        <v>880</v>
      </c>
      <c r="B6" s="1038">
        <v>1</v>
      </c>
      <c r="C6" s="1040">
        <v>4</v>
      </c>
      <c r="D6" s="1039">
        <v>4</v>
      </c>
      <c r="E6" s="1040"/>
      <c r="F6" s="1039">
        <f>D6/8</f>
        <v>0.5</v>
      </c>
      <c r="G6" s="1040"/>
      <c r="H6" s="1039"/>
    </row>
    <row r="7" spans="1:8" x14ac:dyDescent="0.25">
      <c r="A7" s="1037" t="s">
        <v>881</v>
      </c>
      <c r="B7" s="1041" t="s">
        <v>882</v>
      </c>
      <c r="C7" s="1040">
        <f>SUM(C8:C11)</f>
        <v>4</v>
      </c>
      <c r="D7" s="1039">
        <f>C7*$B$3</f>
        <v>0</v>
      </c>
      <c r="E7" s="1040">
        <f>0.5*$D$10</f>
        <v>0</v>
      </c>
      <c r="F7" s="1040">
        <f>0.5*$D$10</f>
        <v>0</v>
      </c>
      <c r="G7" s="1040"/>
      <c r="H7" s="1039"/>
    </row>
    <row r="8" spans="1:8" x14ac:dyDescent="0.25">
      <c r="A8" s="1042" t="s">
        <v>883</v>
      </c>
      <c r="B8" s="1043">
        <v>1</v>
      </c>
      <c r="C8" s="1040">
        <v>1</v>
      </c>
      <c r="D8" s="1039">
        <f t="shared" ref="D8:D11" si="0">C8*$B$3</f>
        <v>0</v>
      </c>
      <c r="E8" s="1040"/>
      <c r="F8" s="1039"/>
      <c r="G8" s="1040"/>
      <c r="H8" s="1039"/>
    </row>
    <row r="9" spans="1:8" x14ac:dyDescent="0.25">
      <c r="A9" s="1042" t="s">
        <v>884</v>
      </c>
      <c r="B9" s="1043">
        <v>1</v>
      </c>
      <c r="C9" s="1040">
        <v>1</v>
      </c>
      <c r="D9" s="1039">
        <f t="shared" si="0"/>
        <v>0</v>
      </c>
      <c r="E9" s="1040"/>
      <c r="F9" s="1039"/>
      <c r="G9" s="1040"/>
      <c r="H9" s="1039"/>
    </row>
    <row r="10" spans="1:8" x14ac:dyDescent="0.25">
      <c r="A10" s="1042" t="s">
        <v>885</v>
      </c>
      <c r="B10" s="1043">
        <v>1</v>
      </c>
      <c r="C10" s="1040">
        <v>1</v>
      </c>
      <c r="D10" s="1039">
        <f t="shared" si="0"/>
        <v>0</v>
      </c>
      <c r="E10" s="1040"/>
      <c r="F10" s="1039"/>
      <c r="G10" s="1040"/>
      <c r="H10" s="1039"/>
    </row>
    <row r="11" spans="1:8" x14ac:dyDescent="0.25">
      <c r="A11" s="1042" t="s">
        <v>886</v>
      </c>
      <c r="B11" s="1043">
        <v>1</v>
      </c>
      <c r="C11" s="1040">
        <v>1</v>
      </c>
      <c r="D11" s="1039">
        <f t="shared" si="0"/>
        <v>0</v>
      </c>
      <c r="E11" s="1040"/>
      <c r="F11" s="1039"/>
      <c r="G11" s="1040"/>
      <c r="H11" s="1039"/>
    </row>
    <row r="12" spans="1:8" x14ac:dyDescent="0.25">
      <c r="A12" s="1037" t="s">
        <v>887</v>
      </c>
      <c r="B12" s="1043"/>
      <c r="C12" s="1039"/>
      <c r="D12" s="1039"/>
      <c r="E12" s="1039"/>
      <c r="F12" s="1039"/>
      <c r="G12" s="1039"/>
      <c r="H12" s="1039"/>
    </row>
    <row r="13" spans="1:8" x14ac:dyDescent="0.25">
      <c r="A13" s="1037" t="s">
        <v>888</v>
      </c>
      <c r="B13" s="1043"/>
      <c r="C13" s="1048"/>
      <c r="D13" s="129"/>
      <c r="E13" s="129"/>
      <c r="F13" s="129"/>
      <c r="G13" s="1040"/>
      <c r="H13" s="1039"/>
    </row>
    <row r="14" spans="1:8" x14ac:dyDescent="0.25">
      <c r="A14" s="1042" t="s">
        <v>889</v>
      </c>
      <c r="B14" s="1043">
        <v>1</v>
      </c>
      <c r="C14" s="1039">
        <v>1</v>
      </c>
      <c r="D14" s="1121">
        <f>C14*$B$3</f>
        <v>0</v>
      </c>
      <c r="E14" s="1121">
        <f t="shared" ref="E14:E18" si="1">0.5*D14</f>
        <v>0</v>
      </c>
      <c r="F14" s="1121">
        <f t="shared" ref="F14:F18" si="2">0.5*D14</f>
        <v>0</v>
      </c>
      <c r="G14" s="1039"/>
      <c r="H14" s="1039"/>
    </row>
    <row r="15" spans="1:8" x14ac:dyDescent="0.25">
      <c r="A15" s="1042" t="s">
        <v>890</v>
      </c>
      <c r="B15" s="1043">
        <v>1</v>
      </c>
      <c r="C15" s="1039">
        <v>2</v>
      </c>
      <c r="D15" s="1121">
        <f t="shared" ref="D15:D17" si="3">C15*$B$3</f>
        <v>0</v>
      </c>
      <c r="E15" s="1121">
        <f t="shared" si="1"/>
        <v>0</v>
      </c>
      <c r="F15" s="1121">
        <f t="shared" si="2"/>
        <v>0</v>
      </c>
      <c r="G15" s="1039"/>
      <c r="H15" s="1039"/>
    </row>
    <row r="16" spans="1:8" x14ac:dyDescent="0.25">
      <c r="A16" s="1042" t="s">
        <v>969</v>
      </c>
      <c r="B16" s="1043">
        <v>1</v>
      </c>
      <c r="C16" s="1039">
        <v>0.25</v>
      </c>
      <c r="D16" s="1121">
        <f t="shared" si="3"/>
        <v>0</v>
      </c>
      <c r="E16" s="1121">
        <f t="shared" si="1"/>
        <v>0</v>
      </c>
      <c r="F16" s="1121">
        <f t="shared" si="2"/>
        <v>0</v>
      </c>
      <c r="G16" s="1039"/>
      <c r="H16" s="1039"/>
    </row>
    <row r="17" spans="1:8" x14ac:dyDescent="0.25">
      <c r="A17" s="1042" t="s">
        <v>891</v>
      </c>
      <c r="B17" s="1043">
        <v>1</v>
      </c>
      <c r="C17" s="1047">
        <v>2</v>
      </c>
      <c r="D17" s="1121">
        <f t="shared" si="3"/>
        <v>0</v>
      </c>
      <c r="E17" s="1121">
        <f t="shared" si="1"/>
        <v>0</v>
      </c>
      <c r="F17" s="1121">
        <f t="shared" si="2"/>
        <v>0</v>
      </c>
      <c r="G17" s="1073"/>
      <c r="H17" s="1073"/>
    </row>
    <row r="18" spans="1:8" x14ac:dyDescent="0.25">
      <c r="A18" s="1042" t="s">
        <v>970</v>
      </c>
      <c r="B18" s="1043">
        <v>1</v>
      </c>
      <c r="C18" s="1039">
        <v>1</v>
      </c>
      <c r="D18" s="1039">
        <f>C18*$B$4</f>
        <v>0</v>
      </c>
      <c r="E18" s="1039">
        <f t="shared" si="1"/>
        <v>0</v>
      </c>
      <c r="F18" s="1039">
        <f t="shared" si="2"/>
        <v>0</v>
      </c>
      <c r="G18" s="1039"/>
      <c r="H18" s="1039"/>
    </row>
    <row r="19" spans="1:8" ht="25.5" x14ac:dyDescent="0.25">
      <c r="A19" s="1037" t="s">
        <v>896</v>
      </c>
      <c r="B19" s="1039" t="s">
        <v>897</v>
      </c>
      <c r="C19" s="1039"/>
      <c r="D19" s="1122">
        <f>SUM(D12:D18)*0.1</f>
        <v>0</v>
      </c>
      <c r="E19" s="1123"/>
      <c r="F19" s="1121">
        <f>0.5*D19</f>
        <v>0</v>
      </c>
      <c r="G19" s="1121">
        <f>0.5*D19</f>
        <v>0</v>
      </c>
      <c r="H19" s="1039"/>
    </row>
    <row r="20" spans="1:8" ht="26.25" thickBot="1" x14ac:dyDescent="0.3">
      <c r="A20" s="1070" t="s">
        <v>898</v>
      </c>
      <c r="B20" s="1053" t="s">
        <v>899</v>
      </c>
      <c r="C20" s="1053"/>
      <c r="D20" s="1122">
        <f>SUM(D12:D18)*0.1</f>
        <v>0</v>
      </c>
      <c r="E20" s="1123"/>
      <c r="F20" s="1121">
        <f>0.5*D20</f>
        <v>0</v>
      </c>
      <c r="G20" s="1121">
        <f>0.5*D20</f>
        <v>0</v>
      </c>
      <c r="H20" s="1053"/>
    </row>
    <row r="21" spans="1:8" x14ac:dyDescent="0.25">
      <c r="A21" s="1067" t="s">
        <v>564</v>
      </c>
      <c r="B21" s="1068"/>
      <c r="C21" s="1068"/>
      <c r="D21" s="1068">
        <f>SUM(D6:D20)</f>
        <v>4</v>
      </c>
      <c r="E21" s="1068">
        <f>SUM(E6:E20)</f>
        <v>0</v>
      </c>
      <c r="F21" s="1068">
        <f>SUM(F6:F20)</f>
        <v>0.5</v>
      </c>
      <c r="G21" s="1068">
        <f>SUM(G6:G20)</f>
        <v>0</v>
      </c>
      <c r="H21" s="1068"/>
    </row>
    <row r="22" spans="1:8" x14ac:dyDescent="0.25">
      <c r="A22" s="1067"/>
      <c r="B22" s="1067"/>
      <c r="C22" s="1067"/>
      <c r="D22" s="1067"/>
      <c r="E22" s="1067"/>
      <c r="F22" s="1067"/>
      <c r="G22" s="1067"/>
      <c r="H22" s="1067"/>
    </row>
    <row r="23" spans="1:8" x14ac:dyDescent="0.25">
      <c r="A23" s="1067"/>
      <c r="B23" s="1067"/>
      <c r="C23" s="1069" t="s">
        <v>900</v>
      </c>
      <c r="D23" s="1069"/>
      <c r="E23" s="1069"/>
      <c r="F23" s="1069"/>
      <c r="G23" s="1069"/>
      <c r="H23" s="1067"/>
    </row>
    <row r="24" spans="1:8" x14ac:dyDescent="0.25">
      <c r="A24" s="1067"/>
      <c r="B24" s="1067"/>
      <c r="C24" s="268" t="s">
        <v>901</v>
      </c>
      <c r="D24" s="268">
        <f>SUM(D8:D11)/8</f>
        <v>0</v>
      </c>
      <c r="E24" s="268">
        <f>ROUNDUP(SUM(E8:E11)/8,0)</f>
        <v>0</v>
      </c>
      <c r="F24" s="268">
        <f>ROUNDUP(SUM(F8:F11)/8,0)</f>
        <v>0</v>
      </c>
      <c r="G24" s="268">
        <f>ROUNDUP(SUM(G6:G11)/8,0)</f>
        <v>0</v>
      </c>
      <c r="H24" s="1067"/>
    </row>
    <row r="25" spans="1:8" x14ac:dyDescent="0.25">
      <c r="A25" s="1067"/>
      <c r="B25" s="1067"/>
      <c r="C25" s="63" t="s">
        <v>902</v>
      </c>
      <c r="D25" s="63">
        <f>ROUNDUP(SUM(D18:D19)/8,1)</f>
        <v>0</v>
      </c>
      <c r="E25" s="63">
        <f t="shared" ref="E25:G25" si="4">ROUNDUP(SUM(E18:E19)/8,1)</f>
        <v>0</v>
      </c>
      <c r="F25" s="63">
        <f t="shared" si="4"/>
        <v>0</v>
      </c>
      <c r="G25" s="63">
        <f t="shared" si="4"/>
        <v>0</v>
      </c>
      <c r="H25" s="1067"/>
    </row>
    <row r="26" spans="1:8" x14ac:dyDescent="0.25">
      <c r="A26" s="1067"/>
      <c r="B26" s="1067"/>
      <c r="C26" s="268" t="s">
        <v>903</v>
      </c>
      <c r="D26" s="268">
        <f>ROUNDUP(SUM(D20)/8,0)</f>
        <v>0</v>
      </c>
      <c r="E26" s="268">
        <f t="shared" ref="E26:G26" si="5">ROUNDUP(SUM(E20)/8,0)</f>
        <v>0</v>
      </c>
      <c r="F26" s="268">
        <f t="shared" si="5"/>
        <v>0</v>
      </c>
      <c r="G26" s="268">
        <f t="shared" si="5"/>
        <v>0</v>
      </c>
      <c r="H26" s="1067"/>
    </row>
    <row r="27" spans="1:8" x14ac:dyDescent="0.25">
      <c r="A27" s="1067"/>
      <c r="B27" s="1067"/>
      <c r="C27" s="63" t="s">
        <v>904</v>
      </c>
      <c r="D27" s="63">
        <f>ROUNDUP(D21/8,0)</f>
        <v>1</v>
      </c>
      <c r="E27" s="63">
        <f>ROUNDUP(E21/8,0)</f>
        <v>0</v>
      </c>
      <c r="F27" s="63">
        <f>ROUNDUP(F21/8,0)</f>
        <v>1</v>
      </c>
      <c r="G27" s="63">
        <f>ROUNDUP(G21/8,0)</f>
        <v>0</v>
      </c>
      <c r="H27" s="1067"/>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Лист60">
    <tabColor theme="8"/>
  </sheetPr>
  <dimension ref="A1:H26"/>
  <sheetViews>
    <sheetView workbookViewId="0">
      <selection activeCell="B2" sqref="B2"/>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ТрЗ_ОВ!E112</f>
        <v>0</v>
      </c>
      <c r="C2" s="1036"/>
      <c r="D2" s="1036"/>
      <c r="E2" s="1036"/>
      <c r="F2" s="1036"/>
      <c r="G2" s="1036"/>
      <c r="H2" s="1036"/>
    </row>
    <row r="3" spans="1:8" x14ac:dyDescent="0.25">
      <c r="A3" s="1037" t="s">
        <v>877</v>
      </c>
      <c r="B3" s="1038">
        <f>ТрЗ_ОВ!H112</f>
        <v>0</v>
      </c>
      <c r="C3" s="1039"/>
      <c r="D3" s="1039"/>
      <c r="E3" s="1039"/>
      <c r="F3" s="1039"/>
      <c r="G3" s="1039"/>
      <c r="H3" s="1039"/>
    </row>
    <row r="4" spans="1:8" x14ac:dyDescent="0.25">
      <c r="A4" s="1037" t="s">
        <v>880</v>
      </c>
      <c r="B4" s="1038">
        <v>1</v>
      </c>
      <c r="C4" s="1040">
        <v>4</v>
      </c>
      <c r="D4" s="1039">
        <v>4</v>
      </c>
      <c r="E4" s="1040"/>
      <c r="F4" s="1039">
        <f>D4/8</f>
        <v>0.5</v>
      </c>
      <c r="G4" s="1040"/>
      <c r="H4" s="1039"/>
    </row>
    <row r="5" spans="1:8" x14ac:dyDescent="0.25">
      <c r="A5" s="1037" t="s">
        <v>881</v>
      </c>
      <c r="B5" s="1041" t="s">
        <v>882</v>
      </c>
      <c r="C5" s="1040">
        <f>SUM(C6:C9)</f>
        <v>4</v>
      </c>
      <c r="D5" s="1039">
        <f>C5*$B$3</f>
        <v>0</v>
      </c>
      <c r="E5" s="1040">
        <f>0.5*$D$5</f>
        <v>0</v>
      </c>
      <c r="F5" s="1040">
        <f>0.5*$D$5</f>
        <v>0</v>
      </c>
      <c r="G5" s="1040"/>
      <c r="H5" s="1039"/>
    </row>
    <row r="6" spans="1:8" x14ac:dyDescent="0.25">
      <c r="A6" s="1042" t="s">
        <v>883</v>
      </c>
      <c r="B6" s="1043">
        <v>1</v>
      </c>
      <c r="C6" s="1040">
        <v>1</v>
      </c>
      <c r="D6" s="1039">
        <f t="shared" ref="D6:D9" si="0">C6*$B$3</f>
        <v>0</v>
      </c>
      <c r="E6" s="1040"/>
      <c r="F6" s="1039"/>
      <c r="G6" s="1040"/>
      <c r="H6" s="1039"/>
    </row>
    <row r="7" spans="1:8" x14ac:dyDescent="0.25">
      <c r="A7" s="1042" t="s">
        <v>884</v>
      </c>
      <c r="B7" s="1043">
        <v>1</v>
      </c>
      <c r="C7" s="1040">
        <v>1</v>
      </c>
      <c r="D7" s="1039">
        <f t="shared" si="0"/>
        <v>0</v>
      </c>
      <c r="E7" s="1040"/>
      <c r="F7" s="1039"/>
      <c r="G7" s="1040"/>
      <c r="H7" s="1039"/>
    </row>
    <row r="8" spans="1:8" x14ac:dyDescent="0.25">
      <c r="A8" s="1042" t="s">
        <v>885</v>
      </c>
      <c r="B8" s="1043">
        <v>1</v>
      </c>
      <c r="C8" s="1040">
        <v>1</v>
      </c>
      <c r="D8" s="1039">
        <f t="shared" si="0"/>
        <v>0</v>
      </c>
      <c r="E8" s="1040"/>
      <c r="F8" s="1039"/>
      <c r="G8" s="1040"/>
      <c r="H8" s="1039"/>
    </row>
    <row r="9" spans="1:8" x14ac:dyDescent="0.25">
      <c r="A9" s="1042" t="s">
        <v>886</v>
      </c>
      <c r="B9" s="1043">
        <v>1</v>
      </c>
      <c r="C9" s="1040">
        <v>1</v>
      </c>
      <c r="D9" s="1039">
        <f t="shared" si="0"/>
        <v>0</v>
      </c>
      <c r="E9" s="1040"/>
      <c r="F9" s="1039"/>
      <c r="G9" s="1040"/>
      <c r="H9" s="1039"/>
    </row>
    <row r="10" spans="1:8" x14ac:dyDescent="0.25">
      <c r="A10" s="1037" t="s">
        <v>887</v>
      </c>
      <c r="B10" s="1043"/>
      <c r="C10" s="1039"/>
      <c r="D10" s="1039"/>
      <c r="E10" s="1039"/>
      <c r="F10" s="1039"/>
      <c r="G10" s="1039"/>
      <c r="H10" s="1039"/>
    </row>
    <row r="11" spans="1:8" x14ac:dyDescent="0.25">
      <c r="A11" s="1037" t="s">
        <v>888</v>
      </c>
      <c r="B11" s="1043"/>
      <c r="C11" s="1039"/>
      <c r="D11" s="1039"/>
      <c r="E11" s="1039"/>
      <c r="F11" s="1039"/>
      <c r="G11" s="1039"/>
      <c r="H11" s="1039"/>
    </row>
    <row r="12" spans="1:8" x14ac:dyDescent="0.25">
      <c r="A12" s="1042" t="s">
        <v>889</v>
      </c>
      <c r="B12" s="1043">
        <v>1</v>
      </c>
      <c r="C12" s="1039">
        <v>2</v>
      </c>
      <c r="D12" s="1039">
        <f>C12*$B$3</f>
        <v>0</v>
      </c>
      <c r="E12" s="1039">
        <f>0.7*D12</f>
        <v>0</v>
      </c>
      <c r="F12" s="1039">
        <f>0.3*D12</f>
        <v>0</v>
      </c>
      <c r="G12" s="1039"/>
      <c r="H12" s="1039"/>
    </row>
    <row r="13" spans="1:8" x14ac:dyDescent="0.25">
      <c r="A13" s="1133" t="s">
        <v>890</v>
      </c>
      <c r="B13" s="1043">
        <v>1</v>
      </c>
      <c r="C13" s="1039">
        <v>2</v>
      </c>
      <c r="D13" s="1039">
        <f t="shared" ref="D13:D17" si="1">C13*$B$3</f>
        <v>0</v>
      </c>
      <c r="E13" s="1039">
        <f t="shared" ref="E13" si="2">0.7*D13</f>
        <v>0</v>
      </c>
      <c r="F13" s="1039">
        <f t="shared" ref="F13" si="3">0.3*D13</f>
        <v>0</v>
      </c>
      <c r="G13" s="1039"/>
      <c r="H13" s="1039"/>
    </row>
    <row r="14" spans="1:8" x14ac:dyDescent="0.25">
      <c r="A14" s="268" t="s">
        <v>895</v>
      </c>
      <c r="B14" s="1043">
        <v>1</v>
      </c>
      <c r="C14" s="1039">
        <v>1</v>
      </c>
      <c r="D14" s="1039">
        <f t="shared" si="1"/>
        <v>0</v>
      </c>
      <c r="E14" s="1040">
        <f>0.7*D14</f>
        <v>0</v>
      </c>
      <c r="F14" s="1039">
        <f>0.3*D14</f>
        <v>0</v>
      </c>
      <c r="H14" s="1039"/>
    </row>
    <row r="15" spans="1:8" x14ac:dyDescent="0.25">
      <c r="A15" t="s">
        <v>1000</v>
      </c>
      <c r="B15" s="1043">
        <v>1</v>
      </c>
      <c r="C15" s="1039">
        <v>0.5</v>
      </c>
      <c r="D15" s="1039">
        <f t="shared" si="1"/>
        <v>0</v>
      </c>
      <c r="E15" s="1040">
        <f>0.7*D15</f>
        <v>0</v>
      </c>
      <c r="F15" s="1039">
        <f>0.3*D15</f>
        <v>0</v>
      </c>
      <c r="H15" s="1039"/>
    </row>
    <row r="16" spans="1:8" x14ac:dyDescent="0.25">
      <c r="A16" s="1037" t="s">
        <v>1001</v>
      </c>
      <c r="B16" s="1043">
        <v>1</v>
      </c>
      <c r="C16" s="1039">
        <v>0.5</v>
      </c>
      <c r="D16" s="1039">
        <f t="shared" si="1"/>
        <v>0</v>
      </c>
      <c r="F16" s="1039">
        <f>0.7*D16</f>
        <v>0</v>
      </c>
      <c r="G16" s="1039">
        <f>0.3*D16</f>
        <v>0</v>
      </c>
      <c r="H16" s="1039"/>
    </row>
    <row r="17" spans="1:8" ht="15.75" thickBot="1" x14ac:dyDescent="0.3">
      <c r="A17" s="1037" t="s">
        <v>1002</v>
      </c>
      <c r="B17" s="1043">
        <v>1</v>
      </c>
      <c r="C17" s="1052">
        <v>0.5</v>
      </c>
      <c r="D17" s="1039">
        <f t="shared" si="1"/>
        <v>0</v>
      </c>
      <c r="F17" s="1053">
        <f>0.7*D17</f>
        <v>0</v>
      </c>
      <c r="G17" s="1053">
        <f>0.3*D17</f>
        <v>0</v>
      </c>
      <c r="H17" s="1039"/>
    </row>
    <row r="18" spans="1:8" ht="26.25" thickBot="1" x14ac:dyDescent="0.3">
      <c r="A18" s="1037" t="s">
        <v>896</v>
      </c>
      <c r="B18" s="1039" t="s">
        <v>897</v>
      </c>
      <c r="C18" s="1039"/>
      <c r="D18" s="1058">
        <f>ROUNDUP(SUM(D10:D17)*0.1,1)</f>
        <v>0</v>
      </c>
      <c r="E18" s="1059"/>
      <c r="F18" s="1058">
        <f>D18*0.5</f>
        <v>0</v>
      </c>
      <c r="G18" s="1058">
        <f>D18*0.5</f>
        <v>0</v>
      </c>
      <c r="H18" s="1039"/>
    </row>
    <row r="19" spans="1:8" ht="26.25" thickBot="1" x14ac:dyDescent="0.3">
      <c r="A19" s="1070" t="s">
        <v>898</v>
      </c>
      <c r="B19" s="1053" t="s">
        <v>899</v>
      </c>
      <c r="C19" s="1053"/>
      <c r="D19" s="1058">
        <f>ROUNDUP(SUM(D12:D17)*0.1,1)</f>
        <v>0</v>
      </c>
      <c r="E19" s="1065"/>
      <c r="F19" s="1064">
        <f>D19*0.5</f>
        <v>0</v>
      </c>
      <c r="G19" s="1064">
        <f>D19*0.5</f>
        <v>0</v>
      </c>
      <c r="H19" s="1053"/>
    </row>
    <row r="20" spans="1:8" x14ac:dyDescent="0.25">
      <c r="A20" s="1067" t="s">
        <v>564</v>
      </c>
      <c r="B20" s="1068"/>
      <c r="C20" s="1068"/>
      <c r="D20" s="1068">
        <f>SUM(D4:D19)</f>
        <v>4</v>
      </c>
      <c r="E20" s="1068">
        <f>SUM(E4:E19)</f>
        <v>0</v>
      </c>
      <c r="F20" s="1068">
        <f>SUM(F4:F19)</f>
        <v>0.5</v>
      </c>
      <c r="G20" s="1068">
        <f>SUM(G4:G19)</f>
        <v>0</v>
      </c>
      <c r="H20" s="1068"/>
    </row>
    <row r="21" spans="1:8" x14ac:dyDescent="0.25">
      <c r="A21" s="1067"/>
      <c r="B21" s="1067"/>
      <c r="C21" s="1067"/>
      <c r="D21" s="1067"/>
      <c r="E21" s="1067"/>
      <c r="F21" s="1067"/>
      <c r="G21" s="1067"/>
      <c r="H21" s="1067"/>
    </row>
    <row r="22" spans="1:8" x14ac:dyDescent="0.25">
      <c r="A22" s="1067"/>
      <c r="B22" s="1067"/>
      <c r="C22" s="1069" t="s">
        <v>900</v>
      </c>
      <c r="D22" s="1069"/>
      <c r="E22" s="1069"/>
      <c r="F22" s="1069"/>
      <c r="G22" s="1069"/>
      <c r="H22" s="1067"/>
    </row>
    <row r="23" spans="1:8" x14ac:dyDescent="0.25">
      <c r="A23" s="1067"/>
      <c r="B23" s="1067"/>
      <c r="C23" s="268" t="s">
        <v>901</v>
      </c>
      <c r="D23" s="268">
        <f>SUM(D6:D9)/8</f>
        <v>0</v>
      </c>
      <c r="E23" s="268">
        <f>ROUNDUP(SUM(E6:E9)/8,0)</f>
        <v>0</v>
      </c>
      <c r="F23" s="268">
        <f>ROUNDUP(SUM(F6:F9)/8,0)</f>
        <v>0</v>
      </c>
      <c r="G23" s="268">
        <f>ROUNDUP(SUM(G4:G9)/8,0)</f>
        <v>0</v>
      </c>
      <c r="H23" s="1067"/>
    </row>
    <row r="24" spans="1:8" x14ac:dyDescent="0.25">
      <c r="A24" s="1067"/>
      <c r="B24" s="1067"/>
      <c r="C24" s="63" t="s">
        <v>902</v>
      </c>
      <c r="D24" s="63">
        <f>SUM(D18:D18)/8</f>
        <v>0</v>
      </c>
      <c r="E24" s="63">
        <f>ROUNDUP(SUM(E18:E18)/8,0)</f>
        <v>0</v>
      </c>
      <c r="F24" s="63">
        <f>ROUNDUP(SUM(F18:F18)/8,0)</f>
        <v>0</v>
      </c>
      <c r="G24" s="63">
        <f>ROUNDUP(SUM(G18:G18)/8,0)</f>
        <v>0</v>
      </c>
      <c r="H24" s="1067"/>
    </row>
    <row r="25" spans="1:8" x14ac:dyDescent="0.25">
      <c r="A25" s="1067"/>
      <c r="B25" s="1067"/>
      <c r="C25" s="268" t="s">
        <v>903</v>
      </c>
      <c r="D25" s="268">
        <f>ROUNDUP(SUM(D19)/8,0)</f>
        <v>0</v>
      </c>
      <c r="E25" s="268">
        <f t="shared" ref="E25:G25" si="4">ROUNDUP(SUM(E19)/8,0)</f>
        <v>0</v>
      </c>
      <c r="F25" s="268">
        <f t="shared" si="4"/>
        <v>0</v>
      </c>
      <c r="G25" s="268">
        <f t="shared" si="4"/>
        <v>0</v>
      </c>
      <c r="H25" s="1067"/>
    </row>
    <row r="26" spans="1:8" x14ac:dyDescent="0.25">
      <c r="A26" s="1067"/>
      <c r="B26" s="1067"/>
      <c r="C26" s="63" t="s">
        <v>904</v>
      </c>
      <c r="D26" s="63">
        <f>ROUNDUP(D20/8,0)</f>
        <v>1</v>
      </c>
      <c r="E26" s="63">
        <f>ROUNDUP(E20/8,0)</f>
        <v>0</v>
      </c>
      <c r="F26" s="63">
        <f>ROUNDUP(F20/8,0)</f>
        <v>1</v>
      </c>
      <c r="G26" s="63">
        <f>ROUNDUP(G20/8,0)</f>
        <v>0</v>
      </c>
      <c r="H26" s="1067"/>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Лист61">
    <tabColor theme="8"/>
  </sheetPr>
  <dimension ref="A1:H28"/>
  <sheetViews>
    <sheetView workbookViewId="0">
      <selection activeCell="D5" sqref="D5"/>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ТрЗ_ОВ!E156</f>
        <v>0</v>
      </c>
      <c r="C2" s="1036"/>
      <c r="D2" s="1036"/>
      <c r="E2" s="1036"/>
      <c r="F2" s="1036"/>
      <c r="G2" s="1036"/>
      <c r="H2" s="1036"/>
    </row>
    <row r="3" spans="1:8" x14ac:dyDescent="0.25">
      <c r="A3" s="1037" t="s">
        <v>877</v>
      </c>
      <c r="B3" s="1038">
        <f>ТрЗ_ОВ!H156</f>
        <v>0</v>
      </c>
      <c r="C3" s="1039"/>
      <c r="D3" s="1039"/>
      <c r="E3" s="1039"/>
      <c r="F3" s="1039"/>
      <c r="G3" s="1039"/>
      <c r="H3" s="1039"/>
    </row>
    <row r="4" spans="1:8" x14ac:dyDescent="0.25">
      <c r="A4" s="1037" t="s">
        <v>971</v>
      </c>
      <c r="B4" s="1038">
        <f>ТрЗ_ОВ!J156</f>
        <v>0</v>
      </c>
      <c r="C4" s="1039"/>
      <c r="D4" s="1039"/>
      <c r="E4" s="1039"/>
      <c r="F4" s="1039"/>
      <c r="G4" s="1039"/>
      <c r="H4" s="1039"/>
    </row>
    <row r="5" spans="1:8" x14ac:dyDescent="0.25">
      <c r="A5" s="1037" t="s">
        <v>880</v>
      </c>
      <c r="B5" s="1038">
        <v>1</v>
      </c>
      <c r="C5" s="1040">
        <v>4</v>
      </c>
      <c r="D5" s="1039">
        <v>4</v>
      </c>
      <c r="E5" s="1040"/>
      <c r="F5" s="1039">
        <f>D5/8</f>
        <v>0.5</v>
      </c>
      <c r="G5" s="1040"/>
      <c r="H5" s="1039"/>
    </row>
    <row r="6" spans="1:8" x14ac:dyDescent="0.25">
      <c r="A6" s="1037" t="s">
        <v>881</v>
      </c>
      <c r="B6" s="1041" t="s">
        <v>882</v>
      </c>
      <c r="C6" s="1040">
        <f>SUM(C7:C10)</f>
        <v>4</v>
      </c>
      <c r="D6" s="1039">
        <f>C6*$B$3</f>
        <v>0</v>
      </c>
      <c r="E6" s="1040">
        <f>0.5*$D$10</f>
        <v>0</v>
      </c>
      <c r="F6" s="1040">
        <f>0.5*$D$10</f>
        <v>0</v>
      </c>
      <c r="G6" s="1040"/>
      <c r="H6" s="1039"/>
    </row>
    <row r="7" spans="1:8" x14ac:dyDescent="0.25">
      <c r="A7" s="1042" t="s">
        <v>883</v>
      </c>
      <c r="B7" s="1043">
        <v>1</v>
      </c>
      <c r="C7" s="1040">
        <v>1</v>
      </c>
      <c r="D7" s="1039">
        <f t="shared" ref="D7:D10" si="0">C7*$B$3</f>
        <v>0</v>
      </c>
      <c r="E7" s="1040"/>
      <c r="F7" s="1039"/>
      <c r="G7" s="1040"/>
      <c r="H7" s="1039"/>
    </row>
    <row r="8" spans="1:8" x14ac:dyDescent="0.25">
      <c r="A8" s="1042" t="s">
        <v>884</v>
      </c>
      <c r="B8" s="1043">
        <v>1</v>
      </c>
      <c r="C8" s="1040">
        <v>1</v>
      </c>
      <c r="D8" s="1039">
        <f t="shared" si="0"/>
        <v>0</v>
      </c>
      <c r="E8" s="1040"/>
      <c r="F8" s="1039"/>
      <c r="G8" s="1040"/>
      <c r="H8" s="1039"/>
    </row>
    <row r="9" spans="1:8" x14ac:dyDescent="0.25">
      <c r="A9" s="1042" t="s">
        <v>885</v>
      </c>
      <c r="B9" s="1043">
        <v>1</v>
      </c>
      <c r="C9" s="1040">
        <v>1</v>
      </c>
      <c r="D9" s="1039">
        <f t="shared" si="0"/>
        <v>0</v>
      </c>
      <c r="E9" s="1040"/>
      <c r="F9" s="1039"/>
      <c r="G9" s="1040"/>
      <c r="H9" s="1039"/>
    </row>
    <row r="10" spans="1:8" x14ac:dyDescent="0.25">
      <c r="A10" s="1042" t="s">
        <v>886</v>
      </c>
      <c r="B10" s="1043">
        <v>1</v>
      </c>
      <c r="C10" s="1040">
        <v>1</v>
      </c>
      <c r="D10" s="1039">
        <f t="shared" si="0"/>
        <v>0</v>
      </c>
      <c r="E10" s="1040"/>
      <c r="F10" s="1039"/>
      <c r="G10" s="1040"/>
      <c r="H10" s="1039"/>
    </row>
    <row r="11" spans="1:8" x14ac:dyDescent="0.25">
      <c r="A11" s="1037" t="s">
        <v>887</v>
      </c>
      <c r="B11" s="1043"/>
      <c r="C11" s="1039"/>
      <c r="D11" s="1039"/>
      <c r="E11" s="1039"/>
      <c r="F11" s="1039"/>
      <c r="G11" s="1039"/>
      <c r="H11" s="1039"/>
    </row>
    <row r="12" spans="1:8" x14ac:dyDescent="0.25">
      <c r="A12" s="1037" t="s">
        <v>888</v>
      </c>
      <c r="B12" s="1043"/>
      <c r="C12" s="1039"/>
      <c r="D12" s="1039"/>
      <c r="E12" s="1039"/>
      <c r="F12" s="1039"/>
      <c r="G12" s="1039"/>
      <c r="H12" s="1039"/>
    </row>
    <row r="13" spans="1:8" x14ac:dyDescent="0.25">
      <c r="A13" s="1042" t="s">
        <v>889</v>
      </c>
      <c r="B13" s="1043">
        <v>1</v>
      </c>
      <c r="C13" s="1039">
        <v>1</v>
      </c>
      <c r="D13" s="1121">
        <f>C13*$B$3</f>
        <v>0</v>
      </c>
      <c r="E13" s="1121">
        <f>0.5*D13</f>
        <v>0</v>
      </c>
      <c r="F13" s="1121">
        <f>0.5*D13</f>
        <v>0</v>
      </c>
      <c r="G13" s="1039"/>
      <c r="H13" s="1039"/>
    </row>
    <row r="14" spans="1:8" x14ac:dyDescent="0.25">
      <c r="A14" s="1042" t="s">
        <v>890</v>
      </c>
      <c r="B14" s="1043">
        <v>1</v>
      </c>
      <c r="C14" s="1039">
        <v>2</v>
      </c>
      <c r="D14" s="1121">
        <f t="shared" ref="D14:D19" si="1">C14*$B$3</f>
        <v>0</v>
      </c>
      <c r="E14" s="1121">
        <f t="shared" ref="E14:E19" si="2">0.5*D14</f>
        <v>0</v>
      </c>
      <c r="F14" s="1121">
        <f t="shared" ref="F14:F19" si="3">0.5*D14</f>
        <v>0</v>
      </c>
      <c r="G14" s="1039"/>
      <c r="H14" s="1039"/>
    </row>
    <row r="15" spans="1:8" x14ac:dyDescent="0.25">
      <c r="A15" s="1042" t="s">
        <v>969</v>
      </c>
      <c r="B15" s="1043">
        <v>1</v>
      </c>
      <c r="C15" s="1039">
        <v>1</v>
      </c>
      <c r="D15" s="1121">
        <f t="shared" si="1"/>
        <v>0</v>
      </c>
      <c r="E15" s="1121">
        <f>D15</f>
        <v>0</v>
      </c>
      <c r="F15" s="1121"/>
      <c r="G15" s="1039"/>
      <c r="H15" s="1039"/>
    </row>
    <row r="16" spans="1:8" x14ac:dyDescent="0.25">
      <c r="A16" s="1042" t="s">
        <v>972</v>
      </c>
      <c r="B16" s="1124">
        <f>IF(B4&gt;0,1,0)</f>
        <v>0</v>
      </c>
      <c r="C16" s="1047">
        <v>0.25</v>
      </c>
      <c r="D16" s="1121">
        <f>IF(B16=1,C16*$B$4,0)</f>
        <v>0</v>
      </c>
      <c r="E16" s="1121">
        <f t="shared" si="2"/>
        <v>0</v>
      </c>
      <c r="F16" s="1121">
        <f t="shared" si="3"/>
        <v>0</v>
      </c>
      <c r="G16" s="1039"/>
      <c r="H16" s="1039"/>
    </row>
    <row r="17" spans="1:8" x14ac:dyDescent="0.25">
      <c r="A17" s="1042" t="s">
        <v>973</v>
      </c>
      <c r="B17" s="1043">
        <v>1</v>
      </c>
      <c r="C17" s="1047">
        <v>2</v>
      </c>
      <c r="D17" s="1121">
        <f>C17*$B$3</f>
        <v>0</v>
      </c>
      <c r="E17" s="1121">
        <f t="shared" si="2"/>
        <v>0</v>
      </c>
      <c r="F17" s="1121">
        <f t="shared" si="3"/>
        <v>0</v>
      </c>
      <c r="G17" s="1073"/>
      <c r="H17" s="1073"/>
    </row>
    <row r="18" spans="1:8" x14ac:dyDescent="0.25">
      <c r="A18" s="1042" t="s">
        <v>974</v>
      </c>
      <c r="B18" s="1043">
        <v>1</v>
      </c>
      <c r="C18" s="1047">
        <v>8</v>
      </c>
      <c r="D18" s="1121">
        <f t="shared" si="1"/>
        <v>0</v>
      </c>
      <c r="E18" s="1121">
        <f t="shared" si="2"/>
        <v>0</v>
      </c>
      <c r="F18" s="1121">
        <f t="shared" si="3"/>
        <v>0</v>
      </c>
      <c r="G18" s="1073"/>
      <c r="H18" s="1073"/>
    </row>
    <row r="19" spans="1:8" x14ac:dyDescent="0.25">
      <c r="A19" s="1042" t="s">
        <v>975</v>
      </c>
      <c r="B19" s="1043">
        <v>1</v>
      </c>
      <c r="C19" s="1047">
        <v>40</v>
      </c>
      <c r="D19" s="1121">
        <f t="shared" si="1"/>
        <v>0</v>
      </c>
      <c r="E19" s="1121">
        <f t="shared" si="2"/>
        <v>0</v>
      </c>
      <c r="F19" s="1121">
        <f t="shared" si="3"/>
        <v>0</v>
      </c>
      <c r="G19" s="1073"/>
      <c r="H19" s="1073"/>
    </row>
    <row r="20" spans="1:8" ht="25.5" x14ac:dyDescent="0.25">
      <c r="A20" s="1037" t="s">
        <v>896</v>
      </c>
      <c r="B20" s="1039" t="s">
        <v>897</v>
      </c>
      <c r="C20" s="1039"/>
      <c r="D20" s="1122">
        <f>SUM(D13:D19)*0.1</f>
        <v>0</v>
      </c>
      <c r="E20" s="1123"/>
      <c r="F20" s="1121">
        <f>0.5*D20</f>
        <v>0</v>
      </c>
      <c r="G20" s="1121">
        <f>0.5*D20</f>
        <v>0</v>
      </c>
      <c r="H20" s="1039"/>
    </row>
    <row r="21" spans="1:8" ht="26.25" thickBot="1" x14ac:dyDescent="0.3">
      <c r="A21" s="1070" t="s">
        <v>898</v>
      </c>
      <c r="B21" s="1053" t="s">
        <v>899</v>
      </c>
      <c r="C21" s="1053"/>
      <c r="D21" s="1122">
        <f>SUM(D13:D19)*0.1</f>
        <v>0</v>
      </c>
      <c r="E21" s="1123"/>
      <c r="F21" s="1121">
        <f>0.5*D21</f>
        <v>0</v>
      </c>
      <c r="G21" s="1121">
        <f>0.5*D21</f>
        <v>0</v>
      </c>
      <c r="H21" s="1053"/>
    </row>
    <row r="22" spans="1:8" x14ac:dyDescent="0.25">
      <c r="A22" s="1067" t="s">
        <v>564</v>
      </c>
      <c r="B22" s="1068"/>
      <c r="C22" s="1068"/>
      <c r="D22" s="1068">
        <f>SUM(D5:D21)</f>
        <v>4</v>
      </c>
      <c r="E22" s="1068">
        <f>SUM(E5:E21)</f>
        <v>0</v>
      </c>
      <c r="F22" s="1068">
        <f>SUM(F5:F21)</f>
        <v>0.5</v>
      </c>
      <c r="G22" s="1068">
        <f>SUM(G5:G21)</f>
        <v>0</v>
      </c>
      <c r="H22" s="1068"/>
    </row>
    <row r="23" spans="1:8" x14ac:dyDescent="0.25">
      <c r="A23" s="1067"/>
      <c r="B23" s="1067"/>
      <c r="C23" s="1067"/>
      <c r="D23" s="1067"/>
      <c r="E23" s="1067"/>
      <c r="F23" s="1067"/>
      <c r="G23" s="1067"/>
      <c r="H23" s="1067"/>
    </row>
    <row r="24" spans="1:8" x14ac:dyDescent="0.25">
      <c r="A24" s="1067"/>
      <c r="B24" s="1067"/>
      <c r="C24" s="1069" t="s">
        <v>900</v>
      </c>
      <c r="D24" s="1069"/>
      <c r="E24" s="1069"/>
      <c r="F24" s="1069"/>
      <c r="G24" s="1069"/>
      <c r="H24" s="1067"/>
    </row>
    <row r="25" spans="1:8" x14ac:dyDescent="0.25">
      <c r="A25" s="1067"/>
      <c r="B25" s="1067"/>
      <c r="C25" s="268" t="s">
        <v>901</v>
      </c>
      <c r="D25" s="268">
        <f>SUM(D7:D10)/8</f>
        <v>0</v>
      </c>
      <c r="E25" s="268">
        <f>ROUNDUP(SUM(E7:E10)/8,0)</f>
        <v>0</v>
      </c>
      <c r="F25" s="268">
        <f>ROUNDUP(SUM(F7:F10)/8,0)</f>
        <v>0</v>
      </c>
      <c r="G25" s="268">
        <f>ROUNDUP(SUM(G5:G10)/8,0)</f>
        <v>0</v>
      </c>
      <c r="H25" s="1067"/>
    </row>
    <row r="26" spans="1:8" x14ac:dyDescent="0.25">
      <c r="A26" s="1067"/>
      <c r="B26" s="1067"/>
      <c r="C26" s="63" t="s">
        <v>902</v>
      </c>
      <c r="D26" s="63">
        <f>SUM(D16:D20)/8</f>
        <v>0</v>
      </c>
      <c r="E26" s="63">
        <f>ROUNDUP(SUM(E16:E20)/8,0)</f>
        <v>0</v>
      </c>
      <c r="F26" s="63">
        <f>ROUNDUP(SUM(F16:F20)/8,0)</f>
        <v>0</v>
      </c>
      <c r="G26" s="63">
        <f>ROUNDUP(SUM(G16:G20)/8,0)</f>
        <v>0</v>
      </c>
      <c r="H26" s="1067"/>
    </row>
    <row r="27" spans="1:8" x14ac:dyDescent="0.25">
      <c r="A27" s="1067"/>
      <c r="B27" s="1067"/>
      <c r="C27" s="268" t="s">
        <v>903</v>
      </c>
      <c r="D27" s="268">
        <f>ROUNDUP(SUM(D21)/8,0)</f>
        <v>0</v>
      </c>
      <c r="E27" s="268">
        <f t="shared" ref="E27:G27" si="4">ROUNDUP(SUM(E21)/8,0)</f>
        <v>0</v>
      </c>
      <c r="F27" s="268">
        <f t="shared" si="4"/>
        <v>0</v>
      </c>
      <c r="G27" s="268">
        <f t="shared" si="4"/>
        <v>0</v>
      </c>
      <c r="H27" s="1067"/>
    </row>
    <row r="28" spans="1:8" x14ac:dyDescent="0.25">
      <c r="A28" s="1067"/>
      <c r="B28" s="1067"/>
      <c r="C28" s="63" t="s">
        <v>904</v>
      </c>
      <c r="D28" s="63">
        <f>ROUNDUP(D22/8,0)</f>
        <v>1</v>
      </c>
      <c r="E28" s="63">
        <f>ROUNDUP(E22/8,0)</f>
        <v>0</v>
      </c>
      <c r="F28" s="63">
        <f>ROUNDUP(F22/8,0)</f>
        <v>1</v>
      </c>
      <c r="G28" s="63">
        <f>ROUNDUP(G22/8,0)</f>
        <v>0</v>
      </c>
      <c r="H28" s="1067"/>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Лист62">
    <tabColor theme="8"/>
  </sheetPr>
  <dimension ref="A1:H26"/>
  <sheetViews>
    <sheetView workbookViewId="0">
      <selection activeCell="B3" sqref="B3"/>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ТрЗ_ОВ!E157</f>
        <v>0</v>
      </c>
      <c r="C2" s="1036"/>
      <c r="D2" s="1036"/>
      <c r="E2" s="1036"/>
      <c r="F2" s="1036"/>
      <c r="G2" s="1036"/>
      <c r="H2" s="1036"/>
    </row>
    <row r="3" spans="1:8" x14ac:dyDescent="0.25">
      <c r="A3" s="1037" t="s">
        <v>877</v>
      </c>
      <c r="B3" s="1035">
        <v>1</v>
      </c>
      <c r="C3" s="1036"/>
      <c r="D3" s="1036"/>
      <c r="E3" s="1036"/>
      <c r="F3" s="1036"/>
      <c r="G3" s="1036"/>
      <c r="H3" s="1036"/>
    </row>
    <row r="4" spans="1:8" x14ac:dyDescent="0.25">
      <c r="A4" s="1034" t="s">
        <v>976</v>
      </c>
      <c r="B4" s="1035">
        <v>100</v>
      </c>
      <c r="C4" s="1036"/>
      <c r="D4" s="1036"/>
      <c r="E4" s="1036"/>
      <c r="F4" s="1036"/>
      <c r="G4" s="1036"/>
      <c r="H4" s="1036"/>
    </row>
    <row r="5" spans="1:8" x14ac:dyDescent="0.25">
      <c r="A5" s="1037" t="s">
        <v>880</v>
      </c>
      <c r="B5" s="1038">
        <v>1</v>
      </c>
      <c r="C5" s="1040">
        <v>4</v>
      </c>
      <c r="D5" s="1039">
        <v>4</v>
      </c>
      <c r="E5" s="1040"/>
      <c r="F5" s="1039">
        <f>D5/8</f>
        <v>0.5</v>
      </c>
      <c r="G5" s="1040"/>
      <c r="H5" s="1039"/>
    </row>
    <row r="6" spans="1:8" x14ac:dyDescent="0.25">
      <c r="A6" s="1037" t="s">
        <v>881</v>
      </c>
      <c r="B6" s="1041" t="s">
        <v>882</v>
      </c>
      <c r="C6" s="1040">
        <f>SUM(C7:C10)</f>
        <v>4</v>
      </c>
      <c r="D6" s="1039">
        <f>C6*$B$3</f>
        <v>4</v>
      </c>
      <c r="E6" s="1040">
        <f>0.5*$D$6</f>
        <v>2</v>
      </c>
      <c r="F6" s="1040">
        <f>0.5*$D$6</f>
        <v>2</v>
      </c>
      <c r="G6" s="1040"/>
      <c r="H6" s="1039"/>
    </row>
    <row r="7" spans="1:8" x14ac:dyDescent="0.25">
      <c r="A7" s="1042" t="s">
        <v>883</v>
      </c>
      <c r="B7" s="1043">
        <v>1</v>
      </c>
      <c r="C7" s="1040">
        <v>1</v>
      </c>
      <c r="D7" s="1039">
        <f t="shared" ref="D7:D10" si="0">C7*$B$3</f>
        <v>1</v>
      </c>
      <c r="E7" s="1040"/>
      <c r="F7" s="1039"/>
      <c r="G7" s="1040"/>
      <c r="H7" s="1039"/>
    </row>
    <row r="8" spans="1:8" x14ac:dyDescent="0.25">
      <c r="A8" s="1042" t="s">
        <v>884</v>
      </c>
      <c r="B8" s="1043">
        <v>1</v>
      </c>
      <c r="C8" s="1040">
        <v>1</v>
      </c>
      <c r="D8" s="1039">
        <f t="shared" si="0"/>
        <v>1</v>
      </c>
      <c r="E8" s="1040"/>
      <c r="F8" s="1039"/>
      <c r="G8" s="1040"/>
      <c r="H8" s="1039"/>
    </row>
    <row r="9" spans="1:8" x14ac:dyDescent="0.25">
      <c r="A9" s="1042" t="s">
        <v>885</v>
      </c>
      <c r="B9" s="1043">
        <v>1</v>
      </c>
      <c r="C9" s="1040">
        <v>1</v>
      </c>
      <c r="D9" s="1039">
        <f t="shared" si="0"/>
        <v>1</v>
      </c>
      <c r="E9" s="1040"/>
      <c r="F9" s="1039"/>
      <c r="G9" s="1040"/>
      <c r="H9" s="1039"/>
    </row>
    <row r="10" spans="1:8" x14ac:dyDescent="0.25">
      <c r="A10" s="1042" t="s">
        <v>886</v>
      </c>
      <c r="B10" s="1043">
        <v>1</v>
      </c>
      <c r="C10" s="1040">
        <v>1</v>
      </c>
      <c r="D10" s="1039">
        <f t="shared" si="0"/>
        <v>1</v>
      </c>
      <c r="E10" s="1040"/>
      <c r="F10" s="1039"/>
      <c r="G10" s="1040"/>
      <c r="H10" s="1039"/>
    </row>
    <row r="11" spans="1:8" x14ac:dyDescent="0.25">
      <c r="A11" s="1037" t="s">
        <v>887</v>
      </c>
      <c r="B11" s="1043"/>
      <c r="C11" s="1039"/>
      <c r="D11" s="1039"/>
      <c r="E11" s="1039"/>
      <c r="F11" s="1039"/>
      <c r="G11" s="1039"/>
      <c r="H11" s="1039"/>
    </row>
    <row r="12" spans="1:8" x14ac:dyDescent="0.25">
      <c r="A12" s="1037" t="s">
        <v>888</v>
      </c>
      <c r="B12" s="1043"/>
      <c r="C12" s="1039"/>
      <c r="D12" s="1039"/>
      <c r="E12" s="1039"/>
      <c r="F12" s="1039"/>
      <c r="G12" s="1039"/>
      <c r="H12" s="1039"/>
    </row>
    <row r="13" spans="1:8" x14ac:dyDescent="0.25">
      <c r="A13" s="1042" t="s">
        <v>889</v>
      </c>
      <c r="B13" s="1043">
        <v>1</v>
      </c>
      <c r="C13" s="1039">
        <v>1</v>
      </c>
      <c r="D13" s="1039">
        <f>C13*$B$3</f>
        <v>1</v>
      </c>
      <c r="E13" s="1039">
        <f>0.5*$D13</f>
        <v>0.5</v>
      </c>
      <c r="F13" s="1039">
        <f>0.5*$D13</f>
        <v>0.5</v>
      </c>
      <c r="G13" s="1039"/>
      <c r="H13" s="1039"/>
    </row>
    <row r="14" spans="1:8" x14ac:dyDescent="0.25">
      <c r="A14" s="1042" t="s">
        <v>969</v>
      </c>
      <c r="B14" s="1043">
        <v>1</v>
      </c>
      <c r="C14" s="1039">
        <v>0.25</v>
      </c>
      <c r="D14" s="1039">
        <f t="shared" ref="D14:D17" si="1">C14*$B$3</f>
        <v>0.25</v>
      </c>
      <c r="E14" s="1039">
        <f t="shared" ref="E14:G17" si="2">0.5*$D14</f>
        <v>0.125</v>
      </c>
      <c r="F14" s="1039">
        <f t="shared" si="2"/>
        <v>0.125</v>
      </c>
      <c r="G14" s="1039"/>
      <c r="H14" s="1039"/>
    </row>
    <row r="15" spans="1:8" x14ac:dyDescent="0.25">
      <c r="A15" s="1042" t="s">
        <v>977</v>
      </c>
      <c r="B15" s="1043">
        <v>1</v>
      </c>
      <c r="C15" s="1039">
        <v>8</v>
      </c>
      <c r="D15" s="1039">
        <f t="shared" si="1"/>
        <v>8</v>
      </c>
      <c r="F15" s="1039">
        <f t="shared" si="2"/>
        <v>4</v>
      </c>
      <c r="G15" s="1039">
        <f t="shared" si="2"/>
        <v>4</v>
      </c>
      <c r="H15" s="1039"/>
    </row>
    <row r="16" spans="1:8" x14ac:dyDescent="0.25">
      <c r="A16" s="1042" t="s">
        <v>978</v>
      </c>
      <c r="B16" s="1043">
        <v>1</v>
      </c>
      <c r="C16" s="1047">
        <v>1</v>
      </c>
      <c r="D16" s="1039">
        <f>C16*$B$4</f>
        <v>100</v>
      </c>
      <c r="E16" s="1039">
        <f t="shared" si="2"/>
        <v>50</v>
      </c>
      <c r="F16" s="1039">
        <f t="shared" si="2"/>
        <v>50</v>
      </c>
      <c r="G16" s="1073"/>
      <c r="H16" s="1073"/>
    </row>
    <row r="17" spans="1:8" x14ac:dyDescent="0.25">
      <c r="A17" s="268" t="s">
        <v>891</v>
      </c>
      <c r="B17" s="1043">
        <v>1</v>
      </c>
      <c r="C17" s="1047">
        <v>2</v>
      </c>
      <c r="D17" s="1039">
        <f t="shared" si="1"/>
        <v>2</v>
      </c>
      <c r="E17" s="1039">
        <f t="shared" si="2"/>
        <v>1</v>
      </c>
      <c r="F17" s="1039">
        <f t="shared" si="2"/>
        <v>1</v>
      </c>
      <c r="G17" s="1073"/>
      <c r="H17" s="1073"/>
    </row>
    <row r="18" spans="1:8" ht="25.5" x14ac:dyDescent="0.25">
      <c r="A18" s="1037" t="s">
        <v>896</v>
      </c>
      <c r="B18" s="1039" t="s">
        <v>897</v>
      </c>
      <c r="C18" s="1039"/>
      <c r="D18" s="1122">
        <f>SUM(D10:D17)*0.1</f>
        <v>11.225000000000001</v>
      </c>
      <c r="E18" s="1123"/>
      <c r="F18" s="1121">
        <f>0.5*D18</f>
        <v>5.6125000000000007</v>
      </c>
      <c r="G18" s="1121">
        <f>0.5*D18</f>
        <v>5.6125000000000007</v>
      </c>
      <c r="H18" s="1039"/>
    </row>
    <row r="19" spans="1:8" ht="26.25" thickBot="1" x14ac:dyDescent="0.3">
      <c r="A19" s="1070" t="s">
        <v>898</v>
      </c>
      <c r="B19" s="1053" t="s">
        <v>899</v>
      </c>
      <c r="C19" s="1053"/>
      <c r="D19" s="1122">
        <f>SUM(D10:D17)*0.1</f>
        <v>11.225000000000001</v>
      </c>
      <c r="E19" s="1123"/>
      <c r="F19" s="1121">
        <f>0.5*D19</f>
        <v>5.6125000000000007</v>
      </c>
      <c r="G19" s="1121">
        <f>0.5*D19</f>
        <v>5.6125000000000007</v>
      </c>
      <c r="H19" s="1053"/>
    </row>
    <row r="20" spans="1:8" x14ac:dyDescent="0.25">
      <c r="A20" s="1067" t="s">
        <v>564</v>
      </c>
      <c r="B20" s="1068"/>
      <c r="C20" s="1068"/>
      <c r="D20" s="1068">
        <f>SUM(D5:D19)</f>
        <v>145.69999999999999</v>
      </c>
      <c r="E20" s="1068">
        <f>SUM(E5:E19)</f>
        <v>53.625</v>
      </c>
      <c r="F20" s="1068">
        <f>SUM(F5:F19)</f>
        <v>69.349999999999994</v>
      </c>
      <c r="G20" s="1068">
        <f>SUM(G5:G19)</f>
        <v>15.225000000000001</v>
      </c>
      <c r="H20" s="1068"/>
    </row>
    <row r="21" spans="1:8" x14ac:dyDescent="0.25">
      <c r="A21" s="1067"/>
      <c r="B21" s="1067"/>
      <c r="C21" s="1067"/>
      <c r="D21" s="1067"/>
      <c r="E21" s="1067"/>
      <c r="F21" s="1067"/>
      <c r="G21" s="1067"/>
      <c r="H21" s="1067"/>
    </row>
    <row r="22" spans="1:8" x14ac:dyDescent="0.25">
      <c r="A22" s="1067"/>
      <c r="B22" s="1067"/>
      <c r="C22" s="1069" t="s">
        <v>900</v>
      </c>
      <c r="D22" s="1069"/>
      <c r="E22" s="1069"/>
      <c r="F22" s="1069"/>
      <c r="G22" s="1069"/>
      <c r="H22" s="1067"/>
    </row>
    <row r="23" spans="1:8" x14ac:dyDescent="0.25">
      <c r="A23" s="1067"/>
      <c r="B23" s="1067"/>
      <c r="C23" s="268" t="s">
        <v>901</v>
      </c>
      <c r="D23" s="268">
        <f>SUM(D7:D10)/8</f>
        <v>0.5</v>
      </c>
      <c r="E23" s="268">
        <f>ROUNDUP(SUM(E7:E10)/8,0)</f>
        <v>0</v>
      </c>
      <c r="F23" s="268">
        <f>ROUNDUP(SUM(F7:F10)/8,0)</f>
        <v>0</v>
      </c>
      <c r="G23" s="268">
        <f>ROUNDUP(SUM(G5:G10)/8,0)</f>
        <v>0</v>
      </c>
      <c r="H23" s="1067"/>
    </row>
    <row r="24" spans="1:8" x14ac:dyDescent="0.25">
      <c r="A24" s="1067"/>
      <c r="B24" s="1067"/>
      <c r="C24" s="63" t="s">
        <v>902</v>
      </c>
      <c r="D24" s="63">
        <f>ROUNDUP(SUM(D16:D18)/8,1)</f>
        <v>14.2</v>
      </c>
      <c r="E24" s="63">
        <f t="shared" ref="E24:G24" si="3">ROUNDUP(SUM(E16:E18)/8,1)</f>
        <v>6.3999999999999995</v>
      </c>
      <c r="F24" s="63">
        <f t="shared" si="3"/>
        <v>7.1</v>
      </c>
      <c r="G24" s="63">
        <f t="shared" si="3"/>
        <v>0.79999999999999993</v>
      </c>
      <c r="H24" s="1067"/>
    </row>
    <row r="25" spans="1:8" x14ac:dyDescent="0.25">
      <c r="A25" s="1067"/>
      <c r="B25" s="1067"/>
      <c r="C25" s="268" t="s">
        <v>903</v>
      </c>
      <c r="D25" s="268">
        <f>ROUNDUP(SUM(D19)/8,0)</f>
        <v>2</v>
      </c>
      <c r="E25" s="268">
        <f t="shared" ref="E25:G25" si="4">ROUNDUP(SUM(E19)/8,0)</f>
        <v>0</v>
      </c>
      <c r="F25" s="268">
        <f t="shared" si="4"/>
        <v>1</v>
      </c>
      <c r="G25" s="268">
        <f t="shared" si="4"/>
        <v>1</v>
      </c>
      <c r="H25" s="1067"/>
    </row>
    <row r="26" spans="1:8" x14ac:dyDescent="0.25">
      <c r="A26" s="1067"/>
      <c r="B26" s="1067"/>
      <c r="C26" s="63" t="s">
        <v>904</v>
      </c>
      <c r="D26" s="63">
        <f>ROUNDUP(D20/8,0)</f>
        <v>19</v>
      </c>
      <c r="E26" s="63">
        <f>ROUNDUP(E20/8,0)</f>
        <v>7</v>
      </c>
      <c r="F26" s="63">
        <f>ROUNDUP(F20/8,0)</f>
        <v>9</v>
      </c>
      <c r="G26" s="63">
        <f>ROUNDUP(G20/8,0)</f>
        <v>2</v>
      </c>
      <c r="H26" s="1067"/>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Лист63">
    <tabColor theme="8"/>
  </sheetPr>
  <dimension ref="A1:H28"/>
  <sheetViews>
    <sheetView workbookViewId="0">
      <selection activeCell="B5" sqref="B5"/>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ТрЗ_ОВ!E158</f>
        <v>0</v>
      </c>
      <c r="C2" s="1036"/>
      <c r="D2" s="1125"/>
      <c r="E2" s="1125"/>
      <c r="F2" s="1125"/>
      <c r="G2" s="1125"/>
      <c r="H2" s="1036"/>
    </row>
    <row r="3" spans="1:8" x14ac:dyDescent="0.25">
      <c r="A3" s="1037" t="s">
        <v>877</v>
      </c>
      <c r="B3" s="1038">
        <f>ТрЗ_ОВ!H158</f>
        <v>0</v>
      </c>
      <c r="C3" s="1039"/>
      <c r="D3" s="1121"/>
      <c r="E3" s="1121"/>
      <c r="F3" s="1121"/>
      <c r="G3" s="1121"/>
      <c r="H3" s="1039"/>
    </row>
    <row r="4" spans="1:8" x14ac:dyDescent="0.25">
      <c r="A4" s="1037" t="s">
        <v>905</v>
      </c>
      <c r="B4" s="1038">
        <f>ТрЗ_ОВ!J158</f>
        <v>0</v>
      </c>
      <c r="C4" s="1039"/>
      <c r="D4" s="1121"/>
      <c r="E4" s="1121"/>
      <c r="F4" s="1121"/>
      <c r="G4" s="1121"/>
      <c r="H4" s="1039"/>
    </row>
    <row r="5" spans="1:8" x14ac:dyDescent="0.25">
      <c r="A5" s="1037" t="s">
        <v>880</v>
      </c>
      <c r="B5" s="1038">
        <v>1</v>
      </c>
      <c r="C5" s="1040">
        <v>4</v>
      </c>
      <c r="D5" s="1039">
        <v>4</v>
      </c>
      <c r="E5" s="1040"/>
      <c r="F5" s="1039">
        <f>D5/8</f>
        <v>0.5</v>
      </c>
      <c r="G5" s="1040"/>
      <c r="H5" s="1039"/>
    </row>
    <row r="6" spans="1:8" x14ac:dyDescent="0.25">
      <c r="A6" s="1037" t="s">
        <v>881</v>
      </c>
      <c r="B6" s="1041" t="s">
        <v>882</v>
      </c>
      <c r="C6" s="1040">
        <f>SUM(C7:C10)</f>
        <v>4</v>
      </c>
      <c r="D6" s="1039">
        <f>C6*$B$3</f>
        <v>0</v>
      </c>
      <c r="E6" s="1040">
        <f>0.5*$D$10</f>
        <v>0</v>
      </c>
      <c r="F6" s="1040">
        <f>0.5*$D$10</f>
        <v>0</v>
      </c>
      <c r="G6" s="1040"/>
      <c r="H6" s="1039"/>
    </row>
    <row r="7" spans="1:8" x14ac:dyDescent="0.25">
      <c r="A7" s="1042" t="s">
        <v>883</v>
      </c>
      <c r="B7" s="1043">
        <v>1</v>
      </c>
      <c r="C7" s="1040">
        <v>1</v>
      </c>
      <c r="D7" s="1039">
        <f t="shared" ref="D7:D10" si="0">C7*$B$3</f>
        <v>0</v>
      </c>
      <c r="E7" s="1040"/>
      <c r="F7" s="1039"/>
      <c r="G7" s="1040"/>
      <c r="H7" s="1039"/>
    </row>
    <row r="8" spans="1:8" x14ac:dyDescent="0.25">
      <c r="A8" s="1042" t="s">
        <v>884</v>
      </c>
      <c r="B8" s="1043">
        <v>1</v>
      </c>
      <c r="C8" s="1040">
        <v>1</v>
      </c>
      <c r="D8" s="1039">
        <f t="shared" si="0"/>
        <v>0</v>
      </c>
      <c r="E8" s="1040"/>
      <c r="F8" s="1039"/>
      <c r="G8" s="1040"/>
      <c r="H8" s="1039"/>
    </row>
    <row r="9" spans="1:8" x14ac:dyDescent="0.25">
      <c r="A9" s="1042" t="s">
        <v>885</v>
      </c>
      <c r="B9" s="1043">
        <v>1</v>
      </c>
      <c r="C9" s="1040">
        <v>1</v>
      </c>
      <c r="D9" s="1039">
        <f t="shared" si="0"/>
        <v>0</v>
      </c>
      <c r="E9" s="1040"/>
      <c r="F9" s="1039"/>
      <c r="G9" s="1040"/>
      <c r="H9" s="1039"/>
    </row>
    <row r="10" spans="1:8" x14ac:dyDescent="0.25">
      <c r="A10" s="1042" t="s">
        <v>886</v>
      </c>
      <c r="B10" s="1043">
        <v>1</v>
      </c>
      <c r="C10" s="1040">
        <v>1</v>
      </c>
      <c r="D10" s="1039">
        <f t="shared" si="0"/>
        <v>0</v>
      </c>
      <c r="E10" s="1040"/>
      <c r="F10" s="1039"/>
      <c r="G10" s="1040"/>
      <c r="H10" s="1039"/>
    </row>
    <row r="11" spans="1:8" x14ac:dyDescent="0.25">
      <c r="A11" s="1037" t="s">
        <v>887</v>
      </c>
      <c r="B11" s="1043"/>
      <c r="C11" s="1039"/>
      <c r="D11" s="1121"/>
      <c r="E11" s="1121"/>
      <c r="F11" s="1121"/>
      <c r="G11" s="1121"/>
      <c r="H11" s="1039"/>
    </row>
    <row r="12" spans="1:8" x14ac:dyDescent="0.25">
      <c r="A12" s="1037" t="s">
        <v>888</v>
      </c>
      <c r="B12" s="1043"/>
      <c r="C12" s="1039"/>
      <c r="D12" s="1121"/>
      <c r="E12" s="1121"/>
      <c r="F12" s="1121"/>
      <c r="G12" s="1121"/>
      <c r="H12" s="1039"/>
    </row>
    <row r="13" spans="1:8" x14ac:dyDescent="0.25">
      <c r="A13" s="1042" t="s">
        <v>889</v>
      </c>
      <c r="B13" s="1043">
        <v>1</v>
      </c>
      <c r="C13" s="1039">
        <v>1</v>
      </c>
      <c r="D13" s="1121">
        <f>C13*$B$3</f>
        <v>0</v>
      </c>
      <c r="E13" s="1121">
        <f>0.5*D13</f>
        <v>0</v>
      </c>
      <c r="F13" s="1121">
        <f>0.5*D13</f>
        <v>0</v>
      </c>
      <c r="G13" s="1121"/>
      <c r="H13" s="1039"/>
    </row>
    <row r="14" spans="1:8" x14ac:dyDescent="0.25">
      <c r="A14" s="1042" t="s">
        <v>890</v>
      </c>
      <c r="B14" s="1043">
        <v>1</v>
      </c>
      <c r="C14" s="1039">
        <v>2</v>
      </c>
      <c r="D14" s="1121">
        <f t="shared" ref="D14:D19" si="1">C14*$B$3</f>
        <v>0</v>
      </c>
      <c r="E14" s="1121">
        <f t="shared" ref="E14:E19" si="2">0.5*D14</f>
        <v>0</v>
      </c>
      <c r="F14" s="1121">
        <f t="shared" ref="F14:F19" si="3">0.5*D14</f>
        <v>0</v>
      </c>
      <c r="G14" s="1121"/>
      <c r="H14" s="1039"/>
    </row>
    <row r="15" spans="1:8" x14ac:dyDescent="0.25">
      <c r="A15" s="1042" t="s">
        <v>969</v>
      </c>
      <c r="B15" s="1043">
        <v>1</v>
      </c>
      <c r="C15" s="1039">
        <v>0.25</v>
      </c>
      <c r="D15" s="1121">
        <f t="shared" si="1"/>
        <v>0</v>
      </c>
      <c r="E15" s="1121">
        <f>D15</f>
        <v>0</v>
      </c>
      <c r="F15" s="1121"/>
      <c r="G15" s="1121"/>
      <c r="H15" s="1039"/>
    </row>
    <row r="16" spans="1:8" x14ac:dyDescent="0.25">
      <c r="A16" s="1042" t="s">
        <v>979</v>
      </c>
      <c r="B16" s="1124">
        <v>1</v>
      </c>
      <c r="C16" s="1047">
        <v>1</v>
      </c>
      <c r="D16" s="1121">
        <f t="shared" si="1"/>
        <v>0</v>
      </c>
      <c r="E16" s="1121">
        <f t="shared" si="2"/>
        <v>0</v>
      </c>
      <c r="F16" s="1121">
        <f t="shared" si="3"/>
        <v>0</v>
      </c>
      <c r="G16" s="1121"/>
      <c r="H16" s="1039"/>
    </row>
    <row r="17" spans="1:8" x14ac:dyDescent="0.25">
      <c r="A17" s="1042" t="s">
        <v>980</v>
      </c>
      <c r="B17" s="1124">
        <v>1</v>
      </c>
      <c r="C17" s="1047">
        <v>0.25</v>
      </c>
      <c r="D17" s="1121">
        <f>C17*$B$4</f>
        <v>0</v>
      </c>
      <c r="E17" s="1121">
        <f t="shared" si="2"/>
        <v>0</v>
      </c>
      <c r="F17" s="1121">
        <f t="shared" si="3"/>
        <v>0</v>
      </c>
      <c r="G17" s="1121"/>
      <c r="H17" s="1039"/>
    </row>
    <row r="18" spans="1:8" x14ac:dyDescent="0.25">
      <c r="A18" s="1042" t="s">
        <v>973</v>
      </c>
      <c r="B18" s="1043">
        <v>1</v>
      </c>
      <c r="C18" s="1047">
        <v>2</v>
      </c>
      <c r="D18" s="1121">
        <f t="shared" si="1"/>
        <v>0</v>
      </c>
      <c r="E18" s="1121">
        <f t="shared" si="2"/>
        <v>0</v>
      </c>
      <c r="F18" s="1121">
        <f t="shared" si="3"/>
        <v>0</v>
      </c>
      <c r="G18" s="1126"/>
      <c r="H18" s="1073"/>
    </row>
    <row r="19" spans="1:8" x14ac:dyDescent="0.25">
      <c r="A19" s="1042" t="s">
        <v>974</v>
      </c>
      <c r="B19" s="1043">
        <v>1</v>
      </c>
      <c r="C19" s="1047">
        <v>8</v>
      </c>
      <c r="D19" s="1121">
        <f t="shared" si="1"/>
        <v>0</v>
      </c>
      <c r="E19" s="1121">
        <f t="shared" si="2"/>
        <v>0</v>
      </c>
      <c r="F19" s="1121">
        <f t="shared" si="3"/>
        <v>0</v>
      </c>
      <c r="G19" s="1121"/>
      <c r="H19" s="1039"/>
    </row>
    <row r="20" spans="1:8" ht="25.5" x14ac:dyDescent="0.25">
      <c r="A20" s="1037" t="s">
        <v>896</v>
      </c>
      <c r="B20" s="1039" t="s">
        <v>897</v>
      </c>
      <c r="C20" s="1039"/>
      <c r="D20" s="1122">
        <f>SUM(D6:D19)*0.1</f>
        <v>0</v>
      </c>
      <c r="E20" s="1123"/>
      <c r="F20" s="1121">
        <f>0.5*D20</f>
        <v>0</v>
      </c>
      <c r="G20" s="1121">
        <f>0.5*D20</f>
        <v>0</v>
      </c>
      <c r="H20" s="1067"/>
    </row>
    <row r="21" spans="1:8" ht="26.25" thickBot="1" x14ac:dyDescent="0.3">
      <c r="A21" s="1070" t="s">
        <v>898</v>
      </c>
      <c r="B21" s="1053" t="s">
        <v>899</v>
      </c>
      <c r="C21" s="1053"/>
      <c r="D21" s="1122">
        <f>SUM(D6:D20)*0.1</f>
        <v>0</v>
      </c>
      <c r="E21" s="1123"/>
      <c r="F21" s="1121">
        <f>0.5*D21</f>
        <v>0</v>
      </c>
      <c r="G21" s="1121">
        <f>0.5*D21</f>
        <v>0</v>
      </c>
      <c r="H21" s="1067"/>
    </row>
    <row r="22" spans="1:8" x14ac:dyDescent="0.25">
      <c r="A22" s="1067" t="s">
        <v>564</v>
      </c>
      <c r="B22" s="1068"/>
      <c r="C22" s="1068"/>
      <c r="D22" s="268">
        <f>ROUNDUP(SUM(D13:D21)/8,0)</f>
        <v>0</v>
      </c>
      <c r="E22" s="268">
        <f t="shared" ref="E22:G22" si="4">ROUNDUP(SUM(E13:E21)/8,0)</f>
        <v>0</v>
      </c>
      <c r="F22" s="268">
        <f t="shared" si="4"/>
        <v>0</v>
      </c>
      <c r="G22" s="268">
        <f t="shared" si="4"/>
        <v>0</v>
      </c>
      <c r="H22" s="1067"/>
    </row>
    <row r="23" spans="1:8" x14ac:dyDescent="0.25">
      <c r="A23" s="1067"/>
      <c r="B23" s="1067"/>
      <c r="C23" s="1067"/>
    </row>
    <row r="24" spans="1:8" x14ac:dyDescent="0.25">
      <c r="A24" s="1067"/>
      <c r="B24" s="1067"/>
      <c r="C24" s="1069" t="s">
        <v>900</v>
      </c>
      <c r="D24" s="1069"/>
      <c r="E24" s="1069"/>
      <c r="F24" s="1069"/>
      <c r="G24" s="1069"/>
    </row>
    <row r="25" spans="1:8" x14ac:dyDescent="0.25">
      <c r="A25" s="1067"/>
      <c r="B25" s="1067"/>
      <c r="C25" s="268" t="s">
        <v>901</v>
      </c>
      <c r="D25" s="1127">
        <f>SUM(D6)/8</f>
        <v>0</v>
      </c>
      <c r="E25" s="1127">
        <f t="shared" ref="E25:G25" si="5">SUM(E6)/8</f>
        <v>0</v>
      </c>
      <c r="F25" s="1127">
        <f t="shared" si="5"/>
        <v>0</v>
      </c>
      <c r="G25" s="1127">
        <f t="shared" si="5"/>
        <v>0</v>
      </c>
    </row>
    <row r="26" spans="1:8" x14ac:dyDescent="0.25">
      <c r="A26" s="1067"/>
      <c r="B26" s="1067"/>
      <c r="C26" s="63" t="s">
        <v>902</v>
      </c>
      <c r="D26" s="1122">
        <f>SUM(D13:D20)/8</f>
        <v>0</v>
      </c>
      <c r="E26" s="1122">
        <f t="shared" ref="E26:G26" si="6">SUM(E13:E20)/8</f>
        <v>0</v>
      </c>
      <c r="F26" s="1122">
        <f t="shared" si="6"/>
        <v>0</v>
      </c>
      <c r="G26" s="1122">
        <f t="shared" si="6"/>
        <v>0</v>
      </c>
    </row>
    <row r="27" spans="1:8" x14ac:dyDescent="0.25">
      <c r="A27" s="1067"/>
      <c r="B27" s="1067"/>
      <c r="C27" s="268" t="s">
        <v>903</v>
      </c>
      <c r="D27" s="1127">
        <f>ROUNDUP(SUM(D21)/8,0)</f>
        <v>0</v>
      </c>
      <c r="E27" s="1127">
        <f t="shared" ref="E27:G28" si="7">ROUNDUP(SUM(E21)/8,0)</f>
        <v>0</v>
      </c>
      <c r="F27" s="1127">
        <f t="shared" si="7"/>
        <v>0</v>
      </c>
      <c r="G27" s="1127">
        <f t="shared" si="7"/>
        <v>0</v>
      </c>
    </row>
    <row r="28" spans="1:8" x14ac:dyDescent="0.25">
      <c r="A28" s="1067"/>
      <c r="B28" s="1067"/>
      <c r="C28" s="63" t="s">
        <v>904</v>
      </c>
      <c r="D28" s="1127">
        <f>ROUNDUP(SUM(D22)/8,0)</f>
        <v>0</v>
      </c>
      <c r="E28" s="1127">
        <f>ROUNDUP(SUM(E22)/8,0)</f>
        <v>0</v>
      </c>
      <c r="F28" s="1127">
        <f t="shared" si="7"/>
        <v>0</v>
      </c>
      <c r="G28" s="1127">
        <f t="shared" si="7"/>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Лист64">
    <tabColor theme="8"/>
  </sheetPr>
  <dimension ref="A1:H33"/>
  <sheetViews>
    <sheetView workbookViewId="0">
      <selection activeCell="B7" sqref="B7"/>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ТрЗ_ОВ!E153</f>
        <v>0</v>
      </c>
      <c r="C2" s="1036"/>
      <c r="D2" s="1036"/>
      <c r="E2" s="1036"/>
      <c r="F2" s="1036"/>
      <c r="G2" s="1036"/>
      <c r="H2" s="1036"/>
    </row>
    <row r="3" spans="1:8" x14ac:dyDescent="0.25">
      <c r="A3" s="1037" t="s">
        <v>981</v>
      </c>
      <c r="B3" s="1038">
        <f>ТрЗ_ОВ!H153</f>
        <v>0</v>
      </c>
      <c r="C3" s="1039"/>
      <c r="D3" s="1039"/>
      <c r="E3" s="1039"/>
      <c r="F3" s="1039"/>
      <c r="G3" s="1039"/>
      <c r="H3" s="1039"/>
    </row>
    <row r="4" spans="1:8" x14ac:dyDescent="0.25">
      <c r="A4" s="1037" t="s">
        <v>982</v>
      </c>
      <c r="B4" s="1038">
        <f>ТрЗ_ОВ!J153</f>
        <v>0</v>
      </c>
      <c r="C4" s="1039"/>
      <c r="D4" s="1039"/>
      <c r="E4" s="1039"/>
      <c r="F4" s="1039"/>
      <c r="G4" s="1039"/>
      <c r="H4" s="1039"/>
    </row>
    <row r="5" spans="1:8" x14ac:dyDescent="0.25">
      <c r="A5" s="1037" t="s">
        <v>983</v>
      </c>
      <c r="B5" s="1038">
        <f>ТрЗ_ОВ!M153</f>
        <v>0</v>
      </c>
      <c r="C5" s="1039"/>
      <c r="D5" s="1039"/>
      <c r="E5" s="1039"/>
      <c r="F5" s="1039"/>
      <c r="G5" s="1039"/>
      <c r="H5" s="1039"/>
    </row>
    <row r="6" spans="1:8" x14ac:dyDescent="0.25">
      <c r="A6" s="1037" t="s">
        <v>984</v>
      </c>
      <c r="B6" s="1038">
        <f>ТрЗ_ОВ!O153</f>
        <v>0</v>
      </c>
      <c r="C6" s="1039"/>
      <c r="D6" s="1039"/>
      <c r="E6" s="1039"/>
      <c r="F6" s="1039"/>
      <c r="G6" s="1039"/>
      <c r="H6" s="1039"/>
    </row>
    <row r="7" spans="1:8" x14ac:dyDescent="0.25">
      <c r="A7" s="1037" t="s">
        <v>880</v>
      </c>
      <c r="B7" s="1038">
        <v>1</v>
      </c>
      <c r="C7" s="1040">
        <v>4</v>
      </c>
      <c r="D7" s="1039">
        <v>4</v>
      </c>
      <c r="E7" s="1040"/>
      <c r="F7" s="1039">
        <f>D7/8</f>
        <v>0.5</v>
      </c>
      <c r="G7" s="1040"/>
      <c r="H7" s="1039"/>
    </row>
    <row r="8" spans="1:8" x14ac:dyDescent="0.25">
      <c r="A8" s="1037" t="s">
        <v>881</v>
      </c>
      <c r="B8" s="1041" t="s">
        <v>882</v>
      </c>
      <c r="C8" s="1040">
        <f>SUM(C9:C12)</f>
        <v>4</v>
      </c>
      <c r="D8" s="1039">
        <f>C8*$B$3</f>
        <v>0</v>
      </c>
      <c r="E8" s="1040">
        <f>0.5*$D$10</f>
        <v>0</v>
      </c>
      <c r="F8" s="1040">
        <f>0.5*$D$10</f>
        <v>0</v>
      </c>
      <c r="G8" s="1040"/>
      <c r="H8" s="1039"/>
    </row>
    <row r="9" spans="1:8" x14ac:dyDescent="0.25">
      <c r="A9" s="1042" t="s">
        <v>883</v>
      </c>
      <c r="B9" s="1043">
        <v>1</v>
      </c>
      <c r="C9" s="1040">
        <v>1</v>
      </c>
      <c r="D9" s="1039">
        <f t="shared" ref="D9:D12" si="0">C9*$B$3</f>
        <v>0</v>
      </c>
      <c r="E9" s="1040"/>
      <c r="F9" s="1039"/>
      <c r="G9" s="1040"/>
      <c r="H9" s="1039"/>
    </row>
    <row r="10" spans="1:8" x14ac:dyDescent="0.25">
      <c r="A10" s="1042" t="s">
        <v>884</v>
      </c>
      <c r="B10" s="1043">
        <v>1</v>
      </c>
      <c r="C10" s="1040">
        <v>1</v>
      </c>
      <c r="D10" s="1039">
        <f t="shared" si="0"/>
        <v>0</v>
      </c>
      <c r="E10" s="1040"/>
      <c r="F10" s="1039"/>
      <c r="G10" s="1040"/>
      <c r="H10" s="1039"/>
    </row>
    <row r="11" spans="1:8" x14ac:dyDescent="0.25">
      <c r="A11" s="1042" t="s">
        <v>885</v>
      </c>
      <c r="B11" s="1043">
        <v>1</v>
      </c>
      <c r="C11" s="1040">
        <v>1</v>
      </c>
      <c r="D11" s="1039">
        <f t="shared" si="0"/>
        <v>0</v>
      </c>
      <c r="E11" s="1040"/>
      <c r="F11" s="1039"/>
      <c r="G11" s="1040"/>
      <c r="H11" s="1039"/>
    </row>
    <row r="12" spans="1:8" x14ac:dyDescent="0.25">
      <c r="A12" s="1042" t="s">
        <v>886</v>
      </c>
      <c r="B12" s="1043">
        <v>1</v>
      </c>
      <c r="C12" s="1040">
        <v>1</v>
      </c>
      <c r="D12" s="1039">
        <f t="shared" si="0"/>
        <v>0</v>
      </c>
      <c r="E12" s="1040"/>
      <c r="F12" s="1039"/>
      <c r="G12" s="1040"/>
      <c r="H12" s="1039"/>
    </row>
    <row r="13" spans="1:8" x14ac:dyDescent="0.25">
      <c r="A13" s="1037" t="s">
        <v>887</v>
      </c>
      <c r="B13" s="1043"/>
      <c r="C13" s="1039"/>
      <c r="D13" s="1039"/>
      <c r="E13" s="1039"/>
      <c r="F13" s="1039"/>
      <c r="G13" s="1039"/>
      <c r="H13" s="1039"/>
    </row>
    <row r="14" spans="1:8" x14ac:dyDescent="0.25">
      <c r="A14" s="1037" t="s">
        <v>888</v>
      </c>
      <c r="B14" s="1043"/>
      <c r="C14" s="1039"/>
      <c r="D14" s="1039"/>
      <c r="E14" s="1039"/>
      <c r="F14" s="1039"/>
      <c r="G14" s="1039"/>
      <c r="H14" s="1039"/>
    </row>
    <row r="15" spans="1:8" x14ac:dyDescent="0.25">
      <c r="A15" s="1042" t="s">
        <v>889</v>
      </c>
      <c r="B15" s="1043">
        <v>1</v>
      </c>
      <c r="C15" s="1039">
        <v>1</v>
      </c>
      <c r="D15" s="1039">
        <f>C15*$B$3</f>
        <v>0</v>
      </c>
      <c r="E15" s="1039">
        <f>$D15*0.5</f>
        <v>0</v>
      </c>
      <c r="F15" s="1039">
        <f>$D15*0.5</f>
        <v>0</v>
      </c>
      <c r="G15" s="1039"/>
      <c r="H15" s="1039"/>
    </row>
    <row r="16" spans="1:8" x14ac:dyDescent="0.25">
      <c r="A16" s="1042" t="s">
        <v>985</v>
      </c>
      <c r="B16" s="1043">
        <v>1</v>
      </c>
      <c r="C16" s="1039">
        <v>1</v>
      </c>
      <c r="D16" s="1039">
        <f t="shared" ref="D16:D18" si="1">C16*$B$3</f>
        <v>0</v>
      </c>
      <c r="E16" s="1039">
        <f t="shared" ref="E16:G26" si="2">$D16*0.5</f>
        <v>0</v>
      </c>
      <c r="F16" s="1039">
        <f t="shared" si="2"/>
        <v>0</v>
      </c>
      <c r="G16" s="1039"/>
      <c r="H16" s="1039"/>
    </row>
    <row r="17" spans="1:8" x14ac:dyDescent="0.25">
      <c r="A17" s="1042" t="s">
        <v>986</v>
      </c>
      <c r="B17" s="1043">
        <v>1</v>
      </c>
      <c r="C17" s="1039">
        <v>0.5</v>
      </c>
      <c r="D17" s="1039">
        <f t="shared" si="1"/>
        <v>0</v>
      </c>
      <c r="E17" s="1039">
        <f t="shared" si="2"/>
        <v>0</v>
      </c>
      <c r="F17" s="1039">
        <f t="shared" si="2"/>
        <v>0</v>
      </c>
      <c r="G17" s="1039"/>
      <c r="H17" s="1039"/>
    </row>
    <row r="18" spans="1:8" x14ac:dyDescent="0.25">
      <c r="A18" s="1042" t="s">
        <v>987</v>
      </c>
      <c r="B18" s="1043">
        <v>1</v>
      </c>
      <c r="C18" s="1039">
        <v>0.25</v>
      </c>
      <c r="D18" s="1039">
        <f t="shared" si="1"/>
        <v>0</v>
      </c>
      <c r="E18" s="1039">
        <f t="shared" si="2"/>
        <v>0</v>
      </c>
      <c r="F18" s="1039">
        <f t="shared" si="2"/>
        <v>0</v>
      </c>
      <c r="G18" s="1039"/>
      <c r="H18" s="1039"/>
    </row>
    <row r="19" spans="1:8" x14ac:dyDescent="0.25">
      <c r="A19" s="1042" t="s">
        <v>895</v>
      </c>
      <c r="B19" s="1043">
        <v>1</v>
      </c>
      <c r="C19" s="1039">
        <v>0.25</v>
      </c>
      <c r="D19" s="1039">
        <f>C19</f>
        <v>0.25</v>
      </c>
      <c r="E19" s="1039">
        <f t="shared" si="2"/>
        <v>0.125</v>
      </c>
      <c r="F19" s="1039">
        <f t="shared" si="2"/>
        <v>0.125</v>
      </c>
      <c r="G19" s="1039"/>
      <c r="H19" s="1039"/>
    </row>
    <row r="20" spans="1:8" x14ac:dyDescent="0.25">
      <c r="A20" s="1042" t="s">
        <v>988</v>
      </c>
      <c r="B20" s="1043">
        <v>1</v>
      </c>
      <c r="C20" s="1039">
        <v>0.5</v>
      </c>
      <c r="D20" s="1039">
        <f>C20*B4</f>
        <v>0</v>
      </c>
      <c r="E20" s="1039">
        <f t="shared" si="2"/>
        <v>0</v>
      </c>
      <c r="F20" s="1039">
        <f t="shared" si="2"/>
        <v>0</v>
      </c>
      <c r="G20" s="1039"/>
      <c r="H20" s="1039"/>
    </row>
    <row r="21" spans="1:8" x14ac:dyDescent="0.25">
      <c r="A21" s="1042" t="s">
        <v>989</v>
      </c>
      <c r="B21" s="1043">
        <v>1</v>
      </c>
      <c r="C21" s="1039">
        <v>0.5</v>
      </c>
      <c r="D21" s="1039">
        <f>C21</f>
        <v>0.5</v>
      </c>
      <c r="E21" s="1039">
        <f t="shared" si="2"/>
        <v>0.25</v>
      </c>
      <c r="F21" s="1039">
        <f t="shared" si="2"/>
        <v>0.25</v>
      </c>
      <c r="G21" s="1039"/>
      <c r="H21" s="1039"/>
    </row>
    <row r="22" spans="1:8" x14ac:dyDescent="0.25">
      <c r="A22" s="1042" t="s">
        <v>990</v>
      </c>
      <c r="B22" s="1043">
        <v>1</v>
      </c>
      <c r="C22" s="1039">
        <v>0.5</v>
      </c>
      <c r="D22" s="1039">
        <f>C22*B5</f>
        <v>0</v>
      </c>
      <c r="E22" s="1039">
        <f t="shared" si="2"/>
        <v>0</v>
      </c>
      <c r="F22" s="1039">
        <f t="shared" si="2"/>
        <v>0</v>
      </c>
      <c r="G22" s="1039"/>
      <c r="H22" s="1039"/>
    </row>
    <row r="23" spans="1:8" x14ac:dyDescent="0.25">
      <c r="A23" s="1042" t="s">
        <v>991</v>
      </c>
      <c r="B23" s="1043">
        <v>1</v>
      </c>
      <c r="C23" s="1047">
        <v>3</v>
      </c>
      <c r="D23" s="1039">
        <f>C23*B6</f>
        <v>0</v>
      </c>
      <c r="E23" s="1039">
        <f t="shared" si="2"/>
        <v>0</v>
      </c>
      <c r="F23" s="1039">
        <f t="shared" si="2"/>
        <v>0</v>
      </c>
      <c r="G23" s="1039"/>
      <c r="H23" s="1039"/>
    </row>
    <row r="24" spans="1:8" x14ac:dyDescent="0.25">
      <c r="A24" s="1042" t="s">
        <v>992</v>
      </c>
      <c r="B24" s="1043">
        <v>1</v>
      </c>
      <c r="C24" s="1047">
        <v>1</v>
      </c>
      <c r="D24" s="1039">
        <f>C24*B5</f>
        <v>0</v>
      </c>
      <c r="E24" s="1039">
        <f t="shared" si="2"/>
        <v>0</v>
      </c>
      <c r="F24" s="1039">
        <f t="shared" si="2"/>
        <v>0</v>
      </c>
      <c r="G24" s="1073"/>
      <c r="H24" s="1073"/>
    </row>
    <row r="25" spans="1:8" ht="25.5" x14ac:dyDescent="0.25">
      <c r="A25" s="1037" t="s">
        <v>896</v>
      </c>
      <c r="B25" s="1039" t="s">
        <v>897</v>
      </c>
      <c r="C25" s="1039"/>
      <c r="D25" s="1039">
        <f>ROUNDUP(SUM(D8:D24)*0.1,1)</f>
        <v>0.1</v>
      </c>
      <c r="E25" s="1039"/>
      <c r="F25" s="1039">
        <f t="shared" si="2"/>
        <v>0.05</v>
      </c>
      <c r="G25" s="1039">
        <f t="shared" si="2"/>
        <v>0.05</v>
      </c>
      <c r="H25" s="1039"/>
    </row>
    <row r="26" spans="1:8" ht="26.25" thickBot="1" x14ac:dyDescent="0.3">
      <c r="A26" s="1070" t="s">
        <v>898</v>
      </c>
      <c r="B26" s="1053" t="s">
        <v>899</v>
      </c>
      <c r="C26" s="1053"/>
      <c r="D26" s="1039">
        <f>ROUNDUP(SUM(D8:D24)*0.1,1)</f>
        <v>0.1</v>
      </c>
      <c r="E26" s="1053"/>
      <c r="F26" s="1039">
        <f t="shared" si="2"/>
        <v>0.05</v>
      </c>
      <c r="G26" s="1039">
        <f t="shared" si="2"/>
        <v>0.05</v>
      </c>
      <c r="H26" s="1053"/>
    </row>
    <row r="27" spans="1:8" x14ac:dyDescent="0.25">
      <c r="A27" s="1067" t="s">
        <v>564</v>
      </c>
      <c r="B27" s="1068"/>
      <c r="C27" s="1068"/>
      <c r="D27" s="1068">
        <f>SUM(D7:D26)</f>
        <v>4.9499999999999993</v>
      </c>
      <c r="E27" s="1068">
        <f>SUM(E7:E26)</f>
        <v>0.375</v>
      </c>
      <c r="F27" s="1068">
        <f>SUM(F7:F26)</f>
        <v>0.97500000000000009</v>
      </c>
      <c r="G27" s="1068">
        <f>SUM(G7:G26)</f>
        <v>0.1</v>
      </c>
      <c r="H27" s="1068"/>
    </row>
    <row r="28" spans="1:8" x14ac:dyDescent="0.25">
      <c r="A28" s="1067"/>
      <c r="B28" s="1067"/>
      <c r="C28" s="1067"/>
      <c r="D28" s="1067"/>
      <c r="E28" s="1067"/>
      <c r="F28" s="1067"/>
      <c r="G28" s="1067"/>
      <c r="H28" s="1067"/>
    </row>
    <row r="29" spans="1:8" x14ac:dyDescent="0.25">
      <c r="A29" s="1067"/>
      <c r="B29" s="1067"/>
      <c r="C29" s="1069" t="s">
        <v>900</v>
      </c>
      <c r="D29" s="1069"/>
      <c r="E29" s="1069"/>
      <c r="F29" s="1069"/>
      <c r="G29" s="1069"/>
      <c r="H29" s="1067"/>
    </row>
    <row r="30" spans="1:8" x14ac:dyDescent="0.25">
      <c r="A30" s="1067"/>
      <c r="B30" s="1067"/>
      <c r="C30" s="268" t="s">
        <v>901</v>
      </c>
      <c r="D30" s="268">
        <f>SUM(D8)/8</f>
        <v>0</v>
      </c>
      <c r="E30" s="268">
        <f t="shared" ref="E30:G30" si="3">SUM(E8)/8</f>
        <v>0</v>
      </c>
      <c r="F30" s="268">
        <f t="shared" si="3"/>
        <v>0</v>
      </c>
      <c r="G30" s="268">
        <f t="shared" si="3"/>
        <v>0</v>
      </c>
      <c r="H30" s="1067"/>
    </row>
    <row r="31" spans="1:8" x14ac:dyDescent="0.25">
      <c r="A31" s="1067"/>
      <c r="B31" s="1067"/>
      <c r="C31" s="63" t="s">
        <v>902</v>
      </c>
      <c r="D31" s="63">
        <f>ROUNDUP(SUM(D23:D25)/8,1)</f>
        <v>0.1</v>
      </c>
      <c r="E31" s="63">
        <f>ROUNDUP(SUM(E23:E25)/8,1)</f>
        <v>0</v>
      </c>
      <c r="F31" s="63">
        <f>ROUNDUP(SUM(F23:F25)/8,1)</f>
        <v>0.1</v>
      </c>
      <c r="G31" s="63">
        <f>ROUNDUP(SUM(G23:G25)/8,1)</f>
        <v>0.1</v>
      </c>
      <c r="H31" s="1067"/>
    </row>
    <row r="32" spans="1:8" x14ac:dyDescent="0.25">
      <c r="A32" s="1067"/>
      <c r="B32" s="1067"/>
      <c r="C32" s="268" t="s">
        <v>903</v>
      </c>
      <c r="D32" s="268">
        <f>ROUNDUP(SUM(D26)/8,0)</f>
        <v>1</v>
      </c>
      <c r="E32" s="268">
        <f>ROUNDUP(SUM(E26)/8,1)</f>
        <v>0</v>
      </c>
      <c r="F32" s="268">
        <f>ROUNDUP(SUM(F26)/8,1)</f>
        <v>0.1</v>
      </c>
      <c r="G32" s="268">
        <f>ROUNDUP(SUM(G26)/8,1)</f>
        <v>0.1</v>
      </c>
      <c r="H32" s="1067"/>
    </row>
    <row r="33" spans="1:8" x14ac:dyDescent="0.25">
      <c r="A33" s="1067"/>
      <c r="B33" s="1067"/>
      <c r="C33" s="63" t="s">
        <v>904</v>
      </c>
      <c r="D33" s="63">
        <f>ROUNDUP(D27/8,0)</f>
        <v>1</v>
      </c>
      <c r="E33" s="63">
        <f>ROUNDUP(E27/8,1)</f>
        <v>0.1</v>
      </c>
      <c r="F33" s="63">
        <f>ROUNDUP(F27/8,1)</f>
        <v>0.2</v>
      </c>
      <c r="G33" s="63">
        <f>ROUNDUP(G27/8,1)</f>
        <v>0.1</v>
      </c>
      <c r="H33" s="1067"/>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Лист65">
    <tabColor theme="8"/>
  </sheetPr>
  <dimension ref="A1:H28"/>
  <sheetViews>
    <sheetView workbookViewId="0">
      <selection activeCell="B5" sqref="B5"/>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ТрЗ_ОВ!E155</f>
        <v>0</v>
      </c>
      <c r="C2" s="1036"/>
      <c r="D2" s="1036"/>
      <c r="E2" s="1036"/>
      <c r="F2" s="1036"/>
      <c r="G2" s="1036"/>
      <c r="H2" s="1036"/>
    </row>
    <row r="3" spans="1:8" x14ac:dyDescent="0.25">
      <c r="A3" s="1037" t="s">
        <v>877</v>
      </c>
      <c r="B3" s="1038">
        <f>ТрЗ_ОВ!H155</f>
        <v>0</v>
      </c>
      <c r="C3" s="1039"/>
      <c r="D3" s="1039"/>
      <c r="E3" s="1039"/>
      <c r="F3" s="1039"/>
      <c r="G3" s="1039"/>
      <c r="H3" s="1039"/>
    </row>
    <row r="4" spans="1:8" x14ac:dyDescent="0.25">
      <c r="A4" s="1037" t="s">
        <v>993</v>
      </c>
      <c r="B4" s="1038">
        <f>ТрЗ_ОВ!J155</f>
        <v>0</v>
      </c>
      <c r="C4" s="1039"/>
      <c r="D4" s="1039"/>
      <c r="E4" s="1039"/>
      <c r="F4" s="1039"/>
      <c r="G4" s="1039"/>
      <c r="H4" s="1039"/>
    </row>
    <row r="5" spans="1:8" x14ac:dyDescent="0.25">
      <c r="A5" s="1037"/>
      <c r="B5" s="1038"/>
      <c r="C5" s="1039"/>
      <c r="D5" s="1039"/>
      <c r="E5" s="1039"/>
      <c r="F5" s="1039"/>
      <c r="G5" s="1039"/>
      <c r="H5" s="1039"/>
    </row>
    <row r="6" spans="1:8" x14ac:dyDescent="0.25">
      <c r="A6" s="1037" t="s">
        <v>880</v>
      </c>
      <c r="B6" s="1041"/>
      <c r="C6" s="1039"/>
      <c r="D6" s="1039"/>
      <c r="E6" s="1039"/>
      <c r="F6" s="1039"/>
      <c r="G6" s="1039"/>
      <c r="H6" s="1039"/>
    </row>
    <row r="7" spans="1:8" x14ac:dyDescent="0.25">
      <c r="A7" s="1037" t="s">
        <v>880</v>
      </c>
      <c r="B7" s="1038">
        <v>1</v>
      </c>
      <c r="C7" s="1040">
        <v>4</v>
      </c>
      <c r="D7" s="1039">
        <v>4</v>
      </c>
      <c r="E7" s="1040"/>
      <c r="F7" s="1039">
        <f>D7/8</f>
        <v>0.5</v>
      </c>
      <c r="G7" s="1040"/>
      <c r="H7" s="1039"/>
    </row>
    <row r="8" spans="1:8" x14ac:dyDescent="0.25">
      <c r="A8" s="1037" t="s">
        <v>881</v>
      </c>
      <c r="B8" s="1041" t="s">
        <v>882</v>
      </c>
      <c r="C8" s="1040">
        <f>SUM(C9:C12)</f>
        <v>4</v>
      </c>
      <c r="D8" s="1039">
        <f>C8*$B$3</f>
        <v>0</v>
      </c>
      <c r="E8" s="1040">
        <f>0.5*$D$10</f>
        <v>0</v>
      </c>
      <c r="F8" s="1040">
        <f>0.5*$D$10</f>
        <v>0</v>
      </c>
      <c r="G8" s="1040"/>
      <c r="H8" s="1039"/>
    </row>
    <row r="9" spans="1:8" x14ac:dyDescent="0.25">
      <c r="A9" s="1042" t="s">
        <v>883</v>
      </c>
      <c r="B9" s="1043">
        <v>1</v>
      </c>
      <c r="C9" s="1040">
        <v>1</v>
      </c>
      <c r="D9" s="1039">
        <f t="shared" ref="D9:D12" si="0">C9*$B$3</f>
        <v>0</v>
      </c>
      <c r="E9" s="1040"/>
      <c r="F9" s="1039"/>
      <c r="G9" s="1040"/>
      <c r="H9" s="1039"/>
    </row>
    <row r="10" spans="1:8" x14ac:dyDescent="0.25">
      <c r="A10" s="1042" t="s">
        <v>884</v>
      </c>
      <c r="B10" s="1043">
        <v>1</v>
      </c>
      <c r="C10" s="1040">
        <v>1</v>
      </c>
      <c r="D10" s="1039">
        <f t="shared" si="0"/>
        <v>0</v>
      </c>
      <c r="E10" s="1040"/>
      <c r="F10" s="1039"/>
      <c r="G10" s="1040"/>
      <c r="H10" s="1039"/>
    </row>
    <row r="11" spans="1:8" x14ac:dyDescent="0.25">
      <c r="A11" s="1042" t="s">
        <v>885</v>
      </c>
      <c r="B11" s="1043">
        <v>1</v>
      </c>
      <c r="C11" s="1040">
        <v>1</v>
      </c>
      <c r="D11" s="1039">
        <f t="shared" si="0"/>
        <v>0</v>
      </c>
      <c r="E11" s="1040"/>
      <c r="F11" s="1039"/>
      <c r="G11" s="1040"/>
      <c r="H11" s="1039"/>
    </row>
    <row r="12" spans="1:8" x14ac:dyDescent="0.25">
      <c r="A12" s="1042" t="s">
        <v>886</v>
      </c>
      <c r="B12" s="1043">
        <v>1</v>
      </c>
      <c r="C12" s="1040">
        <v>1</v>
      </c>
      <c r="D12" s="1039">
        <f t="shared" si="0"/>
        <v>0</v>
      </c>
      <c r="E12" s="1040"/>
      <c r="F12" s="1039"/>
      <c r="G12" s="1040"/>
      <c r="H12" s="1039"/>
    </row>
    <row r="13" spans="1:8" x14ac:dyDescent="0.25">
      <c r="A13" s="1037" t="s">
        <v>888</v>
      </c>
      <c r="B13" s="1043"/>
      <c r="C13" s="1039"/>
      <c r="D13" s="1039"/>
      <c r="E13" s="1039"/>
      <c r="F13" s="1039"/>
      <c r="G13" s="1039"/>
      <c r="H13" s="1039"/>
    </row>
    <row r="14" spans="1:8" x14ac:dyDescent="0.25">
      <c r="A14" s="1042" t="s">
        <v>889</v>
      </c>
      <c r="B14" s="1043">
        <v>1</v>
      </c>
      <c r="C14" s="1039">
        <v>1</v>
      </c>
      <c r="D14" s="1039">
        <f>C14*$B$3</f>
        <v>0</v>
      </c>
      <c r="E14" s="1039">
        <f>0.5*D14</f>
        <v>0</v>
      </c>
      <c r="F14" s="1039">
        <f>0.5*D14</f>
        <v>0</v>
      </c>
      <c r="G14" s="1039"/>
      <c r="H14" s="1039"/>
    </row>
    <row r="15" spans="1:8" x14ac:dyDescent="0.25">
      <c r="A15" s="1042" t="s">
        <v>969</v>
      </c>
      <c r="B15" s="1043">
        <v>1</v>
      </c>
      <c r="C15" s="1039">
        <v>0.25</v>
      </c>
      <c r="D15" s="1039">
        <f t="shared" ref="D15:D18" si="1">C15*$B$3</f>
        <v>0</v>
      </c>
      <c r="E15" s="1039">
        <f t="shared" ref="E15:E19" si="2">0.5*D15</f>
        <v>0</v>
      </c>
      <c r="F15" s="1039">
        <f t="shared" ref="F15:F19" si="3">0.5*D15</f>
        <v>0</v>
      </c>
      <c r="G15" s="1039"/>
      <c r="H15" s="1039"/>
    </row>
    <row r="16" spans="1:8" x14ac:dyDescent="0.25">
      <c r="A16" s="1042" t="s">
        <v>994</v>
      </c>
      <c r="B16" s="1043">
        <v>1</v>
      </c>
      <c r="C16" s="1047">
        <v>40</v>
      </c>
      <c r="D16" s="1039">
        <f t="shared" si="1"/>
        <v>0</v>
      </c>
      <c r="E16" s="1039">
        <f t="shared" si="2"/>
        <v>0</v>
      </c>
      <c r="F16" s="1039">
        <f t="shared" si="3"/>
        <v>0</v>
      </c>
      <c r="G16" s="1073"/>
      <c r="H16" s="1073"/>
    </row>
    <row r="17" spans="1:8" x14ac:dyDescent="0.25">
      <c r="A17" s="1042" t="s">
        <v>891</v>
      </c>
      <c r="B17" s="1043">
        <v>1</v>
      </c>
      <c r="C17" s="1047">
        <v>2</v>
      </c>
      <c r="D17" s="1039">
        <f t="shared" si="1"/>
        <v>0</v>
      </c>
      <c r="E17" s="1039">
        <f t="shared" si="2"/>
        <v>0</v>
      </c>
      <c r="F17" s="1039">
        <f t="shared" si="3"/>
        <v>0</v>
      </c>
      <c r="G17" s="1073"/>
      <c r="H17" s="1073"/>
    </row>
    <row r="18" spans="1:8" x14ac:dyDescent="0.25">
      <c r="A18" s="1042" t="s">
        <v>995</v>
      </c>
      <c r="B18" s="1043">
        <v>1</v>
      </c>
      <c r="C18" s="1039">
        <v>0.5</v>
      </c>
      <c r="D18" s="1039">
        <f t="shared" si="1"/>
        <v>0</v>
      </c>
      <c r="E18" s="1039">
        <f t="shared" si="2"/>
        <v>0</v>
      </c>
      <c r="F18" s="1039">
        <f t="shared" si="3"/>
        <v>0</v>
      </c>
      <c r="G18" s="1039"/>
      <c r="H18" s="1039"/>
    </row>
    <row r="19" spans="1:8" x14ac:dyDescent="0.25">
      <c r="A19" s="1042" t="s">
        <v>970</v>
      </c>
      <c r="B19" s="1043">
        <v>1</v>
      </c>
      <c r="C19" s="1039">
        <v>0.25</v>
      </c>
      <c r="D19" s="1039">
        <f>C19*$B$4</f>
        <v>0</v>
      </c>
      <c r="E19" s="1039">
        <f t="shared" si="2"/>
        <v>0</v>
      </c>
      <c r="F19" s="1039">
        <f t="shared" si="3"/>
        <v>0</v>
      </c>
      <c r="G19" s="1039"/>
      <c r="H19" s="1039"/>
    </row>
    <row r="20" spans="1:8" ht="25.5" x14ac:dyDescent="0.25">
      <c r="A20" s="1037" t="s">
        <v>896</v>
      </c>
      <c r="B20" s="1039" t="s">
        <v>897</v>
      </c>
      <c r="C20" s="1039">
        <f>ROUNDUP(SUM(C7:C19)*0.1,1)</f>
        <v>5.6</v>
      </c>
      <c r="D20" s="1039">
        <f>C20</f>
        <v>5.6</v>
      </c>
      <c r="E20" s="817"/>
      <c r="F20" s="1039">
        <f>0.5*C20</f>
        <v>2.8</v>
      </c>
      <c r="G20" s="1039">
        <f>0.5*C20</f>
        <v>2.8</v>
      </c>
      <c r="H20" s="1039"/>
    </row>
    <row r="21" spans="1:8" ht="26.25" thickBot="1" x14ac:dyDescent="0.3">
      <c r="A21" s="1070" t="s">
        <v>898</v>
      </c>
      <c r="B21" s="1053" t="s">
        <v>899</v>
      </c>
      <c r="C21" s="1039">
        <f>ROUNDUP(SUM(C8:C20)*0.1,1)</f>
        <v>5.8</v>
      </c>
      <c r="D21" s="1053">
        <f>C21</f>
        <v>5.8</v>
      </c>
      <c r="E21" s="324"/>
      <c r="F21" s="1039">
        <f>0.5*C21</f>
        <v>2.9</v>
      </c>
      <c r="G21" s="1039">
        <f>0.5*C21</f>
        <v>2.9</v>
      </c>
      <c r="H21" s="1053"/>
    </row>
    <row r="22" spans="1:8" x14ac:dyDescent="0.25">
      <c r="A22" s="1067" t="s">
        <v>564</v>
      </c>
      <c r="B22" s="1068"/>
      <c r="C22" s="1068"/>
      <c r="D22" s="1068">
        <f>SUM(D6:D21)</f>
        <v>15.399999999999999</v>
      </c>
      <c r="E22" s="1068">
        <f>SUM(E6:E21)</f>
        <v>0</v>
      </c>
      <c r="F22" s="1068">
        <f>SUM(F6:F21)</f>
        <v>6.1999999999999993</v>
      </c>
      <c r="G22" s="1068">
        <f>SUM(G6:G21)</f>
        <v>5.6999999999999993</v>
      </c>
      <c r="H22" s="1068"/>
    </row>
    <row r="23" spans="1:8" x14ac:dyDescent="0.25">
      <c r="A23" s="1067"/>
      <c r="B23" s="1067"/>
      <c r="C23" s="1067"/>
      <c r="D23" s="1067"/>
      <c r="E23" s="1067"/>
      <c r="F23" s="1067"/>
      <c r="G23" s="1067"/>
      <c r="H23" s="1067"/>
    </row>
    <row r="24" spans="1:8" x14ac:dyDescent="0.25">
      <c r="A24" s="1067"/>
      <c r="B24" s="1067"/>
      <c r="C24" s="1069" t="s">
        <v>900</v>
      </c>
      <c r="D24" s="1069"/>
      <c r="E24" s="1069"/>
      <c r="F24" s="1069"/>
      <c r="G24" s="1069"/>
      <c r="H24" s="1067"/>
    </row>
    <row r="25" spans="1:8" x14ac:dyDescent="0.25">
      <c r="A25" s="1067"/>
      <c r="B25" s="1067"/>
      <c r="C25" s="268" t="s">
        <v>901</v>
      </c>
      <c r="D25" s="268">
        <f>SUM(D7)/8</f>
        <v>0.5</v>
      </c>
      <c r="E25" s="268">
        <f t="shared" ref="E25:G25" si="4">SUM(E7)/8</f>
        <v>0</v>
      </c>
      <c r="F25" s="268">
        <f t="shared" si="4"/>
        <v>6.25E-2</v>
      </c>
      <c r="G25" s="268">
        <f t="shared" si="4"/>
        <v>0</v>
      </c>
      <c r="H25" s="1067"/>
    </row>
    <row r="26" spans="1:8" x14ac:dyDescent="0.25">
      <c r="A26" s="1067"/>
      <c r="B26" s="1067"/>
      <c r="C26" s="63" t="s">
        <v>902</v>
      </c>
      <c r="D26" s="63">
        <f>ROUNDUP(SUM(D14:D20)/8,1)</f>
        <v>0.7</v>
      </c>
      <c r="E26" s="63">
        <f t="shared" ref="E26:G26" si="5">ROUNDUP(SUM(E14:E20)/8,1)</f>
        <v>0</v>
      </c>
      <c r="F26" s="63">
        <f t="shared" si="5"/>
        <v>0.4</v>
      </c>
      <c r="G26" s="63">
        <f t="shared" si="5"/>
        <v>0.4</v>
      </c>
      <c r="H26" s="1067"/>
    </row>
    <row r="27" spans="1:8" x14ac:dyDescent="0.25">
      <c r="A27" s="1067"/>
      <c r="B27" s="1067"/>
      <c r="C27" s="268" t="s">
        <v>903</v>
      </c>
      <c r="D27" s="268">
        <f>ROUNDUP(SUM(D21)/8,1)</f>
        <v>0.79999999999999993</v>
      </c>
      <c r="E27" s="268">
        <f t="shared" ref="E27:G27" si="6">ROUNDUP(SUM(E21)/8,1)</f>
        <v>0</v>
      </c>
      <c r="F27" s="268">
        <f t="shared" si="6"/>
        <v>0.4</v>
      </c>
      <c r="G27" s="268">
        <f t="shared" si="6"/>
        <v>0.4</v>
      </c>
      <c r="H27" s="1067"/>
    </row>
    <row r="28" spans="1:8" x14ac:dyDescent="0.25">
      <c r="A28" s="1067"/>
      <c r="B28" s="1067"/>
      <c r="C28" s="63" t="s">
        <v>904</v>
      </c>
      <c r="D28" s="63">
        <f>ROUNDUP(D22/8,0)</f>
        <v>2</v>
      </c>
      <c r="E28" s="63">
        <f>ROUNDUP(E22/8,0)</f>
        <v>0</v>
      </c>
      <c r="F28" s="63">
        <f>ROUNDUP(F22/8,0)</f>
        <v>1</v>
      </c>
      <c r="G28" s="63">
        <f>ROUNDUP(G22/8,0)</f>
        <v>1</v>
      </c>
      <c r="H28" s="1067"/>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Лист66">
    <tabColor theme="8"/>
  </sheetPr>
  <dimension ref="A1:H26"/>
  <sheetViews>
    <sheetView workbookViewId="0">
      <selection activeCell="B4" sqref="B4"/>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ТрЗ_ОВ!E154</f>
        <v>0</v>
      </c>
      <c r="C2" s="1036"/>
      <c r="D2" s="1036"/>
      <c r="E2" s="1036"/>
      <c r="F2" s="1036"/>
      <c r="G2" s="1036"/>
      <c r="H2" s="1036"/>
    </row>
    <row r="3" spans="1:8" x14ac:dyDescent="0.25">
      <c r="A3" s="1037" t="s">
        <v>877</v>
      </c>
      <c r="B3" s="1038">
        <f>ТрЗ_ОВ!H154</f>
        <v>0</v>
      </c>
      <c r="C3" s="1039"/>
      <c r="D3" s="1039"/>
      <c r="E3" s="1039"/>
      <c r="F3" s="1039"/>
      <c r="G3" s="1039"/>
      <c r="H3" s="1039"/>
    </row>
    <row r="4" spans="1:8" x14ac:dyDescent="0.25">
      <c r="A4" s="1037" t="s">
        <v>880</v>
      </c>
      <c r="B4" s="1038">
        <v>1</v>
      </c>
      <c r="C4" s="1040">
        <v>4</v>
      </c>
      <c r="D4" s="1039">
        <v>4</v>
      </c>
      <c r="E4" s="1040"/>
      <c r="F4" s="1039">
        <f>D4/8</f>
        <v>0.5</v>
      </c>
      <c r="G4" s="1040"/>
      <c r="H4" s="1039"/>
    </row>
    <row r="5" spans="1:8" x14ac:dyDescent="0.25">
      <c r="A5" s="1037" t="s">
        <v>881</v>
      </c>
      <c r="B5" s="1041" t="s">
        <v>882</v>
      </c>
      <c r="C5" s="1040">
        <f>SUM(C6:C9)</f>
        <v>4</v>
      </c>
      <c r="D5" s="1039">
        <f>C5*$B$3</f>
        <v>0</v>
      </c>
      <c r="E5" s="1040">
        <f>0.5*$D$10</f>
        <v>0</v>
      </c>
      <c r="F5" s="1040">
        <f>0.5*$D$10</f>
        <v>0</v>
      </c>
      <c r="G5" s="1040"/>
      <c r="H5" s="1039"/>
    </row>
    <row r="6" spans="1:8" x14ac:dyDescent="0.25">
      <c r="A6" s="1042" t="s">
        <v>883</v>
      </c>
      <c r="B6" s="1043">
        <v>1</v>
      </c>
      <c r="C6" s="1040">
        <v>1</v>
      </c>
      <c r="D6" s="1039">
        <f t="shared" ref="D6:D9" si="0">C6*$B$6</f>
        <v>1</v>
      </c>
      <c r="E6" s="1040"/>
      <c r="F6" s="1039"/>
      <c r="G6" s="1040"/>
      <c r="H6" s="1039"/>
    </row>
    <row r="7" spans="1:8" x14ac:dyDescent="0.25">
      <c r="A7" s="1042" t="s">
        <v>884</v>
      </c>
      <c r="B7" s="1043">
        <v>1</v>
      </c>
      <c r="C7" s="1040">
        <v>1</v>
      </c>
      <c r="D7" s="1039">
        <f t="shared" si="0"/>
        <v>1</v>
      </c>
      <c r="E7" s="1040"/>
      <c r="F7" s="1039"/>
      <c r="G7" s="1040"/>
      <c r="H7" s="1039"/>
    </row>
    <row r="8" spans="1:8" x14ac:dyDescent="0.25">
      <c r="A8" s="1042" t="s">
        <v>885</v>
      </c>
      <c r="B8" s="1043">
        <v>1</v>
      </c>
      <c r="C8" s="1040">
        <v>1</v>
      </c>
      <c r="D8" s="1039">
        <f t="shared" si="0"/>
        <v>1</v>
      </c>
      <c r="E8" s="1040"/>
      <c r="F8" s="1039"/>
      <c r="G8" s="1040"/>
      <c r="H8" s="1039"/>
    </row>
    <row r="9" spans="1:8" x14ac:dyDescent="0.25">
      <c r="A9" s="1042" t="s">
        <v>886</v>
      </c>
      <c r="B9" s="1043">
        <v>1</v>
      </c>
      <c r="C9" s="1040">
        <v>1</v>
      </c>
      <c r="D9" s="1039">
        <f t="shared" si="0"/>
        <v>1</v>
      </c>
      <c r="E9" s="1040"/>
      <c r="F9" s="1039"/>
      <c r="G9" s="1040"/>
      <c r="H9" s="1039"/>
    </row>
    <row r="10" spans="1:8" x14ac:dyDescent="0.25">
      <c r="A10" s="1037" t="s">
        <v>887</v>
      </c>
      <c r="B10" s="1043"/>
      <c r="C10" s="1039"/>
      <c r="D10" s="1039"/>
      <c r="E10" s="1039"/>
      <c r="F10" s="1039"/>
      <c r="G10" s="1039"/>
      <c r="H10" s="1039"/>
    </row>
    <row r="11" spans="1:8" x14ac:dyDescent="0.25">
      <c r="A11" s="1037" t="s">
        <v>888</v>
      </c>
      <c r="B11" s="1043"/>
      <c r="C11" s="1039"/>
      <c r="D11" s="1039"/>
      <c r="E11" s="1039"/>
      <c r="F11" s="1039"/>
      <c r="G11" s="1039"/>
      <c r="H11" s="1039"/>
    </row>
    <row r="12" spans="1:8" x14ac:dyDescent="0.25">
      <c r="A12" s="1042" t="s">
        <v>889</v>
      </c>
      <c r="B12" s="1043">
        <v>1</v>
      </c>
      <c r="C12" s="1039">
        <v>1</v>
      </c>
      <c r="D12" s="1121">
        <f>C12*$B$3</f>
        <v>0</v>
      </c>
      <c r="E12" s="1121">
        <f>0.5*D12</f>
        <v>0</v>
      </c>
      <c r="F12" s="1121">
        <f>0.5*D12</f>
        <v>0</v>
      </c>
      <c r="G12" s="1121"/>
      <c r="H12" s="1039"/>
    </row>
    <row r="13" spans="1:8" x14ac:dyDescent="0.25">
      <c r="A13" s="1042" t="s">
        <v>890</v>
      </c>
      <c r="B13" s="1043">
        <v>1</v>
      </c>
      <c r="C13" s="1039">
        <v>2</v>
      </c>
      <c r="D13" s="1121">
        <f t="shared" ref="D13:D17" si="1">C13*$B$3</f>
        <v>0</v>
      </c>
      <c r="E13" s="1121">
        <f t="shared" ref="E13:E17" si="2">0.5*D13</f>
        <v>0</v>
      </c>
      <c r="F13" s="1121">
        <f t="shared" ref="F13:F17" si="3">0.5*D13</f>
        <v>0</v>
      </c>
      <c r="G13" s="1121"/>
      <c r="H13" s="1039"/>
    </row>
    <row r="14" spans="1:8" x14ac:dyDescent="0.25">
      <c r="A14" s="1042" t="s">
        <v>969</v>
      </c>
      <c r="B14" s="1043">
        <v>1</v>
      </c>
      <c r="C14" s="1039">
        <v>0.25</v>
      </c>
      <c r="D14" s="1121">
        <f t="shared" si="1"/>
        <v>0</v>
      </c>
      <c r="E14" s="1121">
        <f>D14</f>
        <v>0</v>
      </c>
      <c r="F14" s="1121"/>
      <c r="G14" s="1121"/>
      <c r="H14" s="1039"/>
    </row>
    <row r="15" spans="1:8" x14ac:dyDescent="0.25">
      <c r="A15" s="1042" t="s">
        <v>979</v>
      </c>
      <c r="B15" s="1124">
        <v>1</v>
      </c>
      <c r="C15" s="1047">
        <v>1</v>
      </c>
      <c r="D15" s="1121">
        <f t="shared" si="1"/>
        <v>0</v>
      </c>
      <c r="E15" s="1121">
        <f t="shared" si="2"/>
        <v>0</v>
      </c>
      <c r="F15" s="1121">
        <f t="shared" si="3"/>
        <v>0</v>
      </c>
      <c r="G15" s="1121"/>
      <c r="H15" s="1039"/>
    </row>
    <row r="16" spans="1:8" x14ac:dyDescent="0.25">
      <c r="A16" s="1042" t="s">
        <v>973</v>
      </c>
      <c r="B16" s="1043">
        <v>1</v>
      </c>
      <c r="C16" s="1047">
        <v>2</v>
      </c>
      <c r="D16" s="1121">
        <f t="shared" si="1"/>
        <v>0</v>
      </c>
      <c r="E16" s="1121">
        <f t="shared" si="2"/>
        <v>0</v>
      </c>
      <c r="F16" s="1121">
        <f t="shared" si="3"/>
        <v>0</v>
      </c>
      <c r="G16" s="1126"/>
      <c r="H16" s="1073"/>
    </row>
    <row r="17" spans="1:8" x14ac:dyDescent="0.25">
      <c r="A17" s="1042" t="s">
        <v>974</v>
      </c>
      <c r="B17" s="1043">
        <v>1</v>
      </c>
      <c r="C17" s="1047">
        <v>8</v>
      </c>
      <c r="D17" s="1121">
        <f t="shared" si="1"/>
        <v>0</v>
      </c>
      <c r="E17" s="1121">
        <f t="shared" si="2"/>
        <v>0</v>
      </c>
      <c r="F17" s="1121">
        <f t="shared" si="3"/>
        <v>0</v>
      </c>
      <c r="G17" s="1121"/>
      <c r="H17" s="1039"/>
    </row>
    <row r="18" spans="1:8" ht="25.5" x14ac:dyDescent="0.25">
      <c r="A18" s="1037" t="s">
        <v>896</v>
      </c>
      <c r="B18" s="1039" t="s">
        <v>897</v>
      </c>
      <c r="C18" s="1121">
        <f>SUM(D12:D17)</f>
        <v>0</v>
      </c>
      <c r="D18" s="1121">
        <f>SUM(D12:D17)</f>
        <v>0</v>
      </c>
      <c r="E18" s="1039"/>
      <c r="F18" s="1121">
        <f>0.5*D18</f>
        <v>0</v>
      </c>
      <c r="G18" s="1121">
        <f>0.5*D18</f>
        <v>0</v>
      </c>
      <c r="H18" s="1039"/>
    </row>
    <row r="19" spans="1:8" ht="26.25" thickBot="1" x14ac:dyDescent="0.3">
      <c r="A19" s="1070" t="s">
        <v>898</v>
      </c>
      <c r="B19" s="1053" t="s">
        <v>899</v>
      </c>
      <c r="C19" s="1053">
        <f>SUM(C12:C17)</f>
        <v>14.25</v>
      </c>
      <c r="D19" s="1128">
        <f>SUM(D12:D17)</f>
        <v>0</v>
      </c>
      <c r="E19" s="1053"/>
      <c r="F19" s="1121">
        <f>0.5*D19</f>
        <v>0</v>
      </c>
      <c r="G19" s="1121">
        <f>0.5*D19</f>
        <v>0</v>
      </c>
      <c r="H19" s="1053"/>
    </row>
    <row r="20" spans="1:8" x14ac:dyDescent="0.25">
      <c r="A20" s="1067" t="s">
        <v>564</v>
      </c>
      <c r="B20" s="1068"/>
      <c r="C20" s="1068"/>
      <c r="D20" s="1068">
        <f>SUM(D4:D19)</f>
        <v>8</v>
      </c>
      <c r="E20" s="1068">
        <f>SUM(E4:E19)</f>
        <v>0</v>
      </c>
      <c r="F20" s="1068">
        <f>SUM(F4:F19)</f>
        <v>0.5</v>
      </c>
      <c r="G20" s="1068">
        <f>SUM(G4:G19)</f>
        <v>0</v>
      </c>
      <c r="H20" s="1068"/>
    </row>
    <row r="21" spans="1:8" x14ac:dyDescent="0.25">
      <c r="A21" s="1067"/>
      <c r="B21" s="1067"/>
      <c r="C21" s="1067"/>
      <c r="D21" s="1067"/>
      <c r="E21" s="1067"/>
      <c r="F21" s="1067"/>
      <c r="G21" s="1067"/>
      <c r="H21" s="1067"/>
    </row>
    <row r="22" spans="1:8" x14ac:dyDescent="0.25">
      <c r="A22" s="1067"/>
      <c r="B22" s="1067"/>
      <c r="C22" s="1069" t="s">
        <v>900</v>
      </c>
      <c r="D22" s="1069"/>
      <c r="E22" s="1069"/>
      <c r="F22" s="1069"/>
      <c r="G22" s="1069"/>
      <c r="H22" s="1067"/>
    </row>
    <row r="23" spans="1:8" x14ac:dyDescent="0.25">
      <c r="A23" s="1067"/>
      <c r="B23" s="1067"/>
      <c r="C23" s="268" t="s">
        <v>901</v>
      </c>
      <c r="D23" s="268">
        <f>SUM(D5)/8</f>
        <v>0</v>
      </c>
      <c r="E23" s="268">
        <f>ROUNDUP(SUM(E5)/8,0)</f>
        <v>0</v>
      </c>
      <c r="F23" s="268">
        <f>ROUNDUP(SUM(F5)/8,0)</f>
        <v>0</v>
      </c>
      <c r="G23" s="268">
        <f>ROUNDUP(SUM(G5)/8,0)</f>
        <v>0</v>
      </c>
      <c r="H23" s="1067"/>
    </row>
    <row r="24" spans="1:8" x14ac:dyDescent="0.25">
      <c r="A24" s="1067"/>
      <c r="B24" s="1067"/>
      <c r="C24" s="63" t="s">
        <v>902</v>
      </c>
      <c r="D24" s="63">
        <f>ROUNDUP(SUM(D11:D18)/8,1)</f>
        <v>0</v>
      </c>
      <c r="E24" s="63">
        <f t="shared" ref="E24:G24" si="4">ROUNDUP(SUM(E11:E18)/8,1)</f>
        <v>0</v>
      </c>
      <c r="F24" s="63">
        <f t="shared" si="4"/>
        <v>0</v>
      </c>
      <c r="G24" s="63">
        <f t="shared" si="4"/>
        <v>0</v>
      </c>
      <c r="H24" s="1067"/>
    </row>
    <row r="25" spans="1:8" x14ac:dyDescent="0.25">
      <c r="A25" s="1067"/>
      <c r="B25" s="1067"/>
      <c r="C25" s="268" t="s">
        <v>903</v>
      </c>
      <c r="D25" s="268">
        <f>ROUNDUP(SUM(D19)/8,0)</f>
        <v>0</v>
      </c>
      <c r="E25" s="268">
        <f t="shared" ref="E25:G25" si="5">ROUNDUP(SUM(E19)/8,0)</f>
        <v>0</v>
      </c>
      <c r="F25" s="268">
        <f t="shared" si="5"/>
        <v>0</v>
      </c>
      <c r="G25" s="268">
        <f t="shared" si="5"/>
        <v>0</v>
      </c>
      <c r="H25" s="1067"/>
    </row>
    <row r="26" spans="1:8" x14ac:dyDescent="0.25">
      <c r="A26" s="1067"/>
      <c r="B26" s="1067"/>
      <c r="C26" s="63" t="s">
        <v>904</v>
      </c>
      <c r="D26" s="63">
        <f>ROUNDUP(D20/8,0)</f>
        <v>1</v>
      </c>
      <c r="E26" s="63">
        <f>ROUNDUP(E20/8,0)</f>
        <v>0</v>
      </c>
      <c r="F26" s="63">
        <f>ROUNDUP(F20/8,0)</f>
        <v>1</v>
      </c>
      <c r="G26" s="63">
        <f>ROUNDUP(G20/8,0)</f>
        <v>0</v>
      </c>
      <c r="H26" s="1067"/>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Лист67">
    <tabColor theme="8"/>
  </sheetPr>
  <dimension ref="A1:H28"/>
  <sheetViews>
    <sheetView workbookViewId="0">
      <selection activeCell="B5" sqref="B5"/>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ТрЗ_ОВ!E139</f>
        <v>0</v>
      </c>
      <c r="C2" s="1036"/>
      <c r="D2" s="1036"/>
      <c r="E2" s="1036"/>
      <c r="F2" s="1036"/>
      <c r="G2" s="1036"/>
      <c r="H2" s="1036"/>
    </row>
    <row r="3" spans="1:8" x14ac:dyDescent="0.25">
      <c r="A3" s="1034" t="s">
        <v>996</v>
      </c>
      <c r="B3" s="1035">
        <f>ТрЗ_ОВ!H139</f>
        <v>0</v>
      </c>
      <c r="C3" s="1036"/>
      <c r="D3" s="1036"/>
      <c r="E3" s="1036"/>
      <c r="F3" s="1036"/>
      <c r="G3" s="1036"/>
      <c r="H3" s="1036"/>
    </row>
    <row r="4" spans="1:8" x14ac:dyDescent="0.25">
      <c r="A4" s="1037" t="s">
        <v>877</v>
      </c>
      <c r="B4" s="1038">
        <f>ТрЗ_ОВ!J139</f>
        <v>0</v>
      </c>
      <c r="C4" s="1039"/>
      <c r="D4" s="1039"/>
      <c r="E4" s="1039"/>
      <c r="F4" s="1039"/>
      <c r="G4" s="1039"/>
      <c r="H4" s="1039"/>
    </row>
    <row r="5" spans="1:8" x14ac:dyDescent="0.25">
      <c r="A5" s="1037" t="s">
        <v>880</v>
      </c>
      <c r="B5" s="1038">
        <v>1</v>
      </c>
      <c r="C5" s="1040">
        <v>4</v>
      </c>
      <c r="D5" s="1039">
        <v>4</v>
      </c>
      <c r="E5" s="1040"/>
      <c r="F5" s="1039">
        <f>D5/8</f>
        <v>0.5</v>
      </c>
      <c r="G5" s="1040"/>
      <c r="H5" s="1039"/>
    </row>
    <row r="6" spans="1:8" x14ac:dyDescent="0.25">
      <c r="A6" s="1037" t="s">
        <v>881</v>
      </c>
      <c r="B6" s="1041" t="s">
        <v>882</v>
      </c>
      <c r="C6" s="1040">
        <f>SUM(C7:C10)</f>
        <v>4</v>
      </c>
      <c r="D6" s="1039">
        <f>C6*$B$4</f>
        <v>0</v>
      </c>
      <c r="E6" s="1040">
        <f>0.5*$D$10</f>
        <v>0</v>
      </c>
      <c r="F6" s="1040">
        <f>0.5*$D$10</f>
        <v>0</v>
      </c>
      <c r="G6" s="1040"/>
      <c r="H6" s="1039"/>
    </row>
    <row r="7" spans="1:8" x14ac:dyDescent="0.25">
      <c r="A7" s="1042" t="s">
        <v>883</v>
      </c>
      <c r="B7" s="1043">
        <v>1</v>
      </c>
      <c r="C7" s="1040">
        <v>1</v>
      </c>
      <c r="D7" s="1039">
        <f t="shared" ref="D7:D10" si="0">C7*$B$4</f>
        <v>0</v>
      </c>
      <c r="E7" s="1040"/>
      <c r="F7" s="1039"/>
      <c r="G7" s="1040"/>
      <c r="H7" s="1039"/>
    </row>
    <row r="8" spans="1:8" x14ac:dyDescent="0.25">
      <c r="A8" s="1042" t="s">
        <v>884</v>
      </c>
      <c r="B8" s="1043">
        <v>1</v>
      </c>
      <c r="C8" s="1040">
        <v>1</v>
      </c>
      <c r="D8" s="1039">
        <f t="shared" si="0"/>
        <v>0</v>
      </c>
      <c r="E8" s="1040"/>
      <c r="F8" s="1039"/>
      <c r="G8" s="1040"/>
      <c r="H8" s="1039"/>
    </row>
    <row r="9" spans="1:8" x14ac:dyDescent="0.25">
      <c r="A9" s="1042" t="s">
        <v>885</v>
      </c>
      <c r="B9" s="1043">
        <v>1</v>
      </c>
      <c r="C9" s="1040">
        <v>1</v>
      </c>
      <c r="D9" s="1039">
        <f t="shared" si="0"/>
        <v>0</v>
      </c>
      <c r="E9" s="1040"/>
      <c r="F9" s="1039"/>
      <c r="G9" s="1040"/>
      <c r="H9" s="1039"/>
    </row>
    <row r="10" spans="1:8" x14ac:dyDescent="0.25">
      <c r="A10" s="1042" t="s">
        <v>886</v>
      </c>
      <c r="B10" s="1043">
        <v>1</v>
      </c>
      <c r="C10" s="1040">
        <v>1</v>
      </c>
      <c r="D10" s="1039">
        <f t="shared" si="0"/>
        <v>0</v>
      </c>
      <c r="E10" s="1040"/>
      <c r="F10" s="1039"/>
      <c r="G10" s="1040"/>
      <c r="H10" s="1039"/>
    </row>
    <row r="11" spans="1:8" x14ac:dyDescent="0.25">
      <c r="A11" s="1037" t="s">
        <v>887</v>
      </c>
      <c r="B11" s="1043"/>
      <c r="C11" s="1039"/>
      <c r="D11" s="1039"/>
      <c r="E11" s="1039"/>
      <c r="F11" s="1039"/>
      <c r="G11" s="1039"/>
      <c r="H11" s="1039"/>
    </row>
    <row r="12" spans="1:8" x14ac:dyDescent="0.25">
      <c r="A12" s="1037" t="s">
        <v>888</v>
      </c>
      <c r="B12" s="1043"/>
      <c r="C12" s="1039"/>
      <c r="D12" s="1039"/>
      <c r="E12" s="1039"/>
      <c r="F12" s="1039"/>
      <c r="G12" s="1039"/>
      <c r="H12" s="1039"/>
    </row>
    <row r="13" spans="1:8" x14ac:dyDescent="0.25">
      <c r="A13" s="1042" t="s">
        <v>889</v>
      </c>
      <c r="B13" s="1043">
        <v>1</v>
      </c>
      <c r="C13" s="1039">
        <v>1</v>
      </c>
      <c r="D13" s="1039">
        <f>C13*$B$4</f>
        <v>0</v>
      </c>
      <c r="E13" s="1039">
        <f>0.5*D13</f>
        <v>0</v>
      </c>
      <c r="F13" s="1039">
        <f>0.5*D13</f>
        <v>0</v>
      </c>
      <c r="G13" s="1039"/>
      <c r="H13" s="1039"/>
    </row>
    <row r="14" spans="1:8" x14ac:dyDescent="0.25">
      <c r="A14" s="1042" t="s">
        <v>890</v>
      </c>
      <c r="B14" s="1043">
        <v>1</v>
      </c>
      <c r="C14" s="1039">
        <v>2</v>
      </c>
      <c r="D14" s="1039">
        <f t="shared" ref="D14:D19" si="1">C14*$B$4</f>
        <v>0</v>
      </c>
      <c r="E14" s="1039">
        <f t="shared" ref="E14:E19" si="2">0.5*D14</f>
        <v>0</v>
      </c>
      <c r="F14" s="1039">
        <f t="shared" ref="F14:F19" si="3">0.5*D14</f>
        <v>0</v>
      </c>
      <c r="G14" s="1039"/>
      <c r="H14" s="1039"/>
    </row>
    <row r="15" spans="1:8" x14ac:dyDescent="0.25">
      <c r="A15" s="1042" t="s">
        <v>969</v>
      </c>
      <c r="B15" s="1043">
        <v>1</v>
      </c>
      <c r="C15" s="1039">
        <v>0.25</v>
      </c>
      <c r="D15" s="1039">
        <f t="shared" si="1"/>
        <v>0</v>
      </c>
      <c r="E15" s="1039">
        <f t="shared" si="2"/>
        <v>0</v>
      </c>
      <c r="F15" s="1039">
        <f t="shared" si="3"/>
        <v>0</v>
      </c>
      <c r="G15" s="1073"/>
      <c r="H15" s="1039"/>
    </row>
    <row r="16" spans="1:8" x14ac:dyDescent="0.25">
      <c r="A16" s="1042" t="s">
        <v>997</v>
      </c>
      <c r="B16" s="1124">
        <v>1</v>
      </c>
      <c r="C16" s="1047">
        <v>0.25</v>
      </c>
      <c r="D16" s="1039">
        <f>C16*$B$3</f>
        <v>0</v>
      </c>
      <c r="E16" s="1039">
        <f t="shared" si="2"/>
        <v>0</v>
      </c>
      <c r="F16" s="1039">
        <f t="shared" si="3"/>
        <v>0</v>
      </c>
      <c r="G16" s="1073"/>
      <c r="H16" s="1039"/>
    </row>
    <row r="17" spans="1:8" x14ac:dyDescent="0.25">
      <c r="A17" s="1042" t="s">
        <v>998</v>
      </c>
      <c r="B17" s="1129">
        <v>0</v>
      </c>
      <c r="C17" s="1047">
        <v>1</v>
      </c>
      <c r="D17" s="1039">
        <f>IF(B17=0,0,C17*$B$4)</f>
        <v>0</v>
      </c>
      <c r="E17" s="1039">
        <f t="shared" si="2"/>
        <v>0</v>
      </c>
      <c r="F17" s="1039">
        <f t="shared" si="3"/>
        <v>0</v>
      </c>
      <c r="G17" s="1039"/>
      <c r="H17" s="1039"/>
    </row>
    <row r="18" spans="1:8" x14ac:dyDescent="0.25">
      <c r="A18" s="1042" t="s">
        <v>973</v>
      </c>
      <c r="B18" s="1043">
        <v>1</v>
      </c>
      <c r="C18" s="1047">
        <v>0.5</v>
      </c>
      <c r="D18" s="1039">
        <f t="shared" si="1"/>
        <v>0</v>
      </c>
      <c r="E18" s="1039">
        <f t="shared" si="2"/>
        <v>0</v>
      </c>
      <c r="F18" s="1039">
        <f t="shared" si="3"/>
        <v>0</v>
      </c>
      <c r="G18" s="1039"/>
      <c r="H18" s="1073"/>
    </row>
    <row r="19" spans="1:8" x14ac:dyDescent="0.25">
      <c r="A19" s="1042" t="s">
        <v>974</v>
      </c>
      <c r="B19" s="1043">
        <v>1</v>
      </c>
      <c r="C19" s="1047">
        <v>1</v>
      </c>
      <c r="D19" s="1039">
        <f t="shared" si="1"/>
        <v>0</v>
      </c>
      <c r="E19" s="1039">
        <f t="shared" si="2"/>
        <v>0</v>
      </c>
      <c r="F19" s="1039">
        <f t="shared" si="3"/>
        <v>0</v>
      </c>
      <c r="G19" s="1039"/>
      <c r="H19" s="1039"/>
    </row>
    <row r="20" spans="1:8" ht="25.5" x14ac:dyDescent="0.25">
      <c r="A20" s="1037" t="s">
        <v>896</v>
      </c>
      <c r="B20" s="1039" t="s">
        <v>897</v>
      </c>
      <c r="C20" s="1121">
        <f>SUM(D13:D19)</f>
        <v>0</v>
      </c>
      <c r="D20" s="1121">
        <f>SUM(D13:D19)</f>
        <v>0</v>
      </c>
      <c r="E20" s="1039"/>
      <c r="F20" s="1121">
        <f>0.5*D20</f>
        <v>0</v>
      </c>
      <c r="G20" s="1121">
        <f>0.5*D20</f>
        <v>0</v>
      </c>
      <c r="H20" s="1039"/>
    </row>
    <row r="21" spans="1:8" ht="26.25" thickBot="1" x14ac:dyDescent="0.3">
      <c r="A21" s="1070" t="s">
        <v>898</v>
      </c>
      <c r="B21" s="1053" t="s">
        <v>899</v>
      </c>
      <c r="C21" s="1053"/>
      <c r="D21" s="1128">
        <f>SUM(D13:D19)</f>
        <v>0</v>
      </c>
      <c r="E21" s="1053"/>
      <c r="F21" s="1121">
        <f>0.5*D21</f>
        <v>0</v>
      </c>
      <c r="G21" s="1121">
        <f>0.5*D21</f>
        <v>0</v>
      </c>
      <c r="H21" s="1053"/>
    </row>
    <row r="22" spans="1:8" x14ac:dyDescent="0.25">
      <c r="A22" s="1067" t="s">
        <v>564</v>
      </c>
      <c r="B22" s="1068"/>
      <c r="C22" s="1068"/>
      <c r="D22" s="1068">
        <f>SUM(D5:D21)</f>
        <v>4</v>
      </c>
      <c r="E22" s="1068">
        <f>SUM(E5:E21)</f>
        <v>0</v>
      </c>
      <c r="F22" s="1068">
        <f>SUM(F5:F21)</f>
        <v>0.5</v>
      </c>
      <c r="G22" s="1068">
        <f>SUM(G5:G21)</f>
        <v>0</v>
      </c>
      <c r="H22" s="1068"/>
    </row>
    <row r="23" spans="1:8" x14ac:dyDescent="0.25">
      <c r="A23" s="1067"/>
      <c r="B23" s="1067"/>
      <c r="C23" s="1067"/>
      <c r="D23" s="1067"/>
      <c r="E23" s="1067"/>
      <c r="F23" s="1067"/>
      <c r="G23" s="1067"/>
      <c r="H23" s="1067"/>
    </row>
    <row r="24" spans="1:8" x14ac:dyDescent="0.25">
      <c r="A24" s="1067"/>
      <c r="B24" s="1067"/>
      <c r="C24" s="1069" t="s">
        <v>900</v>
      </c>
      <c r="D24" s="1069"/>
      <c r="E24" s="1069"/>
      <c r="F24" s="1069"/>
      <c r="G24" s="1069"/>
      <c r="H24" s="1067"/>
    </row>
    <row r="25" spans="1:8" x14ac:dyDescent="0.25">
      <c r="A25" s="1067"/>
      <c r="B25" s="1067"/>
      <c r="C25" s="268" t="s">
        <v>901</v>
      </c>
      <c r="D25" s="268">
        <f>SUM(D7:D10)/8</f>
        <v>0</v>
      </c>
      <c r="E25" s="268">
        <f>ROUNDUP(SUM(E7:E10)/8,0)</f>
        <v>0</v>
      </c>
      <c r="F25" s="268">
        <f>ROUNDUP(SUM(F7:F10)/8,0)</f>
        <v>0</v>
      </c>
      <c r="G25" s="268">
        <f>ROUNDUP(SUM(G5:G10)/8,0)</f>
        <v>0</v>
      </c>
      <c r="H25" s="1067"/>
    </row>
    <row r="26" spans="1:8" x14ac:dyDescent="0.25">
      <c r="A26" s="1067"/>
      <c r="B26" s="1067"/>
      <c r="C26" s="63" t="s">
        <v>902</v>
      </c>
      <c r="D26" s="63">
        <f>ROUNDUP(SUM(D13:D20)/8,1)</f>
        <v>0</v>
      </c>
      <c r="E26" s="63">
        <f>ROUNDUP(SUM(E13:E20)/8,1)</f>
        <v>0</v>
      </c>
      <c r="F26" s="63">
        <f t="shared" ref="F26:G26" si="4">ROUNDUP(SUM(F13:F20)/8,1)</f>
        <v>0</v>
      </c>
      <c r="G26" s="63">
        <f t="shared" si="4"/>
        <v>0</v>
      </c>
      <c r="H26" s="1067"/>
    </row>
    <row r="27" spans="1:8" x14ac:dyDescent="0.25">
      <c r="A27" s="1067"/>
      <c r="B27" s="1067"/>
      <c r="C27" s="268" t="s">
        <v>903</v>
      </c>
      <c r="D27" s="268">
        <f>ROUNDUP(SUM(D21)/8,0)</f>
        <v>0</v>
      </c>
      <c r="E27" s="268">
        <f t="shared" ref="E27:G27" si="5">ROUNDUP(SUM(E21)/8,0)</f>
        <v>0</v>
      </c>
      <c r="F27" s="268">
        <f t="shared" si="5"/>
        <v>0</v>
      </c>
      <c r="G27" s="268">
        <f t="shared" si="5"/>
        <v>0</v>
      </c>
      <c r="H27" s="1067"/>
    </row>
    <row r="28" spans="1:8" x14ac:dyDescent="0.25">
      <c r="A28" s="1067"/>
      <c r="B28" s="1067"/>
      <c r="C28" s="63" t="s">
        <v>904</v>
      </c>
      <c r="D28" s="63">
        <f>ROUNDUP(D22/8,0)</f>
        <v>1</v>
      </c>
      <c r="E28" s="63">
        <f>ROUNDUP(E22/8,0)</f>
        <v>0</v>
      </c>
      <c r="F28" s="63">
        <f>ROUNDUP(F22/8,0)</f>
        <v>1</v>
      </c>
      <c r="G28" s="63">
        <f>ROUNDUP(G22/8,0)</f>
        <v>0</v>
      </c>
      <c r="H28" s="1067"/>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Лист68">
    <tabColor theme="8"/>
  </sheetPr>
  <dimension ref="A1:H26"/>
  <sheetViews>
    <sheetView workbookViewId="0">
      <selection activeCell="B5" sqref="B5"/>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ТрЗ_ОВ!E152</f>
        <v>0</v>
      </c>
      <c r="C2" s="1036"/>
      <c r="D2" s="1036"/>
      <c r="E2" s="1036"/>
      <c r="F2" s="1036"/>
      <c r="G2" s="1036"/>
      <c r="H2" s="1036"/>
    </row>
    <row r="3" spans="1:8" x14ac:dyDescent="0.25">
      <c r="A3" s="1037" t="s">
        <v>877</v>
      </c>
      <c r="B3" s="1038">
        <f>ТрЗ_ОВ!H152</f>
        <v>0</v>
      </c>
      <c r="C3" s="1039"/>
      <c r="D3" s="1039"/>
      <c r="E3" s="1039"/>
      <c r="F3" s="1039"/>
      <c r="G3" s="1039"/>
      <c r="H3" s="1039"/>
    </row>
    <row r="4" spans="1:8" x14ac:dyDescent="0.25">
      <c r="A4" s="1037" t="s">
        <v>983</v>
      </c>
      <c r="B4" s="1038">
        <f>ТрЗ_ОВ!J152</f>
        <v>0</v>
      </c>
      <c r="C4" s="1039"/>
      <c r="D4" s="1039"/>
      <c r="E4" s="1039"/>
      <c r="F4" s="1039"/>
      <c r="G4" s="1039"/>
      <c r="H4" s="1039"/>
    </row>
    <row r="5" spans="1:8" x14ac:dyDescent="0.25">
      <c r="A5" s="1037" t="s">
        <v>880</v>
      </c>
      <c r="B5" s="1038">
        <v>1</v>
      </c>
      <c r="C5" s="1040">
        <v>4</v>
      </c>
      <c r="D5" s="1039">
        <v>4</v>
      </c>
      <c r="E5" s="1040"/>
      <c r="F5" s="1039">
        <f>D5/8</f>
        <v>0.5</v>
      </c>
      <c r="G5" s="1040"/>
      <c r="H5" s="1039"/>
    </row>
    <row r="6" spans="1:8" x14ac:dyDescent="0.25">
      <c r="A6" s="1037" t="s">
        <v>881</v>
      </c>
      <c r="B6" s="1041" t="s">
        <v>882</v>
      </c>
      <c r="C6" s="1040">
        <f>SUM(C7:C10)</f>
        <v>4</v>
      </c>
      <c r="D6" s="1039">
        <f>C6*$B$3</f>
        <v>0</v>
      </c>
      <c r="E6" s="1040">
        <f>0.5*$D$10</f>
        <v>0</v>
      </c>
      <c r="F6" s="1040">
        <f>0.5*$D$10</f>
        <v>0</v>
      </c>
      <c r="G6" s="1040"/>
      <c r="H6" s="1039"/>
    </row>
    <row r="7" spans="1:8" x14ac:dyDescent="0.25">
      <c r="A7" s="1042" t="s">
        <v>883</v>
      </c>
      <c r="B7" s="1043">
        <v>1</v>
      </c>
      <c r="C7" s="1040">
        <v>1</v>
      </c>
      <c r="D7" s="1039">
        <f t="shared" ref="D7:D10" si="0">C7*$B$3</f>
        <v>0</v>
      </c>
      <c r="E7" s="1040"/>
      <c r="F7" s="1039"/>
      <c r="G7" s="1040"/>
      <c r="H7" s="1039"/>
    </row>
    <row r="8" spans="1:8" x14ac:dyDescent="0.25">
      <c r="A8" s="1042" t="s">
        <v>884</v>
      </c>
      <c r="B8" s="1043">
        <v>1</v>
      </c>
      <c r="C8" s="1040">
        <v>1</v>
      </c>
      <c r="D8" s="1039">
        <f t="shared" si="0"/>
        <v>0</v>
      </c>
      <c r="E8" s="1040"/>
      <c r="F8" s="1039"/>
      <c r="G8" s="1040"/>
      <c r="H8" s="1039"/>
    </row>
    <row r="9" spans="1:8" x14ac:dyDescent="0.25">
      <c r="A9" s="1042" t="s">
        <v>885</v>
      </c>
      <c r="B9" s="1043">
        <v>1</v>
      </c>
      <c r="C9" s="1040">
        <v>1</v>
      </c>
      <c r="D9" s="1039">
        <f t="shared" si="0"/>
        <v>0</v>
      </c>
      <c r="E9" s="1040"/>
      <c r="F9" s="1039"/>
      <c r="G9" s="1040"/>
      <c r="H9" s="1039"/>
    </row>
    <row r="10" spans="1:8" x14ac:dyDescent="0.25">
      <c r="A10" s="1042" t="s">
        <v>886</v>
      </c>
      <c r="B10" s="1043">
        <v>1</v>
      </c>
      <c r="C10" s="1040">
        <v>1</v>
      </c>
      <c r="D10" s="1039">
        <f t="shared" si="0"/>
        <v>0</v>
      </c>
      <c r="E10" s="1040"/>
      <c r="F10" s="1039"/>
      <c r="G10" s="1040"/>
      <c r="H10" s="1039"/>
    </row>
    <row r="11" spans="1:8" x14ac:dyDescent="0.25">
      <c r="A11" s="1037" t="s">
        <v>887</v>
      </c>
      <c r="B11" s="1043"/>
      <c r="C11" s="1039"/>
      <c r="D11" s="1039"/>
      <c r="E11" s="1039"/>
      <c r="F11" s="1039"/>
      <c r="G11" s="1039"/>
      <c r="H11" s="1039"/>
    </row>
    <row r="12" spans="1:8" x14ac:dyDescent="0.25">
      <c r="A12" s="1037" t="s">
        <v>888</v>
      </c>
      <c r="B12" s="1043"/>
      <c r="C12" s="1039"/>
      <c r="D12" s="1039"/>
      <c r="E12" s="1039"/>
      <c r="F12" s="1039"/>
      <c r="G12" s="1039"/>
      <c r="H12" s="1039"/>
    </row>
    <row r="13" spans="1:8" x14ac:dyDescent="0.25">
      <c r="A13" s="1042" t="s">
        <v>889</v>
      </c>
      <c r="B13" s="1043">
        <v>1</v>
      </c>
      <c r="C13" s="1047">
        <v>1</v>
      </c>
      <c r="D13" s="1039">
        <f>C13*$B$3</f>
        <v>0</v>
      </c>
      <c r="E13" s="1039">
        <f>0.7*D13</f>
        <v>0</v>
      </c>
      <c r="F13" s="1039">
        <f>0.3*D13</f>
        <v>0</v>
      </c>
      <c r="G13" s="1039"/>
      <c r="H13" s="1039"/>
    </row>
    <row r="14" spans="1:8" x14ac:dyDescent="0.25">
      <c r="A14" s="1042" t="s">
        <v>890</v>
      </c>
      <c r="B14" s="1043">
        <v>1</v>
      </c>
      <c r="C14" s="1039">
        <v>2</v>
      </c>
      <c r="D14" s="1039">
        <f>C14*$B$3</f>
        <v>0</v>
      </c>
      <c r="E14" s="1039">
        <f>0.7*D14</f>
        <v>0</v>
      </c>
      <c r="F14" s="1039">
        <f>0.3*D14</f>
        <v>0</v>
      </c>
      <c r="G14" s="1039"/>
      <c r="H14" s="1039"/>
    </row>
    <row r="15" spans="1:8" x14ac:dyDescent="0.25">
      <c r="A15" s="1042" t="s">
        <v>891</v>
      </c>
      <c r="B15" s="1043">
        <v>1</v>
      </c>
      <c r="C15" s="1039">
        <v>2</v>
      </c>
      <c r="D15" s="1039">
        <f>C15*$B$3</f>
        <v>0</v>
      </c>
      <c r="E15" s="1039">
        <f t="shared" ref="E15:E17" si="1">0.7*D15</f>
        <v>0</v>
      </c>
      <c r="F15" s="1039">
        <f t="shared" ref="F15:F17" si="2">0.3*D15</f>
        <v>0</v>
      </c>
      <c r="G15" s="1039"/>
      <c r="H15" s="1039"/>
    </row>
    <row r="16" spans="1:8" x14ac:dyDescent="0.25">
      <c r="A16" s="1042" t="s">
        <v>999</v>
      </c>
      <c r="B16" s="1043">
        <v>1</v>
      </c>
      <c r="C16" s="1039">
        <v>3</v>
      </c>
      <c r="D16" s="1039">
        <f>C16*B4</f>
        <v>0</v>
      </c>
      <c r="E16" s="1039">
        <f t="shared" si="1"/>
        <v>0</v>
      </c>
      <c r="F16" s="1039">
        <f t="shared" si="2"/>
        <v>0</v>
      </c>
      <c r="G16" s="1039"/>
      <c r="H16" s="1039"/>
    </row>
    <row r="17" spans="1:8" x14ac:dyDescent="0.25">
      <c r="A17" s="268" t="s">
        <v>895</v>
      </c>
      <c r="B17" s="1043">
        <v>1</v>
      </c>
      <c r="C17" s="1047">
        <v>0.5</v>
      </c>
      <c r="D17" s="1039">
        <f>C17*$B$3</f>
        <v>0</v>
      </c>
      <c r="E17" s="1039">
        <f t="shared" si="1"/>
        <v>0</v>
      </c>
      <c r="F17" s="1039">
        <f t="shared" si="2"/>
        <v>0</v>
      </c>
      <c r="G17" s="1073"/>
      <c r="H17" s="1073"/>
    </row>
    <row r="18" spans="1:8" ht="25.5" x14ac:dyDescent="0.25">
      <c r="A18" s="1037" t="s">
        <v>896</v>
      </c>
      <c r="B18" s="1039" t="s">
        <v>897</v>
      </c>
      <c r="C18" s="1130">
        <f>ROUNDUP(IF(0.1*(SUM($D$13:$D$17))&gt;8,0.1*(SUM($D$13:$D$17)),8),0)</f>
        <v>8</v>
      </c>
      <c r="D18" s="1040">
        <f>C18</f>
        <v>8</v>
      </c>
      <c r="E18" s="1040">
        <f>0.5*$D18</f>
        <v>4</v>
      </c>
      <c r="F18" s="1040">
        <f>0.5*$D18</f>
        <v>4</v>
      </c>
      <c r="G18" s="1039"/>
      <c r="H18" s="1039"/>
    </row>
    <row r="19" spans="1:8" ht="26.25" thickBot="1" x14ac:dyDescent="0.3">
      <c r="A19" s="1070" t="s">
        <v>898</v>
      </c>
      <c r="B19" s="1053" t="s">
        <v>899</v>
      </c>
      <c r="C19" s="1131">
        <f>ROUNDUP(IF(0.05*(SUM($D$13:$D$17))&gt;8,0.05*(SUM($D$13:$D$17)),8),0)</f>
        <v>8</v>
      </c>
      <c r="D19" s="1132">
        <f>C19</f>
        <v>8</v>
      </c>
      <c r="E19" s="1132">
        <f>0.5*$D19</f>
        <v>4</v>
      </c>
      <c r="F19" s="1132">
        <f>0.5*$D19</f>
        <v>4</v>
      </c>
      <c r="G19" s="1053"/>
      <c r="H19" s="1053"/>
    </row>
    <row r="20" spans="1:8" x14ac:dyDescent="0.25">
      <c r="A20" s="1067" t="s">
        <v>564</v>
      </c>
      <c r="B20" s="1068"/>
      <c r="C20" s="1068"/>
      <c r="D20" s="1068">
        <f>SUM(D5:D19)</f>
        <v>20</v>
      </c>
      <c r="E20" s="1068">
        <f>SUM(E5:E19)</f>
        <v>8</v>
      </c>
      <c r="F20" s="1068">
        <f>SUM(F5:F19)</f>
        <v>8.5</v>
      </c>
      <c r="G20" s="1068">
        <f>SUM(G5:G19)</f>
        <v>0</v>
      </c>
      <c r="H20" s="1068"/>
    </row>
    <row r="21" spans="1:8" x14ac:dyDescent="0.25">
      <c r="A21" s="1067"/>
      <c r="B21" s="1067"/>
      <c r="C21" s="1067"/>
      <c r="D21" s="1067"/>
      <c r="E21" s="1067"/>
      <c r="F21" s="1067"/>
      <c r="G21" s="1067"/>
      <c r="H21" s="1067"/>
    </row>
    <row r="22" spans="1:8" x14ac:dyDescent="0.25">
      <c r="A22" s="1067"/>
      <c r="B22" s="1067"/>
      <c r="C22" s="1069" t="s">
        <v>900</v>
      </c>
      <c r="D22" s="1069">
        <f>D5</f>
        <v>4</v>
      </c>
      <c r="E22" s="1069">
        <f t="shared" ref="E22:G22" si="3">E5</f>
        <v>0</v>
      </c>
      <c r="F22" s="1069">
        <f t="shared" si="3"/>
        <v>0.5</v>
      </c>
      <c r="G22" s="1069">
        <f t="shared" si="3"/>
        <v>0</v>
      </c>
      <c r="H22" s="1067"/>
    </row>
    <row r="23" spans="1:8" x14ac:dyDescent="0.25">
      <c r="A23" s="1067"/>
      <c r="B23" s="1067"/>
      <c r="C23" s="268" t="s">
        <v>901</v>
      </c>
      <c r="D23" s="268">
        <f>SUM(D6)/8</f>
        <v>0</v>
      </c>
      <c r="E23" s="268">
        <f t="shared" ref="E23:G23" si="4">SUM(E6)/8</f>
        <v>0</v>
      </c>
      <c r="F23" s="268">
        <f t="shared" si="4"/>
        <v>0</v>
      </c>
      <c r="G23" s="268">
        <f t="shared" si="4"/>
        <v>0</v>
      </c>
      <c r="H23" s="1067"/>
    </row>
    <row r="24" spans="1:8" x14ac:dyDescent="0.25">
      <c r="A24" s="1067"/>
      <c r="B24" s="1067"/>
      <c r="C24" s="63" t="s">
        <v>902</v>
      </c>
      <c r="D24" s="63">
        <f>SUM(D13:D17)/8</f>
        <v>0</v>
      </c>
      <c r="E24" s="63">
        <f>ROUNDUP(SUM(E13:E18)/8,0)</f>
        <v>1</v>
      </c>
      <c r="F24" s="63">
        <f>ROUNDUP(SUM(F13:F18)/8,0)</f>
        <v>1</v>
      </c>
      <c r="G24" s="63">
        <f>ROUNDUP(SUM(G13:G18)/8,0)</f>
        <v>0</v>
      </c>
      <c r="H24" s="1067"/>
    </row>
    <row r="25" spans="1:8" x14ac:dyDescent="0.25">
      <c r="A25" s="1067"/>
      <c r="B25" s="1067"/>
      <c r="C25" s="268" t="s">
        <v>903</v>
      </c>
      <c r="D25" s="268">
        <f>ROUNDUP(SUM(D19)/8,0)</f>
        <v>1</v>
      </c>
      <c r="E25" s="268">
        <f t="shared" ref="E25:G25" si="5">ROUNDUP(SUM(E19)/8,0)</f>
        <v>1</v>
      </c>
      <c r="F25" s="268">
        <f t="shared" si="5"/>
        <v>1</v>
      </c>
      <c r="G25" s="268">
        <f t="shared" si="5"/>
        <v>0</v>
      </c>
      <c r="H25" s="1067"/>
    </row>
    <row r="26" spans="1:8" x14ac:dyDescent="0.25">
      <c r="A26" s="1067"/>
      <c r="B26" s="1067"/>
      <c r="C26" s="63" t="s">
        <v>904</v>
      </c>
      <c r="D26" s="63">
        <f>ROUNDUP(D20/8,0)</f>
        <v>3</v>
      </c>
      <c r="E26" s="63">
        <f>ROUNDUP(E20/8,0)</f>
        <v>1</v>
      </c>
      <c r="F26" s="63">
        <f>ROUNDUP(F20/8,0)</f>
        <v>2</v>
      </c>
      <c r="G26" s="63">
        <f>ROUNDUP(G20/8,0)</f>
        <v>0</v>
      </c>
      <c r="H26" s="1067"/>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Лист69">
    <tabColor theme="8"/>
  </sheetPr>
  <dimension ref="A1:H31"/>
  <sheetViews>
    <sheetView workbookViewId="0">
      <selection activeCell="B7" sqref="B7"/>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1003</v>
      </c>
      <c r="B2" s="1035">
        <f>ТрЗ_ОВ!E113</f>
        <v>0</v>
      </c>
      <c r="C2" s="1036"/>
      <c r="D2" s="1036"/>
      <c r="E2" s="1036"/>
      <c r="F2" s="1036"/>
      <c r="G2" s="1036"/>
      <c r="H2" s="1036"/>
    </row>
    <row r="3" spans="1:8" x14ac:dyDescent="0.25">
      <c r="A3" s="1037" t="s">
        <v>1004</v>
      </c>
      <c r="B3" s="1038">
        <f>ТрЗ_ОВ!H113</f>
        <v>0</v>
      </c>
      <c r="C3" s="1039"/>
      <c r="D3" s="1039"/>
      <c r="E3" s="1039"/>
      <c r="F3" s="1039"/>
      <c r="G3" s="1039"/>
      <c r="H3" s="1039"/>
    </row>
    <row r="4" spans="1:8" x14ac:dyDescent="0.25">
      <c r="A4" s="1037" t="s">
        <v>1005</v>
      </c>
      <c r="B4" s="1038">
        <f>ТрЗ_ОВ!J113</f>
        <v>0</v>
      </c>
      <c r="C4" s="1039"/>
      <c r="D4" s="1039"/>
      <c r="E4" s="1039"/>
      <c r="F4" s="1039"/>
      <c r="G4" s="1039"/>
      <c r="H4" s="1039"/>
    </row>
    <row r="5" spans="1:8" x14ac:dyDescent="0.25">
      <c r="A5" s="1037" t="s">
        <v>1006</v>
      </c>
      <c r="B5" s="1038">
        <f>ТрЗ_ОВ!M113</f>
        <v>0</v>
      </c>
      <c r="C5" s="1039"/>
      <c r="D5" s="1039"/>
      <c r="E5" s="1039"/>
      <c r="F5" s="1039"/>
      <c r="G5" s="1039"/>
      <c r="H5" s="1039"/>
    </row>
    <row r="6" spans="1:8" x14ac:dyDescent="0.25">
      <c r="A6" s="1037" t="s">
        <v>1007</v>
      </c>
      <c r="B6" s="1038">
        <f>ТрЗ_ОВ!O113</f>
        <v>0</v>
      </c>
      <c r="C6" s="1039"/>
      <c r="D6" s="1039"/>
      <c r="E6" s="1039"/>
      <c r="F6" s="1039"/>
      <c r="G6" s="1039"/>
      <c r="H6" s="1039"/>
    </row>
    <row r="7" spans="1:8" x14ac:dyDescent="0.25">
      <c r="A7" s="1037" t="s">
        <v>880</v>
      </c>
      <c r="B7" s="1038">
        <v>1</v>
      </c>
      <c r="C7" s="1040">
        <v>4</v>
      </c>
      <c r="D7" s="1039">
        <v>4</v>
      </c>
      <c r="E7" s="1040"/>
      <c r="F7" s="1039">
        <f>D7/8</f>
        <v>0.5</v>
      </c>
      <c r="G7" s="1040"/>
      <c r="H7" s="1039"/>
    </row>
    <row r="8" spans="1:8" x14ac:dyDescent="0.25">
      <c r="A8" s="1037" t="s">
        <v>881</v>
      </c>
      <c r="B8" s="1041" t="s">
        <v>882</v>
      </c>
      <c r="C8" s="1040">
        <f>SUM(C9:C12)</f>
        <v>4</v>
      </c>
      <c r="D8" s="1039">
        <f>C8*SUM($B$3:$B$5)</f>
        <v>0</v>
      </c>
      <c r="E8" s="1040">
        <f>0.5*$D8</f>
        <v>0</v>
      </c>
      <c r="F8" s="1040">
        <f>0.5*$D8</f>
        <v>0</v>
      </c>
      <c r="G8" s="1040"/>
      <c r="H8" s="1039"/>
    </row>
    <row r="9" spans="1:8" x14ac:dyDescent="0.25">
      <c r="A9" s="1042" t="s">
        <v>883</v>
      </c>
      <c r="B9" s="1043">
        <v>1</v>
      </c>
      <c r="C9" s="1040">
        <v>1</v>
      </c>
      <c r="D9" s="1039">
        <f t="shared" ref="D9:D12" si="0">C9*SUM($B$3:$B$5)</f>
        <v>0</v>
      </c>
      <c r="E9" s="1040">
        <f t="shared" ref="E9:F12" si="1">0.5*$D9</f>
        <v>0</v>
      </c>
      <c r="F9" s="1040">
        <f t="shared" si="1"/>
        <v>0</v>
      </c>
      <c r="G9" s="1040"/>
      <c r="H9" s="1039"/>
    </row>
    <row r="10" spans="1:8" x14ac:dyDescent="0.25">
      <c r="A10" s="1042" t="s">
        <v>884</v>
      </c>
      <c r="B10" s="1043">
        <v>1</v>
      </c>
      <c r="C10" s="1040">
        <v>1</v>
      </c>
      <c r="D10" s="1039">
        <f t="shared" si="0"/>
        <v>0</v>
      </c>
      <c r="E10" s="1040">
        <f t="shared" si="1"/>
        <v>0</v>
      </c>
      <c r="F10" s="1040">
        <f t="shared" si="1"/>
        <v>0</v>
      </c>
      <c r="G10" s="1040"/>
      <c r="H10" s="1039"/>
    </row>
    <row r="11" spans="1:8" x14ac:dyDescent="0.25">
      <c r="A11" s="1042" t="s">
        <v>885</v>
      </c>
      <c r="B11" s="1043">
        <v>1</v>
      </c>
      <c r="C11" s="1040">
        <v>1</v>
      </c>
      <c r="D11" s="1039">
        <f t="shared" si="0"/>
        <v>0</v>
      </c>
      <c r="E11" s="1040">
        <f t="shared" si="1"/>
        <v>0</v>
      </c>
      <c r="F11" s="1040">
        <f t="shared" si="1"/>
        <v>0</v>
      </c>
      <c r="G11" s="1040"/>
      <c r="H11" s="1039"/>
    </row>
    <row r="12" spans="1:8" x14ac:dyDescent="0.25">
      <c r="A12" s="1042" t="s">
        <v>886</v>
      </c>
      <c r="B12" s="1043">
        <v>1</v>
      </c>
      <c r="C12" s="1040">
        <v>1</v>
      </c>
      <c r="D12" s="1039">
        <f t="shared" si="0"/>
        <v>0</v>
      </c>
      <c r="E12" s="1040">
        <f t="shared" si="1"/>
        <v>0</v>
      </c>
      <c r="F12" s="1040">
        <f t="shared" si="1"/>
        <v>0</v>
      </c>
      <c r="G12" s="1040"/>
      <c r="H12" s="1039"/>
    </row>
    <row r="13" spans="1:8" x14ac:dyDescent="0.25">
      <c r="A13" s="1037" t="s">
        <v>887</v>
      </c>
      <c r="B13" s="1043"/>
      <c r="C13" s="1039"/>
      <c r="D13" s="1039"/>
      <c r="E13" s="1039"/>
      <c r="F13" s="1039"/>
      <c r="G13" s="1039"/>
      <c r="H13" s="1039"/>
    </row>
    <row r="14" spans="1:8" x14ac:dyDescent="0.25">
      <c r="A14" s="1037" t="s">
        <v>888</v>
      </c>
      <c r="B14" s="1043"/>
      <c r="C14" s="1039"/>
      <c r="D14" s="1039"/>
      <c r="E14" s="1039"/>
      <c r="F14" s="1039"/>
      <c r="G14" s="1039"/>
      <c r="H14" s="1039"/>
    </row>
    <row r="15" spans="1:8" x14ac:dyDescent="0.25">
      <c r="A15" s="1042" t="s">
        <v>889</v>
      </c>
      <c r="B15" s="1043">
        <v>1</v>
      </c>
      <c r="C15" s="1039">
        <v>2</v>
      </c>
      <c r="D15" s="1039">
        <f>IF(B15=1,C15*$B$3,0)</f>
        <v>0</v>
      </c>
      <c r="E15" s="1039">
        <f>0.7*D15</f>
        <v>0</v>
      </c>
      <c r="F15" s="1048">
        <f>0.3*D15</f>
        <v>0</v>
      </c>
      <c r="G15" s="1130"/>
      <c r="H15" s="1040"/>
    </row>
    <row r="16" spans="1:8" x14ac:dyDescent="0.25">
      <c r="A16" s="1134" t="s">
        <v>1008</v>
      </c>
      <c r="B16" s="1135">
        <f>IF(B2&gt;0,0,1)</f>
        <v>1</v>
      </c>
      <c r="C16" s="1039">
        <v>4</v>
      </c>
      <c r="D16" s="1039">
        <f t="shared" ref="D16:D18" si="2">IF(B16=1,C16*$B$3,0)</f>
        <v>0</v>
      </c>
      <c r="E16" s="1039">
        <f t="shared" ref="E16:E22" si="3">0.7*D16</f>
        <v>0</v>
      </c>
      <c r="F16" s="1048">
        <f t="shared" ref="F16:F22" si="4">0.3*D16</f>
        <v>0</v>
      </c>
      <c r="G16" s="1130"/>
      <c r="H16" s="1040"/>
    </row>
    <row r="17" spans="1:8" x14ac:dyDescent="0.25">
      <c r="A17" s="1134" t="s">
        <v>1009</v>
      </c>
      <c r="B17" s="1135">
        <f>IF(B2&gt;0,0,1)</f>
        <v>1</v>
      </c>
      <c r="C17" s="1039">
        <v>2</v>
      </c>
      <c r="D17" s="1039">
        <f t="shared" si="2"/>
        <v>0</v>
      </c>
      <c r="E17" s="1039">
        <f t="shared" si="3"/>
        <v>0</v>
      </c>
      <c r="F17" s="1048">
        <f t="shared" si="4"/>
        <v>0</v>
      </c>
      <c r="G17" s="1130"/>
      <c r="H17" s="1040"/>
    </row>
    <row r="18" spans="1:8" x14ac:dyDescent="0.25">
      <c r="A18" s="1134" t="s">
        <v>1010</v>
      </c>
      <c r="B18" s="1135">
        <f>IF(B2&gt;0,0,1)</f>
        <v>1</v>
      </c>
      <c r="C18" s="1039">
        <v>2</v>
      </c>
      <c r="D18" s="1039">
        <f t="shared" si="2"/>
        <v>0</v>
      </c>
      <c r="E18" s="1039">
        <f t="shared" si="3"/>
        <v>0</v>
      </c>
      <c r="F18" s="1048">
        <f t="shared" si="4"/>
        <v>0</v>
      </c>
      <c r="G18" s="1130"/>
      <c r="H18" s="1040"/>
    </row>
    <row r="19" spans="1:8" x14ac:dyDescent="0.25">
      <c r="A19" s="1134" t="s">
        <v>1011</v>
      </c>
      <c r="B19" s="1135">
        <f>IF(B2&gt;0,1,0)</f>
        <v>0</v>
      </c>
      <c r="C19" s="1039">
        <v>2</v>
      </c>
      <c r="D19" s="1039">
        <f>IF(B19&lt;&gt;0,C19*$B$2,0)</f>
        <v>0</v>
      </c>
      <c r="E19" s="1039">
        <f t="shared" si="3"/>
        <v>0</v>
      </c>
      <c r="F19" s="1048">
        <f t="shared" si="4"/>
        <v>0</v>
      </c>
      <c r="G19" s="1130"/>
      <c r="H19" s="1040"/>
    </row>
    <row r="20" spans="1:8" x14ac:dyDescent="0.25">
      <c r="A20" s="1134" t="s">
        <v>1012</v>
      </c>
      <c r="B20" s="1135">
        <v>1</v>
      </c>
      <c r="C20" s="1039">
        <v>40</v>
      </c>
      <c r="D20" s="1039">
        <f>IF(B20=1,C20*$B$6,0)</f>
        <v>0</v>
      </c>
      <c r="F20" s="1048">
        <f>0.7*D20</f>
        <v>0</v>
      </c>
      <c r="G20" s="1130">
        <f>0.3*D20</f>
        <v>0</v>
      </c>
      <c r="H20" s="1040"/>
    </row>
    <row r="21" spans="1:8" x14ac:dyDescent="0.25">
      <c r="A21" s="268" t="s">
        <v>895</v>
      </c>
      <c r="B21" s="1043">
        <v>1</v>
      </c>
      <c r="C21" s="1039">
        <v>1</v>
      </c>
      <c r="D21" s="1039">
        <f>IF(B21=1,C21*$B$3,0)</f>
        <v>0</v>
      </c>
      <c r="E21" s="1039">
        <f t="shared" si="3"/>
        <v>0</v>
      </c>
      <c r="F21" s="1048">
        <f t="shared" si="4"/>
        <v>0</v>
      </c>
      <c r="G21" s="129"/>
      <c r="H21" s="1040"/>
    </row>
    <row r="22" spans="1:8" x14ac:dyDescent="0.25">
      <c r="A22" t="s">
        <v>1013</v>
      </c>
      <c r="B22" s="1043">
        <v>1</v>
      </c>
      <c r="C22" s="1039">
        <v>2</v>
      </c>
      <c r="D22" s="1039">
        <f>IF(B22=1,C22*$B$6,0)</f>
        <v>0</v>
      </c>
      <c r="E22" s="1039">
        <f t="shared" si="3"/>
        <v>0</v>
      </c>
      <c r="F22" s="1048">
        <f t="shared" si="4"/>
        <v>0</v>
      </c>
      <c r="G22" s="129"/>
      <c r="H22" s="1040"/>
    </row>
    <row r="23" spans="1:8" ht="25.5" x14ac:dyDescent="0.25">
      <c r="A23" s="1037" t="s">
        <v>896</v>
      </c>
      <c r="B23" s="1039" t="s">
        <v>897</v>
      </c>
      <c r="C23" s="1039"/>
      <c r="D23" s="1039">
        <f>ROUNDUP(SUM(D15:D22)*0.1,1)</f>
        <v>0</v>
      </c>
      <c r="E23" s="1039"/>
      <c r="F23" s="1039">
        <f>0.5*D23</f>
        <v>0</v>
      </c>
      <c r="G23" s="1039">
        <f>0.5*D23</f>
        <v>0</v>
      </c>
      <c r="H23" s="1039"/>
    </row>
    <row r="24" spans="1:8" ht="26.25" thickBot="1" x14ac:dyDescent="0.3">
      <c r="A24" s="1070" t="s">
        <v>898</v>
      </c>
      <c r="B24" s="1053" t="s">
        <v>899</v>
      </c>
      <c r="C24" s="1053"/>
      <c r="D24" s="1039">
        <f>ROUNDUP(SUM(D14:D22)*0.1,1)</f>
        <v>0</v>
      </c>
      <c r="E24" s="1053"/>
      <c r="F24" s="1039">
        <f>0.5*D24</f>
        <v>0</v>
      </c>
      <c r="G24" s="1039">
        <f>0.5*D24</f>
        <v>0</v>
      </c>
      <c r="H24" s="1053"/>
    </row>
    <row r="25" spans="1:8" x14ac:dyDescent="0.25">
      <c r="A25" s="1067" t="s">
        <v>564</v>
      </c>
      <c r="B25" s="1068"/>
      <c r="C25" s="1068"/>
      <c r="D25" s="1068">
        <f>SUM(D7:D24)</f>
        <v>4</v>
      </c>
      <c r="E25" s="1068">
        <f>SUM(E7:E24)</f>
        <v>0</v>
      </c>
      <c r="F25" s="1068">
        <f>SUM(F7:F24)</f>
        <v>0.5</v>
      </c>
      <c r="G25" s="1068">
        <f>SUM(G7:G24)</f>
        <v>0</v>
      </c>
      <c r="H25" s="1068"/>
    </row>
    <row r="26" spans="1:8" x14ac:dyDescent="0.25">
      <c r="A26" s="1067"/>
      <c r="B26" s="1067"/>
      <c r="C26" s="1067"/>
      <c r="D26" s="1067"/>
      <c r="E26" s="1067"/>
      <c r="F26" s="1067"/>
      <c r="G26" s="1067"/>
      <c r="H26" s="1067"/>
    </row>
    <row r="27" spans="1:8" x14ac:dyDescent="0.25">
      <c r="A27" s="1067"/>
      <c r="B27" s="1067"/>
      <c r="C27" s="1069" t="s">
        <v>900</v>
      </c>
      <c r="D27" s="1069"/>
      <c r="E27" s="1069"/>
      <c r="F27" s="1069"/>
      <c r="G27" s="1069"/>
      <c r="H27" s="1067"/>
    </row>
    <row r="28" spans="1:8" x14ac:dyDescent="0.25">
      <c r="A28" s="1067"/>
      <c r="B28" s="1067"/>
      <c r="C28" s="268" t="s">
        <v>901</v>
      </c>
      <c r="D28" s="268">
        <f>SUM(D9:D12)/8</f>
        <v>0</v>
      </c>
      <c r="E28" s="268">
        <f>ROUNDUP(SUM(E9:E12)/8,0)</f>
        <v>0</v>
      </c>
      <c r="F28" s="268">
        <f>ROUNDUP(SUM(F9:F12)/8,0)</f>
        <v>0</v>
      </c>
      <c r="G28" s="268">
        <f>ROUNDUP(SUM(G7:G12)/8,0)</f>
        <v>0</v>
      </c>
      <c r="H28" s="1067"/>
    </row>
    <row r="29" spans="1:8" x14ac:dyDescent="0.25">
      <c r="A29" s="1067"/>
      <c r="B29" s="1067"/>
      <c r="C29" s="63" t="s">
        <v>902</v>
      </c>
      <c r="D29" s="63">
        <f>ROUNDUP(SUM(D15:D23)/8,1)</f>
        <v>0</v>
      </c>
      <c r="E29" s="63">
        <f t="shared" ref="E29:G29" si="5">ROUNDUP(SUM(E15:E23)/8,1)</f>
        <v>0</v>
      </c>
      <c r="F29" s="63">
        <f t="shared" si="5"/>
        <v>0</v>
      </c>
      <c r="G29" s="63">
        <f t="shared" si="5"/>
        <v>0</v>
      </c>
      <c r="H29" s="1067"/>
    </row>
    <row r="30" spans="1:8" x14ac:dyDescent="0.25">
      <c r="A30" s="1067"/>
      <c r="B30" s="1067"/>
      <c r="C30" s="268" t="s">
        <v>903</v>
      </c>
      <c r="D30" s="268">
        <f>ROUNDUP(SUM(D24)/8,1)</f>
        <v>0</v>
      </c>
      <c r="E30" s="268">
        <f t="shared" ref="E30:G30" si="6">ROUNDUP(SUM(E24)/8,1)</f>
        <v>0</v>
      </c>
      <c r="F30" s="268">
        <f t="shared" si="6"/>
        <v>0</v>
      </c>
      <c r="G30" s="268">
        <f t="shared" si="6"/>
        <v>0</v>
      </c>
      <c r="H30" s="1067"/>
    </row>
    <row r="31" spans="1:8" x14ac:dyDescent="0.25">
      <c r="A31" s="1067"/>
      <c r="B31" s="1067"/>
      <c r="C31" s="63" t="s">
        <v>904</v>
      </c>
      <c r="D31" s="63">
        <f>ROUNDUP(D25/8,0)</f>
        <v>1</v>
      </c>
      <c r="E31" s="63">
        <f>ROUNDUP(E25/8,0)</f>
        <v>0</v>
      </c>
      <c r="F31" s="63">
        <f>ROUNDUP(F25/8,0)</f>
        <v>1</v>
      </c>
      <c r="G31" s="63">
        <f>ROUNDUP(G25/8,0)</f>
        <v>0</v>
      </c>
      <c r="H31" s="1067"/>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Лист70">
    <tabColor theme="8"/>
  </sheetPr>
  <dimension ref="A1:H24"/>
  <sheetViews>
    <sheetView workbookViewId="0">
      <selection activeCell="E27" sqref="E27"/>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ТрЗ_ОВ!E126</f>
        <v>0</v>
      </c>
      <c r="C2" s="1036"/>
      <c r="D2" s="1036"/>
      <c r="E2" s="1036"/>
      <c r="F2" s="1036"/>
      <c r="G2" s="1036"/>
      <c r="H2" s="1036"/>
    </row>
    <row r="3" spans="1:8" x14ac:dyDescent="0.25">
      <c r="A3" s="1037" t="s">
        <v>877</v>
      </c>
      <c r="B3" s="1038">
        <f>ТрЗ_ОВ!H126</f>
        <v>0</v>
      </c>
      <c r="C3" s="1039"/>
      <c r="D3" s="1039"/>
      <c r="E3" s="1039"/>
      <c r="F3" s="1039"/>
      <c r="G3" s="1039"/>
      <c r="H3" s="1039"/>
    </row>
    <row r="4" spans="1:8" x14ac:dyDescent="0.25">
      <c r="A4" s="1037" t="s">
        <v>880</v>
      </c>
      <c r="B4" s="1041"/>
      <c r="C4" s="1039"/>
      <c r="D4" s="1039"/>
      <c r="E4" s="1039"/>
      <c r="F4" s="1039"/>
      <c r="G4" s="1039"/>
      <c r="H4" s="1039"/>
    </row>
    <row r="5" spans="1:8" x14ac:dyDescent="0.25">
      <c r="A5" s="1037" t="s">
        <v>880</v>
      </c>
      <c r="B5" s="1038">
        <v>1</v>
      </c>
      <c r="C5" s="1040">
        <v>4</v>
      </c>
      <c r="D5" s="1039">
        <v>4</v>
      </c>
      <c r="E5" s="1040"/>
      <c r="F5" s="1039">
        <f>D5/8</f>
        <v>0.5</v>
      </c>
      <c r="G5" s="1040"/>
      <c r="H5" s="1039"/>
    </row>
    <row r="6" spans="1:8" x14ac:dyDescent="0.25">
      <c r="A6" s="1037" t="s">
        <v>881</v>
      </c>
      <c r="B6" s="1041" t="s">
        <v>882</v>
      </c>
      <c r="C6" s="1040">
        <f>SUM(C7:C10)</f>
        <v>4</v>
      </c>
      <c r="D6" s="1039">
        <f>C6*$B$3</f>
        <v>0</v>
      </c>
      <c r="E6" s="1040">
        <f>0.5*$D$10</f>
        <v>0</v>
      </c>
      <c r="F6" s="1040">
        <f>0.5*$D$10</f>
        <v>0</v>
      </c>
      <c r="G6" s="1040"/>
      <c r="H6" s="1039"/>
    </row>
    <row r="7" spans="1:8" x14ac:dyDescent="0.25">
      <c r="A7" s="1042" t="s">
        <v>883</v>
      </c>
      <c r="B7" s="1043">
        <v>1</v>
      </c>
      <c r="C7" s="1040">
        <v>1</v>
      </c>
      <c r="D7" s="1039">
        <f t="shared" ref="D7:D10" si="0">C7*$B$3</f>
        <v>0</v>
      </c>
      <c r="E7" s="1040"/>
      <c r="F7" s="1039"/>
      <c r="G7" s="1040"/>
      <c r="H7" s="1039"/>
    </row>
    <row r="8" spans="1:8" x14ac:dyDescent="0.25">
      <c r="A8" s="1042" t="s">
        <v>884</v>
      </c>
      <c r="B8" s="1043">
        <v>1</v>
      </c>
      <c r="C8" s="1040">
        <v>1</v>
      </c>
      <c r="D8" s="1039">
        <f t="shared" si="0"/>
        <v>0</v>
      </c>
      <c r="E8" s="1040"/>
      <c r="F8" s="1039"/>
      <c r="G8" s="1040"/>
      <c r="H8" s="1039"/>
    </row>
    <row r="9" spans="1:8" x14ac:dyDescent="0.25">
      <c r="A9" s="1042" t="s">
        <v>885</v>
      </c>
      <c r="B9" s="1043">
        <v>1</v>
      </c>
      <c r="C9" s="1040">
        <v>1</v>
      </c>
      <c r="D9" s="1039">
        <f t="shared" si="0"/>
        <v>0</v>
      </c>
      <c r="E9" s="1040"/>
      <c r="F9" s="1039"/>
      <c r="G9" s="1040"/>
      <c r="H9" s="1039"/>
    </row>
    <row r="10" spans="1:8" x14ac:dyDescent="0.25">
      <c r="A10" s="1042" t="s">
        <v>886</v>
      </c>
      <c r="B10" s="1043">
        <v>1</v>
      </c>
      <c r="C10" s="1040">
        <v>1</v>
      </c>
      <c r="D10" s="1039">
        <f t="shared" si="0"/>
        <v>0</v>
      </c>
      <c r="E10" s="1040"/>
      <c r="F10" s="1039"/>
      <c r="G10" s="1040"/>
      <c r="H10" s="1039"/>
    </row>
    <row r="11" spans="1:8" x14ac:dyDescent="0.25">
      <c r="A11" s="1037" t="s">
        <v>888</v>
      </c>
      <c r="B11" s="1043"/>
      <c r="C11" s="1039"/>
      <c r="D11" s="1039"/>
      <c r="E11" s="1039"/>
      <c r="F11" s="1039"/>
      <c r="G11" s="1039"/>
      <c r="H11" s="1039"/>
    </row>
    <row r="12" spans="1:8" x14ac:dyDescent="0.25">
      <c r="A12" s="1042" t="s">
        <v>889</v>
      </c>
      <c r="B12" s="1043">
        <v>1</v>
      </c>
      <c r="C12" s="1039">
        <v>1</v>
      </c>
      <c r="D12" s="1039">
        <f>C12*$B$3</f>
        <v>0</v>
      </c>
      <c r="E12" s="1039">
        <f>0.5*D12</f>
        <v>0</v>
      </c>
      <c r="F12" s="1039">
        <f>0.5*D12</f>
        <v>0</v>
      </c>
      <c r="G12" s="1039"/>
      <c r="H12" s="1039"/>
    </row>
    <row r="13" spans="1:8" x14ac:dyDescent="0.25">
      <c r="A13" s="268" t="s">
        <v>895</v>
      </c>
      <c r="B13" s="1043">
        <v>1</v>
      </c>
      <c r="C13" s="1039">
        <v>1</v>
      </c>
      <c r="D13" s="1039">
        <f t="shared" ref="D13:D14" si="1">C13*$B$3</f>
        <v>0</v>
      </c>
      <c r="E13" s="1039">
        <f t="shared" ref="E13:E15" si="2">0.5*D13</f>
        <v>0</v>
      </c>
      <c r="F13" s="1039">
        <f t="shared" ref="F13:F15" si="3">0.5*D13</f>
        <v>0</v>
      </c>
      <c r="G13" s="1039"/>
      <c r="H13" s="1039"/>
    </row>
    <row r="14" spans="1:8" x14ac:dyDescent="0.25">
      <c r="A14" s="1072" t="s">
        <v>890</v>
      </c>
      <c r="B14" s="1043">
        <v>1</v>
      </c>
      <c r="C14" s="1039">
        <v>3</v>
      </c>
      <c r="D14" s="1039">
        <f t="shared" si="1"/>
        <v>0</v>
      </c>
      <c r="E14" s="1039">
        <f t="shared" si="2"/>
        <v>0</v>
      </c>
      <c r="F14" s="1039">
        <f t="shared" si="3"/>
        <v>0</v>
      </c>
      <c r="G14" s="1039"/>
      <c r="H14" s="1039"/>
    </row>
    <row r="15" spans="1:8" x14ac:dyDescent="0.25">
      <c r="A15" s="1037" t="s">
        <v>891</v>
      </c>
      <c r="B15" s="1043">
        <v>1</v>
      </c>
      <c r="C15" s="1039">
        <v>20</v>
      </c>
      <c r="D15" s="1039">
        <f>C15*$B$3</f>
        <v>0</v>
      </c>
      <c r="E15" s="1039">
        <f t="shared" si="2"/>
        <v>0</v>
      </c>
      <c r="F15" s="1039">
        <f t="shared" si="3"/>
        <v>0</v>
      </c>
      <c r="G15" s="1039"/>
      <c r="H15" s="1039"/>
    </row>
    <row r="16" spans="1:8" ht="25.5" x14ac:dyDescent="0.25">
      <c r="A16" s="1037" t="s">
        <v>896</v>
      </c>
      <c r="B16" s="1039" t="s">
        <v>897</v>
      </c>
      <c r="C16" s="1039"/>
      <c r="D16" s="1039">
        <f>0.1*SUM(D12:D15)</f>
        <v>0</v>
      </c>
      <c r="E16" s="817"/>
      <c r="F16" s="1039">
        <f>0.5*D16</f>
        <v>0</v>
      </c>
      <c r="G16" s="1039">
        <f>0.5*D16</f>
        <v>0</v>
      </c>
      <c r="H16" s="1039"/>
    </row>
    <row r="17" spans="1:8" ht="26.25" thickBot="1" x14ac:dyDescent="0.3">
      <c r="A17" s="1070" t="s">
        <v>898</v>
      </c>
      <c r="B17" s="1053" t="s">
        <v>899</v>
      </c>
      <c r="C17" s="1053"/>
      <c r="D17" s="1053">
        <f>0.1*SUM(D12:D15)</f>
        <v>0</v>
      </c>
      <c r="E17" s="324"/>
      <c r="F17" s="1039">
        <f>0.5*D17</f>
        <v>0</v>
      </c>
      <c r="G17" s="1039">
        <f>0.5*D17</f>
        <v>0</v>
      </c>
      <c r="H17" s="1053"/>
    </row>
    <row r="18" spans="1:8" x14ac:dyDescent="0.25">
      <c r="A18" s="1067" t="s">
        <v>564</v>
      </c>
      <c r="B18" s="1068"/>
      <c r="C18" s="1068"/>
      <c r="D18" s="1068">
        <f>SUM(D4:D17)</f>
        <v>4</v>
      </c>
      <c r="E18" s="1068">
        <f>SUM(E4:E17)</f>
        <v>0</v>
      </c>
      <c r="F18" s="1068">
        <f>SUM(F4:F17)</f>
        <v>0.5</v>
      </c>
      <c r="G18" s="1068">
        <f>SUM(G4:G17)</f>
        <v>0</v>
      </c>
      <c r="H18" s="1068"/>
    </row>
    <row r="19" spans="1:8" x14ac:dyDescent="0.25">
      <c r="A19" s="1067"/>
      <c r="B19" s="1067"/>
      <c r="C19" s="1067"/>
      <c r="D19" s="1067"/>
      <c r="E19" s="1067"/>
      <c r="F19" s="1067"/>
      <c r="G19" s="1067"/>
      <c r="H19" s="1067"/>
    </row>
    <row r="20" spans="1:8" x14ac:dyDescent="0.25">
      <c r="A20" s="1067"/>
      <c r="B20" s="1067"/>
      <c r="C20" s="1069" t="s">
        <v>900</v>
      </c>
      <c r="D20" s="1069"/>
      <c r="E20" s="1069"/>
      <c r="F20" s="1069"/>
      <c r="G20" s="1069"/>
      <c r="H20" s="1067"/>
    </row>
    <row r="21" spans="1:8" x14ac:dyDescent="0.25">
      <c r="A21" s="1067"/>
      <c r="B21" s="1067"/>
      <c r="C21" s="268" t="s">
        <v>901</v>
      </c>
      <c r="D21" s="268">
        <f>SUM(D6:D9)/8</f>
        <v>0</v>
      </c>
      <c r="E21" s="268">
        <f>ROUNDUP(SUM(E6:E9)/8,0)</f>
        <v>0</v>
      </c>
      <c r="F21" s="268">
        <f>ROUNDUP(SUM(F6:F9)/8,0)</f>
        <v>0</v>
      </c>
      <c r="G21" s="268">
        <f>ROUNDUP(SUM(G4:G9)/8,0)</f>
        <v>0</v>
      </c>
      <c r="H21" s="1067"/>
    </row>
    <row r="22" spans="1:8" x14ac:dyDescent="0.25">
      <c r="A22" s="1067"/>
      <c r="B22" s="1067"/>
      <c r="C22" s="63" t="s">
        <v>902</v>
      </c>
      <c r="D22" s="63">
        <f>ROUNDUP(SUM(D12:D16)/8,1)</f>
        <v>0</v>
      </c>
      <c r="E22" s="63">
        <f t="shared" ref="E22:G22" si="4">ROUNDUP(SUM(E12:E16)/8,1)</f>
        <v>0</v>
      </c>
      <c r="F22" s="63">
        <f t="shared" si="4"/>
        <v>0</v>
      </c>
      <c r="G22" s="63">
        <f t="shared" si="4"/>
        <v>0</v>
      </c>
      <c r="H22" s="1067"/>
    </row>
    <row r="23" spans="1:8" x14ac:dyDescent="0.25">
      <c r="A23" s="1067"/>
      <c r="B23" s="1067"/>
      <c r="C23" s="268" t="s">
        <v>903</v>
      </c>
      <c r="D23" s="268">
        <f>ROUNDUP(SUM(D17)/8,0)</f>
        <v>0</v>
      </c>
      <c r="E23" s="268">
        <f t="shared" ref="E23:G23" si="5">ROUNDUP(SUM(E17)/8,0)</f>
        <v>0</v>
      </c>
      <c r="F23" s="268">
        <f t="shared" si="5"/>
        <v>0</v>
      </c>
      <c r="G23" s="268">
        <f t="shared" si="5"/>
        <v>0</v>
      </c>
      <c r="H23" s="1067"/>
    </row>
    <row r="24" spans="1:8" x14ac:dyDescent="0.25">
      <c r="A24" s="1067"/>
      <c r="B24" s="1067"/>
      <c r="C24" s="63" t="s">
        <v>904</v>
      </c>
      <c r="D24" s="63">
        <f>ROUNDUP(D18/8,0)</f>
        <v>1</v>
      </c>
      <c r="E24" s="63">
        <f>ROUNDUP(E18/8,0)</f>
        <v>0</v>
      </c>
      <c r="F24" s="63">
        <f>ROUNDUP(F18/8,0)</f>
        <v>1</v>
      </c>
      <c r="G24" s="63">
        <f>ROUNDUP(G18/8,0)</f>
        <v>0</v>
      </c>
      <c r="H24" s="1067"/>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Лист71">
    <tabColor theme="8"/>
  </sheetPr>
  <dimension ref="A1:H27"/>
  <sheetViews>
    <sheetView workbookViewId="0">
      <selection activeCell="B6" sqref="B6"/>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ТрЗ_ОВ!E161</f>
        <v>0</v>
      </c>
      <c r="C2" s="1036"/>
      <c r="D2" s="1036"/>
      <c r="E2" s="1036"/>
      <c r="F2" s="1036"/>
      <c r="G2" s="1036"/>
      <c r="H2" s="1036"/>
    </row>
    <row r="3" spans="1:8" x14ac:dyDescent="0.25">
      <c r="A3" s="1037" t="s">
        <v>1014</v>
      </c>
      <c r="B3" s="1038">
        <f>ТрЗ_ОВ!H161</f>
        <v>0</v>
      </c>
      <c r="C3" s="1039"/>
      <c r="D3" s="1039"/>
      <c r="E3" s="1039"/>
      <c r="F3" s="1039"/>
      <c r="G3" s="1039"/>
      <c r="H3" s="1039"/>
    </row>
    <row r="4" spans="1:8" x14ac:dyDescent="0.25">
      <c r="A4" s="1037" t="s">
        <v>1015</v>
      </c>
      <c r="B4" s="1038">
        <f>ТрЗ_ОВ!J161</f>
        <v>0</v>
      </c>
      <c r="C4" s="1039"/>
      <c r="D4" s="1039"/>
      <c r="E4" s="1039"/>
      <c r="F4" s="1039"/>
      <c r="G4" s="1039"/>
      <c r="H4" s="1039"/>
    </row>
    <row r="5" spans="1:8" x14ac:dyDescent="0.25">
      <c r="A5" s="1037" t="s">
        <v>1016</v>
      </c>
      <c r="B5" s="1038">
        <f>ТрЗ_ОВ!M161</f>
        <v>0</v>
      </c>
      <c r="C5" s="1039"/>
      <c r="D5" s="1039"/>
      <c r="E5" s="1039"/>
      <c r="F5" s="1039"/>
      <c r="G5" s="1039"/>
      <c r="H5" s="1039"/>
    </row>
    <row r="6" spans="1:8" x14ac:dyDescent="0.25">
      <c r="A6" s="1037" t="s">
        <v>880</v>
      </c>
      <c r="B6" s="1038">
        <v>1</v>
      </c>
      <c r="C6" s="1040">
        <v>4</v>
      </c>
      <c r="D6" s="1039">
        <v>4</v>
      </c>
      <c r="E6" s="1040"/>
      <c r="F6" s="1039">
        <f>D6/8</f>
        <v>0.5</v>
      </c>
      <c r="G6" s="1040"/>
      <c r="H6" s="1039"/>
    </row>
    <row r="7" spans="1:8" x14ac:dyDescent="0.25">
      <c r="A7" s="1037" t="s">
        <v>881</v>
      </c>
      <c r="B7" s="1041" t="s">
        <v>882</v>
      </c>
      <c r="C7" s="1040">
        <f>SUM(C8:C11)</f>
        <v>4</v>
      </c>
      <c r="D7" s="1039">
        <f>C7*SUM($B$3:$B$4)</f>
        <v>0</v>
      </c>
      <c r="E7" s="1040">
        <f>0.5*$D$10</f>
        <v>0</v>
      </c>
      <c r="F7" s="1040">
        <f>0.5*$D$10</f>
        <v>0</v>
      </c>
      <c r="G7" s="1040"/>
      <c r="H7" s="1039"/>
    </row>
    <row r="8" spans="1:8" x14ac:dyDescent="0.25">
      <c r="A8" s="1042" t="s">
        <v>883</v>
      </c>
      <c r="B8" s="1043">
        <v>1</v>
      </c>
      <c r="C8" s="1040">
        <v>1</v>
      </c>
      <c r="D8" s="1039">
        <f t="shared" ref="D8:D11" si="0">C8*SUM($B$3:$B$4)</f>
        <v>0</v>
      </c>
      <c r="E8" s="1040"/>
      <c r="F8" s="1039"/>
      <c r="G8" s="1040"/>
      <c r="H8" s="1039"/>
    </row>
    <row r="9" spans="1:8" x14ac:dyDescent="0.25">
      <c r="A9" s="1042" t="s">
        <v>884</v>
      </c>
      <c r="B9" s="1043">
        <v>1</v>
      </c>
      <c r="C9" s="1040">
        <v>1</v>
      </c>
      <c r="D9" s="1039">
        <f t="shared" si="0"/>
        <v>0</v>
      </c>
      <c r="E9" s="1040"/>
      <c r="F9" s="1039"/>
      <c r="G9" s="1040"/>
      <c r="H9" s="1039"/>
    </row>
    <row r="10" spans="1:8" x14ac:dyDescent="0.25">
      <c r="A10" s="1042" t="s">
        <v>885</v>
      </c>
      <c r="B10" s="1043">
        <v>1</v>
      </c>
      <c r="C10" s="1040">
        <v>1</v>
      </c>
      <c r="D10" s="1039">
        <f t="shared" si="0"/>
        <v>0</v>
      </c>
      <c r="E10" s="1040"/>
      <c r="F10" s="1039"/>
      <c r="G10" s="1040"/>
      <c r="H10" s="1039"/>
    </row>
    <row r="11" spans="1:8" x14ac:dyDescent="0.25">
      <c r="A11" s="1042" t="s">
        <v>886</v>
      </c>
      <c r="B11" s="1043">
        <v>1</v>
      </c>
      <c r="C11" s="1040">
        <v>1</v>
      </c>
      <c r="D11" s="1039">
        <f t="shared" si="0"/>
        <v>0</v>
      </c>
      <c r="E11" s="1040"/>
      <c r="F11" s="1039"/>
      <c r="G11" s="1040"/>
      <c r="H11" s="1039"/>
    </row>
    <row r="12" spans="1:8" x14ac:dyDescent="0.25">
      <c r="A12" s="1037" t="s">
        <v>887</v>
      </c>
      <c r="B12" s="1043"/>
      <c r="C12" s="1039"/>
      <c r="D12" s="1039"/>
      <c r="E12" s="1039"/>
      <c r="F12" s="1039"/>
      <c r="G12" s="1039"/>
      <c r="H12" s="1039"/>
    </row>
    <row r="13" spans="1:8" x14ac:dyDescent="0.25">
      <c r="A13" s="1037" t="s">
        <v>888</v>
      </c>
      <c r="B13" s="1043"/>
      <c r="C13" s="1039"/>
      <c r="D13" s="1039"/>
      <c r="E13" s="1039"/>
      <c r="F13" s="1039"/>
      <c r="G13" s="1039"/>
      <c r="H13" s="1039"/>
    </row>
    <row r="14" spans="1:8" x14ac:dyDescent="0.25">
      <c r="A14" s="1042" t="s">
        <v>889</v>
      </c>
      <c r="B14" s="1043">
        <v>1</v>
      </c>
      <c r="C14" s="1039">
        <v>1</v>
      </c>
      <c r="D14" s="1039">
        <f>C14*SUM(B3:B4)</f>
        <v>0</v>
      </c>
      <c r="E14" s="1039">
        <f>0.5*D14</f>
        <v>0</v>
      </c>
      <c r="F14" s="1039">
        <f>0.5*D14</f>
        <v>0</v>
      </c>
      <c r="G14" s="1039"/>
      <c r="H14" s="1039"/>
    </row>
    <row r="15" spans="1:8" x14ac:dyDescent="0.25">
      <c r="A15" s="1042" t="s">
        <v>1017</v>
      </c>
      <c r="B15" s="1043">
        <v>1</v>
      </c>
      <c r="C15" s="1039">
        <v>2</v>
      </c>
      <c r="D15" s="1039">
        <f>C15*SUM(B3:B4)</f>
        <v>0</v>
      </c>
      <c r="E15" s="1039">
        <f t="shared" ref="E15:E18" si="1">0.5*D15</f>
        <v>0</v>
      </c>
      <c r="F15" s="1039">
        <f t="shared" ref="F15:F18" si="2">0.5*D15</f>
        <v>0</v>
      </c>
      <c r="G15" s="1039"/>
      <c r="H15" s="1039"/>
    </row>
    <row r="16" spans="1:8" x14ac:dyDescent="0.25">
      <c r="A16" s="1042" t="s">
        <v>890</v>
      </c>
      <c r="B16" s="1043">
        <v>1</v>
      </c>
      <c r="C16" s="1039">
        <v>1</v>
      </c>
      <c r="D16" s="1039">
        <f>C16*SUM(B3:B4)</f>
        <v>0</v>
      </c>
      <c r="E16" s="1039">
        <f t="shared" si="1"/>
        <v>0</v>
      </c>
      <c r="F16" s="1039">
        <f t="shared" si="2"/>
        <v>0</v>
      </c>
      <c r="G16" s="1039"/>
      <c r="H16" s="1039"/>
    </row>
    <row r="17" spans="1:8" x14ac:dyDescent="0.25">
      <c r="A17" s="1042" t="s">
        <v>1018</v>
      </c>
      <c r="B17" s="1043">
        <v>1</v>
      </c>
      <c r="C17" s="1039">
        <v>4</v>
      </c>
      <c r="D17" s="1039">
        <f>C17*B5</f>
        <v>0</v>
      </c>
      <c r="E17" s="1039">
        <f t="shared" si="1"/>
        <v>0</v>
      </c>
      <c r="F17" s="1039">
        <f t="shared" si="2"/>
        <v>0</v>
      </c>
      <c r="G17" s="1039"/>
      <c r="H17" s="1039"/>
    </row>
    <row r="18" spans="1:8" x14ac:dyDescent="0.25">
      <c r="A18" s="1042" t="s">
        <v>891</v>
      </c>
      <c r="B18" s="1043">
        <v>1</v>
      </c>
      <c r="C18" s="1039">
        <v>1</v>
      </c>
      <c r="D18" s="1039">
        <f>C18</f>
        <v>1</v>
      </c>
      <c r="E18" s="1039">
        <f t="shared" si="1"/>
        <v>0.5</v>
      </c>
      <c r="F18" s="1039">
        <f t="shared" si="2"/>
        <v>0.5</v>
      </c>
      <c r="G18" s="1039"/>
      <c r="H18" s="1039"/>
    </row>
    <row r="19" spans="1:8" ht="25.5" x14ac:dyDescent="0.25">
      <c r="A19" s="1037" t="s">
        <v>896</v>
      </c>
      <c r="B19" s="1039" t="s">
        <v>897</v>
      </c>
      <c r="C19" s="1039"/>
      <c r="D19" s="1039">
        <f>0.1*SUM(D14:D18)</f>
        <v>0.1</v>
      </c>
      <c r="F19" s="1039">
        <f>0.5*D19</f>
        <v>0.05</v>
      </c>
      <c r="G19" s="1039">
        <f>0.5*D19</f>
        <v>0.05</v>
      </c>
      <c r="H19" s="1039"/>
    </row>
    <row r="20" spans="1:8" ht="26.25" thickBot="1" x14ac:dyDescent="0.3">
      <c r="A20" s="1070" t="s">
        <v>898</v>
      </c>
      <c r="B20" s="1053" t="s">
        <v>899</v>
      </c>
      <c r="C20" s="1053"/>
      <c r="D20" s="1053">
        <f>0.1*SUM(D14:D18)</f>
        <v>0.1</v>
      </c>
      <c r="E20" s="1053"/>
      <c r="F20" s="1039">
        <f>0.5*D20</f>
        <v>0.05</v>
      </c>
      <c r="G20" s="1039">
        <f>0.5*D20</f>
        <v>0.05</v>
      </c>
      <c r="H20" s="1053"/>
    </row>
    <row r="21" spans="1:8" x14ac:dyDescent="0.25">
      <c r="A21" s="1067" t="s">
        <v>564</v>
      </c>
      <c r="B21" s="1068"/>
      <c r="C21" s="1068"/>
      <c r="D21" s="1068">
        <f>SUM(D6:D20)</f>
        <v>5.1999999999999993</v>
      </c>
      <c r="E21" s="1068">
        <f>SUM(E6:E20)</f>
        <v>0.5</v>
      </c>
      <c r="F21" s="1068">
        <f>SUM(F6:F20)</f>
        <v>1.1000000000000001</v>
      </c>
      <c r="G21" s="1068">
        <f>SUM(G6:G20)</f>
        <v>0.1</v>
      </c>
      <c r="H21" s="1068"/>
    </row>
    <row r="22" spans="1:8" x14ac:dyDescent="0.25">
      <c r="A22" s="1067"/>
      <c r="B22" s="1067"/>
      <c r="C22" s="1067"/>
      <c r="D22" s="1067"/>
      <c r="E22" s="1067"/>
      <c r="F22" s="1067"/>
      <c r="G22" s="1067"/>
      <c r="H22" s="1067"/>
    </row>
    <row r="23" spans="1:8" x14ac:dyDescent="0.25">
      <c r="A23" s="1067"/>
      <c r="B23" s="1067"/>
      <c r="C23" s="1069" t="s">
        <v>900</v>
      </c>
      <c r="D23" s="1069"/>
      <c r="E23" s="1069"/>
      <c r="F23" s="1069"/>
      <c r="G23" s="1069"/>
      <c r="H23" s="1067"/>
    </row>
    <row r="24" spans="1:8" x14ac:dyDescent="0.25">
      <c r="A24" s="1067"/>
      <c r="B24" s="1067"/>
      <c r="C24" s="268" t="s">
        <v>901</v>
      </c>
      <c r="D24" s="268">
        <f>SUM(D8:D11)/8</f>
        <v>0</v>
      </c>
      <c r="E24" s="268">
        <f>ROUNDUP(SUM(E8:E11)/8,0)</f>
        <v>0</v>
      </c>
      <c r="F24" s="268">
        <f>ROUNDUP(SUM(F8:F11)/8,0)</f>
        <v>0</v>
      </c>
      <c r="G24" s="268">
        <f>ROUNDUP(SUM(G6:G11)/8,0)</f>
        <v>0</v>
      </c>
      <c r="H24" s="1067"/>
    </row>
    <row r="25" spans="1:8" x14ac:dyDescent="0.25">
      <c r="A25" s="1067"/>
      <c r="B25" s="1067"/>
      <c r="C25" s="63" t="s">
        <v>902</v>
      </c>
      <c r="D25" s="63">
        <f>ROUNDUP(SUM(D14:D19)/8,1)</f>
        <v>0.2</v>
      </c>
      <c r="E25" s="63">
        <f t="shared" ref="E25:G25" si="3">ROUNDUP(SUM(E14:E19)/8,1)</f>
        <v>0.1</v>
      </c>
      <c r="F25" s="63">
        <f t="shared" si="3"/>
        <v>0.1</v>
      </c>
      <c r="G25" s="63">
        <f t="shared" si="3"/>
        <v>0.1</v>
      </c>
      <c r="H25" s="1067"/>
    </row>
    <row r="26" spans="1:8" x14ac:dyDescent="0.25">
      <c r="A26" s="1067"/>
      <c r="B26" s="1067"/>
      <c r="C26" s="268" t="s">
        <v>903</v>
      </c>
      <c r="D26" s="268">
        <f>ROUNDUP(SUM(D20)/8,1)</f>
        <v>0.1</v>
      </c>
      <c r="E26" s="268">
        <f t="shared" ref="E26:G26" si="4">ROUNDUP(SUM(E20)/8,1)</f>
        <v>0</v>
      </c>
      <c r="F26" s="268">
        <f t="shared" si="4"/>
        <v>0.1</v>
      </c>
      <c r="G26" s="268">
        <f t="shared" si="4"/>
        <v>0.1</v>
      </c>
      <c r="H26" s="1067"/>
    </row>
    <row r="27" spans="1:8" x14ac:dyDescent="0.25">
      <c r="A27" s="1067"/>
      <c r="B27" s="1067"/>
      <c r="C27" s="63" t="s">
        <v>904</v>
      </c>
      <c r="D27" s="63">
        <f>ROUNDUP(D21/8,1)</f>
        <v>0.7</v>
      </c>
      <c r="E27" s="63">
        <f t="shared" ref="E27:G27" si="5">ROUNDUP(E21/8,1)</f>
        <v>0.1</v>
      </c>
      <c r="F27" s="63">
        <f t="shared" si="5"/>
        <v>0.2</v>
      </c>
      <c r="G27" s="63">
        <f t="shared" si="5"/>
        <v>0.1</v>
      </c>
      <c r="H27" s="1067"/>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Лист72">
    <tabColor theme="8"/>
  </sheetPr>
  <dimension ref="A1:H25"/>
  <sheetViews>
    <sheetView workbookViewId="0">
      <selection activeCell="B4" sqref="B4"/>
    </sheetView>
  </sheetViews>
  <sheetFormatPr defaultRowHeight="15" x14ac:dyDescent="0.25"/>
  <cols>
    <col min="1" max="1" width="63" customWidth="1"/>
    <col min="2" max="2" width="23.42578125" customWidth="1"/>
    <col min="3" max="3" width="18.140625" customWidth="1"/>
    <col min="4" max="4" width="11" customWidth="1"/>
    <col min="5" max="5" width="19.7109375" customWidth="1"/>
    <col min="6" max="6" width="23.7109375" customWidth="1"/>
    <col min="7" max="7" width="21.5703125" customWidth="1"/>
    <col min="8" max="8" width="14.5703125" customWidth="1"/>
  </cols>
  <sheetData>
    <row r="1" spans="1:8" ht="39" thickBot="1" x14ac:dyDescent="0.3">
      <c r="A1" s="1033" t="s">
        <v>872</v>
      </c>
      <c r="B1" s="1033" t="s">
        <v>873</v>
      </c>
      <c r="C1" s="1033" t="s">
        <v>874</v>
      </c>
      <c r="D1" s="1033" t="s">
        <v>52</v>
      </c>
      <c r="E1" s="1033" t="s">
        <v>715</v>
      </c>
      <c r="F1" s="1033" t="s">
        <v>714</v>
      </c>
      <c r="G1" s="1033" t="s">
        <v>713</v>
      </c>
      <c r="H1" s="1033" t="s">
        <v>875</v>
      </c>
    </row>
    <row r="2" spans="1:8" x14ac:dyDescent="0.25">
      <c r="A2" s="1034" t="s">
        <v>876</v>
      </c>
      <c r="B2" s="1035">
        <f>ТрЗ_ОВ!E138</f>
        <v>0</v>
      </c>
      <c r="C2" s="1036"/>
      <c r="D2" s="1036"/>
      <c r="E2" s="1036"/>
      <c r="F2" s="1036"/>
      <c r="G2" s="1036"/>
      <c r="H2" s="1036"/>
    </row>
    <row r="3" spans="1:8" x14ac:dyDescent="0.25">
      <c r="A3" s="1037" t="s">
        <v>877</v>
      </c>
      <c r="B3" s="1038">
        <f>ТрЗ_ОВ!H138</f>
        <v>0</v>
      </c>
      <c r="C3" s="1039"/>
      <c r="D3" s="1039"/>
      <c r="E3" s="1039"/>
      <c r="F3" s="1039"/>
      <c r="G3" s="1039"/>
      <c r="H3" s="1039"/>
    </row>
    <row r="4" spans="1:8" x14ac:dyDescent="0.25">
      <c r="A4" s="1037" t="s">
        <v>880</v>
      </c>
      <c r="B4" s="1038">
        <v>1</v>
      </c>
      <c r="C4" s="1040">
        <v>4</v>
      </c>
      <c r="D4" s="1039">
        <v>4</v>
      </c>
      <c r="E4" s="1040"/>
      <c r="F4" s="1039">
        <f>D4/8</f>
        <v>0.5</v>
      </c>
      <c r="G4" s="1040"/>
      <c r="H4" s="1039"/>
    </row>
    <row r="5" spans="1:8" x14ac:dyDescent="0.25">
      <c r="A5" s="1037" t="s">
        <v>881</v>
      </c>
      <c r="B5" s="1041" t="s">
        <v>882</v>
      </c>
      <c r="C5" s="1040">
        <f>SUM(C6:C9)</f>
        <v>4</v>
      </c>
      <c r="D5" s="1039">
        <f>C5*$B$3</f>
        <v>0</v>
      </c>
      <c r="E5" s="1040">
        <f>0.5*$D$5</f>
        <v>0</v>
      </c>
      <c r="F5" s="1040">
        <f>0.5*$D$5</f>
        <v>0</v>
      </c>
      <c r="G5" s="1040"/>
      <c r="H5" s="1039"/>
    </row>
    <row r="6" spans="1:8" x14ac:dyDescent="0.25">
      <c r="A6" s="1042" t="s">
        <v>883</v>
      </c>
      <c r="B6" s="1043">
        <v>1</v>
      </c>
      <c r="C6" s="1040">
        <v>1</v>
      </c>
      <c r="D6" s="1039">
        <f t="shared" ref="D6:D9" si="0">C6*$B$3</f>
        <v>0</v>
      </c>
      <c r="E6" s="1040"/>
      <c r="F6" s="1039"/>
      <c r="G6" s="1040"/>
      <c r="H6" s="1039"/>
    </row>
    <row r="7" spans="1:8" x14ac:dyDescent="0.25">
      <c r="A7" s="1042" t="s">
        <v>884</v>
      </c>
      <c r="B7" s="1043">
        <v>1</v>
      </c>
      <c r="C7" s="1040">
        <v>1</v>
      </c>
      <c r="D7" s="1039">
        <f t="shared" si="0"/>
        <v>0</v>
      </c>
      <c r="E7" s="1040"/>
      <c r="F7" s="1039"/>
      <c r="G7" s="1040"/>
      <c r="H7" s="1039"/>
    </row>
    <row r="8" spans="1:8" x14ac:dyDescent="0.25">
      <c r="A8" s="1042" t="s">
        <v>885</v>
      </c>
      <c r="B8" s="1043">
        <v>1</v>
      </c>
      <c r="C8" s="1040">
        <v>1</v>
      </c>
      <c r="D8" s="1039">
        <f t="shared" si="0"/>
        <v>0</v>
      </c>
      <c r="E8" s="1040"/>
      <c r="F8" s="1039"/>
      <c r="G8" s="1040"/>
      <c r="H8" s="1039"/>
    </row>
    <row r="9" spans="1:8" x14ac:dyDescent="0.25">
      <c r="A9" s="1042" t="s">
        <v>886</v>
      </c>
      <c r="B9" s="1043">
        <v>1</v>
      </c>
      <c r="C9" s="1040">
        <v>1</v>
      </c>
      <c r="D9" s="1039">
        <f t="shared" si="0"/>
        <v>0</v>
      </c>
      <c r="E9" s="1040"/>
      <c r="F9" s="1039"/>
      <c r="G9" s="1040"/>
      <c r="H9" s="1039"/>
    </row>
    <row r="10" spans="1:8" x14ac:dyDescent="0.25">
      <c r="A10" s="1037" t="s">
        <v>887</v>
      </c>
      <c r="B10" s="1043"/>
      <c r="C10" s="1039"/>
      <c r="D10" s="1039"/>
      <c r="E10" s="1039"/>
      <c r="F10" s="1039"/>
      <c r="G10" s="1039"/>
      <c r="H10" s="1039"/>
    </row>
    <row r="11" spans="1:8" x14ac:dyDescent="0.25">
      <c r="A11" s="1037" t="s">
        <v>888</v>
      </c>
      <c r="B11" s="1043"/>
      <c r="C11" s="1039"/>
      <c r="D11" s="1039"/>
      <c r="E11" s="1039"/>
      <c r="F11" s="1039"/>
      <c r="G11" s="1039"/>
      <c r="H11" s="1039"/>
    </row>
    <row r="12" spans="1:8" x14ac:dyDescent="0.25">
      <c r="A12" s="1042" t="s">
        <v>889</v>
      </c>
      <c r="B12" s="1043">
        <v>1</v>
      </c>
      <c r="C12" s="1039">
        <v>1</v>
      </c>
      <c r="D12" s="1039">
        <f>C12*$B$3</f>
        <v>0</v>
      </c>
      <c r="E12" s="1039">
        <f>0.5*D12</f>
        <v>0</v>
      </c>
      <c r="F12" s="1039">
        <f>0.5*D12</f>
        <v>0</v>
      </c>
      <c r="G12" s="1039"/>
      <c r="H12" s="1039"/>
    </row>
    <row r="13" spans="1:8" x14ac:dyDescent="0.25">
      <c r="A13" s="268" t="s">
        <v>895</v>
      </c>
      <c r="B13" s="1043">
        <v>1</v>
      </c>
      <c r="C13" s="1039">
        <v>1</v>
      </c>
      <c r="D13" s="1039">
        <f t="shared" ref="D13:D16" si="1">C13*$B$3</f>
        <v>0</v>
      </c>
      <c r="E13" s="1039">
        <f t="shared" ref="E13:E16" si="2">0.5*D13</f>
        <v>0</v>
      </c>
      <c r="F13" s="1039">
        <f t="shared" ref="F13:F16" si="3">0.5*D13</f>
        <v>0</v>
      </c>
      <c r="G13" s="1039"/>
      <c r="H13" s="1039"/>
    </row>
    <row r="14" spans="1:8" x14ac:dyDescent="0.25">
      <c r="A14" s="1072" t="s">
        <v>890</v>
      </c>
      <c r="B14" s="1043">
        <v>1</v>
      </c>
      <c r="C14" s="1039">
        <v>2</v>
      </c>
      <c r="D14" s="1039">
        <f t="shared" si="1"/>
        <v>0</v>
      </c>
      <c r="E14" s="1039">
        <f t="shared" si="2"/>
        <v>0</v>
      </c>
      <c r="F14" s="1039">
        <f t="shared" si="3"/>
        <v>0</v>
      </c>
      <c r="G14" s="1039"/>
      <c r="H14" s="1039"/>
    </row>
    <row r="15" spans="1:8" x14ac:dyDescent="0.25">
      <c r="A15" s="1037" t="s">
        <v>891</v>
      </c>
      <c r="B15" s="1043">
        <v>1</v>
      </c>
      <c r="C15" s="1039">
        <v>2</v>
      </c>
      <c r="D15" s="1039">
        <f>C15*$B$3</f>
        <v>0</v>
      </c>
      <c r="E15" s="1039">
        <f t="shared" si="2"/>
        <v>0</v>
      </c>
      <c r="F15" s="1039">
        <f t="shared" si="3"/>
        <v>0</v>
      </c>
      <c r="G15" s="1039"/>
      <c r="H15" s="1039"/>
    </row>
    <row r="16" spans="1:8" x14ac:dyDescent="0.25">
      <c r="A16" s="1037" t="s">
        <v>1019</v>
      </c>
      <c r="B16" s="1043">
        <v>1</v>
      </c>
      <c r="C16" s="1039">
        <v>16</v>
      </c>
      <c r="D16" s="1039">
        <f t="shared" si="1"/>
        <v>0</v>
      </c>
      <c r="E16" s="1039">
        <f t="shared" si="2"/>
        <v>0</v>
      </c>
      <c r="F16" s="1039">
        <f t="shared" si="3"/>
        <v>0</v>
      </c>
      <c r="G16" s="1039"/>
      <c r="H16" s="1039"/>
    </row>
    <row r="17" spans="1:8" ht="25.5" x14ac:dyDescent="0.25">
      <c r="A17" s="1037" t="s">
        <v>896</v>
      </c>
      <c r="B17" s="1039" t="s">
        <v>897</v>
      </c>
      <c r="C17" s="1039"/>
      <c r="D17" s="1039">
        <f>SUM(D12:D16)*0.1</f>
        <v>0</v>
      </c>
      <c r="F17" s="1039">
        <f>0.5*D17</f>
        <v>0</v>
      </c>
      <c r="G17" s="1039">
        <f>0.5*D17</f>
        <v>0</v>
      </c>
      <c r="H17" s="1039"/>
    </row>
    <row r="18" spans="1:8" ht="26.25" thickBot="1" x14ac:dyDescent="0.3">
      <c r="A18" s="1070" t="s">
        <v>898</v>
      </c>
      <c r="B18" s="1053" t="s">
        <v>899</v>
      </c>
      <c r="C18" s="1053"/>
      <c r="D18" s="1039">
        <f>SUM(D12:D16)*0.1</f>
        <v>0</v>
      </c>
      <c r="E18" s="1053"/>
      <c r="F18" s="1039">
        <f>0.5*D18</f>
        <v>0</v>
      </c>
      <c r="G18" s="1039">
        <f>0.5*D18</f>
        <v>0</v>
      </c>
      <c r="H18" s="1053"/>
    </row>
    <row r="19" spans="1:8" x14ac:dyDescent="0.25">
      <c r="A19" s="1067" t="s">
        <v>564</v>
      </c>
      <c r="B19" s="1068"/>
      <c r="C19" s="1068"/>
      <c r="D19" s="1068">
        <f>SUM(D4:D18)</f>
        <v>4</v>
      </c>
      <c r="E19" s="1068">
        <f>SUM(E4:E18)</f>
        <v>0</v>
      </c>
      <c r="F19" s="1068">
        <f>SUM(F4:F18)</f>
        <v>0.5</v>
      </c>
      <c r="G19" s="1068">
        <f>SUM(G4:G18)</f>
        <v>0</v>
      </c>
      <c r="H19" s="1068"/>
    </row>
    <row r="20" spans="1:8" x14ac:dyDescent="0.25">
      <c r="A20" s="1067"/>
      <c r="B20" s="1067"/>
      <c r="C20" s="1067"/>
      <c r="D20" s="1067"/>
      <c r="E20" s="1067"/>
      <c r="F20" s="1067"/>
      <c r="G20" s="1067"/>
      <c r="H20" s="1067"/>
    </row>
    <row r="21" spans="1:8" x14ac:dyDescent="0.25">
      <c r="A21" s="1067"/>
      <c r="B21" s="1067"/>
      <c r="C21" s="1069" t="s">
        <v>900</v>
      </c>
      <c r="D21" s="1069"/>
      <c r="E21" s="1069"/>
      <c r="F21" s="1069"/>
      <c r="G21" s="1069"/>
      <c r="H21" s="1067"/>
    </row>
    <row r="22" spans="1:8" x14ac:dyDescent="0.25">
      <c r="A22" s="1067"/>
      <c r="B22" s="1067"/>
      <c r="C22" s="268" t="s">
        <v>901</v>
      </c>
      <c r="D22" s="268">
        <f>SUM(D6:D9)/8</f>
        <v>0</v>
      </c>
      <c r="E22" s="268">
        <f>ROUNDUP(SUM(E6:E9)/8,0)</f>
        <v>0</v>
      </c>
      <c r="F22" s="268">
        <f>ROUNDUP(SUM(F6:F9)/8,0)</f>
        <v>0</v>
      </c>
      <c r="G22" s="268">
        <f>ROUNDUP(SUM(G4:G9)/8,0)</f>
        <v>0</v>
      </c>
      <c r="H22" s="1067"/>
    </row>
    <row r="23" spans="1:8" x14ac:dyDescent="0.25">
      <c r="A23" s="1067"/>
      <c r="B23" s="1067"/>
      <c r="C23" s="63" t="s">
        <v>902</v>
      </c>
      <c r="D23" s="63">
        <f>SUM(D12:D17)/8</f>
        <v>0</v>
      </c>
      <c r="E23" s="63">
        <f t="shared" ref="E23:G23" si="4">SUM(E12:E17)/8</f>
        <v>0</v>
      </c>
      <c r="F23" s="63">
        <f t="shared" si="4"/>
        <v>0</v>
      </c>
      <c r="G23" s="63">
        <f t="shared" si="4"/>
        <v>0</v>
      </c>
      <c r="H23" s="1067"/>
    </row>
    <row r="24" spans="1:8" x14ac:dyDescent="0.25">
      <c r="A24" s="1067"/>
      <c r="B24" s="1067"/>
      <c r="C24" s="268" t="s">
        <v>903</v>
      </c>
      <c r="D24" s="268">
        <f>ROUNDUP(SUM(D18)/8,0)</f>
        <v>0</v>
      </c>
      <c r="E24" s="268">
        <f t="shared" ref="E24:G24" si="5">ROUNDUP(SUM(E18)/8,0)</f>
        <v>0</v>
      </c>
      <c r="F24" s="268">
        <f t="shared" si="5"/>
        <v>0</v>
      </c>
      <c r="G24" s="268">
        <f t="shared" si="5"/>
        <v>0</v>
      </c>
      <c r="H24" s="1067"/>
    </row>
    <row r="25" spans="1:8" x14ac:dyDescent="0.25">
      <c r="A25" s="1067"/>
      <c r="B25" s="1067"/>
      <c r="C25" s="63" t="s">
        <v>904</v>
      </c>
      <c r="D25" s="63">
        <f>ROUNDUP(D19/8,0)</f>
        <v>1</v>
      </c>
      <c r="E25" s="63">
        <f>ROUNDUP(E19/8,0)</f>
        <v>0</v>
      </c>
      <c r="F25" s="63">
        <f>ROUNDUP(F19/8,0)</f>
        <v>1</v>
      </c>
      <c r="G25" s="63">
        <f>ROUNDUP(G19/8,0)</f>
        <v>0</v>
      </c>
      <c r="H25" s="1067"/>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Лист73">
    <tabColor theme="8"/>
  </sheetPr>
  <dimension ref="A1:H49"/>
  <sheetViews>
    <sheetView workbookViewId="0">
      <selection activeCell="B8" sqref="B8"/>
    </sheetView>
  </sheetViews>
  <sheetFormatPr defaultRowHeight="15" x14ac:dyDescent="0.25"/>
  <cols>
    <col min="1" max="1" width="69.5703125" customWidth="1"/>
    <col min="2" max="2" width="26.42578125" customWidth="1"/>
    <col min="3" max="3" width="23.5703125" customWidth="1"/>
    <col min="4" max="4" width="11" customWidth="1"/>
    <col min="5" max="7" width="27.28515625" customWidth="1"/>
    <col min="8" max="8" width="15.7109375" customWidth="1"/>
  </cols>
  <sheetData>
    <row r="1" spans="1:8" x14ac:dyDescent="0.25">
      <c r="A1" s="1136"/>
      <c r="B1" s="1137" t="s">
        <v>75</v>
      </c>
      <c r="C1" s="1138" t="s">
        <v>68</v>
      </c>
      <c r="D1" s="1067"/>
      <c r="E1" s="1067"/>
      <c r="F1" s="1067"/>
      <c r="G1" s="1067"/>
      <c r="H1" s="1067"/>
    </row>
    <row r="2" spans="1:8" x14ac:dyDescent="0.25">
      <c r="A2" s="1139"/>
      <c r="B2" s="1067"/>
      <c r="C2" s="1138"/>
      <c r="D2" s="1067"/>
      <c r="E2" s="1067"/>
      <c r="F2" s="1067"/>
      <c r="G2" s="1067"/>
      <c r="H2" s="1067"/>
    </row>
    <row r="3" spans="1:8" ht="15.75" thickBot="1" x14ac:dyDescent="0.3">
      <c r="A3" s="1067"/>
      <c r="B3" s="1067"/>
      <c r="C3" s="1138"/>
      <c r="D3" s="1067"/>
      <c r="E3" s="1067"/>
      <c r="F3" s="1067"/>
      <c r="G3" s="1067"/>
      <c r="H3" s="1067"/>
    </row>
    <row r="4" spans="1:8" ht="25.5" x14ac:dyDescent="0.25">
      <c r="A4" s="1140" t="s">
        <v>872</v>
      </c>
      <c r="B4" s="1141" t="s">
        <v>873</v>
      </c>
      <c r="C4" s="1142" t="s">
        <v>874</v>
      </c>
      <c r="D4" s="1141" t="s">
        <v>52</v>
      </c>
      <c r="E4" s="1142" t="s">
        <v>715</v>
      </c>
      <c r="F4" s="1142" t="s">
        <v>714</v>
      </c>
      <c r="G4" s="1142" t="s">
        <v>713</v>
      </c>
      <c r="H4" s="1141" t="s">
        <v>875</v>
      </c>
    </row>
    <row r="5" spans="1:8" ht="89.25" x14ac:dyDescent="0.25">
      <c r="A5" s="1037" t="s">
        <v>876</v>
      </c>
      <c r="B5" s="1038">
        <f>ТрЗ_ОВ!E73</f>
        <v>0</v>
      </c>
      <c r="C5" s="1040"/>
      <c r="D5" s="1039"/>
      <c r="E5" s="1040"/>
      <c r="F5" s="1039"/>
      <c r="G5" s="1040"/>
      <c r="H5" s="1039" t="s">
        <v>1020</v>
      </c>
    </row>
    <row r="6" spans="1:8" x14ac:dyDescent="0.25">
      <c r="A6" s="1037" t="s">
        <v>1021</v>
      </c>
      <c r="B6" s="1038">
        <f>ТрЗ_ОВ!H73</f>
        <v>0</v>
      </c>
      <c r="C6" s="1040"/>
      <c r="D6" s="1039"/>
      <c r="E6" s="1040"/>
      <c r="F6" s="1039"/>
      <c r="G6" s="1040"/>
      <c r="H6" s="1039"/>
    </row>
    <row r="7" spans="1:8" x14ac:dyDescent="0.25">
      <c r="A7" s="1037" t="s">
        <v>1022</v>
      </c>
      <c r="B7" s="1038">
        <f>ТрЗ_ОВ!J73</f>
        <v>0</v>
      </c>
      <c r="C7" s="1040"/>
      <c r="D7" s="1039"/>
      <c r="E7" s="1040"/>
      <c r="F7" s="1039"/>
      <c r="G7" s="1040"/>
      <c r="H7" s="1039"/>
    </row>
    <row r="8" spans="1:8" ht="18" customHeight="1" x14ac:dyDescent="0.25">
      <c r="A8" s="1037" t="s">
        <v>1023</v>
      </c>
      <c r="B8" s="1038">
        <f>ТрЗ_ОВ!M73</f>
        <v>0</v>
      </c>
      <c r="C8" s="1040"/>
      <c r="D8" s="1039"/>
      <c r="E8" s="1040"/>
      <c r="F8" s="1039"/>
      <c r="G8" s="1040"/>
      <c r="H8" s="1039"/>
    </row>
    <row r="9" spans="1:8" x14ac:dyDescent="0.25">
      <c r="A9" s="1037" t="s">
        <v>880</v>
      </c>
      <c r="B9" s="1038">
        <v>1</v>
      </c>
      <c r="C9" s="1040">
        <v>4</v>
      </c>
      <c r="D9" s="1039">
        <v>4</v>
      </c>
      <c r="E9" s="1040"/>
      <c r="F9" s="1039">
        <f>D9/8</f>
        <v>0.5</v>
      </c>
      <c r="G9" s="1040"/>
      <c r="H9" s="1039"/>
    </row>
    <row r="10" spans="1:8" x14ac:dyDescent="0.25">
      <c r="A10" s="1037" t="s">
        <v>881</v>
      </c>
      <c r="B10" s="1041" t="s">
        <v>882</v>
      </c>
      <c r="C10" s="1040">
        <f>SUM(C11:C14)</f>
        <v>4</v>
      </c>
      <c r="D10" s="1039">
        <f>C10*$B$6</f>
        <v>0</v>
      </c>
      <c r="E10" s="1040">
        <f>0.5*$D$10</f>
        <v>0</v>
      </c>
      <c r="F10" s="1040">
        <f>0.5*$D$10</f>
        <v>0</v>
      </c>
      <c r="G10" s="1040"/>
      <c r="H10" s="1039"/>
    </row>
    <row r="11" spans="1:8" x14ac:dyDescent="0.25">
      <c r="A11" s="1042" t="s">
        <v>883</v>
      </c>
      <c r="B11" s="1043">
        <v>1</v>
      </c>
      <c r="C11" s="1040">
        <v>1</v>
      </c>
      <c r="D11" s="1039">
        <f t="shared" ref="D11:D22" si="0">C11*$B$6</f>
        <v>0</v>
      </c>
      <c r="E11" s="1040"/>
      <c r="F11" s="1039"/>
      <c r="G11" s="1040"/>
      <c r="H11" s="1039"/>
    </row>
    <row r="12" spans="1:8" x14ac:dyDescent="0.25">
      <c r="A12" s="1042" t="s">
        <v>884</v>
      </c>
      <c r="B12" s="1043">
        <v>1</v>
      </c>
      <c r="C12" s="1040">
        <v>1</v>
      </c>
      <c r="D12" s="1039">
        <f t="shared" si="0"/>
        <v>0</v>
      </c>
      <c r="E12" s="1040"/>
      <c r="F12" s="1039"/>
      <c r="G12" s="1040"/>
      <c r="H12" s="1039"/>
    </row>
    <row r="13" spans="1:8" x14ac:dyDescent="0.25">
      <c r="A13" s="1042" t="s">
        <v>885</v>
      </c>
      <c r="B13" s="1043">
        <v>1</v>
      </c>
      <c r="C13" s="1040">
        <v>1</v>
      </c>
      <c r="D13" s="1039">
        <f t="shared" si="0"/>
        <v>0</v>
      </c>
      <c r="E13" s="1040"/>
      <c r="F13" s="1039"/>
      <c r="G13" s="1040"/>
      <c r="H13" s="1039"/>
    </row>
    <row r="14" spans="1:8" x14ac:dyDescent="0.25">
      <c r="A14" s="1042" t="s">
        <v>886</v>
      </c>
      <c r="B14" s="1043">
        <v>1</v>
      </c>
      <c r="C14" s="1040">
        <v>1</v>
      </c>
      <c r="D14" s="1039">
        <f t="shared" si="0"/>
        <v>0</v>
      </c>
      <c r="E14" s="1040"/>
      <c r="F14" s="1039"/>
      <c r="G14" s="1040"/>
      <c r="H14" s="1039"/>
    </row>
    <row r="15" spans="1:8" x14ac:dyDescent="0.25">
      <c r="A15" s="1037" t="s">
        <v>887</v>
      </c>
      <c r="B15" s="1041"/>
      <c r="C15" s="1040"/>
      <c r="D15" s="1039"/>
      <c r="E15" s="1040"/>
      <c r="F15" s="1039"/>
      <c r="G15" s="1040"/>
      <c r="H15" s="1039"/>
    </row>
    <row r="16" spans="1:8" x14ac:dyDescent="0.25">
      <c r="A16" s="1037" t="s">
        <v>888</v>
      </c>
      <c r="B16" s="1041"/>
      <c r="C16" s="1040"/>
      <c r="D16" s="1039"/>
      <c r="E16" s="1040"/>
      <c r="F16" s="1039"/>
      <c r="G16" s="1040"/>
      <c r="H16" s="1039"/>
    </row>
    <row r="17" spans="1:8" x14ac:dyDescent="0.25">
      <c r="A17" s="1042" t="s">
        <v>1024</v>
      </c>
      <c r="B17" s="1049">
        <v>1</v>
      </c>
      <c r="C17" s="1099">
        <v>1</v>
      </c>
      <c r="D17" s="1040">
        <f t="shared" si="0"/>
        <v>0</v>
      </c>
      <c r="E17" s="1040">
        <f>0.5*$D17</f>
        <v>0</v>
      </c>
      <c r="F17" s="1040">
        <f>0.5*$D17</f>
        <v>0</v>
      </c>
      <c r="G17" s="1040"/>
      <c r="H17" s="1039"/>
    </row>
    <row r="18" spans="1:8" x14ac:dyDescent="0.25">
      <c r="A18" s="1042" t="s">
        <v>1017</v>
      </c>
      <c r="B18" s="1049">
        <v>1</v>
      </c>
      <c r="C18" s="1099">
        <v>1</v>
      </c>
      <c r="D18" s="1040">
        <f t="shared" si="0"/>
        <v>0</v>
      </c>
      <c r="E18" s="1040">
        <f t="shared" ref="E18:F32" si="1">0.5*$D18</f>
        <v>0</v>
      </c>
      <c r="F18" s="1040">
        <f t="shared" si="1"/>
        <v>0</v>
      </c>
      <c r="G18" s="1040"/>
      <c r="H18" s="1039"/>
    </row>
    <row r="19" spans="1:8" x14ac:dyDescent="0.25">
      <c r="A19" s="1042" t="s">
        <v>1025</v>
      </c>
      <c r="B19" s="1049">
        <v>1</v>
      </c>
      <c r="C19" s="1099">
        <v>0.5</v>
      </c>
      <c r="D19" s="1040">
        <f t="shared" si="0"/>
        <v>0</v>
      </c>
      <c r="E19" s="1040">
        <f t="shared" si="1"/>
        <v>0</v>
      </c>
      <c r="F19" s="1040">
        <f t="shared" si="1"/>
        <v>0</v>
      </c>
      <c r="G19" s="1040"/>
      <c r="H19" s="1039"/>
    </row>
    <row r="20" spans="1:8" x14ac:dyDescent="0.25">
      <c r="A20" s="1067" t="s">
        <v>895</v>
      </c>
      <c r="B20" s="1049">
        <v>1</v>
      </c>
      <c r="C20" s="1099">
        <v>2</v>
      </c>
      <c r="D20" s="1040">
        <f t="shared" si="0"/>
        <v>0</v>
      </c>
      <c r="E20" s="1040">
        <f t="shared" si="1"/>
        <v>0</v>
      </c>
      <c r="F20" s="1040">
        <f t="shared" si="1"/>
        <v>0</v>
      </c>
      <c r="G20" s="1040"/>
      <c r="H20" s="1039"/>
    </row>
    <row r="21" spans="1:8" x14ac:dyDescent="0.25">
      <c r="A21" s="1042" t="s">
        <v>1026</v>
      </c>
      <c r="B21" s="1143">
        <v>1</v>
      </c>
      <c r="C21" s="1099">
        <v>2</v>
      </c>
      <c r="D21" s="1040">
        <f t="shared" si="0"/>
        <v>0</v>
      </c>
      <c r="E21" s="1040">
        <f t="shared" si="1"/>
        <v>0</v>
      </c>
      <c r="F21" s="1040">
        <f t="shared" si="1"/>
        <v>0</v>
      </c>
      <c r="G21" s="1040"/>
      <c r="H21" s="1039"/>
    </row>
    <row r="22" spans="1:8" x14ac:dyDescent="0.25">
      <c r="A22" s="1042" t="s">
        <v>1027</v>
      </c>
      <c r="B22" s="1143">
        <v>1</v>
      </c>
      <c r="C22" s="1099">
        <v>2</v>
      </c>
      <c r="D22" s="1040">
        <f t="shared" si="0"/>
        <v>0</v>
      </c>
      <c r="E22" s="1040">
        <f t="shared" si="1"/>
        <v>0</v>
      </c>
      <c r="F22" s="1040">
        <f t="shared" si="1"/>
        <v>0</v>
      </c>
      <c r="G22" s="1040"/>
      <c r="H22" s="1039"/>
    </row>
    <row r="23" spans="1:8" x14ac:dyDescent="0.25">
      <c r="A23" s="1037" t="s">
        <v>1028</v>
      </c>
      <c r="B23" s="1049"/>
      <c r="C23" s="1130"/>
      <c r="D23" s="1040"/>
      <c r="E23" s="1040"/>
      <c r="F23" s="1039"/>
      <c r="G23" s="1040"/>
      <c r="H23" s="1039"/>
    </row>
    <row r="24" spans="1:8" x14ac:dyDescent="0.25">
      <c r="A24" s="1042" t="s">
        <v>1029</v>
      </c>
      <c r="B24" s="1144">
        <v>1</v>
      </c>
      <c r="C24" s="1099">
        <v>1</v>
      </c>
      <c r="D24" s="1145">
        <f>C24*$B$6</f>
        <v>0</v>
      </c>
      <c r="E24" s="1040">
        <f t="shared" si="1"/>
        <v>0</v>
      </c>
      <c r="F24" s="1040">
        <f>0.4*$D24</f>
        <v>0</v>
      </c>
      <c r="G24" s="1040">
        <f>0.1*$D24</f>
        <v>0</v>
      </c>
      <c r="H24" s="1039"/>
    </row>
    <row r="25" spans="1:8" x14ac:dyDescent="0.25">
      <c r="A25" s="1042" t="s">
        <v>1030</v>
      </c>
      <c r="B25" s="1144">
        <v>1</v>
      </c>
      <c r="C25" s="1099">
        <v>0.5</v>
      </c>
      <c r="D25" s="1145">
        <f t="shared" ref="D25:D32" si="2">C25*$B$6</f>
        <v>0</v>
      </c>
      <c r="E25" s="1040">
        <f t="shared" si="1"/>
        <v>0</v>
      </c>
      <c r="F25" s="1040">
        <f t="shared" ref="F25:F32" si="3">0.4*$D25</f>
        <v>0</v>
      </c>
      <c r="G25" s="1040">
        <f t="shared" ref="G25:G32" si="4">0.1*$D25</f>
        <v>0</v>
      </c>
      <c r="H25" s="1039"/>
    </row>
    <row r="26" spans="1:8" x14ac:dyDescent="0.25">
      <c r="A26" s="1042" t="s">
        <v>1031</v>
      </c>
      <c r="B26" s="1144">
        <v>1</v>
      </c>
      <c r="C26" s="1099">
        <v>1</v>
      </c>
      <c r="D26" s="1145">
        <f t="shared" si="2"/>
        <v>0</v>
      </c>
      <c r="E26" s="1040">
        <f t="shared" si="1"/>
        <v>0</v>
      </c>
      <c r="F26" s="1040">
        <f t="shared" si="3"/>
        <v>0</v>
      </c>
      <c r="G26" s="1040">
        <f t="shared" si="4"/>
        <v>0</v>
      </c>
      <c r="H26" s="1039"/>
    </row>
    <row r="27" spans="1:8" x14ac:dyDescent="0.25">
      <c r="A27" s="1042" t="s">
        <v>1032</v>
      </c>
      <c r="B27" s="1144">
        <v>1</v>
      </c>
      <c r="C27" s="1099">
        <v>16</v>
      </c>
      <c r="D27" s="1145">
        <f t="shared" si="2"/>
        <v>0</v>
      </c>
      <c r="E27" s="1040">
        <f t="shared" si="1"/>
        <v>0</v>
      </c>
      <c r="F27" s="1040">
        <f t="shared" si="3"/>
        <v>0</v>
      </c>
      <c r="G27" s="1040">
        <f t="shared" si="4"/>
        <v>0</v>
      </c>
      <c r="H27" s="1039"/>
    </row>
    <row r="28" spans="1:8" x14ac:dyDescent="0.25">
      <c r="A28" s="1042" t="s">
        <v>1033</v>
      </c>
      <c r="B28" s="1144">
        <v>1</v>
      </c>
      <c r="C28" s="1099">
        <v>1</v>
      </c>
      <c r="D28" s="1145">
        <f t="shared" si="2"/>
        <v>0</v>
      </c>
      <c r="E28" s="1040">
        <f t="shared" si="1"/>
        <v>0</v>
      </c>
      <c r="F28" s="1040">
        <f t="shared" si="3"/>
        <v>0</v>
      </c>
      <c r="G28" s="1040">
        <f t="shared" si="4"/>
        <v>0</v>
      </c>
      <c r="H28" s="1039"/>
    </row>
    <row r="29" spans="1:8" x14ac:dyDescent="0.25">
      <c r="A29" s="1042" t="s">
        <v>1034</v>
      </c>
      <c r="B29" s="1144">
        <v>1</v>
      </c>
      <c r="C29" s="1099">
        <v>8</v>
      </c>
      <c r="D29" s="1145">
        <f t="shared" si="2"/>
        <v>0</v>
      </c>
      <c r="E29" s="1040">
        <f t="shared" si="1"/>
        <v>0</v>
      </c>
      <c r="F29" s="1040">
        <f t="shared" si="3"/>
        <v>0</v>
      </c>
      <c r="G29" s="1040">
        <f t="shared" si="4"/>
        <v>0</v>
      </c>
      <c r="H29" s="1039"/>
    </row>
    <row r="30" spans="1:8" x14ac:dyDescent="0.25">
      <c r="A30" s="1042" t="s">
        <v>1035</v>
      </c>
      <c r="B30" s="1144">
        <v>1</v>
      </c>
      <c r="C30" s="1099">
        <v>0.5</v>
      </c>
      <c r="D30" s="1145">
        <f t="shared" si="2"/>
        <v>0</v>
      </c>
      <c r="E30" s="1040">
        <f t="shared" si="1"/>
        <v>0</v>
      </c>
      <c r="F30" s="1040">
        <f t="shared" si="3"/>
        <v>0</v>
      </c>
      <c r="G30" s="1040">
        <f t="shared" si="4"/>
        <v>0</v>
      </c>
      <c r="H30" s="1039"/>
    </row>
    <row r="31" spans="1:8" x14ac:dyDescent="0.25">
      <c r="A31" s="1042" t="s">
        <v>1036</v>
      </c>
      <c r="B31" s="1144">
        <v>1</v>
      </c>
      <c r="C31" s="1099">
        <v>2</v>
      </c>
      <c r="D31" s="1145">
        <f t="shared" si="2"/>
        <v>0</v>
      </c>
      <c r="E31" s="1040">
        <f t="shared" si="1"/>
        <v>0</v>
      </c>
      <c r="F31" s="1040">
        <f t="shared" si="3"/>
        <v>0</v>
      </c>
      <c r="G31" s="1040">
        <f t="shared" si="4"/>
        <v>0</v>
      </c>
      <c r="H31" s="1039"/>
    </row>
    <row r="32" spans="1:8" x14ac:dyDescent="0.25">
      <c r="A32" s="1042" t="s">
        <v>1000</v>
      </c>
      <c r="B32" s="1144">
        <v>1</v>
      </c>
      <c r="C32" s="1099">
        <v>1</v>
      </c>
      <c r="D32" s="1145">
        <f t="shared" si="2"/>
        <v>0</v>
      </c>
      <c r="E32" s="1040">
        <f t="shared" si="1"/>
        <v>0</v>
      </c>
      <c r="F32" s="1040">
        <f t="shared" si="3"/>
        <v>0</v>
      </c>
      <c r="G32" s="1040">
        <f t="shared" si="4"/>
        <v>0</v>
      </c>
      <c r="H32" s="1039"/>
    </row>
    <row r="33" spans="1:8" x14ac:dyDescent="0.25">
      <c r="A33" s="1037" t="s">
        <v>1037</v>
      </c>
      <c r="B33" s="1143"/>
      <c r="C33" s="1099"/>
      <c r="D33" s="1040"/>
      <c r="E33" s="1040"/>
      <c r="F33" s="1039"/>
      <c r="G33" s="1040"/>
      <c r="H33" s="1039"/>
    </row>
    <row r="34" spans="1:8" x14ac:dyDescent="0.25">
      <c r="A34" s="1037" t="s">
        <v>1038</v>
      </c>
      <c r="B34" s="1143"/>
      <c r="C34" s="1099"/>
      <c r="D34" s="1040"/>
      <c r="E34" s="1040"/>
      <c r="F34" s="1040"/>
      <c r="G34" s="1040"/>
      <c r="H34" s="1039"/>
    </row>
    <row r="35" spans="1:8" x14ac:dyDescent="0.25">
      <c r="A35" s="129" t="s">
        <v>1039</v>
      </c>
      <c r="B35" s="1146">
        <v>1</v>
      </c>
      <c r="C35" s="1099">
        <v>1</v>
      </c>
      <c r="D35" s="1040">
        <f>C35*$B$7</f>
        <v>0</v>
      </c>
      <c r="E35" s="1040">
        <f>0.6*$D35</f>
        <v>0</v>
      </c>
      <c r="F35" s="1040">
        <f>0.1*$D35</f>
        <v>0</v>
      </c>
      <c r="G35" s="1040">
        <f>0.3*$D35</f>
        <v>0</v>
      </c>
      <c r="H35" s="1039"/>
    </row>
    <row r="36" spans="1:8" x14ac:dyDescent="0.25">
      <c r="A36" s="129" t="s">
        <v>1040</v>
      </c>
      <c r="B36" s="1146">
        <v>1</v>
      </c>
      <c r="C36" s="1099">
        <v>0.5</v>
      </c>
      <c r="D36" s="1040">
        <f t="shared" ref="D36" si="5">C36*$B$7</f>
        <v>0</v>
      </c>
      <c r="E36" s="1040">
        <f t="shared" ref="E36:E37" si="6">0.6*$D36</f>
        <v>0</v>
      </c>
      <c r="F36" s="1040">
        <f>0.7*$D36</f>
        <v>0</v>
      </c>
      <c r="G36" s="1040">
        <f t="shared" ref="G36:G37" si="7">0.3*$D36</f>
        <v>0</v>
      </c>
      <c r="H36" s="1039"/>
    </row>
    <row r="37" spans="1:8" x14ac:dyDescent="0.25">
      <c r="A37" s="64" t="s">
        <v>746</v>
      </c>
      <c r="B37" s="1147">
        <f>IF(ТрЗ_ОВ!D77="Да",1,0)</f>
        <v>0</v>
      </c>
      <c r="C37" s="1101">
        <v>0.5</v>
      </c>
      <c r="D37" s="1148">
        <f>IF(B40&gt;0,C37*$B$7,0)</f>
        <v>0</v>
      </c>
      <c r="E37" s="1148">
        <f t="shared" si="6"/>
        <v>0</v>
      </c>
      <c r="F37" s="1148">
        <f>0.7*$D37</f>
        <v>0</v>
      </c>
      <c r="G37" s="1148">
        <f t="shared" si="7"/>
        <v>0</v>
      </c>
      <c r="H37" s="1149"/>
    </row>
    <row r="38" spans="1:8" ht="63.75" x14ac:dyDescent="0.25">
      <c r="A38" s="1150" t="s">
        <v>1041</v>
      </c>
      <c r="B38" s="1073"/>
      <c r="C38" s="1151"/>
      <c r="D38" s="1039"/>
      <c r="E38" s="1152"/>
      <c r="F38" s="1073"/>
      <c r="G38" s="1152"/>
      <c r="H38" s="1039" t="s">
        <v>1042</v>
      </c>
    </row>
    <row r="39" spans="1:8" x14ac:dyDescent="0.25">
      <c r="A39" s="129" t="s">
        <v>1043</v>
      </c>
      <c r="B39" s="1153">
        <v>1</v>
      </c>
      <c r="C39" s="1099">
        <v>0.5</v>
      </c>
      <c r="D39" s="1040">
        <f>C39*($B$8+$B$6)</f>
        <v>0</v>
      </c>
      <c r="E39" s="1040">
        <f>0.6*$D39</f>
        <v>0</v>
      </c>
      <c r="F39" s="1040">
        <f>0.3*$D39</f>
        <v>0</v>
      </c>
      <c r="G39" s="1040">
        <f>0.1*$D39</f>
        <v>0</v>
      </c>
      <c r="H39" s="1039"/>
    </row>
    <row r="40" spans="1:8" x14ac:dyDescent="0.25">
      <c r="A40" s="64" t="s">
        <v>746</v>
      </c>
      <c r="B40" s="1147">
        <f>IF(ТрЗ_ОВ!D80="Да",1,0)</f>
        <v>0</v>
      </c>
      <c r="C40" s="1101">
        <v>0.5</v>
      </c>
      <c r="D40" s="1148">
        <f>IF(B40&gt;0,C40*($B$8+$B$6),0)</f>
        <v>0</v>
      </c>
      <c r="E40" s="1040">
        <f t="shared" ref="E40:E41" si="8">0.6*$D40</f>
        <v>0</v>
      </c>
      <c r="F40" s="1148">
        <f>0.3*$D40</f>
        <v>0</v>
      </c>
      <c r="G40" s="1040">
        <f t="shared" ref="G40:G41" si="9">0.1*$D40</f>
        <v>0</v>
      </c>
      <c r="H40" s="1149"/>
    </row>
    <row r="41" spans="1:8" x14ac:dyDescent="0.25">
      <c r="A41" s="129" t="s">
        <v>1040</v>
      </c>
      <c r="B41" s="1153">
        <v>1</v>
      </c>
      <c r="C41" s="1099">
        <v>0.5</v>
      </c>
      <c r="D41" s="1040">
        <f>C41*($B$8+$B$6)</f>
        <v>0</v>
      </c>
      <c r="E41" s="1040">
        <f t="shared" si="8"/>
        <v>0</v>
      </c>
      <c r="F41" s="1040">
        <f>0.3*$D41</f>
        <v>0</v>
      </c>
      <c r="G41" s="1040">
        <f t="shared" si="9"/>
        <v>0</v>
      </c>
      <c r="H41" s="1039"/>
    </row>
    <row r="42" spans="1:8" ht="25.5" x14ac:dyDescent="0.25">
      <c r="A42" s="1037" t="s">
        <v>963</v>
      </c>
      <c r="B42" s="1043">
        <v>1</v>
      </c>
      <c r="C42" s="1040" t="s">
        <v>897</v>
      </c>
      <c r="D42" s="1039">
        <f>ROUNDUP(IF(0.1*(SUM($D$17:$D$41))&gt;8,0.1*(SUM($D$17:$D$41)),8),0)</f>
        <v>8</v>
      </c>
      <c r="E42" s="1040"/>
      <c r="F42" s="1040">
        <f>0.5*$D42</f>
        <v>4</v>
      </c>
      <c r="G42" s="1040">
        <f>0.5*$D42</f>
        <v>4</v>
      </c>
      <c r="H42" s="1039"/>
    </row>
    <row r="43" spans="1:8" ht="26.25" thickBot="1" x14ac:dyDescent="0.3">
      <c r="A43" s="1070" t="s">
        <v>964</v>
      </c>
      <c r="B43" s="1154">
        <v>1</v>
      </c>
      <c r="C43" s="1155" t="s">
        <v>899</v>
      </c>
      <c r="D43" s="1156">
        <f>ROUNDUP(IF(0.05*(SUM($D$17:$D$41))&gt;8,0.05*(SUM($D$17:$D$41)),8),0)</f>
        <v>8</v>
      </c>
      <c r="E43" s="1155"/>
      <c r="F43" s="1155">
        <f>0.5*$D43</f>
        <v>4</v>
      </c>
      <c r="G43" s="1155">
        <f>0.5*$D43</f>
        <v>4</v>
      </c>
      <c r="H43" s="1156"/>
    </row>
    <row r="44" spans="1:8" x14ac:dyDescent="0.25">
      <c r="A44" s="1067" t="s">
        <v>564</v>
      </c>
      <c r="B44" s="268"/>
      <c r="C44" s="268"/>
      <c r="D44" s="268">
        <f>SUM(D9:D43)</f>
        <v>20</v>
      </c>
      <c r="E44" s="268">
        <f>SUM(E9:E43)</f>
        <v>0</v>
      </c>
      <c r="F44" s="268">
        <f>SUM(F9:F43)</f>
        <v>8.5</v>
      </c>
      <c r="G44" s="268">
        <f>SUM(G9:G43)</f>
        <v>8</v>
      </c>
      <c r="H44" s="268"/>
    </row>
    <row r="45" spans="1:8" x14ac:dyDescent="0.25">
      <c r="A45" s="1067"/>
      <c r="B45" s="1067"/>
      <c r="C45" s="1067"/>
      <c r="D45" s="1067"/>
      <c r="E45" s="1067"/>
      <c r="F45" s="1067"/>
      <c r="G45" s="1067"/>
      <c r="H45" s="1067"/>
    </row>
    <row r="46" spans="1:8" x14ac:dyDescent="0.25">
      <c r="A46" s="1067"/>
      <c r="B46" s="1067"/>
      <c r="C46" s="268" t="s">
        <v>901</v>
      </c>
      <c r="D46" s="268">
        <f>ROUNDUP(SUM(D9:D10)/8,0)</f>
        <v>1</v>
      </c>
      <c r="E46" s="268">
        <f>ROUNDUP(SUM(E9:E10)/8,0)</f>
        <v>0</v>
      </c>
      <c r="F46" s="268">
        <f>ROUNDUP(SUM(F9:F10)/8,0)</f>
        <v>1</v>
      </c>
      <c r="G46" s="268">
        <f>ROUNDUP(SUM(G9:G10)/8,0)</f>
        <v>0</v>
      </c>
      <c r="H46" s="1067"/>
    </row>
    <row r="47" spans="1:8" x14ac:dyDescent="0.25">
      <c r="A47" s="1067"/>
      <c r="B47" s="1067"/>
      <c r="C47" s="63" t="s">
        <v>902</v>
      </c>
      <c r="D47" s="63">
        <f>ROUNDUP(SUM(D17:D42)/8,0)</f>
        <v>1</v>
      </c>
      <c r="E47" s="63">
        <f>ROUNDUP(SUM(E17:E42)/8,0)</f>
        <v>0</v>
      </c>
      <c r="F47" s="63">
        <f>ROUNDUP(SUM(F17:F42)/8,0)</f>
        <v>1</v>
      </c>
      <c r="G47" s="63">
        <f>ROUNDUP(SUM(G17:G42)/8,0)</f>
        <v>1</v>
      </c>
      <c r="H47" s="1067"/>
    </row>
    <row r="48" spans="1:8" x14ac:dyDescent="0.25">
      <c r="A48" s="1067"/>
      <c r="B48" s="1067"/>
      <c r="C48" s="268" t="s">
        <v>903</v>
      </c>
      <c r="D48" s="268">
        <f>ROUNDUP(SUM(D43)/8,0)</f>
        <v>1</v>
      </c>
      <c r="E48" s="268">
        <f t="shared" ref="E48:G48" si="10">ROUNDUP(SUM(E43)/8,0)</f>
        <v>0</v>
      </c>
      <c r="F48" s="268">
        <f t="shared" si="10"/>
        <v>1</v>
      </c>
      <c r="G48" s="268">
        <f t="shared" si="10"/>
        <v>1</v>
      </c>
      <c r="H48" s="1067"/>
    </row>
    <row r="49" spans="1:8" x14ac:dyDescent="0.25">
      <c r="A49" s="1067"/>
      <c r="B49" s="1067"/>
      <c r="C49" s="63" t="s">
        <v>904</v>
      </c>
      <c r="D49" s="63">
        <f>SUM(D46:D48)</f>
        <v>3</v>
      </c>
      <c r="E49" s="63">
        <f t="shared" ref="E49:G49" si="11">SUM(E46:E48)</f>
        <v>0</v>
      </c>
      <c r="F49" s="63">
        <f t="shared" si="11"/>
        <v>3</v>
      </c>
      <c r="G49" s="63">
        <f t="shared" si="11"/>
        <v>2</v>
      </c>
      <c r="H49" s="1067"/>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Лист74">
    <tabColor theme="8"/>
  </sheetPr>
  <dimension ref="A1:E22"/>
  <sheetViews>
    <sheetView workbookViewId="0">
      <selection activeCell="B3" sqref="B3"/>
    </sheetView>
  </sheetViews>
  <sheetFormatPr defaultRowHeight="15" x14ac:dyDescent="0.25"/>
  <cols>
    <col min="1" max="1" width="69.5703125" customWidth="1"/>
    <col min="2" max="2" width="26.42578125" customWidth="1"/>
    <col min="3" max="4" width="27.28515625" customWidth="1"/>
  </cols>
  <sheetData>
    <row r="1" spans="1:5" ht="15.75" thickBot="1" x14ac:dyDescent="0.3">
      <c r="A1" s="1067"/>
      <c r="B1" s="1067"/>
      <c r="C1" s="1067"/>
      <c r="D1" s="1067"/>
      <c r="E1" s="1067"/>
    </row>
    <row r="2" spans="1:5" ht="26.25" thickBot="1" x14ac:dyDescent="0.3">
      <c r="A2" s="1056" t="s">
        <v>872</v>
      </c>
      <c r="B2" s="1157" t="s">
        <v>919</v>
      </c>
      <c r="C2" s="1217" t="s">
        <v>874</v>
      </c>
      <c r="D2" s="1218" t="s">
        <v>1139</v>
      </c>
      <c r="E2" s="1157" t="s">
        <v>1140</v>
      </c>
    </row>
    <row r="3" spans="1:5" x14ac:dyDescent="0.25">
      <c r="A3" s="1219" t="s">
        <v>876</v>
      </c>
      <c r="B3" s="1220">
        <f>ТрЗ_ОВ!E109</f>
        <v>0</v>
      </c>
      <c r="C3" s="1158">
        <v>8</v>
      </c>
      <c r="D3" s="1221"/>
      <c r="E3" s="1222"/>
    </row>
    <row r="4" spans="1:5" x14ac:dyDescent="0.25">
      <c r="A4" s="1143" t="s">
        <v>1046</v>
      </c>
      <c r="B4" s="1129">
        <f>ТрЗ_ОВ!H109</f>
        <v>0</v>
      </c>
      <c r="C4" s="1040" t="s">
        <v>1141</v>
      </c>
      <c r="D4" s="1223"/>
      <c r="E4" s="1073"/>
    </row>
    <row r="5" spans="1:5" x14ac:dyDescent="0.25">
      <c r="A5" s="1143" t="s">
        <v>881</v>
      </c>
      <c r="B5" s="1043"/>
      <c r="C5" s="1040"/>
      <c r="D5" s="1223">
        <f>SUM(C7:C9)*B4+D6</f>
        <v>1</v>
      </c>
      <c r="E5" s="1224">
        <f>ROUNDUP(D5/8,0)</f>
        <v>1</v>
      </c>
    </row>
    <row r="6" spans="1:5" x14ac:dyDescent="0.25">
      <c r="A6" s="1049" t="s">
        <v>880</v>
      </c>
      <c r="B6" s="1129">
        <v>1</v>
      </c>
      <c r="C6" s="1040">
        <v>8</v>
      </c>
      <c r="D6" s="1223">
        <f>IF(B6&gt;0,C6/8,0)</f>
        <v>1</v>
      </c>
      <c r="E6" s="1224"/>
    </row>
    <row r="7" spans="1:5" x14ac:dyDescent="0.25">
      <c r="A7" s="1049" t="s">
        <v>883</v>
      </c>
      <c r="B7" s="1043">
        <v>1</v>
      </c>
      <c r="C7" s="1040">
        <v>1</v>
      </c>
      <c r="D7" s="1223"/>
      <c r="E7" s="1224"/>
    </row>
    <row r="8" spans="1:5" x14ac:dyDescent="0.25">
      <c r="A8" s="1049" t="s">
        <v>1142</v>
      </c>
      <c r="B8" s="1043">
        <v>1</v>
      </c>
      <c r="C8" s="1040">
        <v>0.2</v>
      </c>
      <c r="D8" s="1223"/>
      <c r="E8" s="1224"/>
    </row>
    <row r="9" spans="1:5" x14ac:dyDescent="0.25">
      <c r="A9" s="1225" t="s">
        <v>1143</v>
      </c>
      <c r="B9" s="1043">
        <v>1</v>
      </c>
      <c r="C9" s="1040">
        <v>1</v>
      </c>
      <c r="D9" s="1223"/>
      <c r="E9" s="1224"/>
    </row>
    <row r="10" spans="1:5" x14ac:dyDescent="0.25">
      <c r="A10" s="1143" t="s">
        <v>887</v>
      </c>
      <c r="B10" s="1043"/>
      <c r="C10" s="1040"/>
      <c r="D10" s="1223"/>
      <c r="E10" s="1224"/>
    </row>
    <row r="11" spans="1:5" x14ac:dyDescent="0.25">
      <c r="A11" s="1143" t="s">
        <v>1050</v>
      </c>
      <c r="B11" s="1043"/>
      <c r="C11" s="1040"/>
      <c r="D11" s="1223">
        <f>SUM(D12:D20)</f>
        <v>0</v>
      </c>
      <c r="E11" s="1224">
        <f>ROUNDUP(D11/8,0)</f>
        <v>0</v>
      </c>
    </row>
    <row r="12" spans="1:5" x14ac:dyDescent="0.25">
      <c r="A12" s="1049" t="s">
        <v>1144</v>
      </c>
      <c r="B12" s="1043">
        <v>1</v>
      </c>
      <c r="C12" s="1040">
        <v>0.2</v>
      </c>
      <c r="D12" s="1223">
        <f>IF(B12&gt;0,C12*$B$4,0)</f>
        <v>0</v>
      </c>
      <c r="E12" s="1224"/>
    </row>
    <row r="13" spans="1:5" x14ac:dyDescent="0.25">
      <c r="A13" s="1049" t="s">
        <v>1145</v>
      </c>
      <c r="B13" s="1043">
        <v>1</v>
      </c>
      <c r="C13" s="1040">
        <v>0.2</v>
      </c>
      <c r="D13" s="1223">
        <f>IF(B13&gt;0,C13*$B$4,0)</f>
        <v>0</v>
      </c>
      <c r="E13" s="1224"/>
    </row>
    <row r="14" spans="1:5" x14ac:dyDescent="0.25">
      <c r="A14" s="1049" t="s">
        <v>1146</v>
      </c>
      <c r="B14" s="1043">
        <v>1</v>
      </c>
      <c r="C14" s="1040">
        <v>0.2</v>
      </c>
      <c r="D14" s="1223">
        <f>IF(B14&gt;0,C14*$B$4,0)</f>
        <v>0</v>
      </c>
      <c r="E14" s="1224"/>
    </row>
    <row r="15" spans="1:5" x14ac:dyDescent="0.25">
      <c r="A15" s="1049" t="s">
        <v>1147</v>
      </c>
      <c r="B15" s="1043">
        <v>1</v>
      </c>
      <c r="C15" s="1040">
        <v>0.1</v>
      </c>
      <c r="D15" s="1223">
        <f>IF(B15&gt;0,C15*$B$4,0)</f>
        <v>0</v>
      </c>
      <c r="E15" s="1224"/>
    </row>
    <row r="16" spans="1:5" x14ac:dyDescent="0.25">
      <c r="A16" s="1049" t="s">
        <v>1148</v>
      </c>
      <c r="B16" s="1043">
        <v>1</v>
      </c>
      <c r="C16" s="1040">
        <v>0.2</v>
      </c>
      <c r="D16" s="1223">
        <f>IF(B16&gt;0,C16*$B$4,0)</f>
        <v>0</v>
      </c>
      <c r="E16" s="1224"/>
    </row>
    <row r="17" spans="1:5" x14ac:dyDescent="0.25">
      <c r="A17" s="1143" t="s">
        <v>1149</v>
      </c>
      <c r="B17" s="1043"/>
      <c r="C17" s="1152"/>
      <c r="D17" s="1226"/>
      <c r="E17" s="1224"/>
    </row>
    <row r="18" spans="1:5" x14ac:dyDescent="0.25">
      <c r="A18" s="1049" t="s">
        <v>1150</v>
      </c>
      <c r="B18" s="1043">
        <v>1</v>
      </c>
      <c r="C18" s="1040">
        <v>1</v>
      </c>
      <c r="D18" s="1223">
        <f>IF(B18&gt;0,C18*$B$4,0)</f>
        <v>0</v>
      </c>
      <c r="E18" s="1224"/>
    </row>
    <row r="19" spans="1:5" x14ac:dyDescent="0.25">
      <c r="A19" s="1049" t="s">
        <v>1151</v>
      </c>
      <c r="B19" s="1043">
        <v>1</v>
      </c>
      <c r="C19" s="1040">
        <v>1</v>
      </c>
      <c r="D19" s="1223">
        <f>IF(B19&gt;0,C19*$B$4,0)</f>
        <v>0</v>
      </c>
      <c r="E19" s="1224"/>
    </row>
    <row r="20" spans="1:5" x14ac:dyDescent="0.25">
      <c r="A20" s="1049" t="s">
        <v>1152</v>
      </c>
      <c r="B20" s="1043">
        <v>1</v>
      </c>
      <c r="C20" s="1040">
        <v>1</v>
      </c>
      <c r="D20" s="1223">
        <f>IF(B20&gt;0,C20*$B$4,0)</f>
        <v>0</v>
      </c>
      <c r="E20" s="1224"/>
    </row>
    <row r="21" spans="1:5" x14ac:dyDescent="0.25">
      <c r="A21" s="1143" t="s">
        <v>1153</v>
      </c>
      <c r="B21" s="1043">
        <v>1</v>
      </c>
      <c r="C21" s="1040" t="s">
        <v>1154</v>
      </c>
      <c r="D21" s="1223">
        <f>ROUNDUP(IF(0.1*(SUM(B10:B20))&gt;2,0.1*(SUM(B10:B20)),2),0)</f>
        <v>2</v>
      </c>
      <c r="E21" s="1224">
        <f>ROUNDUP(SUM(D21:D22)/8,0)</f>
        <v>1</v>
      </c>
    </row>
    <row r="22" spans="1:5" ht="15.75" thickBot="1" x14ac:dyDescent="0.3">
      <c r="A22" s="1227" t="s">
        <v>964</v>
      </c>
      <c r="B22" s="1051">
        <v>1</v>
      </c>
      <c r="C22" s="1132" t="s">
        <v>1155</v>
      </c>
      <c r="D22" s="1228">
        <f>ROUNDUP(IF(0.05*(SUM(B10:B20))&gt;2,0.05*(SUM(B10:B20)),2),0)</f>
        <v>2</v>
      </c>
      <c r="E22" s="1229"/>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Лист75">
    <tabColor theme="8"/>
  </sheetPr>
  <dimension ref="A1:P35"/>
  <sheetViews>
    <sheetView topLeftCell="B1" workbookViewId="0">
      <selection activeCell="S1" sqref="S1"/>
    </sheetView>
  </sheetViews>
  <sheetFormatPr defaultRowHeight="15" x14ac:dyDescent="0.25"/>
  <cols>
    <col min="1" max="1" width="69.5703125" customWidth="1"/>
    <col min="2" max="2" width="26.42578125" customWidth="1"/>
    <col min="3" max="3" width="14.7109375" customWidth="1"/>
    <col min="4" max="4" width="14" customWidth="1"/>
    <col min="5" max="5" width="13.7109375" customWidth="1"/>
    <col min="6" max="8" width="14.28515625" customWidth="1"/>
    <col min="9" max="9" width="16.42578125" customWidth="1"/>
    <col min="10" max="10" width="12.7109375" customWidth="1"/>
    <col min="11" max="11" width="12.5703125" customWidth="1"/>
    <col min="12" max="12" width="11.42578125" customWidth="1"/>
    <col min="13" max="13" width="13.28515625" customWidth="1"/>
    <col min="14" max="14" width="14.42578125" customWidth="1"/>
    <col min="15" max="15" width="15.140625" customWidth="1"/>
    <col min="16" max="16" width="15.7109375" customWidth="1"/>
  </cols>
  <sheetData>
    <row r="1" spans="1:16" ht="26.25" thickBot="1" x14ac:dyDescent="0.3">
      <c r="A1" s="1140" t="s">
        <v>872</v>
      </c>
      <c r="B1" s="1141" t="s">
        <v>873</v>
      </c>
      <c r="C1" s="2291" t="s">
        <v>874</v>
      </c>
      <c r="D1" s="2292"/>
      <c r="E1" s="2293"/>
      <c r="F1" s="1157" t="s">
        <v>52</v>
      </c>
      <c r="G1" s="2291" t="s">
        <v>715</v>
      </c>
      <c r="H1" s="2292"/>
      <c r="I1" s="2293"/>
      <c r="J1" s="2291" t="s">
        <v>714</v>
      </c>
      <c r="K1" s="2292"/>
      <c r="L1" s="2293"/>
      <c r="M1" s="2291" t="s">
        <v>713</v>
      </c>
      <c r="N1" s="2292"/>
      <c r="O1" s="2293"/>
      <c r="P1" s="1141" t="s">
        <v>875</v>
      </c>
    </row>
    <row r="2" spans="1:16" ht="38.25" x14ac:dyDescent="0.25">
      <c r="A2" s="1037" t="s">
        <v>876</v>
      </c>
      <c r="B2" s="1038">
        <v>1</v>
      </c>
      <c r="C2" s="1230" t="s">
        <v>111</v>
      </c>
      <c r="D2" s="1231" t="s">
        <v>1156</v>
      </c>
      <c r="E2" s="1158" t="s">
        <v>392</v>
      </c>
      <c r="F2" s="1230"/>
      <c r="G2" s="1230" t="s">
        <v>111</v>
      </c>
      <c r="H2" s="1231" t="s">
        <v>1156</v>
      </c>
      <c r="I2" s="1221" t="s">
        <v>392</v>
      </c>
      <c r="J2" s="1230" t="s">
        <v>111</v>
      </c>
      <c r="K2" s="1231" t="s">
        <v>1156</v>
      </c>
      <c r="L2" s="1221" t="s">
        <v>392</v>
      </c>
      <c r="M2" s="1230" t="s">
        <v>111</v>
      </c>
      <c r="N2" s="1231" t="s">
        <v>1156</v>
      </c>
      <c r="O2" s="1221" t="s">
        <v>392</v>
      </c>
      <c r="P2" s="1046"/>
    </row>
    <row r="3" spans="1:16" x14ac:dyDescent="0.25">
      <c r="A3" s="1037" t="s">
        <v>1157</v>
      </c>
      <c r="B3" s="1232">
        <v>1</v>
      </c>
      <c r="C3" s="1048"/>
      <c r="D3" s="1130"/>
      <c r="E3" s="1040"/>
      <c r="F3" s="1223"/>
      <c r="G3" s="1048"/>
      <c r="H3" s="1130"/>
      <c r="I3" s="1223"/>
      <c r="J3" s="1048"/>
      <c r="K3" s="1130"/>
      <c r="L3" s="1223"/>
      <c r="M3" s="1048"/>
      <c r="N3" s="1130"/>
      <c r="O3" s="1040"/>
      <c r="P3" s="1039"/>
    </row>
    <row r="4" spans="1:16" x14ac:dyDescent="0.25">
      <c r="A4" s="1037" t="s">
        <v>1158</v>
      </c>
      <c r="B4" s="1232">
        <v>1</v>
      </c>
      <c r="C4" s="1048"/>
      <c r="D4" s="1233"/>
      <c r="E4" s="1040"/>
      <c r="F4" s="1223"/>
      <c r="G4" s="1048"/>
      <c r="H4" s="1130"/>
      <c r="I4" s="1223"/>
      <c r="J4" s="1048"/>
      <c r="K4" s="1130"/>
      <c r="L4" s="1223"/>
      <c r="M4" s="1048"/>
      <c r="N4" s="1130"/>
      <c r="O4" s="1040"/>
      <c r="P4" s="1039"/>
    </row>
    <row r="5" spans="1:16" x14ac:dyDescent="0.25">
      <c r="A5" s="1037" t="s">
        <v>881</v>
      </c>
      <c r="B5" s="1143" t="s">
        <v>882</v>
      </c>
      <c r="C5" s="1048"/>
      <c r="D5" s="1130"/>
      <c r="E5" s="1040"/>
      <c r="F5" s="1223"/>
      <c r="G5" s="1048"/>
      <c r="H5" s="1130"/>
      <c r="I5" s="1223"/>
      <c r="J5" s="1048">
        <f>4/8</f>
        <v>0.5</v>
      </c>
      <c r="K5" s="1048">
        <f t="shared" ref="K5:L5" si="0">4/8</f>
        <v>0.5</v>
      </c>
      <c r="L5" s="1048">
        <f t="shared" si="0"/>
        <v>0.5</v>
      </c>
      <c r="M5" s="1048"/>
      <c r="N5" s="1130"/>
      <c r="O5" s="1040"/>
      <c r="P5" s="1039"/>
    </row>
    <row r="6" spans="1:16" x14ac:dyDescent="0.25">
      <c r="A6" s="1042" t="s">
        <v>883</v>
      </c>
      <c r="B6" s="1049">
        <v>1</v>
      </c>
      <c r="C6" s="1048">
        <v>1</v>
      </c>
      <c r="D6" s="1130">
        <v>1</v>
      </c>
      <c r="E6" s="1040">
        <v>1</v>
      </c>
      <c r="F6" s="1223"/>
      <c r="G6" s="1048">
        <f>0.5*$B2</f>
        <v>0.5</v>
      </c>
      <c r="H6" s="1048">
        <f t="shared" ref="H6:I6" si="1">0.5*$B2</f>
        <v>0.5</v>
      </c>
      <c r="I6" s="1048">
        <f t="shared" si="1"/>
        <v>0.5</v>
      </c>
      <c r="J6" s="1048">
        <f>0.5*$B2</f>
        <v>0.5</v>
      </c>
      <c r="K6" s="1130">
        <f>0.5*$B2</f>
        <v>0.5</v>
      </c>
      <c r="L6" s="1223">
        <f>0.5*$B2</f>
        <v>0.5</v>
      </c>
      <c r="M6" s="1048"/>
      <c r="N6" s="1130"/>
      <c r="O6" s="1040"/>
      <c r="P6" s="1039"/>
    </row>
    <row r="7" spans="1:16" x14ac:dyDescent="0.25">
      <c r="A7" s="1042" t="s">
        <v>884</v>
      </c>
      <c r="B7" s="1049">
        <v>1</v>
      </c>
      <c r="C7" s="1048">
        <v>1</v>
      </c>
      <c r="D7" s="1130">
        <v>1</v>
      </c>
      <c r="E7" s="1040">
        <v>1</v>
      </c>
      <c r="F7" s="1223"/>
      <c r="G7" s="1048">
        <f t="shared" ref="G7:L7" si="2">0.5*$B2</f>
        <v>0.5</v>
      </c>
      <c r="H7" s="1048">
        <f t="shared" si="2"/>
        <v>0.5</v>
      </c>
      <c r="I7" s="1048">
        <f t="shared" si="2"/>
        <v>0.5</v>
      </c>
      <c r="J7" s="1048">
        <f t="shared" si="2"/>
        <v>0.5</v>
      </c>
      <c r="K7" s="1130">
        <f t="shared" si="2"/>
        <v>0.5</v>
      </c>
      <c r="L7" s="1223">
        <f t="shared" si="2"/>
        <v>0.5</v>
      </c>
      <c r="M7" s="1048"/>
      <c r="N7" s="1130"/>
      <c r="O7" s="1040"/>
      <c r="P7" s="1039"/>
    </row>
    <row r="8" spans="1:16" x14ac:dyDescent="0.25">
      <c r="A8" s="1042" t="s">
        <v>885</v>
      </c>
      <c r="B8" s="1049">
        <v>1</v>
      </c>
      <c r="C8" s="1048">
        <v>1</v>
      </c>
      <c r="D8" s="1130">
        <v>1</v>
      </c>
      <c r="E8" s="1040">
        <v>1</v>
      </c>
      <c r="F8" s="1223"/>
      <c r="G8" s="1048">
        <f t="shared" ref="G8:L8" si="3">0.5*$B2</f>
        <v>0.5</v>
      </c>
      <c r="H8" s="1048">
        <f t="shared" si="3"/>
        <v>0.5</v>
      </c>
      <c r="I8" s="1048">
        <f t="shared" si="3"/>
        <v>0.5</v>
      </c>
      <c r="J8" s="1048">
        <f t="shared" si="3"/>
        <v>0.5</v>
      </c>
      <c r="K8" s="1130">
        <f t="shared" si="3"/>
        <v>0.5</v>
      </c>
      <c r="L8" s="1223">
        <f t="shared" si="3"/>
        <v>0.5</v>
      </c>
      <c r="M8" s="1048"/>
      <c r="N8" s="1130"/>
      <c r="O8" s="1040"/>
      <c r="P8" s="1039"/>
    </row>
    <row r="9" spans="1:16" x14ac:dyDescent="0.25">
      <c r="A9" s="1042" t="s">
        <v>886</v>
      </c>
      <c r="B9" s="1049">
        <v>1</v>
      </c>
      <c r="C9" s="1048">
        <v>1</v>
      </c>
      <c r="D9" s="1130">
        <v>1</v>
      </c>
      <c r="E9" s="1040">
        <v>1</v>
      </c>
      <c r="F9" s="1223"/>
      <c r="G9" s="1048">
        <f t="shared" ref="G9:L9" si="4">0.5*$B2</f>
        <v>0.5</v>
      </c>
      <c r="H9" s="1048">
        <f t="shared" si="4"/>
        <v>0.5</v>
      </c>
      <c r="I9" s="1048">
        <f t="shared" si="4"/>
        <v>0.5</v>
      </c>
      <c r="J9" s="1048">
        <f t="shared" si="4"/>
        <v>0.5</v>
      </c>
      <c r="K9" s="1130">
        <f t="shared" si="4"/>
        <v>0.5</v>
      </c>
      <c r="L9" s="1223">
        <f t="shared" si="4"/>
        <v>0.5</v>
      </c>
      <c r="M9" s="1048"/>
      <c r="N9" s="1130"/>
      <c r="O9" s="1040"/>
      <c r="P9" s="1039"/>
    </row>
    <row r="10" spans="1:16" x14ac:dyDescent="0.25">
      <c r="A10" s="1037" t="s">
        <v>887</v>
      </c>
      <c r="B10" s="1049"/>
      <c r="C10" s="1048"/>
      <c r="D10" s="1130"/>
      <c r="E10" s="1040"/>
      <c r="F10" s="1223"/>
      <c r="G10" s="1048"/>
      <c r="H10" s="1130"/>
      <c r="I10" s="1223"/>
      <c r="J10" s="1048"/>
      <c r="K10" s="1130"/>
      <c r="L10" s="1223"/>
      <c r="M10" s="1048"/>
      <c r="N10" s="1130"/>
      <c r="O10" s="1040"/>
      <c r="P10" s="1039"/>
    </row>
    <row r="11" spans="1:16" x14ac:dyDescent="0.25">
      <c r="A11" s="1037" t="s">
        <v>888</v>
      </c>
      <c r="B11" s="1049"/>
      <c r="C11" s="1048"/>
      <c r="D11" s="1130"/>
      <c r="E11" s="1040"/>
      <c r="F11" s="1223"/>
      <c r="G11" s="1048"/>
      <c r="H11" s="1130"/>
      <c r="I11" s="1223"/>
      <c r="J11" s="1048"/>
      <c r="K11" s="1130"/>
      <c r="L11" s="1223"/>
      <c r="M11" s="1048"/>
      <c r="N11" s="1130"/>
      <c r="O11" s="1040"/>
      <c r="P11" s="1039"/>
    </row>
    <row r="12" spans="1:16" x14ac:dyDescent="0.25">
      <c r="A12" s="1042" t="s">
        <v>889</v>
      </c>
      <c r="B12" s="1049">
        <v>1</v>
      </c>
      <c r="C12" s="1048">
        <v>1</v>
      </c>
      <c r="D12" s="1130">
        <v>1</v>
      </c>
      <c r="E12" s="1040">
        <v>1</v>
      </c>
      <c r="F12" s="1223"/>
      <c r="G12" s="1048">
        <f t="shared" ref="G12:L12" si="5">0.5*$B2</f>
        <v>0.5</v>
      </c>
      <c r="H12" s="1048">
        <f t="shared" si="5"/>
        <v>0.5</v>
      </c>
      <c r="I12" s="1048">
        <f t="shared" si="5"/>
        <v>0.5</v>
      </c>
      <c r="J12" s="1048">
        <f t="shared" si="5"/>
        <v>0.5</v>
      </c>
      <c r="K12" s="1130">
        <f t="shared" si="5"/>
        <v>0.5</v>
      </c>
      <c r="L12" s="1223">
        <f t="shared" si="5"/>
        <v>0.5</v>
      </c>
      <c r="M12" s="1048"/>
      <c r="N12" s="1130"/>
      <c r="O12" s="1040"/>
      <c r="P12" s="1039"/>
    </row>
    <row r="13" spans="1:16" x14ac:dyDescent="0.25">
      <c r="A13" s="1234" t="s">
        <v>937</v>
      </c>
      <c r="B13" s="1049">
        <v>1</v>
      </c>
      <c r="C13" s="1048">
        <v>1</v>
      </c>
      <c r="D13" s="1130">
        <v>1.5</v>
      </c>
      <c r="E13" s="1040">
        <v>1</v>
      </c>
      <c r="F13" s="1223"/>
      <c r="G13" s="1048">
        <f>0.4*$C13*B3</f>
        <v>0.4</v>
      </c>
      <c r="H13" s="1048">
        <f>0.4*$D13*B3</f>
        <v>0.60000000000000009</v>
      </c>
      <c r="I13" s="1048">
        <f>0.4*$E13*B3</f>
        <v>0.4</v>
      </c>
      <c r="J13" s="1048">
        <f>0.6*$C13*B3</f>
        <v>0.6</v>
      </c>
      <c r="K13" s="1130">
        <f>0.6*$D13*B3</f>
        <v>0.89999999999999991</v>
      </c>
      <c r="L13" s="1223">
        <f>0.6*$C13*B3</f>
        <v>0.6</v>
      </c>
      <c r="M13" s="1048"/>
      <c r="N13" s="1130"/>
      <c r="O13" s="1040"/>
      <c r="P13" s="1039"/>
    </row>
    <row r="14" spans="1:16" x14ac:dyDescent="0.25">
      <c r="A14" s="1234" t="s">
        <v>1025</v>
      </c>
      <c r="B14" s="1049">
        <v>1</v>
      </c>
      <c r="C14" s="1048">
        <v>1</v>
      </c>
      <c r="D14" s="1130">
        <v>1</v>
      </c>
      <c r="E14" s="1040">
        <v>1</v>
      </c>
      <c r="F14" s="1223"/>
      <c r="G14" s="1048">
        <f>0.6*$B3</f>
        <v>0.6</v>
      </c>
      <c r="H14" s="1130">
        <f>0.6*$B3</f>
        <v>0.6</v>
      </c>
      <c r="I14" s="1223">
        <f>0.6*$B3</f>
        <v>0.6</v>
      </c>
      <c r="J14" s="1048">
        <f>0.4*$B3</f>
        <v>0.4</v>
      </c>
      <c r="K14" s="1130">
        <f>0.4*$B3</f>
        <v>0.4</v>
      </c>
      <c r="L14" s="1223">
        <f>0.4*$B3</f>
        <v>0.4</v>
      </c>
      <c r="M14" s="1048"/>
      <c r="N14" s="1130"/>
      <c r="O14" s="1040"/>
      <c r="P14" s="1039"/>
    </row>
    <row r="15" spans="1:16" x14ac:dyDescent="0.25">
      <c r="A15" s="1234" t="s">
        <v>895</v>
      </c>
      <c r="B15" s="1049">
        <v>1</v>
      </c>
      <c r="C15" s="1048">
        <v>0.5</v>
      </c>
      <c r="D15" s="1130">
        <v>0.5</v>
      </c>
      <c r="E15" s="1040">
        <v>0.5</v>
      </c>
      <c r="F15" s="1223"/>
      <c r="G15" s="1048">
        <f>$C15*$B3</f>
        <v>0.5</v>
      </c>
      <c r="H15" s="1048">
        <f>$D15*$B3</f>
        <v>0.5</v>
      </c>
      <c r="I15" s="1048">
        <f>$E15*$B3</f>
        <v>0.5</v>
      </c>
      <c r="J15" s="1048"/>
      <c r="K15" s="1130"/>
      <c r="L15" s="1223"/>
      <c r="M15" s="1048"/>
      <c r="N15" s="1130"/>
      <c r="O15" s="1040"/>
      <c r="P15" s="1039"/>
    </row>
    <row r="16" spans="1:16" x14ac:dyDescent="0.25">
      <c r="A16" s="1234" t="s">
        <v>1026</v>
      </c>
      <c r="B16" s="1049">
        <v>2</v>
      </c>
      <c r="C16" s="1048">
        <v>2</v>
      </c>
      <c r="D16" s="1130">
        <v>2</v>
      </c>
      <c r="E16" s="1040">
        <v>2</v>
      </c>
      <c r="F16" s="1223"/>
      <c r="G16" s="1048">
        <f>$C16*$B3</f>
        <v>2</v>
      </c>
      <c r="H16" s="1048">
        <f>$D16*$B3</f>
        <v>2</v>
      </c>
      <c r="I16" s="1048">
        <f>$E16*$B3</f>
        <v>2</v>
      </c>
      <c r="J16" s="1048"/>
      <c r="K16" s="1130"/>
      <c r="L16" s="1223"/>
      <c r="M16" s="1048"/>
      <c r="N16" s="1130"/>
      <c r="O16" s="1040"/>
      <c r="P16" s="1039"/>
    </row>
    <row r="17" spans="1:16" x14ac:dyDescent="0.25">
      <c r="A17" s="1042" t="s">
        <v>1027</v>
      </c>
      <c r="B17" s="1049">
        <v>1</v>
      </c>
      <c r="C17" s="1048">
        <v>0.5</v>
      </c>
      <c r="D17" s="1130">
        <v>0.5</v>
      </c>
      <c r="E17" s="1040">
        <v>0.5</v>
      </c>
      <c r="F17" s="1223"/>
      <c r="G17" s="1048">
        <f>0.6*$C17*B3</f>
        <v>0.3</v>
      </c>
      <c r="H17" s="1048">
        <f>0.6*$D17*B3</f>
        <v>0.3</v>
      </c>
      <c r="I17" s="1048">
        <f>0.6*$E17*B3</f>
        <v>0.3</v>
      </c>
      <c r="J17" s="1048">
        <f>0.4*$C17*B3</f>
        <v>0.2</v>
      </c>
      <c r="K17" s="1048">
        <f>0.4*$D17*B3</f>
        <v>0.2</v>
      </c>
      <c r="L17" s="1048">
        <f>0.4*$E17*B3</f>
        <v>0.2</v>
      </c>
      <c r="M17" s="1048"/>
      <c r="N17" s="1130"/>
      <c r="O17" s="1040"/>
      <c r="P17" s="1039"/>
    </row>
    <row r="18" spans="1:16" x14ac:dyDescent="0.25">
      <c r="A18" s="1150" t="s">
        <v>1159</v>
      </c>
      <c r="B18" s="1049"/>
      <c r="C18" s="1048"/>
      <c r="D18" s="1130"/>
      <c r="E18" s="1040"/>
      <c r="F18" s="1223"/>
      <c r="G18" s="1048"/>
      <c r="H18" s="1130"/>
      <c r="I18" s="1223"/>
      <c r="J18" s="1048"/>
      <c r="K18" s="1130"/>
      <c r="L18" s="1223"/>
      <c r="M18" s="1048"/>
      <c r="N18" s="1130"/>
      <c r="O18" s="1040"/>
      <c r="P18" s="1039"/>
    </row>
    <row r="19" spans="1:16" x14ac:dyDescent="0.25">
      <c r="A19" s="1234" t="s">
        <v>1160</v>
      </c>
      <c r="B19" s="1049">
        <v>1</v>
      </c>
      <c r="C19" s="1235">
        <v>1.5</v>
      </c>
      <c r="D19" s="1099">
        <v>3</v>
      </c>
      <c r="E19" s="1236">
        <v>1</v>
      </c>
      <c r="F19" s="1223"/>
      <c r="G19" s="1048">
        <f>0.6*$C19*B3</f>
        <v>0.89999999999999991</v>
      </c>
      <c r="H19" s="1130">
        <f>0.6*$D19*B3</f>
        <v>1.7999999999999998</v>
      </c>
      <c r="I19" s="1223">
        <f>0.6*$E19*B3</f>
        <v>0.6</v>
      </c>
      <c r="J19" s="1048">
        <f>0.4*$C19*B3</f>
        <v>0.60000000000000009</v>
      </c>
      <c r="K19" s="1130">
        <f>0.4*$D17*B3</f>
        <v>0.2</v>
      </c>
      <c r="L19" s="1223">
        <f>0.4*$E19*B3</f>
        <v>0.4</v>
      </c>
      <c r="M19" s="1048"/>
      <c r="N19" s="1130"/>
      <c r="O19" s="1040"/>
      <c r="P19" s="1039"/>
    </row>
    <row r="20" spans="1:16" x14ac:dyDescent="0.25">
      <c r="A20" s="1234" t="s">
        <v>1161</v>
      </c>
      <c r="B20" s="1049">
        <v>1</v>
      </c>
      <c r="C20" s="1235">
        <v>0.5</v>
      </c>
      <c r="D20" s="1099">
        <v>0.5</v>
      </c>
      <c r="E20" s="1236">
        <v>0.5</v>
      </c>
      <c r="F20" s="1223"/>
      <c r="G20" s="1048">
        <f>1*$C20*B4</f>
        <v>0.5</v>
      </c>
      <c r="H20" s="1130">
        <f>1*$D20*B4</f>
        <v>0.5</v>
      </c>
      <c r="I20" s="1223">
        <f>1*$E20*B4</f>
        <v>0.5</v>
      </c>
      <c r="J20" s="1048"/>
      <c r="K20" s="1130"/>
      <c r="L20" s="1223"/>
      <c r="M20" s="1048"/>
      <c r="N20" s="1130"/>
      <c r="O20" s="1040"/>
      <c r="P20" s="1039"/>
    </row>
    <row r="21" spans="1:16" x14ac:dyDescent="0.25">
      <c r="A21" s="1234" t="s">
        <v>1162</v>
      </c>
      <c r="B21" s="1049">
        <v>1</v>
      </c>
      <c r="C21" s="1235">
        <v>1</v>
      </c>
      <c r="D21" s="1099">
        <v>1</v>
      </c>
      <c r="E21" s="1236">
        <v>1</v>
      </c>
      <c r="F21" s="1223"/>
      <c r="G21" s="1048">
        <f>0.5*$C21*B4</f>
        <v>0.5</v>
      </c>
      <c r="H21" s="1130">
        <f>0.5*$D21*B4</f>
        <v>0.5</v>
      </c>
      <c r="I21" s="1223">
        <f>0.5*$E21*B4</f>
        <v>0.5</v>
      </c>
      <c r="J21" s="1048">
        <f>0.5*$C21*B4</f>
        <v>0.5</v>
      </c>
      <c r="K21" s="1130">
        <f>0.5*$D21*B4</f>
        <v>0.5</v>
      </c>
      <c r="L21" s="1223">
        <f>0.5*$E21*B4</f>
        <v>0.5</v>
      </c>
      <c r="M21" s="1048"/>
      <c r="N21" s="1130"/>
      <c r="O21" s="1040"/>
      <c r="P21" s="1039"/>
    </row>
    <row r="22" spans="1:16" x14ac:dyDescent="0.25">
      <c r="A22" s="1234" t="s">
        <v>1163</v>
      </c>
      <c r="B22" s="1049">
        <v>1</v>
      </c>
      <c r="C22" s="1235">
        <v>1</v>
      </c>
      <c r="D22" s="1099">
        <v>1</v>
      </c>
      <c r="E22" s="1236">
        <v>1</v>
      </c>
      <c r="F22" s="1223"/>
      <c r="G22" s="1048"/>
      <c r="H22" s="1130"/>
      <c r="I22" s="1223"/>
      <c r="J22" s="1048">
        <f>1*$C22*B2</f>
        <v>1</v>
      </c>
      <c r="K22" s="1130">
        <f>1*$D22*B2</f>
        <v>1</v>
      </c>
      <c r="L22" s="1223">
        <f>1*$E22*B2</f>
        <v>1</v>
      </c>
      <c r="M22" s="1048"/>
      <c r="N22" s="1130"/>
      <c r="O22" s="1040"/>
      <c r="P22" s="1039"/>
    </row>
    <row r="23" spans="1:16" x14ac:dyDescent="0.25">
      <c r="A23" s="1234" t="s">
        <v>1164</v>
      </c>
      <c r="B23" s="1049">
        <v>2</v>
      </c>
      <c r="C23" s="1235">
        <v>1.5</v>
      </c>
      <c r="D23" s="1099">
        <v>2</v>
      </c>
      <c r="E23" s="1236">
        <v>1</v>
      </c>
      <c r="F23" s="1223"/>
      <c r="G23" s="1048"/>
      <c r="H23" s="1130"/>
      <c r="I23" s="1223"/>
      <c r="J23" s="1048">
        <f>1*$C23*B4</f>
        <v>1.5</v>
      </c>
      <c r="K23" s="1130">
        <f>1*$D23*B4</f>
        <v>2</v>
      </c>
      <c r="L23" s="1223">
        <f>1*$E23*B4</f>
        <v>1</v>
      </c>
      <c r="M23" s="1048"/>
      <c r="N23" s="1130"/>
      <c r="O23" s="1040"/>
      <c r="P23" s="1039"/>
    </row>
    <row r="24" spans="1:16" x14ac:dyDescent="0.25">
      <c r="A24" s="1234" t="s">
        <v>1165</v>
      </c>
      <c r="B24" s="1049">
        <v>1</v>
      </c>
      <c r="C24" s="1235">
        <v>0.5</v>
      </c>
      <c r="D24" s="1099">
        <v>0.5</v>
      </c>
      <c r="E24" s="1236">
        <v>0.5</v>
      </c>
      <c r="F24" s="1223"/>
      <c r="G24" s="1048">
        <f>1*$C24*B2</f>
        <v>0.5</v>
      </c>
      <c r="H24" s="1048">
        <f>1*$D24*B2</f>
        <v>0.5</v>
      </c>
      <c r="I24" s="1048">
        <f>1*$E24*B2</f>
        <v>0.5</v>
      </c>
      <c r="J24" s="1048"/>
      <c r="K24" s="1130"/>
      <c r="L24" s="1223"/>
      <c r="M24" s="1048"/>
      <c r="N24" s="1130"/>
      <c r="O24" s="1040"/>
      <c r="P24" s="1039"/>
    </row>
    <row r="25" spans="1:16" x14ac:dyDescent="0.25">
      <c r="A25" s="1234" t="s">
        <v>1166</v>
      </c>
      <c r="B25" s="1049">
        <v>1</v>
      </c>
      <c r="C25" s="1235">
        <v>0.5</v>
      </c>
      <c r="D25" s="1099">
        <v>0.5</v>
      </c>
      <c r="E25" s="1236">
        <v>0.5</v>
      </c>
      <c r="F25" s="1223"/>
      <c r="G25" s="1048">
        <f>1*$C25*B2</f>
        <v>0.5</v>
      </c>
      <c r="H25" s="1048">
        <f>1*$D25*B2</f>
        <v>0.5</v>
      </c>
      <c r="I25" s="1223">
        <f>1*$E25*B2</f>
        <v>0.5</v>
      </c>
      <c r="J25" s="1048"/>
      <c r="K25" s="1130"/>
      <c r="L25" s="1223"/>
      <c r="M25" s="1048"/>
      <c r="N25" s="1130"/>
      <c r="O25" s="1040"/>
      <c r="P25" s="1039"/>
    </row>
    <row r="26" spans="1:16" x14ac:dyDescent="0.25">
      <c r="A26" s="1234" t="s">
        <v>1167</v>
      </c>
      <c r="B26" s="1049">
        <v>1</v>
      </c>
      <c r="C26" s="1235">
        <v>1</v>
      </c>
      <c r="D26" s="1099">
        <v>2</v>
      </c>
      <c r="E26" s="1236">
        <v>1</v>
      </c>
      <c r="F26" s="1223"/>
      <c r="G26" s="1048"/>
      <c r="H26" s="1130"/>
      <c r="I26" s="1223"/>
      <c r="J26" s="1048">
        <f>0.5*$C26*B4</f>
        <v>0.5</v>
      </c>
      <c r="K26" s="1130">
        <f>0.5*$D26*B4</f>
        <v>1</v>
      </c>
      <c r="L26" s="1223">
        <f>0.5*$E26*B4</f>
        <v>0.5</v>
      </c>
      <c r="M26" s="1048">
        <f>0.5*$C26*B4</f>
        <v>0.5</v>
      </c>
      <c r="N26" s="1130">
        <f>0.5*$D26*B4</f>
        <v>1</v>
      </c>
      <c r="O26" s="1040">
        <f>0.5*$E26*B4</f>
        <v>0.5</v>
      </c>
      <c r="P26" s="1039"/>
    </row>
    <row r="27" spans="1:16" x14ac:dyDescent="0.25">
      <c r="A27" s="1234" t="s">
        <v>1168</v>
      </c>
      <c r="B27" s="1049">
        <v>1</v>
      </c>
      <c r="C27" s="1235">
        <v>1</v>
      </c>
      <c r="D27" s="1099">
        <v>1</v>
      </c>
      <c r="E27" s="1236">
        <v>1</v>
      </c>
      <c r="F27" s="1223"/>
      <c r="G27" s="1048"/>
      <c r="H27" s="1130"/>
      <c r="I27" s="1223"/>
      <c r="J27" s="1048">
        <f>0.5*$C27*B4</f>
        <v>0.5</v>
      </c>
      <c r="K27" s="1130">
        <f>0.5*$D27*B4</f>
        <v>0.5</v>
      </c>
      <c r="L27" s="1223">
        <f>0.5*$E27*B4</f>
        <v>0.5</v>
      </c>
      <c r="M27" s="1048">
        <f>0.5*$C27*B4</f>
        <v>0.5</v>
      </c>
      <c r="N27" s="1130">
        <f>0.5*$D27*B4</f>
        <v>0.5</v>
      </c>
      <c r="O27" s="1040">
        <f>0.5*$E27*B4</f>
        <v>0.5</v>
      </c>
      <c r="P27" s="1039"/>
    </row>
    <row r="28" spans="1:16" x14ac:dyDescent="0.25">
      <c r="A28" s="1037" t="s">
        <v>963</v>
      </c>
      <c r="B28" s="1048" t="s">
        <v>897</v>
      </c>
      <c r="C28" s="1048">
        <f ca="1">ROUNDUP(IF(0.1*(SUM($C$15:$C$30))&gt;8,0.1*(SUM($C$15:$C$30)),8),0)</f>
        <v>8</v>
      </c>
      <c r="D28" s="1130">
        <f ca="1">ROUNDUP(IF(0.1*(SUM($D$15:$D$30))&gt;8,0.1*(SUM($D$15:$D$30)),8),0)</f>
        <v>8</v>
      </c>
      <c r="E28" s="1040">
        <f ca="1">ROUNDUP(IF(0.1*(SUM($E$15:$E$30))&gt;8,0.1*(SUM($E$15:$E$30)),8),0)</f>
        <v>8</v>
      </c>
      <c r="F28" s="1223"/>
      <c r="G28" s="1048"/>
      <c r="H28" s="1130"/>
      <c r="I28" s="1040"/>
      <c r="J28" s="1048">
        <f ca="1">0.5*$C28</f>
        <v>4</v>
      </c>
      <c r="K28" s="1130">
        <f ca="1">0.5*$D28</f>
        <v>4</v>
      </c>
      <c r="L28" s="1040">
        <f ca="1">0.5*$E28</f>
        <v>4</v>
      </c>
      <c r="M28" s="1048">
        <f ca="1">0.5*$C28</f>
        <v>4</v>
      </c>
      <c r="N28" s="1130">
        <f ca="1">0.5*$D28</f>
        <v>4</v>
      </c>
      <c r="O28" s="1040">
        <f ca="1">0.5*$E28</f>
        <v>4</v>
      </c>
      <c r="P28" s="1039"/>
    </row>
    <row r="29" spans="1:16" ht="26.25" thickBot="1" x14ac:dyDescent="0.3">
      <c r="A29" s="1070" t="s">
        <v>964</v>
      </c>
      <c r="B29" s="1048" t="s">
        <v>899</v>
      </c>
      <c r="C29" s="1048">
        <f ca="1">ROUNDUP(IF(0.05*(SUM($C$15:$C$30))&gt;8,0.05*(SUM($C$15:$C$30)),8),0)</f>
        <v>8</v>
      </c>
      <c r="D29" s="1130">
        <f ca="1">ROUNDUP(IF(0.05*(SUM($D$9:$D$30))&gt;8,0.05*(SUM($D$9:$D$30)),8),0)</f>
        <v>8</v>
      </c>
      <c r="E29" s="1040">
        <f ca="1">ROUNDUP(IF(0.05*(SUM($E$15:$E$30))&gt;8,0.05*(SUM($E$15:$E$30)),8),0)</f>
        <v>8</v>
      </c>
      <c r="F29" s="1223"/>
      <c r="G29" s="1048"/>
      <c r="H29" s="1130"/>
      <c r="I29" s="1040"/>
      <c r="J29" s="1237">
        <f ca="1">0.5*$C29</f>
        <v>4</v>
      </c>
      <c r="K29" s="1238">
        <f ca="1">0.5*$D29</f>
        <v>4</v>
      </c>
      <c r="L29" s="1155">
        <f ca="1">0.5*$E29</f>
        <v>4</v>
      </c>
      <c r="M29" s="1237">
        <f ca="1">0.5*$C29</f>
        <v>4</v>
      </c>
      <c r="N29" s="1238">
        <f ca="1">0.5*$D29</f>
        <v>4</v>
      </c>
      <c r="O29" s="1155">
        <f ca="1">0.5*$E29</f>
        <v>4</v>
      </c>
      <c r="P29" s="1156"/>
    </row>
    <row r="30" spans="1:16" ht="15.75" thickBot="1" x14ac:dyDescent="0.3">
      <c r="A30" s="1067" t="s">
        <v>564</v>
      </c>
      <c r="B30" s="1239" t="s">
        <v>52</v>
      </c>
      <c r="C30" s="1240">
        <f ca="1">SUM(C4:C29)</f>
        <v>34.5</v>
      </c>
      <c r="D30" s="1240">
        <f ca="1">SUM(D4:D29)</f>
        <v>38</v>
      </c>
      <c r="E30" s="1240">
        <f ca="1">SUM(E4:E29)</f>
        <v>33.5</v>
      </c>
      <c r="F30" s="1240"/>
      <c r="G30" s="1240">
        <f t="shared" ref="G30:O30" si="6">SUM(G4:G29)</f>
        <v>9.1999999999999993</v>
      </c>
      <c r="H30" s="1240">
        <f t="shared" si="6"/>
        <v>10.3</v>
      </c>
      <c r="I30" s="1240">
        <f t="shared" si="6"/>
        <v>8.8999999999999986</v>
      </c>
      <c r="J30" s="1240">
        <f t="shared" ca="1" si="6"/>
        <v>16.3</v>
      </c>
      <c r="K30" s="1240">
        <f t="shared" ca="1" si="6"/>
        <v>17.2</v>
      </c>
      <c r="L30" s="1240">
        <f t="shared" ca="1" si="6"/>
        <v>15.600000000000001</v>
      </c>
      <c r="M30" s="1241">
        <f t="shared" ca="1" si="6"/>
        <v>9</v>
      </c>
      <c r="N30" s="1241">
        <f t="shared" ca="1" si="6"/>
        <v>9.5</v>
      </c>
      <c r="O30" s="1241">
        <f t="shared" ca="1" si="6"/>
        <v>9</v>
      </c>
      <c r="P30" s="1054"/>
    </row>
    <row r="31" spans="1:16" x14ac:dyDescent="0.25">
      <c r="A31" s="1067"/>
      <c r="B31" s="1067"/>
      <c r="C31" s="1067"/>
      <c r="D31" s="1067"/>
      <c r="E31" s="1067"/>
      <c r="F31" s="1067"/>
      <c r="G31" s="1067"/>
      <c r="H31" s="1067"/>
      <c r="I31" s="1067"/>
      <c r="J31" s="1067"/>
      <c r="K31" s="1067"/>
      <c r="L31" s="1067"/>
      <c r="M31" s="1067"/>
      <c r="N31" s="1067"/>
      <c r="O31" s="1067"/>
      <c r="P31" s="1067"/>
    </row>
    <row r="32" spans="1:16" x14ac:dyDescent="0.25">
      <c r="A32" s="1067"/>
      <c r="B32" s="268" t="s">
        <v>901</v>
      </c>
      <c r="C32" s="636">
        <f>ROUNDUP(SUM(C6:C9)/8,0)</f>
        <v>1</v>
      </c>
      <c r="D32" s="636">
        <f>ROUNDUP(SUM(D6:D9)/8,0)</f>
        <v>1</v>
      </c>
      <c r="E32" s="636">
        <f>ROUNDUP(SUM(E6:E9)/8,0)</f>
        <v>1</v>
      </c>
      <c r="F32" s="636"/>
      <c r="G32" s="636">
        <f t="shared" ref="G32:L32" si="7">ROUNDUP(SUM(G6:G9)/8,0)</f>
        <v>1</v>
      </c>
      <c r="H32" s="636">
        <f t="shared" si="7"/>
        <v>1</v>
      </c>
      <c r="I32" s="636">
        <f t="shared" si="7"/>
        <v>1</v>
      </c>
      <c r="J32" s="636">
        <f t="shared" si="7"/>
        <v>1</v>
      </c>
      <c r="K32" s="636">
        <f t="shared" si="7"/>
        <v>1</v>
      </c>
      <c r="L32" s="636">
        <f t="shared" si="7"/>
        <v>1</v>
      </c>
      <c r="M32" s="636">
        <f>ROUNDUP(SUM(M4:M9)/8,0)</f>
        <v>0</v>
      </c>
      <c r="N32" s="636">
        <f>ROUNDUP(SUM(N4:N9)/8,0)</f>
        <v>0</v>
      </c>
      <c r="O32" s="636">
        <f>ROUNDUP(SUM(O4:O9)/8,0)</f>
        <v>0</v>
      </c>
      <c r="P32" s="1067"/>
    </row>
    <row r="33" spans="1:16" x14ac:dyDescent="0.25">
      <c r="A33" s="1067"/>
      <c r="B33" s="63" t="s">
        <v>902</v>
      </c>
      <c r="C33" s="926">
        <f ca="1">ROUNDUP(SUM(C12:C28)/8,0)</f>
        <v>3</v>
      </c>
      <c r="D33" s="926">
        <f ca="1">ROUNDUP(SUM(D12:D28)/8,0)</f>
        <v>4</v>
      </c>
      <c r="E33" s="926">
        <f ca="1">ROUNDUP(SUM(E12:E28)/8,0)</f>
        <v>3</v>
      </c>
      <c r="F33" s="926"/>
      <c r="G33" s="926">
        <f t="shared" ref="G33:O33" si="8">ROUNDUP(SUM(G12:G28)/8,0)</f>
        <v>1</v>
      </c>
      <c r="H33" s="926">
        <f t="shared" si="8"/>
        <v>2</v>
      </c>
      <c r="I33" s="926">
        <f t="shared" si="8"/>
        <v>1</v>
      </c>
      <c r="J33" s="926">
        <f t="shared" ca="1" si="8"/>
        <v>2</v>
      </c>
      <c r="K33" s="926">
        <f t="shared" ca="1" si="8"/>
        <v>2</v>
      </c>
      <c r="L33" s="926">
        <f t="shared" ca="1" si="8"/>
        <v>2</v>
      </c>
      <c r="M33" s="926">
        <f t="shared" ca="1" si="8"/>
        <v>1</v>
      </c>
      <c r="N33" s="926">
        <f t="shared" ca="1" si="8"/>
        <v>1</v>
      </c>
      <c r="O33" s="926">
        <f t="shared" ca="1" si="8"/>
        <v>1</v>
      </c>
      <c r="P33" s="1067"/>
    </row>
    <row r="34" spans="1:16" x14ac:dyDescent="0.25">
      <c r="A34" s="1067"/>
      <c r="B34" s="268" t="s">
        <v>903</v>
      </c>
      <c r="C34" s="636">
        <f ca="1">ROUNDUP(SUM(C29)/8,0)</f>
        <v>1</v>
      </c>
      <c r="D34" s="636">
        <f ca="1">ROUNDUP(SUM(D29)/8,0)</f>
        <v>1</v>
      </c>
      <c r="E34" s="636">
        <f ca="1">ROUNDUP(SUM(E29)/8,0)</f>
        <v>1</v>
      </c>
      <c r="F34" s="636"/>
      <c r="G34" s="636"/>
      <c r="H34" s="636"/>
      <c r="I34" s="636">
        <f>ROUNDUP(SUM(I29)/8,0)</f>
        <v>0</v>
      </c>
      <c r="J34" s="636">
        <f t="shared" ref="J34:K34" ca="1" si="9">ROUNDUP(SUM(J29)/8,0)</f>
        <v>1</v>
      </c>
      <c r="K34" s="636">
        <f t="shared" ca="1" si="9"/>
        <v>1</v>
      </c>
      <c r="L34" s="636">
        <f ca="1">ROUNDUP(SUM(L29)/8,0)</f>
        <v>1</v>
      </c>
      <c r="M34" s="636">
        <f ca="1">ROUNDUP(SUM(M29)/8,0)</f>
        <v>1</v>
      </c>
      <c r="N34" s="636">
        <f ca="1">ROUNDUP(SUM(N29)/8,0)</f>
        <v>1</v>
      </c>
      <c r="O34" s="636">
        <f ca="1">ROUNDUP(SUM(O29)/8,0)</f>
        <v>1</v>
      </c>
      <c r="P34" s="1067"/>
    </row>
    <row r="35" spans="1:16" x14ac:dyDescent="0.25">
      <c r="A35" s="1067"/>
      <c r="B35" s="63" t="s">
        <v>904</v>
      </c>
      <c r="C35" s="926">
        <f ca="1">ROUNDUP(C30/8,0)</f>
        <v>5</v>
      </c>
      <c r="D35" s="926">
        <f ca="1">ROUNDUP(D30/8,0)</f>
        <v>5</v>
      </c>
      <c r="E35" s="926">
        <f ca="1">ROUNDUP(E30/8,0)</f>
        <v>5</v>
      </c>
      <c r="F35" s="926"/>
      <c r="G35" s="926">
        <f t="shared" ref="G35:O35" si="10">ROUNDUP(G30/8,0)</f>
        <v>2</v>
      </c>
      <c r="H35" s="926">
        <f t="shared" si="10"/>
        <v>2</v>
      </c>
      <c r="I35" s="926">
        <f t="shared" si="10"/>
        <v>2</v>
      </c>
      <c r="J35" s="926">
        <f t="shared" ca="1" si="10"/>
        <v>3</v>
      </c>
      <c r="K35" s="926">
        <f t="shared" ca="1" si="10"/>
        <v>3</v>
      </c>
      <c r="L35" s="926">
        <f t="shared" ca="1" si="10"/>
        <v>2</v>
      </c>
      <c r="M35" s="926">
        <f t="shared" ca="1" si="10"/>
        <v>2</v>
      </c>
      <c r="N35" s="926">
        <f t="shared" ca="1" si="10"/>
        <v>2</v>
      </c>
      <c r="O35" s="926">
        <f t="shared" ca="1" si="10"/>
        <v>2</v>
      </c>
      <c r="P35" s="1067"/>
    </row>
  </sheetData>
  <mergeCells count="4">
    <mergeCell ref="C1:E1"/>
    <mergeCell ref="G1:I1"/>
    <mergeCell ref="J1:L1"/>
    <mergeCell ref="M1:O1"/>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Лист76">
    <tabColor theme="8"/>
  </sheetPr>
  <dimension ref="A1:H25"/>
  <sheetViews>
    <sheetView workbookViewId="0">
      <selection activeCell="B6" sqref="B6"/>
    </sheetView>
  </sheetViews>
  <sheetFormatPr defaultRowHeight="15" x14ac:dyDescent="0.25"/>
  <cols>
    <col min="1" max="1" width="69.5703125" customWidth="1"/>
    <col min="2" max="2" width="26.42578125" customWidth="1"/>
    <col min="3" max="3" width="23.5703125" customWidth="1"/>
    <col min="4" max="4" width="14.28515625" customWidth="1"/>
    <col min="5" max="7" width="27.28515625" customWidth="1"/>
    <col min="8" max="8" width="15.7109375" customWidth="1"/>
  </cols>
  <sheetData>
    <row r="1" spans="1:8" x14ac:dyDescent="0.25">
      <c r="A1" s="1136"/>
      <c r="B1" s="1137" t="s">
        <v>75</v>
      </c>
      <c r="C1" s="1138" t="s">
        <v>68</v>
      </c>
      <c r="D1" s="1067"/>
      <c r="E1" s="1067"/>
      <c r="F1" s="1067"/>
      <c r="G1" s="1067"/>
      <c r="H1" s="1067"/>
    </row>
    <row r="2" spans="1:8" x14ac:dyDescent="0.25">
      <c r="A2" s="1139"/>
      <c r="B2" s="1067"/>
      <c r="C2" s="1138"/>
      <c r="D2" s="1067"/>
      <c r="E2" s="1067"/>
      <c r="F2" s="1067"/>
      <c r="G2" s="1067"/>
      <c r="H2" s="1067"/>
    </row>
    <row r="3" spans="1:8" ht="15.75" thickBot="1" x14ac:dyDescent="0.3">
      <c r="A3" s="1067"/>
      <c r="B3" s="1067"/>
      <c r="C3" s="1138"/>
      <c r="D3" s="1067"/>
      <c r="E3" s="1067"/>
      <c r="F3" s="1067"/>
      <c r="G3" s="1067"/>
      <c r="H3" s="1067"/>
    </row>
    <row r="4" spans="1:8" ht="25.5" x14ac:dyDescent="0.25">
      <c r="A4" s="1140" t="s">
        <v>872</v>
      </c>
      <c r="B4" s="1141" t="s">
        <v>873</v>
      </c>
      <c r="C4" s="1142" t="s">
        <v>874</v>
      </c>
      <c r="D4" s="1141" t="s">
        <v>52</v>
      </c>
      <c r="E4" s="1142" t="s">
        <v>715</v>
      </c>
      <c r="F4" s="1142" t="s">
        <v>714</v>
      </c>
      <c r="G4" s="1142" t="s">
        <v>713</v>
      </c>
      <c r="H4" s="1141" t="s">
        <v>875</v>
      </c>
    </row>
    <row r="5" spans="1:8" x14ac:dyDescent="0.25">
      <c r="A5" s="1037" t="s">
        <v>909</v>
      </c>
      <c r="B5" s="1038">
        <v>1</v>
      </c>
      <c r="C5" s="1040"/>
      <c r="D5" s="1039"/>
      <c r="E5" s="1040"/>
      <c r="F5" s="1039"/>
      <c r="G5" s="1040"/>
      <c r="H5" s="1039"/>
    </row>
    <row r="6" spans="1:8" x14ac:dyDescent="0.25">
      <c r="A6" s="1037" t="s">
        <v>1169</v>
      </c>
      <c r="B6" s="1038">
        <v>1</v>
      </c>
      <c r="C6" s="1040"/>
      <c r="D6" s="1039"/>
      <c r="E6" s="1040"/>
      <c r="F6" s="1039"/>
      <c r="G6" s="1040"/>
      <c r="H6" s="1039"/>
    </row>
    <row r="7" spans="1:8" x14ac:dyDescent="0.25">
      <c r="A7" s="1037" t="s">
        <v>1170</v>
      </c>
      <c r="B7" s="1232">
        <v>1</v>
      </c>
      <c r="C7" s="1039">
        <v>0.5</v>
      </c>
      <c r="D7" s="1039">
        <v>4</v>
      </c>
      <c r="E7" s="1040"/>
      <c r="F7" s="1039">
        <f>D7/8</f>
        <v>0.5</v>
      </c>
      <c r="G7" s="1040"/>
      <c r="H7" s="1039"/>
    </row>
    <row r="8" spans="1:8" x14ac:dyDescent="0.25">
      <c r="A8" s="1037" t="s">
        <v>887</v>
      </c>
      <c r="B8" s="1049"/>
      <c r="C8" s="1039"/>
      <c r="D8" s="1039"/>
      <c r="E8" s="1040"/>
      <c r="F8" s="1039"/>
      <c r="G8" s="1040"/>
      <c r="H8" s="1039"/>
    </row>
    <row r="9" spans="1:8" x14ac:dyDescent="0.25">
      <c r="A9" s="1042" t="s">
        <v>1171</v>
      </c>
      <c r="B9" s="1049">
        <v>1</v>
      </c>
      <c r="C9" s="1039">
        <v>0.5</v>
      </c>
      <c r="D9" s="1039">
        <f>C9*$B$5</f>
        <v>0.5</v>
      </c>
      <c r="E9" s="1040">
        <f>0.6*$D9</f>
        <v>0.3</v>
      </c>
      <c r="F9" s="1039">
        <f>0.4*$D9</f>
        <v>0.2</v>
      </c>
      <c r="G9" s="1040"/>
      <c r="H9" s="1039"/>
    </row>
    <row r="10" spans="1:8" x14ac:dyDescent="0.25">
      <c r="A10" s="1234" t="s">
        <v>1172</v>
      </c>
      <c r="B10" s="1049">
        <v>1</v>
      </c>
      <c r="C10" s="1039">
        <v>0.5</v>
      </c>
      <c r="D10" s="1039">
        <f>C10*$B$5</f>
        <v>0.5</v>
      </c>
      <c r="E10" s="1040">
        <f>0.6*$D10</f>
        <v>0.3</v>
      </c>
      <c r="F10" s="1039">
        <f>0.4*$D10</f>
        <v>0.2</v>
      </c>
      <c r="G10" s="1040"/>
      <c r="H10" s="1039"/>
    </row>
    <row r="11" spans="1:8" x14ac:dyDescent="0.25">
      <c r="A11" s="1234" t="s">
        <v>1173</v>
      </c>
      <c r="B11" s="1049">
        <v>1</v>
      </c>
      <c r="C11" s="1039">
        <v>0.5</v>
      </c>
      <c r="D11" s="1039">
        <f>C11*$B$7</f>
        <v>0.5</v>
      </c>
      <c r="E11" s="1040">
        <f>0.8*$D11</f>
        <v>0.4</v>
      </c>
      <c r="F11" s="1039">
        <f>0.2*$D11</f>
        <v>0.1</v>
      </c>
      <c r="G11" s="1040"/>
      <c r="H11" s="1039"/>
    </row>
    <row r="12" spans="1:8" x14ac:dyDescent="0.25">
      <c r="A12" s="1234" t="s">
        <v>1174</v>
      </c>
      <c r="B12" s="1049">
        <v>1</v>
      </c>
      <c r="C12" s="1039">
        <v>0.5</v>
      </c>
      <c r="D12" s="1039">
        <f t="shared" ref="D12:D16" si="0">C12*$B$6</f>
        <v>0.5</v>
      </c>
      <c r="E12" s="1040">
        <f t="shared" ref="E12:F12" si="1">0.5*$D12</f>
        <v>0.25</v>
      </c>
      <c r="F12" s="1039">
        <f t="shared" si="1"/>
        <v>0.25</v>
      </c>
      <c r="G12" s="1040"/>
      <c r="H12" s="1039"/>
    </row>
    <row r="13" spans="1:8" x14ac:dyDescent="0.25">
      <c r="A13" s="1234" t="s">
        <v>1175</v>
      </c>
      <c r="B13" s="1049">
        <v>1</v>
      </c>
      <c r="C13" s="1039">
        <v>0.5</v>
      </c>
      <c r="D13" s="1039">
        <f>C13*$B$5</f>
        <v>0.5</v>
      </c>
      <c r="E13" s="1040">
        <f>1*$D13</f>
        <v>0.5</v>
      </c>
      <c r="F13" s="1039"/>
      <c r="G13" s="1040"/>
      <c r="H13" s="1039"/>
    </row>
    <row r="14" spans="1:8" x14ac:dyDescent="0.25">
      <c r="A14" s="268" t="s">
        <v>1176</v>
      </c>
      <c r="B14" s="1049">
        <v>1</v>
      </c>
      <c r="C14" s="1039">
        <v>1</v>
      </c>
      <c r="D14" s="1039">
        <f t="shared" si="0"/>
        <v>1</v>
      </c>
      <c r="E14" s="1040">
        <f>0.2*$D14</f>
        <v>0.2</v>
      </c>
      <c r="F14" s="1039">
        <f>0.8*$D14</f>
        <v>0.8</v>
      </c>
      <c r="G14" s="1040"/>
      <c r="H14" s="1039"/>
    </row>
    <row r="15" spans="1:8" x14ac:dyDescent="0.25">
      <c r="A15" s="1042" t="s">
        <v>1177</v>
      </c>
      <c r="B15" s="1049">
        <v>1</v>
      </c>
      <c r="C15" s="1039">
        <v>0.5</v>
      </c>
      <c r="D15" s="1039">
        <f t="shared" si="0"/>
        <v>0.5</v>
      </c>
      <c r="E15" s="1040">
        <f>0.6*$D15</f>
        <v>0.3</v>
      </c>
      <c r="F15" s="1039">
        <f>0.4*$D15</f>
        <v>0.2</v>
      </c>
      <c r="G15" s="1040"/>
      <c r="H15" s="1039"/>
    </row>
    <row r="16" spans="1:8" x14ac:dyDescent="0.25">
      <c r="A16" s="1234" t="s">
        <v>1178</v>
      </c>
      <c r="B16" s="1049"/>
      <c r="C16" s="1039">
        <v>0.5</v>
      </c>
      <c r="D16" s="1039">
        <f t="shared" si="0"/>
        <v>0.5</v>
      </c>
      <c r="E16" s="1040">
        <f>1*$D16</f>
        <v>0.5</v>
      </c>
      <c r="F16" s="1039"/>
      <c r="G16" s="1040"/>
      <c r="H16" s="1039"/>
    </row>
    <row r="17" spans="1:8" x14ac:dyDescent="0.25">
      <c r="A17" s="1234" t="s">
        <v>1179</v>
      </c>
      <c r="B17" s="1049">
        <v>1</v>
      </c>
      <c r="C17" s="1039">
        <v>1</v>
      </c>
      <c r="D17" s="1039">
        <f>C17*$B$7</f>
        <v>1</v>
      </c>
      <c r="E17" s="1040"/>
      <c r="F17" s="1039">
        <f>1*$D17</f>
        <v>1</v>
      </c>
      <c r="G17" s="1040"/>
      <c r="H17" s="1039"/>
    </row>
    <row r="18" spans="1:8" ht="25.5" x14ac:dyDescent="0.25">
      <c r="A18" s="1037" t="s">
        <v>963</v>
      </c>
      <c r="B18" s="1049">
        <v>1</v>
      </c>
      <c r="C18" s="1039" t="s">
        <v>897</v>
      </c>
      <c r="D18" s="1039">
        <f>ROUNDUP(IF(0.1*(SUM($D$9:$D$15))&gt;8,0.1*(SUM($D$9:$D$15)),8),0)</f>
        <v>8</v>
      </c>
      <c r="E18" s="1040"/>
      <c r="F18" s="1039">
        <f>0.5*$D18</f>
        <v>4</v>
      </c>
      <c r="G18" s="1040">
        <f>0.5*$D18</f>
        <v>4</v>
      </c>
      <c r="H18" s="1039"/>
    </row>
    <row r="19" spans="1:8" ht="26.25" thickBot="1" x14ac:dyDescent="0.3">
      <c r="A19" s="1070" t="s">
        <v>964</v>
      </c>
      <c r="B19" s="1049">
        <v>1</v>
      </c>
      <c r="C19" s="1039" t="s">
        <v>899</v>
      </c>
      <c r="D19" s="1039">
        <f>ROUNDUP(IF(0.05*(SUM($D$9:$D$15))&gt;8,0.05*(SUM($D$9:$D$15)),8),0)</f>
        <v>8</v>
      </c>
      <c r="E19" s="1155"/>
      <c r="F19" s="1039">
        <f>0.5*$D19</f>
        <v>4</v>
      </c>
      <c r="G19" s="1155">
        <f>0.5*$D19</f>
        <v>4</v>
      </c>
      <c r="H19" s="1156"/>
    </row>
    <row r="20" spans="1:8" x14ac:dyDescent="0.25">
      <c r="A20" s="1067" t="s">
        <v>564</v>
      </c>
      <c r="B20" s="268"/>
      <c r="C20" s="1242" t="s">
        <v>52</v>
      </c>
      <c r="D20" s="268">
        <f>SUM(D7:D19)</f>
        <v>25.5</v>
      </c>
      <c r="E20" s="268">
        <f>SUM(E7:E19)</f>
        <v>2.75</v>
      </c>
      <c r="F20" s="268">
        <f>SUM(F7:F19)</f>
        <v>11.25</v>
      </c>
      <c r="G20" s="268">
        <f>SUM(G7:G19)</f>
        <v>8</v>
      </c>
      <c r="H20" s="268"/>
    </row>
    <row r="21" spans="1:8" x14ac:dyDescent="0.25">
      <c r="A21" s="1067"/>
      <c r="B21" s="1067"/>
      <c r="C21" s="1067"/>
      <c r="D21" s="1067"/>
      <c r="E21" s="1067"/>
      <c r="F21" s="1067"/>
      <c r="G21" s="1067"/>
      <c r="H21" s="1067"/>
    </row>
    <row r="22" spans="1:8" x14ac:dyDescent="0.25">
      <c r="A22" s="1067"/>
      <c r="B22" s="1067"/>
      <c r="C22" s="268" t="s">
        <v>901</v>
      </c>
      <c r="D22" s="636">
        <v>0</v>
      </c>
      <c r="E22" s="636">
        <v>0</v>
      </c>
      <c r="F22" s="636">
        <v>0</v>
      </c>
      <c r="G22" s="636">
        <v>0</v>
      </c>
      <c r="H22" s="1067"/>
    </row>
    <row r="23" spans="1:8" x14ac:dyDescent="0.25">
      <c r="A23" s="1067"/>
      <c r="B23" s="1067"/>
      <c r="C23" s="63" t="s">
        <v>902</v>
      </c>
      <c r="D23" s="926">
        <f>ROUNDUP(SUM(D9:D18)/8,0)</f>
        <v>2</v>
      </c>
      <c r="E23" s="926">
        <f>ROUNDUP(SUM(E9:E18)/8,0)</f>
        <v>1</v>
      </c>
      <c r="F23" s="926">
        <f>ROUNDUP(SUM(F9:F18)/8,0)</f>
        <v>1</v>
      </c>
      <c r="G23" s="926">
        <f>ROUNDUP(SUM(G9:G18)/8,0)</f>
        <v>1</v>
      </c>
      <c r="H23" s="1067"/>
    </row>
    <row r="24" spans="1:8" x14ac:dyDescent="0.25">
      <c r="A24" s="1067"/>
      <c r="B24" s="1067"/>
      <c r="C24" s="268" t="s">
        <v>903</v>
      </c>
      <c r="D24" s="636">
        <f>ROUNDUP(SUM(D19)/8,0)</f>
        <v>1</v>
      </c>
      <c r="E24" s="636">
        <f t="shared" ref="E24:G24" si="2">ROUNDUP(SUM(E19)/8,0)</f>
        <v>0</v>
      </c>
      <c r="F24" s="636">
        <f t="shared" si="2"/>
        <v>1</v>
      </c>
      <c r="G24" s="636">
        <f t="shared" si="2"/>
        <v>1</v>
      </c>
      <c r="H24" s="1067"/>
    </row>
    <row r="25" spans="1:8" x14ac:dyDescent="0.25">
      <c r="A25" s="1067"/>
      <c r="B25" s="1067"/>
      <c r="C25" s="63" t="s">
        <v>904</v>
      </c>
      <c r="D25" s="926">
        <f>ROUNDUP(D20/8,0)</f>
        <v>4</v>
      </c>
      <c r="E25" s="926">
        <f>ROUNDUP(E20/8,0)</f>
        <v>1</v>
      </c>
      <c r="F25" s="926">
        <f>ROUNDUP(F20/8,0)</f>
        <v>2</v>
      </c>
      <c r="G25" s="926">
        <f>ROUNDUP(G20/8,0)</f>
        <v>1</v>
      </c>
      <c r="H25" s="1067"/>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Лист77">
    <tabColor theme="8"/>
  </sheetPr>
  <dimension ref="A1:H24"/>
  <sheetViews>
    <sheetView topLeftCell="B1" workbookViewId="0">
      <selection activeCell="B2" sqref="B2"/>
    </sheetView>
  </sheetViews>
  <sheetFormatPr defaultRowHeight="15" x14ac:dyDescent="0.25"/>
  <cols>
    <col min="1" max="1" width="69.5703125" customWidth="1"/>
    <col min="2" max="2" width="26.42578125" customWidth="1"/>
    <col min="3" max="3" width="23.5703125" customWidth="1"/>
    <col min="4" max="4" width="11" customWidth="1"/>
    <col min="5" max="7" width="27.28515625" customWidth="1"/>
    <col min="8" max="8" width="15.7109375" customWidth="1"/>
  </cols>
  <sheetData>
    <row r="1" spans="1:8" ht="25.5" x14ac:dyDescent="0.25">
      <c r="A1" s="1140" t="s">
        <v>872</v>
      </c>
      <c r="B1" s="1141" t="s">
        <v>873</v>
      </c>
      <c r="C1" s="1142" t="s">
        <v>874</v>
      </c>
      <c r="D1" s="1141" t="s">
        <v>52</v>
      </c>
      <c r="E1" s="1142" t="s">
        <v>715</v>
      </c>
      <c r="F1" s="1142" t="s">
        <v>714</v>
      </c>
      <c r="G1" s="1142" t="s">
        <v>713</v>
      </c>
      <c r="H1" s="1141" t="s">
        <v>875</v>
      </c>
    </row>
    <row r="2" spans="1:8" ht="89.25" x14ac:dyDescent="0.25">
      <c r="A2" s="1037" t="s">
        <v>876</v>
      </c>
      <c r="B2" s="1038">
        <f>ТрЗ_ОВ!E160</f>
        <v>0</v>
      </c>
      <c r="C2" s="1040"/>
      <c r="D2" s="1039"/>
      <c r="E2" s="1040"/>
      <c r="F2" s="1039"/>
      <c r="G2" s="1040"/>
      <c r="H2" s="1039" t="s">
        <v>1020</v>
      </c>
    </row>
    <row r="3" spans="1:8" x14ac:dyDescent="0.25">
      <c r="A3" s="1037" t="s">
        <v>1180</v>
      </c>
      <c r="B3" s="1038">
        <f>ТрЗ_ОВ!H160</f>
        <v>0</v>
      </c>
      <c r="C3" s="1040"/>
      <c r="D3" s="1039"/>
      <c r="E3" s="1040"/>
      <c r="F3" s="1039"/>
      <c r="G3" s="1040"/>
      <c r="H3" s="1039"/>
    </row>
    <row r="4" spans="1:8" x14ac:dyDescent="0.25">
      <c r="A4" s="1037" t="s">
        <v>880</v>
      </c>
      <c r="B4" s="1143">
        <v>1</v>
      </c>
      <c r="C4" s="1242">
        <v>4</v>
      </c>
      <c r="D4" s="1130">
        <f>4*B2</f>
        <v>0</v>
      </c>
      <c r="E4" s="1040"/>
      <c r="F4" s="1039">
        <f>D4/8</f>
        <v>0</v>
      </c>
      <c r="G4" s="1040"/>
      <c r="H4" s="1039"/>
    </row>
    <row r="5" spans="1:8" x14ac:dyDescent="0.25">
      <c r="A5" s="1037" t="s">
        <v>881</v>
      </c>
      <c r="B5" s="1143" t="s">
        <v>882</v>
      </c>
      <c r="C5" s="1242"/>
      <c r="D5" s="1130"/>
      <c r="E5" s="1040"/>
      <c r="F5" s="1040"/>
      <c r="G5" s="1040"/>
      <c r="H5" s="1039"/>
    </row>
    <row r="6" spans="1:8" x14ac:dyDescent="0.25">
      <c r="A6" s="1042" t="s">
        <v>883</v>
      </c>
      <c r="B6" s="1049">
        <v>1</v>
      </c>
      <c r="C6" s="1242">
        <v>1</v>
      </c>
      <c r="D6" s="1130">
        <f t="shared" ref="D6:D16" si="0">C6*$B$6</f>
        <v>1</v>
      </c>
      <c r="E6" s="1040">
        <f t="shared" ref="E6:F9" si="1">0.5*$D6</f>
        <v>0.5</v>
      </c>
      <c r="F6" s="1040">
        <f t="shared" si="1"/>
        <v>0.5</v>
      </c>
      <c r="G6" s="1040"/>
      <c r="H6" s="1039"/>
    </row>
    <row r="7" spans="1:8" x14ac:dyDescent="0.25">
      <c r="A7" s="1042" t="s">
        <v>884</v>
      </c>
      <c r="B7" s="1049">
        <v>1</v>
      </c>
      <c r="C7" s="1242">
        <v>1</v>
      </c>
      <c r="D7" s="1130">
        <f t="shared" si="0"/>
        <v>1</v>
      </c>
      <c r="E7" s="1040">
        <f t="shared" si="1"/>
        <v>0.5</v>
      </c>
      <c r="F7" s="1040">
        <f t="shared" si="1"/>
        <v>0.5</v>
      </c>
      <c r="G7" s="1040"/>
      <c r="H7" s="1039"/>
    </row>
    <row r="8" spans="1:8" x14ac:dyDescent="0.25">
      <c r="A8" s="1042" t="s">
        <v>885</v>
      </c>
      <c r="B8" s="1049">
        <v>1</v>
      </c>
      <c r="C8" s="1242">
        <v>1</v>
      </c>
      <c r="D8" s="1130">
        <f t="shared" si="0"/>
        <v>1</v>
      </c>
      <c r="E8" s="1040">
        <f t="shared" si="1"/>
        <v>0.5</v>
      </c>
      <c r="F8" s="1040">
        <f t="shared" si="1"/>
        <v>0.5</v>
      </c>
      <c r="G8" s="1040"/>
      <c r="H8" s="1039"/>
    </row>
    <row r="9" spans="1:8" x14ac:dyDescent="0.25">
      <c r="A9" s="1042" t="s">
        <v>886</v>
      </c>
      <c r="B9" s="1049">
        <v>1</v>
      </c>
      <c r="C9" s="1242">
        <v>1</v>
      </c>
      <c r="D9" s="1130">
        <f t="shared" si="0"/>
        <v>1</v>
      </c>
      <c r="E9" s="1040">
        <f t="shared" si="1"/>
        <v>0.5</v>
      </c>
      <c r="F9" s="1040">
        <f t="shared" si="1"/>
        <v>0.5</v>
      </c>
      <c r="G9" s="1040"/>
      <c r="H9" s="1039"/>
    </row>
    <row r="10" spans="1:8" x14ac:dyDescent="0.25">
      <c r="A10" s="1037" t="s">
        <v>887</v>
      </c>
      <c r="B10" s="1049"/>
      <c r="C10" s="1242"/>
      <c r="D10" s="1130"/>
      <c r="E10" s="1040"/>
      <c r="F10" s="1039"/>
      <c r="G10" s="1040"/>
      <c r="H10" s="1039"/>
    </row>
    <row r="11" spans="1:8" x14ac:dyDescent="0.25">
      <c r="A11" s="1037" t="s">
        <v>888</v>
      </c>
      <c r="B11" s="1049"/>
      <c r="C11" s="1242"/>
      <c r="D11" s="1130"/>
      <c r="E11" s="1040"/>
      <c r="F11" s="1039"/>
      <c r="G11" s="1040"/>
      <c r="H11" s="1039"/>
    </row>
    <row r="12" spans="1:8" x14ac:dyDescent="0.25">
      <c r="A12" s="1042" t="s">
        <v>889</v>
      </c>
      <c r="B12" s="1049">
        <v>2</v>
      </c>
      <c r="C12" s="1243">
        <v>4</v>
      </c>
      <c r="D12" s="1130">
        <f t="shared" si="0"/>
        <v>4</v>
      </c>
      <c r="E12" s="1040">
        <f>0.5*$D12</f>
        <v>2</v>
      </c>
      <c r="F12" s="1040">
        <f>0.5*$D12</f>
        <v>2</v>
      </c>
      <c r="G12" s="1040"/>
      <c r="H12" s="1039"/>
    </row>
    <row r="13" spans="1:8" x14ac:dyDescent="0.25">
      <c r="A13" s="268" t="s">
        <v>895</v>
      </c>
      <c r="B13" s="1049">
        <v>0.5</v>
      </c>
      <c r="C13" s="1243">
        <v>1</v>
      </c>
      <c r="D13" s="1130">
        <f t="shared" si="0"/>
        <v>1</v>
      </c>
      <c r="E13" s="1040">
        <f t="shared" ref="E13:F16" si="2">0.5*$D13</f>
        <v>0.5</v>
      </c>
      <c r="F13" s="1040">
        <f t="shared" si="2"/>
        <v>0.5</v>
      </c>
      <c r="G13" s="1067"/>
      <c r="H13" s="1067"/>
    </row>
    <row r="14" spans="1:8" x14ac:dyDescent="0.25">
      <c r="A14" s="1189" t="s">
        <v>1181</v>
      </c>
      <c r="B14" s="1049">
        <v>1</v>
      </c>
      <c r="C14" s="1243">
        <v>2</v>
      </c>
      <c r="D14" s="1130">
        <f t="shared" si="0"/>
        <v>2</v>
      </c>
      <c r="E14" s="1040">
        <f t="shared" si="2"/>
        <v>1</v>
      </c>
      <c r="F14" s="1040">
        <f t="shared" si="2"/>
        <v>1</v>
      </c>
      <c r="G14" s="1040"/>
      <c r="H14" s="1039"/>
    </row>
    <row r="15" spans="1:8" x14ac:dyDescent="0.25">
      <c r="A15" s="268" t="s">
        <v>1182</v>
      </c>
      <c r="B15" s="1049">
        <v>0.5</v>
      </c>
      <c r="C15" s="1243">
        <v>0.5</v>
      </c>
      <c r="D15" s="1130">
        <f t="shared" si="0"/>
        <v>0.5</v>
      </c>
      <c r="E15" s="1040">
        <f t="shared" si="2"/>
        <v>0.25</v>
      </c>
      <c r="F15" s="1040">
        <f t="shared" si="2"/>
        <v>0.25</v>
      </c>
      <c r="G15" s="1067"/>
      <c r="H15" s="1067"/>
    </row>
    <row r="16" spans="1:8" x14ac:dyDescent="0.25">
      <c r="A16" s="1042" t="s">
        <v>1027</v>
      </c>
      <c r="B16" s="1049">
        <v>0.5</v>
      </c>
      <c r="C16" s="1243">
        <v>0.5</v>
      </c>
      <c r="D16" s="1130">
        <f t="shared" si="0"/>
        <v>0.5</v>
      </c>
      <c r="E16" s="1040">
        <f t="shared" si="2"/>
        <v>0.25</v>
      </c>
      <c r="F16" s="1040">
        <f t="shared" si="2"/>
        <v>0.25</v>
      </c>
      <c r="G16" s="1040"/>
      <c r="H16" s="1039"/>
    </row>
    <row r="17" spans="1:8" ht="25.5" x14ac:dyDescent="0.25">
      <c r="A17" s="1037" t="s">
        <v>963</v>
      </c>
      <c r="B17" s="1043">
        <v>1</v>
      </c>
      <c r="C17" s="1223" t="s">
        <v>897</v>
      </c>
      <c r="D17" s="1130">
        <f ca="1">ROUNDUP(IF(0.1*(SUM($D$15:$D$19))&gt;8,0.1*(SUM($D$15:$D$19)),8),0)</f>
        <v>8</v>
      </c>
      <c r="E17" s="1040"/>
      <c r="F17" s="1040">
        <f ca="1">0.5*$D17</f>
        <v>4</v>
      </c>
      <c r="G17" s="1040">
        <f ca="1">0.5*$D17</f>
        <v>4</v>
      </c>
      <c r="H17" s="1039"/>
    </row>
    <row r="18" spans="1:8" ht="26.25" thickBot="1" x14ac:dyDescent="0.3">
      <c r="A18" s="1070" t="s">
        <v>964</v>
      </c>
      <c r="B18" s="1043">
        <v>1</v>
      </c>
      <c r="C18" s="1244" t="s">
        <v>899</v>
      </c>
      <c r="D18" s="1130">
        <f ca="1">ROUNDUP(IF(0.05*(SUM($D$15:$D$19))&gt;8,0.05*(SUM($D$15:$D$19)),8),0)</f>
        <v>8</v>
      </c>
      <c r="E18" s="1155"/>
      <c r="F18" s="1155">
        <f ca="1">0.5*$D18</f>
        <v>4</v>
      </c>
      <c r="G18" s="1155">
        <f ca="1">0.5*$D18</f>
        <v>4</v>
      </c>
      <c r="H18" s="1156"/>
    </row>
    <row r="19" spans="1:8" x14ac:dyDescent="0.25">
      <c r="A19" s="1067" t="s">
        <v>564</v>
      </c>
      <c r="B19" s="268"/>
      <c r="C19" s="268"/>
      <c r="D19" s="268">
        <f ca="1">SUM(D4:D18)</f>
        <v>32</v>
      </c>
      <c r="E19" s="268">
        <f>SUM(E4:E18)</f>
        <v>6</v>
      </c>
      <c r="F19" s="268">
        <f ca="1">SUM(F4:F18)</f>
        <v>18</v>
      </c>
      <c r="G19" s="268">
        <f ca="1">SUM(G4:G18)</f>
        <v>8</v>
      </c>
      <c r="H19" s="268"/>
    </row>
    <row r="20" spans="1:8" x14ac:dyDescent="0.25">
      <c r="A20" s="1067"/>
      <c r="B20" s="1067"/>
      <c r="C20" s="1067"/>
      <c r="D20" s="1067"/>
      <c r="E20" s="1067"/>
      <c r="F20" s="1067"/>
      <c r="G20" s="1067"/>
      <c r="H20" s="1067"/>
    </row>
    <row r="21" spans="1:8" x14ac:dyDescent="0.25">
      <c r="A21" s="1067"/>
      <c r="B21" s="1067"/>
      <c r="C21" s="268" t="s">
        <v>901</v>
      </c>
      <c r="D21" s="268">
        <f>SUM(D6:D9)/8</f>
        <v>0.5</v>
      </c>
      <c r="E21" s="268">
        <f>ROUNDUP(SUM(E6:E9)/8,0)</f>
        <v>1</v>
      </c>
      <c r="F21" s="268">
        <f>ROUNDUP(SUM(F6:F9)/8,0)</f>
        <v>1</v>
      </c>
      <c r="G21" s="268">
        <f>ROUNDUP(SUM(G4:G9)/8,0)</f>
        <v>0</v>
      </c>
      <c r="H21" s="1067"/>
    </row>
    <row r="22" spans="1:8" x14ac:dyDescent="0.25">
      <c r="A22" s="1067"/>
      <c r="B22" s="1067"/>
      <c r="C22" s="63" t="s">
        <v>902</v>
      </c>
      <c r="D22" s="63">
        <f ca="1">SUM(D12:D17)/8</f>
        <v>2</v>
      </c>
      <c r="E22" s="63">
        <f>ROUNDUP(SUM(E12:E17)/8,0)</f>
        <v>1</v>
      </c>
      <c r="F22" s="63">
        <f ca="1">ROUNDUP(SUM(F12:F17)/8,0)</f>
        <v>1</v>
      </c>
      <c r="G22" s="63">
        <f ca="1">ROUNDUP(SUM(G12:G17)/8,0)</f>
        <v>1</v>
      </c>
      <c r="H22" s="1067"/>
    </row>
    <row r="23" spans="1:8" x14ac:dyDescent="0.25">
      <c r="A23" s="1067"/>
      <c r="B23" s="1067"/>
      <c r="C23" s="268" t="s">
        <v>903</v>
      </c>
      <c r="D23" s="268">
        <f ca="1">ROUNDUP(SUM(D18)/8,0)</f>
        <v>1</v>
      </c>
      <c r="E23" s="268">
        <f t="shared" ref="E23:G23" si="3">ROUNDUP(SUM(E18)/8,0)</f>
        <v>0</v>
      </c>
      <c r="F23" s="268">
        <f t="shared" ca="1" si="3"/>
        <v>1</v>
      </c>
      <c r="G23" s="268">
        <f t="shared" ca="1" si="3"/>
        <v>1</v>
      </c>
      <c r="H23" s="1067"/>
    </row>
    <row r="24" spans="1:8" x14ac:dyDescent="0.25">
      <c r="A24" s="1067"/>
      <c r="B24" s="1067"/>
      <c r="C24" s="63" t="s">
        <v>904</v>
      </c>
      <c r="D24" s="63">
        <f ca="1">ROUNDUP(D19/8,0)</f>
        <v>4</v>
      </c>
      <c r="E24" s="63">
        <f>ROUNDUP(E19/8,0)</f>
        <v>1</v>
      </c>
      <c r="F24" s="63">
        <f ca="1">ROUNDUP(F19/8,0)</f>
        <v>3</v>
      </c>
      <c r="G24" s="63">
        <f ca="1">ROUNDUP(G19/8,0)</f>
        <v>1</v>
      </c>
      <c r="H24" s="1067"/>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Лист78">
    <tabColor theme="8"/>
  </sheetPr>
  <dimension ref="A1:H57"/>
  <sheetViews>
    <sheetView topLeftCell="A4" workbookViewId="0">
      <selection activeCell="B5" sqref="B5"/>
    </sheetView>
  </sheetViews>
  <sheetFormatPr defaultRowHeight="15" x14ac:dyDescent="0.25"/>
  <cols>
    <col min="1" max="1" width="69.5703125" customWidth="1"/>
    <col min="2" max="2" width="26.42578125" customWidth="1"/>
    <col min="3" max="3" width="35.5703125" customWidth="1"/>
    <col min="4" max="4" width="11" customWidth="1"/>
    <col min="5" max="7" width="27.28515625" customWidth="1"/>
    <col min="8" max="8" width="15.7109375" customWidth="1"/>
  </cols>
  <sheetData>
    <row r="1" spans="1:8" ht="15.75" hidden="1" thickBot="1" x14ac:dyDescent="0.3">
      <c r="A1" s="1136"/>
      <c r="B1" s="1137" t="s">
        <v>75</v>
      </c>
      <c r="C1" s="1138" t="s">
        <v>68</v>
      </c>
      <c r="D1" s="1067"/>
      <c r="E1" s="1067"/>
      <c r="F1" s="1067"/>
      <c r="G1" s="1067"/>
      <c r="H1" s="1067"/>
    </row>
    <row r="2" spans="1:8" ht="15.75" hidden="1" thickBot="1" x14ac:dyDescent="0.3">
      <c r="A2" s="1139" t="s">
        <v>1205</v>
      </c>
      <c r="B2" s="1067"/>
      <c r="C2" s="1138"/>
      <c r="D2" s="1067"/>
      <c r="E2" s="1067"/>
      <c r="F2" s="1067"/>
      <c r="G2" s="1067"/>
      <c r="H2" s="1067"/>
    </row>
    <row r="3" spans="1:8" ht="15.75" hidden="1" thickBot="1" x14ac:dyDescent="0.3">
      <c r="A3" s="1067"/>
      <c r="B3" s="1067"/>
      <c r="C3" s="1138"/>
      <c r="D3" s="1067"/>
      <c r="E3" s="1067"/>
      <c r="F3" s="1067"/>
      <c r="G3" s="1067"/>
      <c r="H3" s="1067"/>
    </row>
    <row r="4" spans="1:8" ht="25.5" x14ac:dyDescent="0.25">
      <c r="A4" s="1140" t="s">
        <v>872</v>
      </c>
      <c r="B4" s="1141" t="s">
        <v>873</v>
      </c>
      <c r="C4" s="1142" t="s">
        <v>874</v>
      </c>
      <c r="D4" s="1141" t="s">
        <v>52</v>
      </c>
      <c r="E4" s="1142" t="s">
        <v>715</v>
      </c>
      <c r="F4" s="1142" t="s">
        <v>714</v>
      </c>
      <c r="G4" s="1142" t="s">
        <v>713</v>
      </c>
      <c r="H4" s="1141" t="s">
        <v>875</v>
      </c>
    </row>
    <row r="5" spans="1:8" ht="89.25" x14ac:dyDescent="0.25">
      <c r="A5" s="1037" t="s">
        <v>876</v>
      </c>
      <c r="B5" s="1038">
        <f>ТрЗ_ОВ!E39</f>
        <v>0</v>
      </c>
      <c r="C5" s="1040"/>
      <c r="D5" s="1039"/>
      <c r="E5" s="1040"/>
      <c r="F5" s="1039"/>
      <c r="G5" s="1040"/>
      <c r="H5" s="1039" t="s">
        <v>1020</v>
      </c>
    </row>
    <row r="6" spans="1:8" x14ac:dyDescent="0.25">
      <c r="A6" s="1037" t="s">
        <v>1206</v>
      </c>
      <c r="B6" s="1038">
        <f>ТрЗ_ОВ!H39</f>
        <v>0</v>
      </c>
      <c r="C6" s="1040"/>
      <c r="D6" s="1039"/>
      <c r="E6" s="1040"/>
      <c r="F6" s="1039"/>
      <c r="G6" s="1040"/>
      <c r="H6" s="1039"/>
    </row>
    <row r="7" spans="1:8" x14ac:dyDescent="0.25">
      <c r="A7" s="1037" t="s">
        <v>909</v>
      </c>
      <c r="B7" s="1038">
        <f>ТрЗ_ОВ!J39</f>
        <v>0</v>
      </c>
      <c r="C7" s="1040"/>
      <c r="D7" s="1039"/>
      <c r="E7" s="1040"/>
      <c r="F7" s="1039"/>
      <c r="G7" s="1040"/>
      <c r="H7" s="1039"/>
    </row>
    <row r="8" spans="1:8" x14ac:dyDescent="0.25">
      <c r="A8" s="1037" t="s">
        <v>880</v>
      </c>
      <c r="B8" s="1038">
        <v>1</v>
      </c>
      <c r="C8" s="1040">
        <v>4</v>
      </c>
      <c r="D8" s="1039">
        <v>4</v>
      </c>
      <c r="E8" s="1040">
        <f>2/8</f>
        <v>0.25</v>
      </c>
      <c r="F8" s="1040">
        <f>2/8</f>
        <v>0.25</v>
      </c>
      <c r="G8" s="1040"/>
      <c r="H8" s="1039"/>
    </row>
    <row r="9" spans="1:8" x14ac:dyDescent="0.25">
      <c r="A9" s="1037" t="s">
        <v>881</v>
      </c>
      <c r="B9" s="1041" t="s">
        <v>882</v>
      </c>
      <c r="C9" s="1040">
        <f>SUM(C10:C13)</f>
        <v>4</v>
      </c>
      <c r="D9" s="1039">
        <f>C9*B6</f>
        <v>0</v>
      </c>
      <c r="E9" s="1040">
        <f>0.5*$D$9</f>
        <v>0</v>
      </c>
      <c r="F9" s="1040">
        <f>0.5*$D$9</f>
        <v>0</v>
      </c>
      <c r="G9" s="1040"/>
      <c r="H9" s="1039"/>
    </row>
    <row r="10" spans="1:8" x14ac:dyDescent="0.25">
      <c r="A10" s="1042" t="s">
        <v>883</v>
      </c>
      <c r="B10" s="1043">
        <v>1</v>
      </c>
      <c r="C10" s="1040">
        <v>1</v>
      </c>
      <c r="D10" s="1039"/>
      <c r="E10" s="1040"/>
      <c r="F10" s="1039"/>
      <c r="G10" s="1040"/>
      <c r="H10" s="1039"/>
    </row>
    <row r="11" spans="1:8" x14ac:dyDescent="0.25">
      <c r="A11" s="1042" t="s">
        <v>884</v>
      </c>
      <c r="B11" s="1043">
        <v>1</v>
      </c>
      <c r="C11" s="1040">
        <v>1</v>
      </c>
      <c r="D11" s="1039"/>
      <c r="E11" s="1040"/>
      <c r="F11" s="1039"/>
      <c r="G11" s="1040"/>
      <c r="H11" s="1039"/>
    </row>
    <row r="12" spans="1:8" x14ac:dyDescent="0.25">
      <c r="A12" s="1042" t="s">
        <v>885</v>
      </c>
      <c r="B12" s="1043">
        <v>1</v>
      </c>
      <c r="C12" s="1040">
        <v>1</v>
      </c>
      <c r="D12" s="1039"/>
      <c r="E12" s="1040"/>
      <c r="F12" s="1039"/>
      <c r="G12" s="1040" t="s">
        <v>1207</v>
      </c>
      <c r="H12" s="1039"/>
    </row>
    <row r="13" spans="1:8" x14ac:dyDescent="0.25">
      <c r="A13" s="1042" t="s">
        <v>886</v>
      </c>
      <c r="B13" s="1043">
        <v>1</v>
      </c>
      <c r="C13" s="1040">
        <v>1</v>
      </c>
      <c r="D13" s="1039"/>
      <c r="E13" s="1040"/>
      <c r="F13" s="1039"/>
      <c r="G13" s="1040"/>
      <c r="H13" s="1039"/>
    </row>
    <row r="14" spans="1:8" x14ac:dyDescent="0.25">
      <c r="A14" s="1037" t="s">
        <v>887</v>
      </c>
      <c r="B14" s="1041"/>
      <c r="C14" s="1040"/>
      <c r="D14" s="1039"/>
      <c r="E14" s="1040"/>
      <c r="F14" s="1039"/>
      <c r="G14" s="1040"/>
      <c r="H14" s="1039"/>
    </row>
    <row r="15" spans="1:8" x14ac:dyDescent="0.25">
      <c r="A15" s="1037" t="s">
        <v>1050</v>
      </c>
      <c r="B15" s="1041"/>
      <c r="C15" s="1040"/>
      <c r="D15" s="1039"/>
      <c r="E15" s="1040"/>
      <c r="F15" s="1039"/>
      <c r="G15" s="1040"/>
      <c r="H15" s="1039"/>
    </row>
    <row r="16" spans="1:8" x14ac:dyDescent="0.25">
      <c r="A16" s="1042" t="s">
        <v>889</v>
      </c>
      <c r="B16" s="1043">
        <v>1</v>
      </c>
      <c r="C16" s="1040">
        <v>1</v>
      </c>
      <c r="D16" s="1039">
        <f>C16*B6</f>
        <v>0</v>
      </c>
      <c r="E16" s="1040">
        <f t="shared" ref="E16:F23" si="0">0.5*$D16</f>
        <v>0</v>
      </c>
      <c r="F16" s="1040">
        <f t="shared" si="0"/>
        <v>0</v>
      </c>
      <c r="G16" s="1040"/>
      <c r="H16" s="1039"/>
    </row>
    <row r="17" spans="1:8" x14ac:dyDescent="0.25">
      <c r="A17" s="1042" t="s">
        <v>1052</v>
      </c>
      <c r="B17" s="1043">
        <v>1</v>
      </c>
      <c r="C17" s="1040">
        <v>1</v>
      </c>
      <c r="D17" s="1039">
        <f>C17*B7</f>
        <v>0</v>
      </c>
      <c r="E17" s="1040">
        <f t="shared" si="0"/>
        <v>0</v>
      </c>
      <c r="F17" s="1040">
        <f t="shared" si="0"/>
        <v>0</v>
      </c>
      <c r="G17" s="1040"/>
      <c r="H17" s="1039"/>
    </row>
    <row r="18" spans="1:8" x14ac:dyDescent="0.25">
      <c r="A18" s="1042" t="s">
        <v>1053</v>
      </c>
      <c r="B18" s="1043">
        <v>1</v>
      </c>
      <c r="C18" s="1040">
        <v>0.5</v>
      </c>
      <c r="D18" s="1039">
        <f>C18*(B6-B7)</f>
        <v>0</v>
      </c>
      <c r="E18" s="1040">
        <f t="shared" si="0"/>
        <v>0</v>
      </c>
      <c r="F18" s="1040">
        <f t="shared" si="0"/>
        <v>0</v>
      </c>
      <c r="G18" s="1040"/>
      <c r="H18" s="1039"/>
    </row>
    <row r="19" spans="1:8" x14ac:dyDescent="0.25">
      <c r="A19" s="1042" t="s">
        <v>1054</v>
      </c>
      <c r="B19" s="1043">
        <v>1</v>
      </c>
      <c r="C19" s="1040">
        <v>1</v>
      </c>
      <c r="D19" s="1039">
        <f>B6*C19</f>
        <v>0</v>
      </c>
      <c r="E19" s="1040">
        <f t="shared" si="0"/>
        <v>0</v>
      </c>
      <c r="F19" s="1040">
        <f t="shared" si="0"/>
        <v>0</v>
      </c>
      <c r="G19" s="1040"/>
      <c r="H19" s="1039"/>
    </row>
    <row r="20" spans="1:8" x14ac:dyDescent="0.25">
      <c r="A20" s="1042" t="s">
        <v>1027</v>
      </c>
      <c r="B20" s="1043">
        <v>1</v>
      </c>
      <c r="C20" s="1040">
        <v>0.5</v>
      </c>
      <c r="D20" s="1039">
        <f>B6*C20</f>
        <v>0</v>
      </c>
      <c r="E20" s="1040">
        <f t="shared" si="0"/>
        <v>0</v>
      </c>
      <c r="F20" s="1040">
        <f t="shared" si="0"/>
        <v>0</v>
      </c>
      <c r="G20" s="1040"/>
      <c r="H20" s="1039"/>
    </row>
    <row r="21" spans="1:8" x14ac:dyDescent="0.25">
      <c r="A21" s="1042" t="s">
        <v>1055</v>
      </c>
      <c r="B21" s="1043">
        <v>1</v>
      </c>
      <c r="C21" s="1040">
        <v>1</v>
      </c>
      <c r="D21" s="1039">
        <f>C21*(B6-B7)</f>
        <v>0</v>
      </c>
      <c r="E21" s="1040">
        <f t="shared" si="0"/>
        <v>0</v>
      </c>
      <c r="F21" s="1040">
        <f t="shared" si="0"/>
        <v>0</v>
      </c>
      <c r="G21" s="1040"/>
      <c r="H21" s="1039"/>
    </row>
    <row r="22" spans="1:8" x14ac:dyDescent="0.25">
      <c r="A22" s="1042" t="s">
        <v>756</v>
      </c>
      <c r="B22" s="1043">
        <v>1</v>
      </c>
      <c r="C22" s="1040">
        <v>2</v>
      </c>
      <c r="D22" s="1039">
        <f>C22*($B$6-$B$7)</f>
        <v>0</v>
      </c>
      <c r="E22" s="1040">
        <f t="shared" si="0"/>
        <v>0</v>
      </c>
      <c r="F22" s="1040">
        <f t="shared" si="0"/>
        <v>0</v>
      </c>
      <c r="G22" s="1040"/>
      <c r="H22" s="1039"/>
    </row>
    <row r="23" spans="1:8" x14ac:dyDescent="0.25">
      <c r="A23" s="1042" t="s">
        <v>1057</v>
      </c>
      <c r="B23" s="1043">
        <v>1</v>
      </c>
      <c r="C23" s="1040">
        <v>4</v>
      </c>
      <c r="D23" s="1039">
        <f>C23*($B$6)</f>
        <v>0</v>
      </c>
      <c r="E23" s="1040">
        <f t="shared" si="0"/>
        <v>0</v>
      </c>
      <c r="F23" s="1040">
        <f t="shared" si="0"/>
        <v>0</v>
      </c>
      <c r="G23" s="1040"/>
      <c r="H23" s="1039"/>
    </row>
    <row r="24" spans="1:8" x14ac:dyDescent="0.25">
      <c r="A24" s="1037" t="s">
        <v>1058</v>
      </c>
      <c r="B24" s="1043"/>
      <c r="C24" s="1040"/>
      <c r="D24" s="1039"/>
      <c r="E24" s="1040"/>
      <c r="F24" s="1039"/>
      <c r="G24" s="1040"/>
      <c r="H24" s="1039"/>
    </row>
    <row r="25" spans="1:8" x14ac:dyDescent="0.25">
      <c r="A25" s="1042" t="s">
        <v>1208</v>
      </c>
      <c r="B25" s="1129">
        <f>IF(ТрЗ_ОВ!D43="Да",1,0)</f>
        <v>1</v>
      </c>
      <c r="C25" s="1040">
        <v>4</v>
      </c>
      <c r="D25" s="1039">
        <f>IF(B25&gt;0,C25*($B$6-$B$7),0)</f>
        <v>0</v>
      </c>
      <c r="E25" s="1040">
        <f t="shared" ref="E25:E32" si="1">0.5*$D25</f>
        <v>0</v>
      </c>
      <c r="F25" s="1040">
        <f t="shared" ref="F25:F32" si="2">0.3*$D25</f>
        <v>0</v>
      </c>
      <c r="G25" s="1040">
        <f t="shared" ref="G25:G32" si="3">0.2*$D25</f>
        <v>0</v>
      </c>
      <c r="H25" s="1039"/>
    </row>
    <row r="26" spans="1:8" x14ac:dyDescent="0.25">
      <c r="A26" s="1042" t="s">
        <v>1209</v>
      </c>
      <c r="B26" s="1129">
        <f>IF(ТрЗ_ОВ!D44="Да",1,0)</f>
        <v>0</v>
      </c>
      <c r="C26" s="1040" t="s">
        <v>1060</v>
      </c>
      <c r="D26" s="1039">
        <f>IF(B26&gt;0,IF((0.5*($B$6-$B$7))&gt;2,(0.5*($B$6-$B$7)),2),0)</f>
        <v>0</v>
      </c>
      <c r="E26" s="1040">
        <f t="shared" si="1"/>
        <v>0</v>
      </c>
      <c r="F26" s="1040">
        <f t="shared" si="2"/>
        <v>0</v>
      </c>
      <c r="G26" s="1040">
        <f t="shared" si="3"/>
        <v>0</v>
      </c>
      <c r="H26" s="1039"/>
    </row>
    <row r="27" spans="1:8" x14ac:dyDescent="0.25">
      <c r="A27" s="1042" t="s">
        <v>1210</v>
      </c>
      <c r="B27" s="1129">
        <f>IF(ТрЗ_ОВ!D45="Да",1,0)</f>
        <v>0</v>
      </c>
      <c r="C27" s="1040" t="s">
        <v>1060</v>
      </c>
      <c r="D27" s="1039">
        <f>IF(B27&gt;0,IF((0.5*($B$6-$B$7))&gt;2,(0.5*($B$6-$B$7)),2),0)</f>
        <v>0</v>
      </c>
      <c r="E27" s="1040">
        <f t="shared" si="1"/>
        <v>0</v>
      </c>
      <c r="F27" s="1040">
        <f t="shared" si="2"/>
        <v>0</v>
      </c>
      <c r="G27" s="1040">
        <f t="shared" si="3"/>
        <v>0</v>
      </c>
      <c r="H27" s="1039"/>
    </row>
    <row r="28" spans="1:8" x14ac:dyDescent="0.25">
      <c r="A28" s="1042" t="s">
        <v>1059</v>
      </c>
      <c r="B28" s="1129">
        <f>IF(ТрЗ_ОВ!D46="Да",1,0)</f>
        <v>0</v>
      </c>
      <c r="C28" s="1040" t="s">
        <v>1062</v>
      </c>
      <c r="D28" s="1039">
        <f>IF(B28&gt;0,IF((0.5*($B$6-$B$7))&gt;1,(0.5*($B$6-$B$7)),1),0)</f>
        <v>0</v>
      </c>
      <c r="E28" s="1040">
        <f t="shared" si="1"/>
        <v>0</v>
      </c>
      <c r="F28" s="1040">
        <f t="shared" si="2"/>
        <v>0</v>
      </c>
      <c r="G28" s="1040">
        <f t="shared" si="3"/>
        <v>0</v>
      </c>
      <c r="H28" s="1039"/>
    </row>
    <row r="29" spans="1:8" x14ac:dyDescent="0.25">
      <c r="A29" s="1042" t="s">
        <v>1061</v>
      </c>
      <c r="B29" s="1129">
        <f>IF(ТрЗ_ОВ!D47="Да",1,0)</f>
        <v>0</v>
      </c>
      <c r="C29" s="1040" t="s">
        <v>1062</v>
      </c>
      <c r="D29" s="1039">
        <f>IF(B29&gt;0,IF((0.5*($B$6-$B$7))&gt;1,(0.5*($B$6-$B$7)),1),0)</f>
        <v>0</v>
      </c>
      <c r="E29" s="1040">
        <f t="shared" si="1"/>
        <v>0</v>
      </c>
      <c r="F29" s="1040">
        <f t="shared" si="2"/>
        <v>0</v>
      </c>
      <c r="G29" s="1040">
        <f t="shared" si="3"/>
        <v>0</v>
      </c>
      <c r="H29" s="1039"/>
    </row>
    <row r="30" spans="1:8" x14ac:dyDescent="0.25">
      <c r="A30" s="1042" t="s">
        <v>1211</v>
      </c>
      <c r="B30" s="1129">
        <f>IF(ТрЗ_ОВ!D48="Да",1,0)</f>
        <v>0</v>
      </c>
      <c r="C30" s="1040">
        <v>8</v>
      </c>
      <c r="D30" s="1039">
        <f>IF(B30&gt;0,C30*($B$6-$B$7),0)</f>
        <v>0</v>
      </c>
      <c r="E30" s="1040">
        <f t="shared" si="1"/>
        <v>0</v>
      </c>
      <c r="F30" s="1040">
        <f t="shared" si="2"/>
        <v>0</v>
      </c>
      <c r="G30" s="1040">
        <f t="shared" si="3"/>
        <v>0</v>
      </c>
      <c r="H30" s="1039"/>
    </row>
    <row r="31" spans="1:8" x14ac:dyDescent="0.25">
      <c r="A31" s="1042" t="s">
        <v>1212</v>
      </c>
      <c r="B31" s="1129">
        <f>IF(ТрЗ_ОВ!D49="Да",1,0)</f>
        <v>0</v>
      </c>
      <c r="C31" s="1040">
        <v>8</v>
      </c>
      <c r="D31" s="1039">
        <f>IF(B31&gt;0,C31*($B$6-$B$7),0)</f>
        <v>0</v>
      </c>
      <c r="E31" s="1040">
        <f t="shared" si="1"/>
        <v>0</v>
      </c>
      <c r="F31" s="1040">
        <f t="shared" si="2"/>
        <v>0</v>
      </c>
      <c r="G31" s="1040">
        <f t="shared" si="3"/>
        <v>0</v>
      </c>
      <c r="H31" s="1039"/>
    </row>
    <row r="32" spans="1:8" x14ac:dyDescent="0.25">
      <c r="A32" s="1042" t="s">
        <v>1213</v>
      </c>
      <c r="B32" s="1129">
        <f>IF(ТрЗ_ОВ!D50="Да",1,0)</f>
        <v>0</v>
      </c>
      <c r="C32" s="1040">
        <v>8</v>
      </c>
      <c r="D32" s="1039">
        <f>IF(B32&gt;0,C32*($B$6-$B$7),0)</f>
        <v>0</v>
      </c>
      <c r="E32" s="1040">
        <f t="shared" si="1"/>
        <v>0</v>
      </c>
      <c r="F32" s="1040">
        <f t="shared" si="2"/>
        <v>0</v>
      </c>
      <c r="G32" s="1040">
        <f t="shared" si="3"/>
        <v>0</v>
      </c>
      <c r="H32" s="1039"/>
    </row>
    <row r="33" spans="1:8" x14ac:dyDescent="0.25">
      <c r="A33" s="1037" t="s">
        <v>1214</v>
      </c>
      <c r="B33" s="1041"/>
      <c r="C33" s="1040"/>
      <c r="D33" s="1039"/>
      <c r="E33" s="1040"/>
      <c r="F33" s="1039"/>
      <c r="G33" s="1040"/>
      <c r="H33" s="1039"/>
    </row>
    <row r="34" spans="1:8" x14ac:dyDescent="0.25">
      <c r="A34" s="1042" t="s">
        <v>728</v>
      </c>
      <c r="B34" s="1038">
        <f>ТрЗ_ОВ!D53</f>
        <v>0</v>
      </c>
      <c r="C34" s="1040" t="s">
        <v>1215</v>
      </c>
      <c r="D34" s="1039">
        <f>IF((0.15*B34)&gt;4,(0.15*B34),4)</f>
        <v>4</v>
      </c>
      <c r="E34" s="1040">
        <f>0.5*$D34</f>
        <v>2</v>
      </c>
      <c r="F34" s="1040">
        <f>0.3*$D34</f>
        <v>1.2</v>
      </c>
      <c r="G34" s="1040">
        <f>0.2*$D34</f>
        <v>0.8</v>
      </c>
      <c r="H34" s="1039"/>
    </row>
    <row r="35" spans="1:8" x14ac:dyDescent="0.25">
      <c r="A35" s="1042" t="s">
        <v>729</v>
      </c>
      <c r="B35" s="1038">
        <f>IF(ТрЗ_ОВ!D54="Да",1,0)</f>
        <v>0</v>
      </c>
      <c r="C35" s="1040">
        <v>2</v>
      </c>
      <c r="D35" s="1039">
        <f>C35*($B$6-$B$7)</f>
        <v>0</v>
      </c>
      <c r="E35" s="1040"/>
      <c r="F35" s="1040">
        <f t="shared" ref="F35:F40" si="4">0.7*$D35</f>
        <v>0</v>
      </c>
      <c r="G35" s="1040">
        <f t="shared" ref="G35:G40" si="5">0.3*$D35</f>
        <v>0</v>
      </c>
      <c r="H35" s="1149"/>
    </row>
    <row r="36" spans="1:8" x14ac:dyDescent="0.25">
      <c r="A36" s="1042" t="s">
        <v>730</v>
      </c>
      <c r="B36" s="1038">
        <f>IF(ТрЗ_ОВ!D55="Да",1,0)</f>
        <v>0</v>
      </c>
      <c r="C36" s="1040">
        <v>24</v>
      </c>
      <c r="D36" s="1039">
        <f>IF(B36&gt;0,C36*($B$6-$B$7),0)</f>
        <v>0</v>
      </c>
      <c r="E36" s="1040"/>
      <c r="F36" s="1040">
        <f t="shared" si="4"/>
        <v>0</v>
      </c>
      <c r="G36" s="1040">
        <f t="shared" si="5"/>
        <v>0</v>
      </c>
      <c r="H36" s="1039"/>
    </row>
    <row r="37" spans="1:8" x14ac:dyDescent="0.25">
      <c r="A37" s="1042" t="s">
        <v>731</v>
      </c>
      <c r="B37" s="1038">
        <f>IF(ТрЗ_ОВ!D56="Да",1,0)</f>
        <v>0</v>
      </c>
      <c r="C37" s="1040">
        <v>24</v>
      </c>
      <c r="D37" s="1039">
        <f>IF(B37&gt;0,C37*($B$6-$B$7),0)</f>
        <v>0</v>
      </c>
      <c r="E37" s="1040"/>
      <c r="F37" s="1040">
        <f t="shared" si="4"/>
        <v>0</v>
      </c>
      <c r="G37" s="1040">
        <f t="shared" si="5"/>
        <v>0</v>
      </c>
      <c r="H37" s="1039"/>
    </row>
    <row r="38" spans="1:8" x14ac:dyDescent="0.25">
      <c r="A38" s="1042" t="s">
        <v>732</v>
      </c>
      <c r="B38" s="1038">
        <f>IF(ТрЗ_ОВ!D57="Да",1,0)</f>
        <v>0</v>
      </c>
      <c r="C38" s="1040">
        <v>24</v>
      </c>
      <c r="D38" s="1039">
        <f>IF(B38&gt;0,C38*($B$6-$B$7),0)</f>
        <v>0</v>
      </c>
      <c r="E38" s="1040"/>
      <c r="F38" s="1040">
        <f t="shared" si="4"/>
        <v>0</v>
      </c>
      <c r="G38" s="1040">
        <f t="shared" si="5"/>
        <v>0</v>
      </c>
      <c r="H38" s="1039"/>
    </row>
    <row r="39" spans="1:8" x14ac:dyDescent="0.25">
      <c r="A39" s="1042" t="s">
        <v>733</v>
      </c>
      <c r="B39" s="1038">
        <f>IF(ТрЗ_ОВ!D58="Да",1,0)</f>
        <v>0</v>
      </c>
      <c r="C39" s="1040">
        <v>1</v>
      </c>
      <c r="D39" s="1039">
        <f>IF(B39&gt;0,C39*($B$6-$B$7),0)</f>
        <v>0</v>
      </c>
      <c r="E39" s="1040"/>
      <c r="F39" s="1040">
        <f t="shared" si="4"/>
        <v>0</v>
      </c>
      <c r="G39" s="1040">
        <f t="shared" si="5"/>
        <v>0</v>
      </c>
      <c r="H39" s="1039"/>
    </row>
    <row r="40" spans="1:8" x14ac:dyDescent="0.25">
      <c r="A40" s="1042" t="s">
        <v>734</v>
      </c>
      <c r="B40" s="1038">
        <f>IF(ТрЗ_ОВ!D59="Да",1,0)</f>
        <v>0</v>
      </c>
      <c r="C40" s="1040">
        <v>4</v>
      </c>
      <c r="D40" s="1039">
        <f>IF(B40&gt;0,C40*($B$6-$B$7),0)</f>
        <v>0</v>
      </c>
      <c r="E40" s="1040"/>
      <c r="F40" s="1040">
        <f t="shared" si="4"/>
        <v>0</v>
      </c>
      <c r="G40" s="1040">
        <f t="shared" si="5"/>
        <v>0</v>
      </c>
      <c r="H40" s="1039"/>
    </row>
    <row r="41" spans="1:8" x14ac:dyDescent="0.25">
      <c r="A41" s="1037" t="s">
        <v>1149</v>
      </c>
      <c r="B41" s="1073"/>
      <c r="C41" s="1250"/>
      <c r="D41" s="1039"/>
      <c r="E41" s="1152"/>
      <c r="F41" s="1073"/>
      <c r="G41" s="1152"/>
      <c r="H41" s="1039"/>
    </row>
    <row r="42" spans="1:8" x14ac:dyDescent="0.25">
      <c r="A42" s="1042" t="s">
        <v>735</v>
      </c>
      <c r="B42" s="1129">
        <f>IF(ТрЗ_ОВ!D62="Да",1,0)</f>
        <v>0</v>
      </c>
      <c r="C42" s="1251">
        <v>6</v>
      </c>
      <c r="D42" s="1039">
        <f>IF(B42&gt;0,C42*($B$6-$B$7),0)</f>
        <v>0</v>
      </c>
      <c r="E42" s="1152"/>
      <c r="F42" s="1040">
        <f t="shared" ref="F42:F51" si="6">0.3*$D42</f>
        <v>0</v>
      </c>
      <c r="G42" s="1040">
        <f t="shared" ref="G42:G51" si="7">0.7*$D42</f>
        <v>0</v>
      </c>
      <c r="H42" s="1039"/>
    </row>
    <row r="43" spans="1:8" x14ac:dyDescent="0.25">
      <c r="A43" s="1042" t="s">
        <v>736</v>
      </c>
      <c r="B43" s="1129">
        <f>IF(ТрЗ_ОВ!D63="Да",1,0)</f>
        <v>0</v>
      </c>
      <c r="C43" s="1251">
        <v>2</v>
      </c>
      <c r="D43" s="1039">
        <f>IF(B43&gt;0,C43*($B$6-$B$7),0)</f>
        <v>0</v>
      </c>
      <c r="E43" s="1152"/>
      <c r="F43" s="1040">
        <f t="shared" si="6"/>
        <v>0</v>
      </c>
      <c r="G43" s="1040">
        <f t="shared" si="7"/>
        <v>0</v>
      </c>
      <c r="H43" s="1039"/>
    </row>
    <row r="44" spans="1:8" x14ac:dyDescent="0.25">
      <c r="A44" s="1042" t="s">
        <v>737</v>
      </c>
      <c r="B44" s="1129">
        <f>IF(ТрЗ_ОВ!D64="Да",1,0)</f>
        <v>0</v>
      </c>
      <c r="C44" s="1251">
        <v>2</v>
      </c>
      <c r="D44" s="1039">
        <f>IF(B44&gt;0,C44*($B$6-$B$7),0)</f>
        <v>0</v>
      </c>
      <c r="E44" s="1152"/>
      <c r="F44" s="1040">
        <f t="shared" si="6"/>
        <v>0</v>
      </c>
      <c r="G44" s="1040">
        <f t="shared" si="7"/>
        <v>0</v>
      </c>
      <c r="H44" s="1039"/>
    </row>
    <row r="45" spans="1:8" x14ac:dyDescent="0.25">
      <c r="A45" s="1042" t="s">
        <v>738</v>
      </c>
      <c r="B45" s="1129">
        <f>IF(ТрЗ_ОВ!D65="Да",1,0)</f>
        <v>0</v>
      </c>
      <c r="C45" s="1251">
        <v>4</v>
      </c>
      <c r="D45" s="1039">
        <f>IF(B45&gt;0,C45*($B$6-$B$7),0)</f>
        <v>0</v>
      </c>
      <c r="E45" s="1152"/>
      <c r="F45" s="1040">
        <f t="shared" si="6"/>
        <v>0</v>
      </c>
      <c r="G45" s="1040">
        <f t="shared" si="7"/>
        <v>0</v>
      </c>
      <c r="H45" s="1039"/>
    </row>
    <row r="46" spans="1:8" x14ac:dyDescent="0.25">
      <c r="A46" s="1042" t="s">
        <v>739</v>
      </c>
      <c r="B46" s="1129">
        <f>IF(ТрЗ_ОВ!D66="Да",1,0)</f>
        <v>0</v>
      </c>
      <c r="C46" s="1251">
        <v>24</v>
      </c>
      <c r="D46" s="1039">
        <f>IF(B46&gt;0,C46*($B$6-$B$7),0)</f>
        <v>0</v>
      </c>
      <c r="E46" s="1152"/>
      <c r="F46" s="1040">
        <f t="shared" si="6"/>
        <v>0</v>
      </c>
      <c r="G46" s="1040">
        <f t="shared" si="7"/>
        <v>0</v>
      </c>
      <c r="H46" s="1039"/>
    </row>
    <row r="47" spans="1:8" x14ac:dyDescent="0.25">
      <c r="A47" s="1042" t="s">
        <v>740</v>
      </c>
      <c r="B47" s="1129">
        <f>ТрЗ_ОВ!D67</f>
        <v>0</v>
      </c>
      <c r="C47" s="1251" t="s">
        <v>1216</v>
      </c>
      <c r="D47" s="1039">
        <f>IF(B47&gt;0,IF((0.2*B47)&gt;2,(0.2*B47),2),0)</f>
        <v>0</v>
      </c>
      <c r="E47" s="1152"/>
      <c r="F47" s="1040">
        <f t="shared" si="6"/>
        <v>0</v>
      </c>
      <c r="G47" s="1040">
        <f t="shared" si="7"/>
        <v>0</v>
      </c>
      <c r="H47" s="1039"/>
    </row>
    <row r="48" spans="1:8" x14ac:dyDescent="0.25">
      <c r="A48" s="1042" t="s">
        <v>741</v>
      </c>
      <c r="B48" s="1129">
        <f>ТрЗ_ОВ!D68</f>
        <v>0</v>
      </c>
      <c r="C48" s="1252" t="s">
        <v>1217</v>
      </c>
      <c r="D48" s="1039">
        <f>IF(B48&gt;0,IF((0.25*B48)&gt;2,(0.25*B48),2),0)</f>
        <v>0</v>
      </c>
      <c r="E48" s="1152"/>
      <c r="F48" s="1040">
        <f t="shared" si="6"/>
        <v>0</v>
      </c>
      <c r="G48" s="1040">
        <f t="shared" si="7"/>
        <v>0</v>
      </c>
      <c r="H48" s="1039"/>
    </row>
    <row r="49" spans="1:8" x14ac:dyDescent="0.25">
      <c r="A49" s="1042" t="s">
        <v>742</v>
      </c>
      <c r="B49" s="1129">
        <f>ТрЗ_ОВ!D69</f>
        <v>0</v>
      </c>
      <c r="C49" s="1252" t="s">
        <v>1217</v>
      </c>
      <c r="D49" s="1039">
        <f>IF(B49&gt;0,IF((0.25*B49)&gt;2,(0.25*B49),2),0)</f>
        <v>0</v>
      </c>
      <c r="E49" s="1040"/>
      <c r="F49" s="1040">
        <f t="shared" si="6"/>
        <v>0</v>
      </c>
      <c r="G49" s="1040">
        <f t="shared" si="7"/>
        <v>0</v>
      </c>
      <c r="H49" s="1039"/>
    </row>
    <row r="50" spans="1:8" x14ac:dyDescent="0.25">
      <c r="A50" s="1042" t="s">
        <v>961</v>
      </c>
      <c r="B50" s="1129">
        <f>ТрЗ_ОВ!D70</f>
        <v>0</v>
      </c>
      <c r="C50" s="1040" t="s">
        <v>1218</v>
      </c>
      <c r="D50" s="1039">
        <f>IF(B50&gt;0,IF(10*($B$6-$B$7)&gt;24,10*($B$6-$B$7),40),0)</f>
        <v>0</v>
      </c>
      <c r="E50" s="1040"/>
      <c r="F50" s="1040">
        <f t="shared" si="6"/>
        <v>0</v>
      </c>
      <c r="G50" s="1040">
        <f t="shared" si="7"/>
        <v>0</v>
      </c>
      <c r="H50" s="1039"/>
    </row>
    <row r="51" spans="1:8" ht="25.5" x14ac:dyDescent="0.25">
      <c r="A51" s="1042" t="s">
        <v>743</v>
      </c>
      <c r="B51" s="1129">
        <f>ТрЗ_ОВ!D71</f>
        <v>0</v>
      </c>
      <c r="C51" s="1040" t="s">
        <v>1219</v>
      </c>
      <c r="D51" s="1039">
        <f>IF(B51&gt;0,IF((4*B51)&gt;40,(4*B51),40),0)</f>
        <v>0</v>
      </c>
      <c r="E51" s="1040"/>
      <c r="F51" s="1040">
        <f t="shared" si="6"/>
        <v>0</v>
      </c>
      <c r="G51" s="1040">
        <f t="shared" si="7"/>
        <v>0</v>
      </c>
      <c r="H51" s="1149" t="s">
        <v>1220</v>
      </c>
    </row>
    <row r="52" spans="1:8" x14ac:dyDescent="0.25">
      <c r="A52" s="1037" t="s">
        <v>963</v>
      </c>
      <c r="B52" s="1043">
        <v>1</v>
      </c>
      <c r="C52" s="1040" t="s">
        <v>897</v>
      </c>
      <c r="D52" s="1039">
        <f>ROUNDUP(IF(0.1*(SUM($D$16:$D$51))&gt;8,0.1*(SUM($D$16:$D$51)),8),0)</f>
        <v>8</v>
      </c>
      <c r="E52" s="1040"/>
      <c r="F52" s="1040">
        <f>0.5*$D52</f>
        <v>4</v>
      </c>
      <c r="G52" s="1040">
        <f>0.5*$D52</f>
        <v>4</v>
      </c>
      <c r="H52" s="1039"/>
    </row>
    <row r="53" spans="1:8" ht="15.75" thickBot="1" x14ac:dyDescent="0.3">
      <c r="A53" s="1070" t="s">
        <v>964</v>
      </c>
      <c r="B53" s="1253">
        <v>1</v>
      </c>
      <c r="C53" s="1155" t="s">
        <v>899</v>
      </c>
      <c r="D53" s="1156">
        <f>ROUNDUP(IF(0.05*(SUM($D$16:$D$51))&gt;8,0.05*(SUM($D$16:$D$51)),8),0)</f>
        <v>8</v>
      </c>
      <c r="E53" s="1155"/>
      <c r="F53" s="1155">
        <f>0.5*$D53</f>
        <v>4</v>
      </c>
      <c r="G53" s="1155">
        <f>0.5*$D53</f>
        <v>4</v>
      </c>
      <c r="H53" s="1053"/>
    </row>
    <row r="54" spans="1:8" x14ac:dyDescent="0.25">
      <c r="A54" s="1068" t="s">
        <v>564</v>
      </c>
      <c r="B54" s="1254"/>
      <c r="C54" s="1255"/>
      <c r="D54" s="1255">
        <f>SUM(D8:D53)</f>
        <v>24</v>
      </c>
      <c r="E54" s="1255">
        <f>SUM(E8:E53)</f>
        <v>2.25</v>
      </c>
      <c r="F54" s="1255">
        <f>SUM(F8:F53)</f>
        <v>9.4499999999999993</v>
      </c>
      <c r="G54" s="1256">
        <f>SUM(G8:G53)</f>
        <v>8.8000000000000007</v>
      </c>
      <c r="H54" s="1068"/>
    </row>
    <row r="55" spans="1:8" x14ac:dyDescent="0.25">
      <c r="A55" s="1067"/>
      <c r="B55" s="268" t="s">
        <v>1134</v>
      </c>
      <c r="C55" s="1257"/>
      <c r="D55" s="268">
        <f>ROUNDUP(SUM(D9)/8,0)</f>
        <v>0</v>
      </c>
      <c r="E55" s="268">
        <f>ROUNDUP(SUM(E9)/8,0)</f>
        <v>0</v>
      </c>
      <c r="F55" s="268">
        <f>ROUNDUP(SUM(F9)/8,0)</f>
        <v>0</v>
      </c>
      <c r="G55" s="268">
        <f>ROUNDUP(SUM(G9)/8,0)</f>
        <v>0</v>
      </c>
      <c r="H55" s="1067"/>
    </row>
    <row r="56" spans="1:8" x14ac:dyDescent="0.25">
      <c r="A56" s="1067"/>
      <c r="B56" s="268" t="s">
        <v>902</v>
      </c>
      <c r="C56" s="1257"/>
      <c r="D56" s="268">
        <f>ROUNDUP(SUM(D14:D52)/8,0)</f>
        <v>2</v>
      </c>
      <c r="E56" s="268">
        <f>ROUNDUP(SUM(E14:E52)/8,0)</f>
        <v>1</v>
      </c>
      <c r="F56" s="268">
        <f>ROUNDUP(SUM(F14:F52)/8,0)</f>
        <v>1</v>
      </c>
      <c r="G56" s="268">
        <f>ROUNDUP(SUM(G14:G52)/8,0)</f>
        <v>1</v>
      </c>
      <c r="H56" s="1067"/>
    </row>
    <row r="57" spans="1:8" x14ac:dyDescent="0.25">
      <c r="A57" s="1067"/>
      <c r="B57" s="268" t="s">
        <v>903</v>
      </c>
      <c r="C57" s="1257"/>
      <c r="D57" s="268">
        <f>ROUNDUP(SUM(D53)/8,0)</f>
        <v>1</v>
      </c>
      <c r="E57" s="268">
        <f>ROUNDUP(SUM(E53)/8,0)</f>
        <v>0</v>
      </c>
      <c r="F57" s="268">
        <f>ROUNDUP(SUM(F53)/8,0)</f>
        <v>1</v>
      </c>
      <c r="G57" s="268">
        <f>ROUNDUP(SUM(G53)/8,0)</f>
        <v>1</v>
      </c>
      <c r="H57" s="1067"/>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Лист5"/>
  <dimension ref="A1:AA107"/>
  <sheetViews>
    <sheetView topLeftCell="A43" zoomScale="70" zoomScaleNormal="70" workbookViewId="0">
      <selection activeCell="B65" sqref="A65:XFD65"/>
    </sheetView>
  </sheetViews>
  <sheetFormatPr defaultRowHeight="15" x14ac:dyDescent="0.25"/>
  <cols>
    <col min="1" max="1" width="53.42578125" bestFit="1" customWidth="1"/>
    <col min="2" max="2" width="23.5703125" bestFit="1" customWidth="1"/>
    <col min="3" max="3" width="9.28515625" bestFit="1" customWidth="1"/>
    <col min="4" max="4" width="36.140625" bestFit="1" customWidth="1"/>
    <col min="5" max="6" width="31.28515625" bestFit="1" customWidth="1"/>
    <col min="7" max="7" width="7.5703125" bestFit="1" customWidth="1"/>
    <col min="8" max="8" width="36.140625" bestFit="1" customWidth="1"/>
    <col min="9" max="10" width="31.28515625" bestFit="1" customWidth="1"/>
    <col min="11" max="11" width="7.5703125" bestFit="1" customWidth="1"/>
    <col min="12" max="12" width="36.140625" bestFit="1" customWidth="1"/>
    <col min="13" max="14" width="31.28515625" bestFit="1" customWidth="1"/>
    <col min="15" max="15" width="8.7109375" customWidth="1"/>
    <col min="16" max="16" width="36.140625" bestFit="1" customWidth="1"/>
    <col min="17" max="18" width="31.28515625" bestFit="1" customWidth="1"/>
    <col min="19" max="19" width="9" customWidth="1"/>
    <col min="20" max="20" width="36.140625" bestFit="1" customWidth="1"/>
    <col min="21" max="22" width="31.28515625" bestFit="1" customWidth="1"/>
    <col min="23" max="23" width="9" customWidth="1"/>
    <col min="24" max="27" width="7.5703125" customWidth="1"/>
  </cols>
  <sheetData>
    <row r="1" spans="1:23" ht="16.5" thickBot="1" x14ac:dyDescent="0.3">
      <c r="A1" s="465" t="s">
        <v>91</v>
      </c>
      <c r="B1" s="35"/>
      <c r="C1" s="43"/>
      <c r="D1" s="1947" t="s">
        <v>41</v>
      </c>
      <c r="E1" s="1947"/>
      <c r="F1" s="1947"/>
      <c r="G1" s="1947"/>
      <c r="H1" s="1939" t="s">
        <v>367</v>
      </c>
      <c r="I1" s="1940"/>
      <c r="J1" s="1940"/>
      <c r="K1" s="1941"/>
      <c r="L1" s="1939" t="s">
        <v>368</v>
      </c>
      <c r="M1" s="1940"/>
      <c r="N1" s="1940"/>
      <c r="O1" s="1941"/>
      <c r="P1" s="1939" t="s">
        <v>369</v>
      </c>
      <c r="Q1" s="1940"/>
      <c r="R1" s="1940"/>
      <c r="S1" s="1941"/>
      <c r="T1" s="1939" t="s">
        <v>370</v>
      </c>
      <c r="U1" s="1940"/>
      <c r="V1" s="1940"/>
      <c r="W1" s="1941"/>
    </row>
    <row r="2" spans="1:23" ht="15.75" x14ac:dyDescent="0.25">
      <c r="B2" s="41" t="s">
        <v>37</v>
      </c>
      <c r="C2" s="1945" t="s">
        <v>35</v>
      </c>
      <c r="D2" s="632" t="s">
        <v>575</v>
      </c>
      <c r="E2" s="633" t="s">
        <v>102</v>
      </c>
      <c r="F2" s="633" t="s">
        <v>103</v>
      </c>
      <c r="G2" s="1979" t="s">
        <v>38</v>
      </c>
      <c r="H2" s="632" t="s">
        <v>575</v>
      </c>
      <c r="I2" s="633" t="s">
        <v>102</v>
      </c>
      <c r="J2" s="633" t="s">
        <v>103</v>
      </c>
      <c r="K2" s="1985" t="s">
        <v>38</v>
      </c>
      <c r="L2" s="632" t="s">
        <v>575</v>
      </c>
      <c r="M2" s="633" t="s">
        <v>102</v>
      </c>
      <c r="N2" s="633" t="s">
        <v>103</v>
      </c>
      <c r="O2" s="1985" t="s">
        <v>38</v>
      </c>
      <c r="P2" s="632" t="s">
        <v>575</v>
      </c>
      <c r="Q2" s="633" t="s">
        <v>102</v>
      </c>
      <c r="R2" s="633" t="s">
        <v>103</v>
      </c>
      <c r="S2" s="1985" t="s">
        <v>38</v>
      </c>
      <c r="T2" s="632" t="s">
        <v>575</v>
      </c>
      <c r="U2" s="633" t="s">
        <v>102</v>
      </c>
      <c r="V2" s="633" t="s">
        <v>103</v>
      </c>
      <c r="W2" s="1985" t="s">
        <v>38</v>
      </c>
    </row>
    <row r="3" spans="1:23" ht="16.5" thickBot="1" x14ac:dyDescent="0.3">
      <c r="A3" s="12" t="s">
        <v>36</v>
      </c>
      <c r="B3" s="42">
        <f xml:space="preserve"> ТрЗ_ОП!F5</f>
        <v>1</v>
      </c>
      <c r="C3" s="1946"/>
      <c r="D3" s="40">
        <f>INDEX(ТрЗ_ОП!$P$11:$P$102,MATCH(D2,ТрЗ_ОП!$O$11:$O$102,0))</f>
        <v>0</v>
      </c>
      <c r="E3" s="40">
        <f>INDEX(ТрЗ_ОП!$P$11:$P$102,MATCH(E2,ТрЗ_ОП!$O$11:$O$102,0))</f>
        <v>0</v>
      </c>
      <c r="F3" s="40">
        <f>INDEX(ТрЗ_ОП!$P$11:$P$102,MATCH(F2,ТрЗ_ОП!$O$11:$O$102,0))</f>
        <v>0</v>
      </c>
      <c r="G3" s="1979"/>
      <c r="H3" s="40">
        <f>INDEX(ТрЗ_ОП!$P$11:$P$102,MATCH(H2,ТрЗ_ОП!$O$11:$O$102,0))</f>
        <v>0</v>
      </c>
      <c r="I3" s="40">
        <f>INDEX(ТрЗ_ОП!$P$11:$P$102,MATCH(I2,ТрЗ_ОП!$O$11:$O$102,0))</f>
        <v>0</v>
      </c>
      <c r="J3" s="40">
        <f>INDEX(ТрЗ_ОП!$P$11:$P$102,MATCH(J2,ТрЗ_ОП!$O$11:$O$102,0))</f>
        <v>0</v>
      </c>
      <c r="K3" s="1985"/>
      <c r="L3" s="40">
        <f>INDEX(ТрЗ_ОП!$P$11:$P$102,MATCH(L2,ТрЗ_ОП!$O$11:$O$102,0))</f>
        <v>0</v>
      </c>
      <c r="M3" s="40">
        <f>INDEX(ТрЗ_ОП!$P$11:$P$102,MATCH(M2,ТрЗ_ОП!$O$11:$O$102,0))</f>
        <v>0</v>
      </c>
      <c r="N3" s="40">
        <f>INDEX(ТрЗ_ОП!$P$11:$P$102,MATCH(N2,ТрЗ_ОП!$O$11:$O$102,0))</f>
        <v>0</v>
      </c>
      <c r="O3" s="1985"/>
      <c r="P3" s="40">
        <f>INDEX(ТрЗ_ОП!$P$11:$P$102,MATCH(P2,ТрЗ_ОП!$O$11:$O$102,0))</f>
        <v>0</v>
      </c>
      <c r="Q3" s="40">
        <f>INDEX(ТрЗ_ОП!$P$11:$P$102,MATCH(Q2,ТрЗ_ОП!$O$11:$O$102,0))</f>
        <v>0</v>
      </c>
      <c r="R3" s="40">
        <f>INDEX(ТрЗ_ОП!$P$11:$P$102,MATCH(R2,ТрЗ_ОП!$O$11:$O$102,0))</f>
        <v>0</v>
      </c>
      <c r="S3" s="1985"/>
      <c r="T3" s="40">
        <f>INDEX(ТрЗ_ОП!$P$11:$P$102,MATCH(T2,ТрЗ_ОП!$O$11:$O$102,0))</f>
        <v>0</v>
      </c>
      <c r="U3" s="40">
        <f>INDEX(ТрЗ_ОП!$P$11:$P$102,MATCH(U2,ТрЗ_ОП!$O$11:$O$102,0))</f>
        <v>0</v>
      </c>
      <c r="V3" s="40">
        <f>INDEX(ТрЗ_ОП!$P$11:$P$102,MATCH(V2,ТрЗ_ОП!$O$11:$O$102,0))</f>
        <v>0</v>
      </c>
      <c r="W3" s="1985"/>
    </row>
    <row r="4" spans="1:23" ht="16.5" thickBot="1" x14ac:dyDescent="0.3">
      <c r="A4" s="326" t="s">
        <v>448</v>
      </c>
      <c r="B4" s="327"/>
      <c r="C4" s="327"/>
      <c r="D4" s="327"/>
      <c r="E4" s="327"/>
      <c r="F4" s="327"/>
      <c r="G4" s="327"/>
      <c r="H4" s="327"/>
      <c r="I4" s="327"/>
      <c r="J4" s="327"/>
      <c r="K4" s="327"/>
      <c r="L4" s="327"/>
      <c r="M4" s="327"/>
      <c r="N4" s="327"/>
      <c r="O4" s="327"/>
      <c r="P4" s="327"/>
      <c r="Q4" s="327"/>
      <c r="R4" s="327"/>
      <c r="S4" s="327"/>
      <c r="T4" s="327"/>
      <c r="U4" s="327"/>
      <c r="V4" s="327"/>
      <c r="W4" s="396"/>
    </row>
    <row r="5" spans="1:23" x14ac:dyDescent="0.25">
      <c r="A5" s="1932" t="s">
        <v>0</v>
      </c>
      <c r="B5" s="404" t="s">
        <v>32</v>
      </c>
      <c r="C5" s="324"/>
      <c r="D5" s="666">
        <v>0.5</v>
      </c>
      <c r="E5" s="666">
        <v>0.5</v>
      </c>
      <c r="F5" s="666">
        <v>0</v>
      </c>
      <c r="G5" s="683">
        <f xml:space="preserve"> SUM(D5:F5) + $C5</f>
        <v>1</v>
      </c>
      <c r="H5" s="696">
        <v>0.5</v>
      </c>
      <c r="I5" s="666">
        <v>0.5</v>
      </c>
      <c r="J5" s="666">
        <v>0</v>
      </c>
      <c r="K5" s="230">
        <f t="shared" ref="K5:K10" si="0" xml:space="preserve"> SUM(H5:J5) + $C5</f>
        <v>1</v>
      </c>
      <c r="L5" s="666">
        <v>0.5</v>
      </c>
      <c r="M5" s="666">
        <v>0.5</v>
      </c>
      <c r="N5" s="666">
        <v>0</v>
      </c>
      <c r="O5" s="230">
        <f t="shared" ref="O5:O10" si="1" xml:space="preserve"> SUM(L5:N5) + $C5</f>
        <v>1</v>
      </c>
      <c r="P5" s="666">
        <v>0.5</v>
      </c>
      <c r="Q5" s="666">
        <v>0.5</v>
      </c>
      <c r="R5" s="666">
        <v>0</v>
      </c>
      <c r="S5" s="230">
        <f t="shared" ref="S5:S10" si="2" xml:space="preserve"> SUM(P5:R5) + $C5</f>
        <v>1</v>
      </c>
      <c r="T5" s="666">
        <v>0.5</v>
      </c>
      <c r="U5" s="666">
        <v>0.5</v>
      </c>
      <c r="V5" s="666">
        <v>0</v>
      </c>
      <c r="W5" s="230">
        <f t="shared" ref="W5:W10" si="3" xml:space="preserve"> SUM(T5:V5) + $C5</f>
        <v>1</v>
      </c>
    </row>
    <row r="6" spans="1:23" x14ac:dyDescent="0.25">
      <c r="A6" s="1932"/>
      <c r="B6" s="19" t="s">
        <v>33</v>
      </c>
      <c r="C6" s="22"/>
      <c r="D6" s="634">
        <v>1</v>
      </c>
      <c r="E6" s="634">
        <v>0.5</v>
      </c>
      <c r="F6" s="634">
        <v>0</v>
      </c>
      <c r="G6" s="619">
        <f xml:space="preserve"> SUM(D6:F6) + $C6</f>
        <v>1.5</v>
      </c>
      <c r="H6" s="637">
        <v>1</v>
      </c>
      <c r="I6" s="634">
        <v>0.5</v>
      </c>
      <c r="J6" s="634">
        <v>0</v>
      </c>
      <c r="K6" s="21">
        <f t="shared" si="0"/>
        <v>1.5</v>
      </c>
      <c r="L6" s="634">
        <v>1</v>
      </c>
      <c r="M6" s="634">
        <v>0.5</v>
      </c>
      <c r="N6" s="634">
        <v>0</v>
      </c>
      <c r="O6" s="21">
        <f t="shared" si="1"/>
        <v>1.5</v>
      </c>
      <c r="P6" s="634">
        <v>1</v>
      </c>
      <c r="Q6" s="634">
        <v>0.5</v>
      </c>
      <c r="R6" s="634">
        <v>0</v>
      </c>
      <c r="S6" s="21">
        <f t="shared" si="2"/>
        <v>1.5</v>
      </c>
      <c r="T6" s="634">
        <v>1</v>
      </c>
      <c r="U6" s="634">
        <v>0.5</v>
      </c>
      <c r="V6" s="634">
        <v>0</v>
      </c>
      <c r="W6" s="21">
        <f t="shared" si="3"/>
        <v>1.5</v>
      </c>
    </row>
    <row r="7" spans="1:23" x14ac:dyDescent="0.25">
      <c r="A7" s="1932"/>
      <c r="B7" s="13" t="s">
        <v>34</v>
      </c>
      <c r="C7" s="34"/>
      <c r="D7" s="634">
        <v>2</v>
      </c>
      <c r="E7" s="634">
        <v>0.5</v>
      </c>
      <c r="F7" s="634">
        <v>0</v>
      </c>
      <c r="G7" s="619">
        <f xml:space="preserve"> SUM(D7:F7) + $C7</f>
        <v>2.5</v>
      </c>
      <c r="H7" s="637">
        <v>2</v>
      </c>
      <c r="I7" s="634">
        <v>0.5</v>
      </c>
      <c r="J7" s="634">
        <v>0</v>
      </c>
      <c r="K7" s="21">
        <f t="shared" si="0"/>
        <v>2.5</v>
      </c>
      <c r="L7" s="634">
        <v>2</v>
      </c>
      <c r="M7" s="634">
        <v>0.5</v>
      </c>
      <c r="N7" s="634">
        <v>0</v>
      </c>
      <c r="O7" s="21">
        <f t="shared" si="1"/>
        <v>2.5</v>
      </c>
      <c r="P7" s="634">
        <v>2</v>
      </c>
      <c r="Q7" s="634">
        <v>0.5</v>
      </c>
      <c r="R7" s="634">
        <v>0</v>
      </c>
      <c r="S7" s="21">
        <f t="shared" si="2"/>
        <v>2.5</v>
      </c>
      <c r="T7" s="634">
        <v>2</v>
      </c>
      <c r="U7" s="634">
        <v>0.5</v>
      </c>
      <c r="V7" s="634">
        <v>0</v>
      </c>
      <c r="W7" s="21">
        <f t="shared" si="3"/>
        <v>2.5</v>
      </c>
    </row>
    <row r="8" spans="1:23" x14ac:dyDescent="0.25">
      <c r="A8" s="2310" t="s">
        <v>449</v>
      </c>
      <c r="B8" s="19" t="s">
        <v>32</v>
      </c>
      <c r="C8" s="22"/>
      <c r="D8" s="666">
        <v>0.5</v>
      </c>
      <c r="E8" s="666">
        <v>0.5</v>
      </c>
      <c r="F8" s="666">
        <v>0</v>
      </c>
      <c r="G8" s="619">
        <f xml:space="preserve"> SUM(D8:F8) + $C8</f>
        <v>1</v>
      </c>
      <c r="H8" s="696">
        <v>0.5</v>
      </c>
      <c r="I8" s="666">
        <v>0.5</v>
      </c>
      <c r="J8" s="666">
        <v>0</v>
      </c>
      <c r="K8" s="21">
        <f t="shared" si="0"/>
        <v>1</v>
      </c>
      <c r="L8" s="666">
        <v>0.5</v>
      </c>
      <c r="M8" s="666">
        <v>0.5</v>
      </c>
      <c r="N8" s="666">
        <v>0</v>
      </c>
      <c r="O8" s="21">
        <f t="shared" si="1"/>
        <v>1</v>
      </c>
      <c r="P8" s="666">
        <v>0.5</v>
      </c>
      <c r="Q8" s="666">
        <v>0.5</v>
      </c>
      <c r="R8" s="666">
        <v>0</v>
      </c>
      <c r="S8" s="21">
        <f t="shared" si="2"/>
        <v>1</v>
      </c>
      <c r="T8" s="666">
        <v>0.5</v>
      </c>
      <c r="U8" s="666">
        <v>0.5</v>
      </c>
      <c r="V8" s="666">
        <v>0</v>
      </c>
      <c r="W8" s="21">
        <f t="shared" si="3"/>
        <v>1</v>
      </c>
    </row>
    <row r="9" spans="1:23" x14ac:dyDescent="0.25">
      <c r="A9" s="1932"/>
      <c r="B9" s="19" t="s">
        <v>33</v>
      </c>
      <c r="C9" s="22"/>
      <c r="D9" s="634">
        <v>1</v>
      </c>
      <c r="E9" s="634">
        <v>0.5</v>
      </c>
      <c r="F9" s="634">
        <v>0</v>
      </c>
      <c r="G9" s="619">
        <f t="shared" ref="G9:G93" si="4" xml:space="preserve"> SUM(D9:F9) + $C9</f>
        <v>1.5</v>
      </c>
      <c r="H9" s="637">
        <v>1</v>
      </c>
      <c r="I9" s="634">
        <v>0.5</v>
      </c>
      <c r="J9" s="634">
        <v>0</v>
      </c>
      <c r="K9" s="21">
        <f t="shared" si="0"/>
        <v>1.5</v>
      </c>
      <c r="L9" s="634">
        <v>1</v>
      </c>
      <c r="M9" s="634">
        <v>0.5</v>
      </c>
      <c r="N9" s="634">
        <v>0</v>
      </c>
      <c r="O9" s="21">
        <f t="shared" si="1"/>
        <v>1.5</v>
      </c>
      <c r="P9" s="634">
        <v>1</v>
      </c>
      <c r="Q9" s="634">
        <v>0.5</v>
      </c>
      <c r="R9" s="634">
        <v>0</v>
      </c>
      <c r="S9" s="21">
        <f t="shared" si="2"/>
        <v>1.5</v>
      </c>
      <c r="T9" s="634">
        <v>1</v>
      </c>
      <c r="U9" s="634">
        <v>0.5</v>
      </c>
      <c r="V9" s="634">
        <v>0</v>
      </c>
      <c r="W9" s="21">
        <f t="shared" si="3"/>
        <v>1.5</v>
      </c>
    </row>
    <row r="10" spans="1:23" ht="15.75" thickBot="1" x14ac:dyDescent="0.3">
      <c r="A10" s="1932"/>
      <c r="B10" s="13" t="s">
        <v>34</v>
      </c>
      <c r="C10" s="34"/>
      <c r="D10" s="634">
        <v>2</v>
      </c>
      <c r="E10" s="634">
        <v>0.5</v>
      </c>
      <c r="F10" s="634">
        <v>0</v>
      </c>
      <c r="G10" s="622">
        <f t="shared" si="4"/>
        <v>2.5</v>
      </c>
      <c r="H10" s="637">
        <v>2</v>
      </c>
      <c r="I10" s="634">
        <v>0.5</v>
      </c>
      <c r="J10" s="634">
        <v>0</v>
      </c>
      <c r="K10" s="77">
        <f t="shared" si="0"/>
        <v>2.5</v>
      </c>
      <c r="L10" s="634">
        <v>2</v>
      </c>
      <c r="M10" s="634">
        <v>0.5</v>
      </c>
      <c r="N10" s="634">
        <v>0</v>
      </c>
      <c r="O10" s="77">
        <f t="shared" si="1"/>
        <v>2.5</v>
      </c>
      <c r="P10" s="634">
        <v>2</v>
      </c>
      <c r="Q10" s="634">
        <v>0.5</v>
      </c>
      <c r="R10" s="634">
        <v>0</v>
      </c>
      <c r="S10" s="77">
        <f t="shared" si="2"/>
        <v>2.5</v>
      </c>
      <c r="T10" s="634">
        <v>2</v>
      </c>
      <c r="U10" s="634">
        <v>0.5</v>
      </c>
      <c r="V10" s="634">
        <v>0</v>
      </c>
      <c r="W10" s="77">
        <f t="shared" si="3"/>
        <v>2.5</v>
      </c>
    </row>
    <row r="11" spans="1:23" ht="16.5" thickBot="1" x14ac:dyDescent="0.3">
      <c r="A11" s="326" t="s">
        <v>1</v>
      </c>
      <c r="B11" s="327"/>
      <c r="C11" s="327"/>
      <c r="D11" s="327"/>
      <c r="E11" s="327"/>
      <c r="F11" s="327"/>
      <c r="G11" s="329"/>
      <c r="H11" s="327"/>
      <c r="I11" s="327"/>
      <c r="J11" s="327"/>
      <c r="K11" s="329"/>
      <c r="L11" s="327"/>
      <c r="M11" s="327"/>
      <c r="N11" s="327"/>
      <c r="O11" s="329"/>
      <c r="P11" s="327"/>
      <c r="Q11" s="327"/>
      <c r="R11" s="327"/>
      <c r="S11" s="329"/>
      <c r="T11" s="327"/>
      <c r="U11" s="327"/>
      <c r="V11" s="327"/>
      <c r="W11" s="328"/>
    </row>
    <row r="12" spans="1:23" x14ac:dyDescent="0.25">
      <c r="A12" s="1932" t="s">
        <v>2</v>
      </c>
      <c r="B12" s="404" t="s">
        <v>32</v>
      </c>
      <c r="C12" s="324"/>
      <c r="D12" s="674">
        <f>D$22*0.7</f>
        <v>2.8</v>
      </c>
      <c r="E12" s="674">
        <f>E$22*0.7</f>
        <v>0</v>
      </c>
      <c r="F12" s="674">
        <f>0.1 *F$3</f>
        <v>0</v>
      </c>
      <c r="G12" s="683">
        <f t="shared" si="4"/>
        <v>2.8</v>
      </c>
      <c r="H12" s="676">
        <f>H$22*0.7</f>
        <v>2.8</v>
      </c>
      <c r="I12" s="674">
        <f>I$22*0.7</f>
        <v>0</v>
      </c>
      <c r="J12" s="674">
        <f>0.1 *J$3</f>
        <v>0</v>
      </c>
      <c r="K12" s="230">
        <f xml:space="preserve"> SUM(H12:J12) + $C12</f>
        <v>2.8</v>
      </c>
      <c r="L12" s="674">
        <f>L$22*0.7</f>
        <v>2.8</v>
      </c>
      <c r="M12" s="674">
        <f>M$22*0.7</f>
        <v>0</v>
      </c>
      <c r="N12" s="674">
        <f>0.1 *N$3</f>
        <v>0</v>
      </c>
      <c r="O12" s="230">
        <f xml:space="preserve"> SUM(L12:N12) + $C12</f>
        <v>2.8</v>
      </c>
      <c r="P12" s="674">
        <f>P$22*0.7</f>
        <v>2.8</v>
      </c>
      <c r="Q12" s="674">
        <f>Q$22*0.7</f>
        <v>0</v>
      </c>
      <c r="R12" s="674">
        <f>0.1 *R$3</f>
        <v>0</v>
      </c>
      <c r="S12" s="230">
        <f xml:space="preserve"> SUM(P12:R12) + $C12</f>
        <v>2.8</v>
      </c>
      <c r="T12" s="674">
        <f>T$22*0.7</f>
        <v>2.8</v>
      </c>
      <c r="U12" s="674">
        <f>U$22*0.7</f>
        <v>0</v>
      </c>
      <c r="V12" s="674">
        <f>0.1 *V$3</f>
        <v>0</v>
      </c>
      <c r="W12" s="230">
        <f xml:space="preserve"> SUM(T12:V12) + $C12</f>
        <v>2.8</v>
      </c>
    </row>
    <row r="13" spans="1:23" x14ac:dyDescent="0.25">
      <c r="A13" s="1932"/>
      <c r="B13" s="19" t="s">
        <v>33</v>
      </c>
      <c r="C13" s="22"/>
      <c r="D13" s="630">
        <f>D$23*0.7</f>
        <v>4.1999999999999993</v>
      </c>
      <c r="E13" s="630">
        <f>E$23*0.7</f>
        <v>0</v>
      </c>
      <c r="F13" s="630">
        <f>0.1 *F$3</f>
        <v>0</v>
      </c>
      <c r="G13" s="619">
        <f t="shared" si="4"/>
        <v>4.1999999999999993</v>
      </c>
      <c r="H13" s="628">
        <f>H$23*0.7</f>
        <v>4.1999999999999993</v>
      </c>
      <c r="I13" s="630">
        <f>I$23*0.7</f>
        <v>0</v>
      </c>
      <c r="J13" s="630">
        <f>0.1 *J$3</f>
        <v>0</v>
      </c>
      <c r="K13" s="21">
        <f xml:space="preserve"> SUM(H13:J13) + $C13</f>
        <v>4.1999999999999993</v>
      </c>
      <c r="L13" s="630">
        <f>L$23*0.7</f>
        <v>4.1999999999999993</v>
      </c>
      <c r="M13" s="630">
        <f>M$23*0.7</f>
        <v>0</v>
      </c>
      <c r="N13" s="630">
        <f>0.1 *N$3</f>
        <v>0</v>
      </c>
      <c r="O13" s="21">
        <f xml:space="preserve"> SUM(L13:N13) + $C13</f>
        <v>4.1999999999999993</v>
      </c>
      <c r="P13" s="630">
        <f>P$23*0.7</f>
        <v>4.1999999999999993</v>
      </c>
      <c r="Q13" s="630">
        <f>Q$23*0.7</f>
        <v>0</v>
      </c>
      <c r="R13" s="630">
        <f>0.1 *R$3</f>
        <v>0</v>
      </c>
      <c r="S13" s="21">
        <f xml:space="preserve"> SUM(P13:R13) + $C13</f>
        <v>4.1999999999999993</v>
      </c>
      <c r="T13" s="630">
        <f>T$23*0.7</f>
        <v>4.1999999999999993</v>
      </c>
      <c r="U13" s="630">
        <f>U$23*0.7</f>
        <v>0</v>
      </c>
      <c r="V13" s="630">
        <f>0.1 *V$3</f>
        <v>0</v>
      </c>
      <c r="W13" s="21">
        <f xml:space="preserve"> SUM(T13:V13) + $C13</f>
        <v>4.1999999999999993</v>
      </c>
    </row>
    <row r="14" spans="1:23" ht="15.75" thickBot="1" x14ac:dyDescent="0.3">
      <c r="A14" s="1932"/>
      <c r="B14" s="13" t="s">
        <v>34</v>
      </c>
      <c r="C14" s="34"/>
      <c r="D14" s="675">
        <f>D$24*0.7</f>
        <v>5.6</v>
      </c>
      <c r="E14" s="675">
        <f>E$24*0.7</f>
        <v>0</v>
      </c>
      <c r="F14" s="675">
        <f>0.1 *F$3</f>
        <v>0</v>
      </c>
      <c r="G14" s="622">
        <f t="shared" si="4"/>
        <v>5.6</v>
      </c>
      <c r="H14" s="677">
        <f>H$24*0.7</f>
        <v>5.6</v>
      </c>
      <c r="I14" s="675">
        <f>I$24*0.7</f>
        <v>0</v>
      </c>
      <c r="J14" s="675">
        <f>0.1 *J$3</f>
        <v>0</v>
      </c>
      <c r="K14" s="77">
        <f xml:space="preserve"> SUM(H14:J14) + $C14</f>
        <v>5.6</v>
      </c>
      <c r="L14" s="675">
        <f>L$24*0.7</f>
        <v>5.6</v>
      </c>
      <c r="M14" s="675">
        <f>M$24*0.7</f>
        <v>0</v>
      </c>
      <c r="N14" s="675">
        <f>0.1 *N$3</f>
        <v>0</v>
      </c>
      <c r="O14" s="77">
        <f xml:space="preserve"> SUM(L14:N14) + $C14</f>
        <v>5.6</v>
      </c>
      <c r="P14" s="675">
        <f>P$24*0.7</f>
        <v>5.6</v>
      </c>
      <c r="Q14" s="675">
        <f>Q$24*0.7</f>
        <v>0</v>
      </c>
      <c r="R14" s="675">
        <f>0.1 *R$3</f>
        <v>0</v>
      </c>
      <c r="S14" s="77">
        <f xml:space="preserve"> SUM(P14:R14) + $C14</f>
        <v>5.6</v>
      </c>
      <c r="T14" s="675">
        <f>T$24*0.7</f>
        <v>5.6</v>
      </c>
      <c r="U14" s="675">
        <f>U$24*0.7</f>
        <v>0</v>
      </c>
      <c r="V14" s="675">
        <f>0.1 *V$3</f>
        <v>0</v>
      </c>
      <c r="W14" s="77">
        <f xml:space="preserve"> SUM(T14:V14) + $C14</f>
        <v>5.6</v>
      </c>
    </row>
    <row r="15" spans="1:23" ht="16.5" thickBot="1" x14ac:dyDescent="0.3">
      <c r="A15" s="330" t="s">
        <v>3</v>
      </c>
      <c r="B15" s="329"/>
      <c r="C15" s="329"/>
      <c r="D15" s="329"/>
      <c r="E15" s="329"/>
      <c r="F15" s="329"/>
      <c r="G15" s="329"/>
      <c r="H15" s="329"/>
      <c r="I15" s="329"/>
      <c r="J15" s="329"/>
      <c r="K15" s="329"/>
      <c r="L15" s="329"/>
      <c r="M15" s="329"/>
      <c r="N15" s="329"/>
      <c r="O15" s="329"/>
      <c r="P15" s="329"/>
      <c r="Q15" s="329"/>
      <c r="R15" s="329"/>
      <c r="S15" s="329"/>
      <c r="T15" s="329"/>
      <c r="U15" s="329"/>
      <c r="V15" s="329"/>
      <c r="W15" s="328"/>
    </row>
    <row r="16" spans="1:23" x14ac:dyDescent="0.25">
      <c r="A16" s="1944" t="s">
        <v>4</v>
      </c>
      <c r="B16" s="325" t="s">
        <v>32</v>
      </c>
      <c r="C16" s="324"/>
      <c r="D16" s="417">
        <v>0.25</v>
      </c>
      <c r="E16" s="418">
        <v>0</v>
      </c>
      <c r="F16" s="419">
        <v>0</v>
      </c>
      <c r="G16" s="683">
        <f t="shared" si="4"/>
        <v>0.25</v>
      </c>
      <c r="H16" s="668">
        <v>0.25</v>
      </c>
      <c r="I16" s="669">
        <v>0</v>
      </c>
      <c r="J16" s="670">
        <v>0</v>
      </c>
      <c r="K16" s="230">
        <f t="shared" ref="K16:K36" si="5" xml:space="preserve"> SUM(H16:J16) + $C16</f>
        <v>0.25</v>
      </c>
      <c r="L16" s="668">
        <v>0.25</v>
      </c>
      <c r="M16" s="669">
        <v>0</v>
      </c>
      <c r="N16" s="670">
        <v>0</v>
      </c>
      <c r="O16" s="230">
        <f t="shared" ref="O16:O36" si="6" xml:space="preserve"> SUM(L16:N16) + $C16</f>
        <v>0.25</v>
      </c>
      <c r="P16" s="668">
        <v>0.25</v>
      </c>
      <c r="Q16" s="669">
        <v>0</v>
      </c>
      <c r="R16" s="670">
        <v>0</v>
      </c>
      <c r="S16" s="230">
        <f t="shared" ref="S16:S36" si="7" xml:space="preserve"> SUM(P16:R16) + $C16</f>
        <v>0.25</v>
      </c>
      <c r="T16" s="668">
        <v>0.25</v>
      </c>
      <c r="U16" s="669">
        <v>0</v>
      </c>
      <c r="V16" s="670">
        <v>0</v>
      </c>
      <c r="W16" s="230">
        <f t="shared" ref="W16:W36" si="8" xml:space="preserve"> SUM(T16:V16) + $C16</f>
        <v>0.25</v>
      </c>
    </row>
    <row r="17" spans="1:23" x14ac:dyDescent="0.25">
      <c r="A17" s="1937"/>
      <c r="B17" s="18" t="s">
        <v>33</v>
      </c>
      <c r="C17" s="22"/>
      <c r="D17" s="668">
        <v>0.25</v>
      </c>
      <c r="E17" s="187">
        <v>0</v>
      </c>
      <c r="F17" s="217">
        <v>0</v>
      </c>
      <c r="G17" s="619">
        <f t="shared" si="4"/>
        <v>0.25</v>
      </c>
      <c r="H17" s="668">
        <v>0.25</v>
      </c>
      <c r="I17" s="636">
        <v>0</v>
      </c>
      <c r="J17" s="652">
        <v>0</v>
      </c>
      <c r="K17" s="21">
        <f t="shared" si="5"/>
        <v>0.25</v>
      </c>
      <c r="L17" s="668">
        <v>0.25</v>
      </c>
      <c r="M17" s="636">
        <v>0</v>
      </c>
      <c r="N17" s="652">
        <v>0</v>
      </c>
      <c r="O17" s="21">
        <f t="shared" si="6"/>
        <v>0.25</v>
      </c>
      <c r="P17" s="668">
        <v>0.25</v>
      </c>
      <c r="Q17" s="636">
        <v>0</v>
      </c>
      <c r="R17" s="652">
        <v>0</v>
      </c>
      <c r="S17" s="21">
        <f t="shared" si="7"/>
        <v>0.25</v>
      </c>
      <c r="T17" s="668">
        <v>0.25</v>
      </c>
      <c r="U17" s="636">
        <v>0</v>
      </c>
      <c r="V17" s="652">
        <v>0</v>
      </c>
      <c r="W17" s="21">
        <f t="shared" si="8"/>
        <v>0.25</v>
      </c>
    </row>
    <row r="18" spans="1:23" x14ac:dyDescent="0.25">
      <c r="A18" s="1937"/>
      <c r="B18" s="18" t="s">
        <v>34</v>
      </c>
      <c r="C18" s="22"/>
      <c r="D18" s="668">
        <v>0.25</v>
      </c>
      <c r="E18" s="187">
        <v>0</v>
      </c>
      <c r="F18" s="217">
        <v>0</v>
      </c>
      <c r="G18" s="619">
        <f t="shared" si="4"/>
        <v>0.25</v>
      </c>
      <c r="H18" s="668">
        <v>0.25</v>
      </c>
      <c r="I18" s="636">
        <v>0</v>
      </c>
      <c r="J18" s="652">
        <v>0</v>
      </c>
      <c r="K18" s="21">
        <f t="shared" si="5"/>
        <v>0.25</v>
      </c>
      <c r="L18" s="668">
        <v>0.25</v>
      </c>
      <c r="M18" s="636">
        <v>0</v>
      </c>
      <c r="N18" s="652">
        <v>0</v>
      </c>
      <c r="O18" s="21">
        <f t="shared" si="6"/>
        <v>0.25</v>
      </c>
      <c r="P18" s="668">
        <v>0.25</v>
      </c>
      <c r="Q18" s="636">
        <v>0</v>
      </c>
      <c r="R18" s="652">
        <v>0</v>
      </c>
      <c r="S18" s="21">
        <f t="shared" si="7"/>
        <v>0.25</v>
      </c>
      <c r="T18" s="668">
        <v>0.25</v>
      </c>
      <c r="U18" s="636">
        <v>0</v>
      </c>
      <c r="V18" s="652">
        <v>0</v>
      </c>
      <c r="W18" s="21">
        <f t="shared" si="8"/>
        <v>0.25</v>
      </c>
    </row>
    <row r="19" spans="1:23" x14ac:dyDescent="0.25">
      <c r="A19" s="1937" t="s">
        <v>5</v>
      </c>
      <c r="B19" s="19" t="s">
        <v>32</v>
      </c>
      <c r="C19" s="22"/>
      <c r="D19" s="635">
        <v>1</v>
      </c>
      <c r="E19" s="636">
        <v>0</v>
      </c>
      <c r="F19" s="652">
        <v>0</v>
      </c>
      <c r="G19" s="619">
        <f t="shared" si="4"/>
        <v>1</v>
      </c>
      <c r="H19" s="635">
        <v>1</v>
      </c>
      <c r="I19" s="636">
        <v>0</v>
      </c>
      <c r="J19" s="652">
        <v>0</v>
      </c>
      <c r="K19" s="21">
        <f t="shared" si="5"/>
        <v>1</v>
      </c>
      <c r="L19" s="635">
        <v>1</v>
      </c>
      <c r="M19" s="636">
        <v>0</v>
      </c>
      <c r="N19" s="652">
        <v>0</v>
      </c>
      <c r="O19" s="21">
        <f t="shared" si="6"/>
        <v>1</v>
      </c>
      <c r="P19" s="635">
        <v>1</v>
      </c>
      <c r="Q19" s="636">
        <v>0</v>
      </c>
      <c r="R19" s="652">
        <v>0</v>
      </c>
      <c r="S19" s="21">
        <f t="shared" si="7"/>
        <v>1</v>
      </c>
      <c r="T19" s="635">
        <v>1</v>
      </c>
      <c r="U19" s="636">
        <v>0</v>
      </c>
      <c r="V19" s="652">
        <v>0</v>
      </c>
      <c r="W19" s="21">
        <f t="shared" si="8"/>
        <v>1</v>
      </c>
    </row>
    <row r="20" spans="1:23" x14ac:dyDescent="0.25">
      <c r="A20" s="1937"/>
      <c r="B20" s="19" t="s">
        <v>33</v>
      </c>
      <c r="C20" s="22"/>
      <c r="D20" s="635">
        <v>2</v>
      </c>
      <c r="E20" s="636">
        <v>0</v>
      </c>
      <c r="F20" s="652">
        <v>0</v>
      </c>
      <c r="G20" s="619">
        <f t="shared" si="4"/>
        <v>2</v>
      </c>
      <c r="H20" s="635">
        <v>2</v>
      </c>
      <c r="I20" s="636">
        <v>0</v>
      </c>
      <c r="J20" s="652">
        <v>0</v>
      </c>
      <c r="K20" s="21">
        <f t="shared" si="5"/>
        <v>2</v>
      </c>
      <c r="L20" s="635">
        <v>2</v>
      </c>
      <c r="M20" s="636">
        <v>0</v>
      </c>
      <c r="N20" s="652">
        <v>0</v>
      </c>
      <c r="O20" s="21">
        <f t="shared" si="6"/>
        <v>2</v>
      </c>
      <c r="P20" s="635">
        <v>2</v>
      </c>
      <c r="Q20" s="636">
        <v>0</v>
      </c>
      <c r="R20" s="652">
        <v>0</v>
      </c>
      <c r="S20" s="21">
        <f t="shared" si="7"/>
        <v>2</v>
      </c>
      <c r="T20" s="635">
        <v>2</v>
      </c>
      <c r="U20" s="636">
        <v>0</v>
      </c>
      <c r="V20" s="652">
        <v>0</v>
      </c>
      <c r="W20" s="21">
        <f t="shared" si="8"/>
        <v>2</v>
      </c>
    </row>
    <row r="21" spans="1:23" x14ac:dyDescent="0.25">
      <c r="A21" s="1937"/>
      <c r="B21" s="19" t="s">
        <v>34</v>
      </c>
      <c r="C21" s="22"/>
      <c r="D21" s="635">
        <v>3</v>
      </c>
      <c r="E21" s="636">
        <v>0</v>
      </c>
      <c r="F21" s="652">
        <v>0</v>
      </c>
      <c r="G21" s="619">
        <f t="shared" si="4"/>
        <v>3</v>
      </c>
      <c r="H21" s="635">
        <v>3</v>
      </c>
      <c r="I21" s="636">
        <v>0</v>
      </c>
      <c r="J21" s="652">
        <v>0</v>
      </c>
      <c r="K21" s="21">
        <f t="shared" si="5"/>
        <v>3</v>
      </c>
      <c r="L21" s="635">
        <v>3</v>
      </c>
      <c r="M21" s="636">
        <v>0</v>
      </c>
      <c r="N21" s="652">
        <v>0</v>
      </c>
      <c r="O21" s="21">
        <f t="shared" si="6"/>
        <v>3</v>
      </c>
      <c r="P21" s="635">
        <v>3</v>
      </c>
      <c r="Q21" s="636">
        <v>0</v>
      </c>
      <c r="R21" s="652">
        <v>0</v>
      </c>
      <c r="S21" s="21">
        <f t="shared" si="7"/>
        <v>3</v>
      </c>
      <c r="T21" s="635">
        <v>3</v>
      </c>
      <c r="U21" s="636">
        <v>0</v>
      </c>
      <c r="V21" s="652">
        <v>0</v>
      </c>
      <c r="W21" s="21">
        <f t="shared" si="8"/>
        <v>3</v>
      </c>
    </row>
    <row r="22" spans="1:23" x14ac:dyDescent="0.25">
      <c r="A22" s="1937" t="s">
        <v>6</v>
      </c>
      <c r="B22" s="19" t="s">
        <v>32</v>
      </c>
      <c r="C22" s="22"/>
      <c r="D22" s="634">
        <v>4</v>
      </c>
      <c r="E22" s="630">
        <f>0.5*E$3</f>
        <v>0</v>
      </c>
      <c r="F22" s="630">
        <f>0.1*F$3</f>
        <v>0</v>
      </c>
      <c r="G22" s="619">
        <f t="shared" si="4"/>
        <v>4</v>
      </c>
      <c r="H22" s="634">
        <v>4</v>
      </c>
      <c r="I22" s="630">
        <f>0.5*I$3</f>
        <v>0</v>
      </c>
      <c r="J22" s="630">
        <f>0.1*J$3</f>
        <v>0</v>
      </c>
      <c r="K22" s="21">
        <f t="shared" si="5"/>
        <v>4</v>
      </c>
      <c r="L22" s="634">
        <v>4</v>
      </c>
      <c r="M22" s="630">
        <f>0.5*M$3</f>
        <v>0</v>
      </c>
      <c r="N22" s="630">
        <f>0.1*N$3</f>
        <v>0</v>
      </c>
      <c r="O22" s="21">
        <f t="shared" si="6"/>
        <v>4</v>
      </c>
      <c r="P22" s="634">
        <v>4</v>
      </c>
      <c r="Q22" s="630">
        <f>0.5*Q$3</f>
        <v>0</v>
      </c>
      <c r="R22" s="630">
        <f>0.1*R$3</f>
        <v>0</v>
      </c>
      <c r="S22" s="21">
        <f t="shared" si="7"/>
        <v>4</v>
      </c>
      <c r="T22" s="634">
        <v>4</v>
      </c>
      <c r="U22" s="630">
        <f>0.5*U$3</f>
        <v>0</v>
      </c>
      <c r="V22" s="630">
        <f>0.1*V$3</f>
        <v>0</v>
      </c>
      <c r="W22" s="21">
        <f t="shared" si="8"/>
        <v>4</v>
      </c>
    </row>
    <row r="23" spans="1:23" x14ac:dyDescent="0.25">
      <c r="A23" s="1937"/>
      <c r="B23" s="19" t="s">
        <v>33</v>
      </c>
      <c r="C23" s="22"/>
      <c r="D23" s="634">
        <v>6</v>
      </c>
      <c r="E23" s="630">
        <f>0.5*E$3</f>
        <v>0</v>
      </c>
      <c r="F23" s="630">
        <f>0.1*F$3</f>
        <v>0</v>
      </c>
      <c r="G23" s="619">
        <f t="shared" si="4"/>
        <v>6</v>
      </c>
      <c r="H23" s="634">
        <v>6</v>
      </c>
      <c r="I23" s="630">
        <f>0.5*I$3</f>
        <v>0</v>
      </c>
      <c r="J23" s="630">
        <f>0.1*J$3</f>
        <v>0</v>
      </c>
      <c r="K23" s="21">
        <f t="shared" si="5"/>
        <v>6</v>
      </c>
      <c r="L23" s="634">
        <v>6</v>
      </c>
      <c r="M23" s="630">
        <f>0.5*M$3</f>
        <v>0</v>
      </c>
      <c r="N23" s="630">
        <f>0.1*N$3</f>
        <v>0</v>
      </c>
      <c r="O23" s="21">
        <f t="shared" si="6"/>
        <v>6</v>
      </c>
      <c r="P23" s="634">
        <v>6</v>
      </c>
      <c r="Q23" s="630">
        <f>0.5*Q$3</f>
        <v>0</v>
      </c>
      <c r="R23" s="630">
        <f>0.1*R$3</f>
        <v>0</v>
      </c>
      <c r="S23" s="21">
        <f t="shared" si="7"/>
        <v>6</v>
      </c>
      <c r="T23" s="634">
        <v>6</v>
      </c>
      <c r="U23" s="630">
        <f>0.5*U$3</f>
        <v>0</v>
      </c>
      <c r="V23" s="630">
        <f>0.1*V$3</f>
        <v>0</v>
      </c>
      <c r="W23" s="21">
        <f t="shared" si="8"/>
        <v>6</v>
      </c>
    </row>
    <row r="24" spans="1:23" x14ac:dyDescent="0.25">
      <c r="A24" s="1937"/>
      <c r="B24" s="19" t="s">
        <v>34</v>
      </c>
      <c r="C24" s="22"/>
      <c r="D24" s="634">
        <v>8</v>
      </c>
      <c r="E24" s="630">
        <f>0.5*E$3</f>
        <v>0</v>
      </c>
      <c r="F24" s="630">
        <f>0.1*F$3</f>
        <v>0</v>
      </c>
      <c r="G24" s="619">
        <f t="shared" si="4"/>
        <v>8</v>
      </c>
      <c r="H24" s="634">
        <v>8</v>
      </c>
      <c r="I24" s="630">
        <f>0.5*I$3</f>
        <v>0</v>
      </c>
      <c r="J24" s="630">
        <f>0.1*J$3</f>
        <v>0</v>
      </c>
      <c r="K24" s="21">
        <f t="shared" si="5"/>
        <v>8</v>
      </c>
      <c r="L24" s="634">
        <v>8</v>
      </c>
      <c r="M24" s="630">
        <f>0.5*M$3</f>
        <v>0</v>
      </c>
      <c r="N24" s="630">
        <f>0.1*N$3</f>
        <v>0</v>
      </c>
      <c r="O24" s="21">
        <f t="shared" si="6"/>
        <v>8</v>
      </c>
      <c r="P24" s="634">
        <v>8</v>
      </c>
      <c r="Q24" s="630">
        <f>0.5*Q$3</f>
        <v>0</v>
      </c>
      <c r="R24" s="630">
        <f>0.1*R$3</f>
        <v>0</v>
      </c>
      <c r="S24" s="21">
        <f t="shared" si="7"/>
        <v>8</v>
      </c>
      <c r="T24" s="634">
        <v>8</v>
      </c>
      <c r="U24" s="630">
        <f>0.5*U$3</f>
        <v>0</v>
      </c>
      <c r="V24" s="630">
        <f>0.1*V$3</f>
        <v>0</v>
      </c>
      <c r="W24" s="21">
        <f t="shared" si="8"/>
        <v>8</v>
      </c>
    </row>
    <row r="25" spans="1:23" x14ac:dyDescent="0.25">
      <c r="A25" s="1937" t="s">
        <v>7</v>
      </c>
      <c r="B25" s="19" t="s">
        <v>32</v>
      </c>
      <c r="C25" s="22"/>
      <c r="D25" s="635">
        <v>2</v>
      </c>
      <c r="E25" s="636">
        <v>0</v>
      </c>
      <c r="F25" s="652">
        <v>0</v>
      </c>
      <c r="G25" s="619">
        <f t="shared" si="4"/>
        <v>2</v>
      </c>
      <c r="H25" s="635">
        <v>2</v>
      </c>
      <c r="I25" s="636">
        <v>0</v>
      </c>
      <c r="J25" s="652">
        <v>0</v>
      </c>
      <c r="K25" s="21">
        <f t="shared" si="5"/>
        <v>2</v>
      </c>
      <c r="L25" s="635">
        <v>2</v>
      </c>
      <c r="M25" s="636">
        <v>0</v>
      </c>
      <c r="N25" s="652">
        <v>0</v>
      </c>
      <c r="O25" s="21">
        <f t="shared" si="6"/>
        <v>2</v>
      </c>
      <c r="P25" s="635">
        <v>2</v>
      </c>
      <c r="Q25" s="636">
        <v>0</v>
      </c>
      <c r="R25" s="652">
        <v>0</v>
      </c>
      <c r="S25" s="21">
        <f t="shared" si="7"/>
        <v>2</v>
      </c>
      <c r="T25" s="635">
        <v>2</v>
      </c>
      <c r="U25" s="636">
        <v>0</v>
      </c>
      <c r="V25" s="652">
        <v>0</v>
      </c>
      <c r="W25" s="21">
        <f t="shared" si="8"/>
        <v>2</v>
      </c>
    </row>
    <row r="26" spans="1:23" x14ac:dyDescent="0.25">
      <c r="A26" s="1937"/>
      <c r="B26" s="19" t="s">
        <v>33</v>
      </c>
      <c r="C26" s="22"/>
      <c r="D26" s="635">
        <v>3</v>
      </c>
      <c r="E26" s="636">
        <v>0</v>
      </c>
      <c r="F26" s="652">
        <v>0</v>
      </c>
      <c r="G26" s="619">
        <f t="shared" si="4"/>
        <v>3</v>
      </c>
      <c r="H26" s="635">
        <v>3</v>
      </c>
      <c r="I26" s="636">
        <v>0</v>
      </c>
      <c r="J26" s="652">
        <v>0</v>
      </c>
      <c r="K26" s="21">
        <f t="shared" si="5"/>
        <v>3</v>
      </c>
      <c r="L26" s="635">
        <v>3</v>
      </c>
      <c r="M26" s="636">
        <v>0</v>
      </c>
      <c r="N26" s="652">
        <v>0</v>
      </c>
      <c r="O26" s="21">
        <f t="shared" si="6"/>
        <v>3</v>
      </c>
      <c r="P26" s="635">
        <v>3</v>
      </c>
      <c r="Q26" s="636">
        <v>0</v>
      </c>
      <c r="R26" s="652">
        <v>0</v>
      </c>
      <c r="S26" s="21">
        <f t="shared" si="7"/>
        <v>3</v>
      </c>
      <c r="T26" s="635">
        <v>3</v>
      </c>
      <c r="U26" s="636">
        <v>0</v>
      </c>
      <c r="V26" s="652">
        <v>0</v>
      </c>
      <c r="W26" s="21">
        <f t="shared" si="8"/>
        <v>3</v>
      </c>
    </row>
    <row r="27" spans="1:23" x14ac:dyDescent="0.25">
      <c r="A27" s="1937"/>
      <c r="B27" s="19" t="s">
        <v>34</v>
      </c>
      <c r="C27" s="22"/>
      <c r="D27" s="635">
        <v>4</v>
      </c>
      <c r="E27" s="636">
        <v>0</v>
      </c>
      <c r="F27" s="652">
        <v>0</v>
      </c>
      <c r="G27" s="619">
        <f t="shared" si="4"/>
        <v>4</v>
      </c>
      <c r="H27" s="635">
        <v>4</v>
      </c>
      <c r="I27" s="636">
        <v>0</v>
      </c>
      <c r="J27" s="652">
        <v>0</v>
      </c>
      <c r="K27" s="21">
        <f t="shared" si="5"/>
        <v>4</v>
      </c>
      <c r="L27" s="635">
        <v>4</v>
      </c>
      <c r="M27" s="636">
        <v>0</v>
      </c>
      <c r="N27" s="652">
        <v>0</v>
      </c>
      <c r="O27" s="21">
        <f t="shared" si="6"/>
        <v>4</v>
      </c>
      <c r="P27" s="635">
        <v>4</v>
      </c>
      <c r="Q27" s="636">
        <v>0</v>
      </c>
      <c r="R27" s="652">
        <v>0</v>
      </c>
      <c r="S27" s="21">
        <f t="shared" si="7"/>
        <v>4</v>
      </c>
      <c r="T27" s="635">
        <v>4</v>
      </c>
      <c r="U27" s="636">
        <v>0</v>
      </c>
      <c r="V27" s="652">
        <v>0</v>
      </c>
      <c r="W27" s="21">
        <f t="shared" si="8"/>
        <v>4</v>
      </c>
    </row>
    <row r="28" spans="1:23" x14ac:dyDescent="0.25">
      <c r="A28" s="1937" t="s">
        <v>8</v>
      </c>
      <c r="B28" s="19" t="s">
        <v>32</v>
      </c>
      <c r="C28" s="22"/>
      <c r="D28" s="635">
        <v>1</v>
      </c>
      <c r="E28" s="636">
        <v>0</v>
      </c>
      <c r="F28" s="652">
        <v>0</v>
      </c>
      <c r="G28" s="619">
        <f t="shared" si="4"/>
        <v>1</v>
      </c>
      <c r="H28" s="635">
        <v>1</v>
      </c>
      <c r="I28" s="636">
        <v>0</v>
      </c>
      <c r="J28" s="652">
        <v>0</v>
      </c>
      <c r="K28" s="21">
        <f t="shared" si="5"/>
        <v>1</v>
      </c>
      <c r="L28" s="635">
        <v>1</v>
      </c>
      <c r="M28" s="636">
        <v>0</v>
      </c>
      <c r="N28" s="652">
        <v>0</v>
      </c>
      <c r="O28" s="21">
        <f t="shared" si="6"/>
        <v>1</v>
      </c>
      <c r="P28" s="635">
        <v>1</v>
      </c>
      <c r="Q28" s="636">
        <v>0</v>
      </c>
      <c r="R28" s="652">
        <v>0</v>
      </c>
      <c r="S28" s="21">
        <f t="shared" si="7"/>
        <v>1</v>
      </c>
      <c r="T28" s="635">
        <v>1</v>
      </c>
      <c r="U28" s="636">
        <v>0</v>
      </c>
      <c r="V28" s="652">
        <v>0</v>
      </c>
      <c r="W28" s="21">
        <f t="shared" si="8"/>
        <v>1</v>
      </c>
    </row>
    <row r="29" spans="1:23" x14ac:dyDescent="0.25">
      <c r="A29" s="1937"/>
      <c r="B29" s="19" t="s">
        <v>33</v>
      </c>
      <c r="C29" s="22"/>
      <c r="D29" s="635">
        <v>1</v>
      </c>
      <c r="E29" s="636">
        <v>0</v>
      </c>
      <c r="F29" s="652">
        <v>0</v>
      </c>
      <c r="G29" s="619">
        <f t="shared" si="4"/>
        <v>1</v>
      </c>
      <c r="H29" s="635">
        <v>1</v>
      </c>
      <c r="I29" s="636">
        <v>0</v>
      </c>
      <c r="J29" s="652">
        <v>0</v>
      </c>
      <c r="K29" s="21">
        <f t="shared" si="5"/>
        <v>1</v>
      </c>
      <c r="L29" s="635">
        <v>1</v>
      </c>
      <c r="M29" s="636">
        <v>0</v>
      </c>
      <c r="N29" s="652">
        <v>0</v>
      </c>
      <c r="O29" s="21">
        <f t="shared" si="6"/>
        <v>1</v>
      </c>
      <c r="P29" s="635">
        <v>1</v>
      </c>
      <c r="Q29" s="636">
        <v>0</v>
      </c>
      <c r="R29" s="652">
        <v>0</v>
      </c>
      <c r="S29" s="21">
        <f t="shared" si="7"/>
        <v>1</v>
      </c>
      <c r="T29" s="635">
        <v>1</v>
      </c>
      <c r="U29" s="636">
        <v>0</v>
      </c>
      <c r="V29" s="652">
        <v>0</v>
      </c>
      <c r="W29" s="21">
        <f t="shared" si="8"/>
        <v>1</v>
      </c>
    </row>
    <row r="30" spans="1:23" x14ac:dyDescent="0.25">
      <c r="A30" s="1937"/>
      <c r="B30" s="19" t="s">
        <v>34</v>
      </c>
      <c r="C30" s="22"/>
      <c r="D30" s="635">
        <v>2</v>
      </c>
      <c r="E30" s="636">
        <v>0</v>
      </c>
      <c r="F30" s="652">
        <v>0</v>
      </c>
      <c r="G30" s="619">
        <f t="shared" si="4"/>
        <v>2</v>
      </c>
      <c r="H30" s="635">
        <v>2</v>
      </c>
      <c r="I30" s="636">
        <v>0</v>
      </c>
      <c r="J30" s="652">
        <v>0</v>
      </c>
      <c r="K30" s="21">
        <f t="shared" si="5"/>
        <v>2</v>
      </c>
      <c r="L30" s="635">
        <v>2</v>
      </c>
      <c r="M30" s="636">
        <v>0</v>
      </c>
      <c r="N30" s="652">
        <v>0</v>
      </c>
      <c r="O30" s="21">
        <f t="shared" si="6"/>
        <v>2</v>
      </c>
      <c r="P30" s="635">
        <v>2</v>
      </c>
      <c r="Q30" s="636">
        <v>0</v>
      </c>
      <c r="R30" s="652">
        <v>0</v>
      </c>
      <c r="S30" s="21">
        <f t="shared" si="7"/>
        <v>2</v>
      </c>
      <c r="T30" s="635">
        <v>2</v>
      </c>
      <c r="U30" s="636">
        <v>0</v>
      </c>
      <c r="V30" s="652">
        <v>0</v>
      </c>
      <c r="W30" s="21">
        <f t="shared" si="8"/>
        <v>2</v>
      </c>
    </row>
    <row r="31" spans="1:23" x14ac:dyDescent="0.25">
      <c r="A31" s="1937" t="s">
        <v>9</v>
      </c>
      <c r="B31" s="19" t="s">
        <v>32</v>
      </c>
      <c r="C31" s="22"/>
      <c r="D31" s="631">
        <f>IF(D$3&gt;0,(0.5*D$3),0.5)</f>
        <v>0.5</v>
      </c>
      <c r="E31" s="636">
        <v>0</v>
      </c>
      <c r="F31" s="629">
        <f>F$3*0.1</f>
        <v>0</v>
      </c>
      <c r="G31" s="619">
        <f t="shared" si="4"/>
        <v>0.5</v>
      </c>
      <c r="H31" s="631">
        <f>IF(H$3&gt;0,(0.5*H$3),0.5)</f>
        <v>0.5</v>
      </c>
      <c r="I31" s="636">
        <v>0</v>
      </c>
      <c r="J31" s="629">
        <f>J$3*0.1</f>
        <v>0</v>
      </c>
      <c r="K31" s="21">
        <f t="shared" si="5"/>
        <v>0.5</v>
      </c>
      <c r="L31" s="631">
        <f>IF(L$3&gt;0,(0.5*L$3),0.5)</f>
        <v>0.5</v>
      </c>
      <c r="M31" s="636">
        <v>0</v>
      </c>
      <c r="N31" s="629">
        <f>N$3*0.1</f>
        <v>0</v>
      </c>
      <c r="O31" s="21">
        <f t="shared" si="6"/>
        <v>0.5</v>
      </c>
      <c r="P31" s="631">
        <f>IF(P$3&gt;0,(0.5*P$3),0.5)</f>
        <v>0.5</v>
      </c>
      <c r="Q31" s="636">
        <v>0</v>
      </c>
      <c r="R31" s="629">
        <f>R$3*0.1</f>
        <v>0</v>
      </c>
      <c r="S31" s="21">
        <f t="shared" si="7"/>
        <v>0.5</v>
      </c>
      <c r="T31" s="631">
        <f>IF(T$3&gt;0,(0.5*T$3),0.5)</f>
        <v>0.5</v>
      </c>
      <c r="U31" s="636">
        <v>0</v>
      </c>
      <c r="V31" s="629">
        <f>V$3*0.1</f>
        <v>0</v>
      </c>
      <c r="W31" s="21">
        <f t="shared" si="8"/>
        <v>0.5</v>
      </c>
    </row>
    <row r="32" spans="1:23" x14ac:dyDescent="0.25">
      <c r="A32" s="1937"/>
      <c r="B32" s="19" t="s">
        <v>33</v>
      </c>
      <c r="C32" s="22"/>
      <c r="D32" s="631">
        <f xml:space="preserve"> IF(D$3&gt;0,1+(0.5*D$3),0.5)</f>
        <v>0.5</v>
      </c>
      <c r="E32" s="636">
        <v>0</v>
      </c>
      <c r="F32" s="629">
        <f>F$3*0.1</f>
        <v>0</v>
      </c>
      <c r="G32" s="619">
        <f t="shared" si="4"/>
        <v>0.5</v>
      </c>
      <c r="H32" s="631">
        <f xml:space="preserve"> IF(H$3&gt;0,1+(0.5*H$3),0.5)</f>
        <v>0.5</v>
      </c>
      <c r="I32" s="636">
        <v>0</v>
      </c>
      <c r="J32" s="629">
        <f>J$3*0.1</f>
        <v>0</v>
      </c>
      <c r="K32" s="21">
        <f t="shared" si="5"/>
        <v>0.5</v>
      </c>
      <c r="L32" s="631">
        <f xml:space="preserve"> IF(L$3&gt;0,1+(0.5*L$3),0.5)</f>
        <v>0.5</v>
      </c>
      <c r="M32" s="636">
        <v>0</v>
      </c>
      <c r="N32" s="629">
        <f>N$3*0.1</f>
        <v>0</v>
      </c>
      <c r="O32" s="21">
        <f t="shared" si="6"/>
        <v>0.5</v>
      </c>
      <c r="P32" s="631">
        <f xml:space="preserve"> IF(P$3&gt;0,1+(0.5*P$3),0.5)</f>
        <v>0.5</v>
      </c>
      <c r="Q32" s="636">
        <v>0</v>
      </c>
      <c r="R32" s="629">
        <f>R$3*0.1</f>
        <v>0</v>
      </c>
      <c r="S32" s="21">
        <f t="shared" si="7"/>
        <v>0.5</v>
      </c>
      <c r="T32" s="631">
        <f xml:space="preserve"> IF(T$3&gt;0,1+(0.5*T$3),0.5)</f>
        <v>0.5</v>
      </c>
      <c r="U32" s="636">
        <v>0</v>
      </c>
      <c r="V32" s="629">
        <f>V$3*0.1</f>
        <v>0</v>
      </c>
      <c r="W32" s="21">
        <f t="shared" si="8"/>
        <v>0.5</v>
      </c>
    </row>
    <row r="33" spans="1:27" x14ac:dyDescent="0.25">
      <c r="A33" s="1937"/>
      <c r="B33" s="19" t="s">
        <v>34</v>
      </c>
      <c r="C33" s="22"/>
      <c r="D33" s="631">
        <f>IF(D$3&gt;0,2+(0.5*D$3),0.5)</f>
        <v>0.5</v>
      </c>
      <c r="E33" s="636">
        <v>0</v>
      </c>
      <c r="F33" s="629">
        <f>F$3*0.1</f>
        <v>0</v>
      </c>
      <c r="G33" s="619">
        <f t="shared" si="4"/>
        <v>0.5</v>
      </c>
      <c r="H33" s="631">
        <f>IF(H$3&gt;0,2+(0.5*H$3),0.5)</f>
        <v>0.5</v>
      </c>
      <c r="I33" s="636">
        <v>0</v>
      </c>
      <c r="J33" s="629">
        <f>J$3*0.1</f>
        <v>0</v>
      </c>
      <c r="K33" s="21">
        <f t="shared" si="5"/>
        <v>0.5</v>
      </c>
      <c r="L33" s="631">
        <f>IF(L$3&gt;0,2+(0.5*L$3),0.5)</f>
        <v>0.5</v>
      </c>
      <c r="M33" s="636">
        <v>0</v>
      </c>
      <c r="N33" s="629">
        <f>N$3*0.1</f>
        <v>0</v>
      </c>
      <c r="O33" s="21">
        <f t="shared" si="6"/>
        <v>0.5</v>
      </c>
      <c r="P33" s="631">
        <f>IF(P$3&gt;0,2+(0.5*P$3),0.5)</f>
        <v>0.5</v>
      </c>
      <c r="Q33" s="636">
        <v>0</v>
      </c>
      <c r="R33" s="629">
        <f>R$3*0.1</f>
        <v>0</v>
      </c>
      <c r="S33" s="21">
        <f t="shared" si="7"/>
        <v>0.5</v>
      </c>
      <c r="T33" s="631">
        <f>IF(T$3&gt;0,2+(0.5*T$3),0.5)</f>
        <v>0.5</v>
      </c>
      <c r="U33" s="636">
        <v>0</v>
      </c>
      <c r="V33" s="629">
        <f>V$3*0.1</f>
        <v>0</v>
      </c>
      <c r="W33" s="21">
        <f t="shared" si="8"/>
        <v>0.5</v>
      </c>
    </row>
    <row r="34" spans="1:27" x14ac:dyDescent="0.25">
      <c r="A34" s="1937" t="s">
        <v>10</v>
      </c>
      <c r="B34" s="19" t="s">
        <v>32</v>
      </c>
      <c r="C34" s="22"/>
      <c r="D34" s="635">
        <v>2</v>
      </c>
      <c r="E34" s="636">
        <v>0</v>
      </c>
      <c r="F34" s="636">
        <v>0</v>
      </c>
      <c r="G34" s="619">
        <f t="shared" si="4"/>
        <v>2</v>
      </c>
      <c r="H34" s="635">
        <v>2</v>
      </c>
      <c r="I34" s="636">
        <v>0</v>
      </c>
      <c r="J34" s="636">
        <v>0</v>
      </c>
      <c r="K34" s="21">
        <f t="shared" si="5"/>
        <v>2</v>
      </c>
      <c r="L34" s="635">
        <v>2</v>
      </c>
      <c r="M34" s="636">
        <v>0</v>
      </c>
      <c r="N34" s="636">
        <v>0</v>
      </c>
      <c r="O34" s="21">
        <f t="shared" si="6"/>
        <v>2</v>
      </c>
      <c r="P34" s="635">
        <v>2</v>
      </c>
      <c r="Q34" s="636">
        <v>0</v>
      </c>
      <c r="R34" s="636">
        <v>0</v>
      </c>
      <c r="S34" s="21">
        <f t="shared" si="7"/>
        <v>2</v>
      </c>
      <c r="T34" s="635">
        <v>2</v>
      </c>
      <c r="U34" s="636">
        <v>0</v>
      </c>
      <c r="V34" s="636">
        <v>0</v>
      </c>
      <c r="W34" s="21">
        <f t="shared" si="8"/>
        <v>2</v>
      </c>
    </row>
    <row r="35" spans="1:27" x14ac:dyDescent="0.25">
      <c r="A35" s="1937"/>
      <c r="B35" s="19" t="s">
        <v>33</v>
      </c>
      <c r="C35" s="22"/>
      <c r="D35" s="635">
        <v>2</v>
      </c>
      <c r="E35" s="636">
        <v>0</v>
      </c>
      <c r="F35" s="636">
        <v>0</v>
      </c>
      <c r="G35" s="619">
        <f t="shared" si="4"/>
        <v>2</v>
      </c>
      <c r="H35" s="635">
        <v>2</v>
      </c>
      <c r="I35" s="636">
        <v>0</v>
      </c>
      <c r="J35" s="636">
        <v>0</v>
      </c>
      <c r="K35" s="21">
        <f t="shared" si="5"/>
        <v>2</v>
      </c>
      <c r="L35" s="635">
        <v>2</v>
      </c>
      <c r="M35" s="636">
        <v>0</v>
      </c>
      <c r="N35" s="636">
        <v>0</v>
      </c>
      <c r="O35" s="21">
        <f t="shared" si="6"/>
        <v>2</v>
      </c>
      <c r="P35" s="635">
        <v>2</v>
      </c>
      <c r="Q35" s="636">
        <v>0</v>
      </c>
      <c r="R35" s="636">
        <v>0</v>
      </c>
      <c r="S35" s="21">
        <f t="shared" si="7"/>
        <v>2</v>
      </c>
      <c r="T35" s="635">
        <v>2</v>
      </c>
      <c r="U35" s="636">
        <v>0</v>
      </c>
      <c r="V35" s="636">
        <v>0</v>
      </c>
      <c r="W35" s="21">
        <f t="shared" si="8"/>
        <v>2</v>
      </c>
    </row>
    <row r="36" spans="1:27" ht="15.75" thickBot="1" x14ac:dyDescent="0.3">
      <c r="A36" s="1938"/>
      <c r="B36" s="13" t="s">
        <v>34</v>
      </c>
      <c r="C36" s="34"/>
      <c r="D36" s="671">
        <v>2</v>
      </c>
      <c r="E36" s="672">
        <v>0</v>
      </c>
      <c r="F36" s="672">
        <v>0</v>
      </c>
      <c r="G36" s="622">
        <f t="shared" si="4"/>
        <v>2</v>
      </c>
      <c r="H36" s="671">
        <v>2</v>
      </c>
      <c r="I36" s="672">
        <v>0</v>
      </c>
      <c r="J36" s="672">
        <v>0</v>
      </c>
      <c r="K36" s="77">
        <f t="shared" si="5"/>
        <v>2</v>
      </c>
      <c r="L36" s="671">
        <v>2</v>
      </c>
      <c r="M36" s="672">
        <v>0</v>
      </c>
      <c r="N36" s="672">
        <v>0</v>
      </c>
      <c r="O36" s="77">
        <f t="shared" si="6"/>
        <v>2</v>
      </c>
      <c r="P36" s="671">
        <v>2</v>
      </c>
      <c r="Q36" s="672">
        <v>0</v>
      </c>
      <c r="R36" s="672">
        <v>0</v>
      </c>
      <c r="S36" s="77">
        <f t="shared" si="7"/>
        <v>2</v>
      </c>
      <c r="T36" s="671">
        <v>2</v>
      </c>
      <c r="U36" s="672">
        <v>0</v>
      </c>
      <c r="V36" s="672">
        <v>0</v>
      </c>
      <c r="W36" s="77">
        <f t="shared" si="8"/>
        <v>2</v>
      </c>
    </row>
    <row r="37" spans="1:27" ht="16.5" thickBot="1" x14ac:dyDescent="0.3">
      <c r="A37" s="330" t="s">
        <v>11</v>
      </c>
      <c r="B37" s="329"/>
      <c r="C37" s="329"/>
      <c r="D37" s="329"/>
      <c r="E37" s="329"/>
      <c r="F37" s="329"/>
      <c r="G37" s="329"/>
      <c r="H37" s="329"/>
      <c r="I37" s="329"/>
      <c r="J37" s="329"/>
      <c r="K37" s="329"/>
      <c r="L37" s="329"/>
      <c r="M37" s="329"/>
      <c r="N37" s="329"/>
      <c r="O37" s="329"/>
      <c r="P37" s="329"/>
      <c r="Q37" s="329"/>
      <c r="R37" s="329"/>
      <c r="S37" s="329"/>
      <c r="T37" s="329"/>
      <c r="U37" s="329"/>
      <c r="V37" s="329"/>
      <c r="W37" s="328"/>
    </row>
    <row r="38" spans="1:27" x14ac:dyDescent="0.25">
      <c r="A38" s="1932" t="s">
        <v>12</v>
      </c>
      <c r="B38" s="404" t="s">
        <v>32</v>
      </c>
      <c r="C38" s="324"/>
      <c r="D38" s="666">
        <v>4</v>
      </c>
      <c r="E38" s="674">
        <f>0.5*E$3</f>
        <v>0</v>
      </c>
      <c r="F38" s="674">
        <f>0.1*F$3</f>
        <v>0</v>
      </c>
      <c r="G38" s="683">
        <f t="shared" si="4"/>
        <v>4</v>
      </c>
      <c r="H38" s="696">
        <v>4</v>
      </c>
      <c r="I38" s="674">
        <f>0.5*I$3</f>
        <v>0</v>
      </c>
      <c r="J38" s="674">
        <f>0.1*J$3</f>
        <v>0</v>
      </c>
      <c r="K38" s="230">
        <f xml:space="preserve"> SUM(H38:J38) + $C38</f>
        <v>4</v>
      </c>
      <c r="L38" s="666">
        <v>4</v>
      </c>
      <c r="M38" s="674">
        <f>0.5*M$3</f>
        <v>0</v>
      </c>
      <c r="N38" s="674">
        <f>0.1*N$3</f>
        <v>0</v>
      </c>
      <c r="O38" s="230">
        <f xml:space="preserve"> SUM(L38:N38) + $C38</f>
        <v>4</v>
      </c>
      <c r="P38" s="666">
        <v>4</v>
      </c>
      <c r="Q38" s="674">
        <f>0.5*Q$3</f>
        <v>0</v>
      </c>
      <c r="R38" s="674">
        <f>0.1*R$3</f>
        <v>0</v>
      </c>
      <c r="S38" s="230">
        <f xml:space="preserve"> SUM(P38:R38) + $C38</f>
        <v>4</v>
      </c>
      <c r="T38" s="666">
        <v>4</v>
      </c>
      <c r="U38" s="674">
        <f>0.5*U$3</f>
        <v>0</v>
      </c>
      <c r="V38" s="674">
        <f>0.1*V$3</f>
        <v>0</v>
      </c>
      <c r="W38" s="230">
        <f xml:space="preserve"> SUM(T38:V38) + $C38</f>
        <v>4</v>
      </c>
    </row>
    <row r="39" spans="1:27" x14ac:dyDescent="0.25">
      <c r="A39" s="1932"/>
      <c r="B39" s="19" t="s">
        <v>33</v>
      </c>
      <c r="C39" s="22"/>
      <c r="D39" s="634">
        <v>6</v>
      </c>
      <c r="E39" s="630">
        <f>0.5*E$3</f>
        <v>0</v>
      </c>
      <c r="F39" s="630">
        <f>0.1*F$3</f>
        <v>0</v>
      </c>
      <c r="G39" s="619">
        <f t="shared" si="4"/>
        <v>6</v>
      </c>
      <c r="H39" s="637">
        <v>6</v>
      </c>
      <c r="I39" s="630">
        <f>0.5*I$3</f>
        <v>0</v>
      </c>
      <c r="J39" s="630">
        <f>0.1*J$3</f>
        <v>0</v>
      </c>
      <c r="K39" s="21">
        <f xml:space="preserve"> SUM(H39:J39) + $C39</f>
        <v>6</v>
      </c>
      <c r="L39" s="634">
        <v>6</v>
      </c>
      <c r="M39" s="630">
        <f>0.5*M$3</f>
        <v>0</v>
      </c>
      <c r="N39" s="630">
        <f>0.1*N$3</f>
        <v>0</v>
      </c>
      <c r="O39" s="21">
        <f xml:space="preserve"> SUM(L39:N39) + $C39</f>
        <v>6</v>
      </c>
      <c r="P39" s="634">
        <v>6</v>
      </c>
      <c r="Q39" s="630">
        <f>0.5*Q$3</f>
        <v>0</v>
      </c>
      <c r="R39" s="630">
        <f>0.1*R$3</f>
        <v>0</v>
      </c>
      <c r="S39" s="21">
        <f xml:space="preserve"> SUM(P39:R39) + $C39</f>
        <v>6</v>
      </c>
      <c r="T39" s="634">
        <v>6</v>
      </c>
      <c r="U39" s="630">
        <f>0.5*U$3</f>
        <v>0</v>
      </c>
      <c r="V39" s="630">
        <f>0.1*V$3</f>
        <v>0</v>
      </c>
      <c r="W39" s="21">
        <f xml:space="preserve"> SUM(T39:V39) + $C39</f>
        <v>6</v>
      </c>
    </row>
    <row r="40" spans="1:27" ht="15.75" thickBot="1" x14ac:dyDescent="0.3">
      <c r="A40" s="1932"/>
      <c r="B40" s="13" t="s">
        <v>34</v>
      </c>
      <c r="C40" s="34"/>
      <c r="D40" s="667">
        <v>8</v>
      </c>
      <c r="E40" s="675">
        <f>0.5*E$3</f>
        <v>0</v>
      </c>
      <c r="F40" s="675">
        <f>0.1*F$3</f>
        <v>0</v>
      </c>
      <c r="G40" s="622">
        <f t="shared" si="4"/>
        <v>8</v>
      </c>
      <c r="H40" s="697">
        <v>8</v>
      </c>
      <c r="I40" s="675">
        <f>0.5*I$3</f>
        <v>0</v>
      </c>
      <c r="J40" s="675">
        <f>0.1*J$3</f>
        <v>0</v>
      </c>
      <c r="K40" s="77">
        <f xml:space="preserve"> SUM(H40:J40) + $C40</f>
        <v>8</v>
      </c>
      <c r="L40" s="667">
        <v>8</v>
      </c>
      <c r="M40" s="675">
        <f>0.5*M$3</f>
        <v>0</v>
      </c>
      <c r="N40" s="675">
        <f>0.1*N$3</f>
        <v>0</v>
      </c>
      <c r="O40" s="77">
        <f xml:space="preserve"> SUM(L40:N40) + $C40</f>
        <v>8</v>
      </c>
      <c r="P40" s="667">
        <v>8</v>
      </c>
      <c r="Q40" s="675">
        <f>0.5*Q$3</f>
        <v>0</v>
      </c>
      <c r="R40" s="675">
        <f>0.1*R$3</f>
        <v>0</v>
      </c>
      <c r="S40" s="77">
        <f xml:space="preserve"> SUM(P40:R40) + $C40</f>
        <v>8</v>
      </c>
      <c r="T40" s="667">
        <v>8</v>
      </c>
      <c r="U40" s="675">
        <f>0.5*U$3</f>
        <v>0</v>
      </c>
      <c r="V40" s="675">
        <f>0.1*V$3</f>
        <v>0</v>
      </c>
      <c r="W40" s="77">
        <f xml:space="preserve"> SUM(T40:V40) + $C40</f>
        <v>8</v>
      </c>
    </row>
    <row r="41" spans="1:27" ht="16.5" thickBot="1" x14ac:dyDescent="0.3">
      <c r="A41" s="330" t="s">
        <v>13</v>
      </c>
      <c r="B41" s="329"/>
      <c r="C41" s="329"/>
      <c r="D41" s="329"/>
      <c r="E41" s="329"/>
      <c r="F41" s="329"/>
      <c r="G41" s="329"/>
      <c r="H41" s="329"/>
      <c r="I41" s="329"/>
      <c r="J41" s="329"/>
      <c r="K41" s="329"/>
      <c r="L41" s="329"/>
      <c r="M41" s="329"/>
      <c r="N41" s="329"/>
      <c r="O41" s="329"/>
      <c r="P41" s="329"/>
      <c r="Q41" s="329"/>
      <c r="R41" s="329"/>
      <c r="S41" s="329"/>
      <c r="T41" s="329"/>
      <c r="U41" s="329"/>
      <c r="V41" s="329"/>
      <c r="W41" s="328"/>
    </row>
    <row r="42" spans="1:27" x14ac:dyDescent="0.25">
      <c r="A42" s="1932" t="s">
        <v>14</v>
      </c>
      <c r="B42" s="404" t="s">
        <v>32</v>
      </c>
      <c r="C42" s="627"/>
      <c r="D42" s="635">
        <v>1</v>
      </c>
      <c r="E42" s="636">
        <v>0</v>
      </c>
      <c r="F42" s="652">
        <v>0</v>
      </c>
      <c r="G42" s="683">
        <f t="shared" si="4"/>
        <v>1</v>
      </c>
      <c r="H42" s="635">
        <v>1</v>
      </c>
      <c r="I42" s="636">
        <v>0</v>
      </c>
      <c r="J42" s="652">
        <v>0</v>
      </c>
      <c r="K42" s="230">
        <f t="shared" ref="K42:K86" si="9" xml:space="preserve"> SUM(H42:J42) + $C42</f>
        <v>1</v>
      </c>
      <c r="L42" s="635">
        <v>1</v>
      </c>
      <c r="M42" s="636">
        <v>0</v>
      </c>
      <c r="N42" s="652">
        <v>0</v>
      </c>
      <c r="O42" s="230">
        <f t="shared" ref="O42:O86" si="10" xml:space="preserve"> SUM(L42:N42) + $C42</f>
        <v>1</v>
      </c>
      <c r="P42" s="635">
        <v>1</v>
      </c>
      <c r="Q42" s="636">
        <v>0</v>
      </c>
      <c r="R42" s="652">
        <v>0</v>
      </c>
      <c r="S42" s="230">
        <f t="shared" ref="S42:S86" si="11" xml:space="preserve"> SUM(P42:R42) + $C42</f>
        <v>1</v>
      </c>
      <c r="T42" s="635">
        <v>1</v>
      </c>
      <c r="U42" s="636">
        <v>0</v>
      </c>
      <c r="V42" s="652">
        <v>0</v>
      </c>
      <c r="W42" s="230">
        <f t="shared" ref="W42:W86" si="12" xml:space="preserve"> SUM(T42:V42) + $C42</f>
        <v>1</v>
      </c>
      <c r="X42" s="83"/>
      <c r="Y42" s="83"/>
      <c r="Z42" s="83"/>
      <c r="AA42" s="83"/>
    </row>
    <row r="43" spans="1:27" x14ac:dyDescent="0.25">
      <c r="A43" s="1932"/>
      <c r="B43" s="19" t="s">
        <v>33</v>
      </c>
      <c r="C43" s="620"/>
      <c r="D43" s="635">
        <v>2</v>
      </c>
      <c r="E43" s="636">
        <v>0</v>
      </c>
      <c r="F43" s="652">
        <v>0</v>
      </c>
      <c r="G43" s="619">
        <f t="shared" si="4"/>
        <v>2</v>
      </c>
      <c r="H43" s="635">
        <v>2</v>
      </c>
      <c r="I43" s="636">
        <v>0</v>
      </c>
      <c r="J43" s="652">
        <v>0</v>
      </c>
      <c r="K43" s="21">
        <f t="shared" si="9"/>
        <v>2</v>
      </c>
      <c r="L43" s="635">
        <v>2</v>
      </c>
      <c r="M43" s="636">
        <v>0</v>
      </c>
      <c r="N43" s="652">
        <v>0</v>
      </c>
      <c r="O43" s="21">
        <f t="shared" si="10"/>
        <v>2</v>
      </c>
      <c r="P43" s="635">
        <v>2</v>
      </c>
      <c r="Q43" s="636">
        <v>0</v>
      </c>
      <c r="R43" s="652">
        <v>0</v>
      </c>
      <c r="S43" s="21">
        <f t="shared" si="11"/>
        <v>2</v>
      </c>
      <c r="T43" s="635">
        <v>2</v>
      </c>
      <c r="U43" s="636">
        <v>0</v>
      </c>
      <c r="V43" s="652">
        <v>0</v>
      </c>
      <c r="W43" s="21">
        <f t="shared" si="12"/>
        <v>2</v>
      </c>
      <c r="X43" s="83"/>
      <c r="Y43" s="83"/>
      <c r="Z43" s="83"/>
      <c r="AA43" s="83"/>
    </row>
    <row r="44" spans="1:27" x14ac:dyDescent="0.25">
      <c r="A44" s="1932"/>
      <c r="B44" s="19" t="s">
        <v>34</v>
      </c>
      <c r="C44" s="620"/>
      <c r="D44" s="635">
        <v>3</v>
      </c>
      <c r="E44" s="636">
        <v>0</v>
      </c>
      <c r="F44" s="652">
        <v>0</v>
      </c>
      <c r="G44" s="619">
        <f t="shared" si="4"/>
        <v>3</v>
      </c>
      <c r="H44" s="635">
        <v>3</v>
      </c>
      <c r="I44" s="636">
        <v>0</v>
      </c>
      <c r="J44" s="652">
        <v>0</v>
      </c>
      <c r="K44" s="21">
        <f t="shared" si="9"/>
        <v>3</v>
      </c>
      <c r="L44" s="635">
        <v>3</v>
      </c>
      <c r="M44" s="636">
        <v>0</v>
      </c>
      <c r="N44" s="652">
        <v>0</v>
      </c>
      <c r="O44" s="21">
        <f t="shared" si="10"/>
        <v>3</v>
      </c>
      <c r="P44" s="635">
        <v>3</v>
      </c>
      <c r="Q44" s="636">
        <v>0</v>
      </c>
      <c r="R44" s="652">
        <v>0</v>
      </c>
      <c r="S44" s="21">
        <f t="shared" si="11"/>
        <v>3</v>
      </c>
      <c r="T44" s="635">
        <v>3</v>
      </c>
      <c r="U44" s="636">
        <v>0</v>
      </c>
      <c r="V44" s="652">
        <v>0</v>
      </c>
      <c r="W44" s="21">
        <f t="shared" si="12"/>
        <v>3</v>
      </c>
      <c r="X44" s="83"/>
      <c r="Y44" s="83"/>
      <c r="Z44" s="83"/>
      <c r="AA44" s="83"/>
    </row>
    <row r="45" spans="1:27" x14ac:dyDescent="0.25">
      <c r="A45" s="1933" t="s">
        <v>15</v>
      </c>
      <c r="B45" s="19" t="s">
        <v>32</v>
      </c>
      <c r="C45" s="620"/>
      <c r="D45" s="635">
        <v>4</v>
      </c>
      <c r="E45" s="630">
        <f>0.5*E$3</f>
        <v>0</v>
      </c>
      <c r="F45" s="652">
        <v>0</v>
      </c>
      <c r="G45" s="619">
        <f t="shared" si="4"/>
        <v>4</v>
      </c>
      <c r="H45" s="635">
        <v>4</v>
      </c>
      <c r="I45" s="630">
        <f>0.5*I$3</f>
        <v>0</v>
      </c>
      <c r="J45" s="652">
        <v>0</v>
      </c>
      <c r="K45" s="21">
        <f t="shared" si="9"/>
        <v>4</v>
      </c>
      <c r="L45" s="638">
        <v>4</v>
      </c>
      <c r="M45" s="630">
        <f>0.5*M$3</f>
        <v>0</v>
      </c>
      <c r="N45" s="652">
        <v>0</v>
      </c>
      <c r="O45" s="21">
        <f t="shared" si="10"/>
        <v>4</v>
      </c>
      <c r="P45" s="638">
        <v>4</v>
      </c>
      <c r="Q45" s="630">
        <f>0.5*Q$3</f>
        <v>0</v>
      </c>
      <c r="R45" s="652">
        <v>0</v>
      </c>
      <c r="S45" s="21">
        <f t="shared" si="11"/>
        <v>4</v>
      </c>
      <c r="T45" s="638">
        <v>4</v>
      </c>
      <c r="U45" s="630">
        <f>0.5*U$3</f>
        <v>0</v>
      </c>
      <c r="V45" s="652">
        <v>0</v>
      </c>
      <c r="W45" s="21">
        <f t="shared" si="12"/>
        <v>4</v>
      </c>
      <c r="X45" s="83"/>
      <c r="Y45" s="83"/>
      <c r="Z45" s="83"/>
      <c r="AA45" s="83"/>
    </row>
    <row r="46" spans="1:27" x14ac:dyDescent="0.25">
      <c r="A46" s="1933"/>
      <c r="B46" s="19" t="s">
        <v>33</v>
      </c>
      <c r="C46" s="620"/>
      <c r="D46" s="635">
        <v>4</v>
      </c>
      <c r="E46" s="630">
        <f>0.5*E$3</f>
        <v>0</v>
      </c>
      <c r="F46" s="652">
        <v>0</v>
      </c>
      <c r="G46" s="619">
        <f t="shared" si="4"/>
        <v>4</v>
      </c>
      <c r="H46" s="635">
        <v>4</v>
      </c>
      <c r="I46" s="630">
        <f>0.5*I$3</f>
        <v>0</v>
      </c>
      <c r="J46" s="652">
        <v>0</v>
      </c>
      <c r="K46" s="21">
        <f t="shared" si="9"/>
        <v>4</v>
      </c>
      <c r="L46" s="638">
        <v>4</v>
      </c>
      <c r="M46" s="630">
        <f>0.5*M$3</f>
        <v>0</v>
      </c>
      <c r="N46" s="652">
        <v>0</v>
      </c>
      <c r="O46" s="21">
        <f t="shared" si="10"/>
        <v>4</v>
      </c>
      <c r="P46" s="638">
        <v>4</v>
      </c>
      <c r="Q46" s="630">
        <f>0.5*Q$3</f>
        <v>0</v>
      </c>
      <c r="R46" s="652">
        <v>0</v>
      </c>
      <c r="S46" s="21">
        <f t="shared" si="11"/>
        <v>4</v>
      </c>
      <c r="T46" s="638">
        <v>4</v>
      </c>
      <c r="U46" s="630">
        <f>0.5*U$3</f>
        <v>0</v>
      </c>
      <c r="V46" s="652">
        <v>0</v>
      </c>
      <c r="W46" s="21">
        <f t="shared" si="12"/>
        <v>4</v>
      </c>
      <c r="X46" s="83"/>
      <c r="Y46" s="83"/>
      <c r="Z46" s="83"/>
      <c r="AA46" s="83"/>
    </row>
    <row r="47" spans="1:27" x14ac:dyDescent="0.25">
      <c r="A47" s="1933"/>
      <c r="B47" s="19" t="s">
        <v>34</v>
      </c>
      <c r="C47" s="620"/>
      <c r="D47" s="635">
        <v>4</v>
      </c>
      <c r="E47" s="630">
        <f>0.5*E$3</f>
        <v>0</v>
      </c>
      <c r="F47" s="652">
        <v>0</v>
      </c>
      <c r="G47" s="619">
        <f t="shared" si="4"/>
        <v>4</v>
      </c>
      <c r="H47" s="635">
        <v>4</v>
      </c>
      <c r="I47" s="630">
        <f>0.5*I$3</f>
        <v>0</v>
      </c>
      <c r="J47" s="652">
        <v>0</v>
      </c>
      <c r="K47" s="21">
        <f t="shared" si="9"/>
        <v>4</v>
      </c>
      <c r="L47" s="638">
        <v>4</v>
      </c>
      <c r="M47" s="630">
        <f>0.5*M$3</f>
        <v>0</v>
      </c>
      <c r="N47" s="652">
        <v>0</v>
      </c>
      <c r="O47" s="21">
        <f t="shared" si="10"/>
        <v>4</v>
      </c>
      <c r="P47" s="638">
        <v>4</v>
      </c>
      <c r="Q47" s="630">
        <f>0.5*Q$3</f>
        <v>0</v>
      </c>
      <c r="R47" s="652">
        <v>0</v>
      </c>
      <c r="S47" s="21">
        <f t="shared" si="11"/>
        <v>4</v>
      </c>
      <c r="T47" s="638">
        <v>4</v>
      </c>
      <c r="U47" s="630">
        <f>0.5*U$3</f>
        <v>0</v>
      </c>
      <c r="V47" s="652">
        <v>0</v>
      </c>
      <c r="W47" s="21">
        <f t="shared" si="12"/>
        <v>4</v>
      </c>
      <c r="X47" s="83"/>
      <c r="Y47" s="83"/>
      <c r="Z47" s="83"/>
      <c r="AA47" s="83"/>
    </row>
    <row r="48" spans="1:27" x14ac:dyDescent="0.25">
      <c r="A48" s="1933" t="s">
        <v>16</v>
      </c>
      <c r="B48" s="19" t="s">
        <v>32</v>
      </c>
      <c r="C48" s="620"/>
      <c r="D48" s="631">
        <f>IF(D$3&gt;0,0.4*D$3,0)</f>
        <v>0</v>
      </c>
      <c r="E48" s="636">
        <v>0</v>
      </c>
      <c r="F48" s="639">
        <v>0</v>
      </c>
      <c r="G48" s="619">
        <f t="shared" si="4"/>
        <v>0</v>
      </c>
      <c r="H48" s="631">
        <f>IF(H$3&gt;0,0.4*H$3,0)</f>
        <v>0</v>
      </c>
      <c r="I48" s="636">
        <v>0</v>
      </c>
      <c r="J48" s="639">
        <v>0</v>
      </c>
      <c r="K48" s="21">
        <f t="shared" si="9"/>
        <v>0</v>
      </c>
      <c r="L48" s="648">
        <f>IF(L$3&gt;0,0.4*L$3,0)</f>
        <v>0</v>
      </c>
      <c r="M48" s="636">
        <v>0</v>
      </c>
      <c r="N48" s="639">
        <v>0</v>
      </c>
      <c r="O48" s="21">
        <f t="shared" si="10"/>
        <v>0</v>
      </c>
      <c r="P48" s="648">
        <f>IF(P$3&gt;0,0.4*P$3,0)</f>
        <v>0</v>
      </c>
      <c r="Q48" s="636">
        <v>0</v>
      </c>
      <c r="R48" s="639">
        <v>0</v>
      </c>
      <c r="S48" s="21">
        <f t="shared" si="11"/>
        <v>0</v>
      </c>
      <c r="T48" s="648">
        <f>IF(T$3&gt;0,0.4*T$3,0)</f>
        <v>0</v>
      </c>
      <c r="U48" s="636">
        <v>0</v>
      </c>
      <c r="V48" s="639">
        <v>0</v>
      </c>
      <c r="W48" s="21">
        <f t="shared" si="12"/>
        <v>0</v>
      </c>
      <c r="X48" s="83"/>
      <c r="Y48" s="83"/>
      <c r="Z48" s="83"/>
      <c r="AA48" s="83"/>
    </row>
    <row r="49" spans="1:27" x14ac:dyDescent="0.25">
      <c r="A49" s="1933"/>
      <c r="B49" s="19" t="s">
        <v>33</v>
      </c>
      <c r="C49" s="620"/>
      <c r="D49" s="631">
        <f>IF(D$3&gt;0,0.45*D$3,0)</f>
        <v>0</v>
      </c>
      <c r="E49" s="636">
        <v>0</v>
      </c>
      <c r="F49" s="639">
        <v>0</v>
      </c>
      <c r="G49" s="619">
        <f t="shared" si="4"/>
        <v>0</v>
      </c>
      <c r="H49" s="631">
        <f>IF(H$3&gt;0,0.45*H$3,0)</f>
        <v>0</v>
      </c>
      <c r="I49" s="636">
        <v>0</v>
      </c>
      <c r="J49" s="639">
        <v>0</v>
      </c>
      <c r="K49" s="21">
        <f t="shared" si="9"/>
        <v>0</v>
      </c>
      <c r="L49" s="648">
        <f>IF(L$3&gt;0,0.45*L$3,0)</f>
        <v>0</v>
      </c>
      <c r="M49" s="636">
        <v>0</v>
      </c>
      <c r="N49" s="639">
        <v>0</v>
      </c>
      <c r="O49" s="21">
        <f t="shared" si="10"/>
        <v>0</v>
      </c>
      <c r="P49" s="648">
        <f>IF(P$3&gt;0,0.45*P$3,0)</f>
        <v>0</v>
      </c>
      <c r="Q49" s="636">
        <v>0</v>
      </c>
      <c r="R49" s="639">
        <v>0</v>
      </c>
      <c r="S49" s="21">
        <f t="shared" si="11"/>
        <v>0</v>
      </c>
      <c r="T49" s="648">
        <f>IF(T$3&gt;0,0.45*T$3,0)</f>
        <v>0</v>
      </c>
      <c r="U49" s="636">
        <v>0</v>
      </c>
      <c r="V49" s="639">
        <v>0</v>
      </c>
      <c r="W49" s="21">
        <f t="shared" si="12"/>
        <v>0</v>
      </c>
      <c r="X49" s="83"/>
      <c r="Y49" s="83"/>
      <c r="Z49" s="83"/>
      <c r="AA49" s="83"/>
    </row>
    <row r="50" spans="1:27" x14ac:dyDescent="0.25">
      <c r="A50" s="1933"/>
      <c r="B50" s="19" t="s">
        <v>34</v>
      </c>
      <c r="C50" s="620"/>
      <c r="D50" s="631">
        <f>IF(D$3&gt;0,0.5*D$3,0)</f>
        <v>0</v>
      </c>
      <c r="E50" s="636">
        <v>0</v>
      </c>
      <c r="F50" s="639">
        <v>0</v>
      </c>
      <c r="G50" s="619">
        <f t="shared" si="4"/>
        <v>0</v>
      </c>
      <c r="H50" s="631">
        <f>IF(H$3&gt;0,0.5*H$3,0)</f>
        <v>0</v>
      </c>
      <c r="I50" s="636">
        <v>0</v>
      </c>
      <c r="J50" s="639">
        <v>0</v>
      </c>
      <c r="K50" s="21">
        <f t="shared" si="9"/>
        <v>0</v>
      </c>
      <c r="L50" s="648">
        <f>IF(L$3&gt;0,0.5*L$3,0)</f>
        <v>0</v>
      </c>
      <c r="M50" s="636">
        <v>0</v>
      </c>
      <c r="N50" s="639">
        <v>0</v>
      </c>
      <c r="O50" s="21">
        <f t="shared" si="10"/>
        <v>0</v>
      </c>
      <c r="P50" s="648">
        <f>IF(P$3&gt;0,0.5*P$3,0)</f>
        <v>0</v>
      </c>
      <c r="Q50" s="636">
        <v>0</v>
      </c>
      <c r="R50" s="639">
        <v>0</v>
      </c>
      <c r="S50" s="21">
        <f t="shared" si="11"/>
        <v>0</v>
      </c>
      <c r="T50" s="648">
        <f>IF(T$3&gt;0,0.5*T$3,0)</f>
        <v>0</v>
      </c>
      <c r="U50" s="636">
        <v>0</v>
      </c>
      <c r="V50" s="639">
        <v>0</v>
      </c>
      <c r="W50" s="21">
        <f t="shared" si="12"/>
        <v>0</v>
      </c>
      <c r="X50" s="83"/>
      <c r="Y50" s="83"/>
      <c r="Z50" s="83"/>
      <c r="AA50" s="83"/>
    </row>
    <row r="51" spans="1:27" x14ac:dyDescent="0.25">
      <c r="A51" s="1933" t="s">
        <v>17</v>
      </c>
      <c r="B51" s="19" t="s">
        <v>32</v>
      </c>
      <c r="C51" s="620"/>
      <c r="D51" s="631">
        <f>IF(D$3&gt;0,0.55*D$3,0)</f>
        <v>0</v>
      </c>
      <c r="E51" s="636">
        <v>0</v>
      </c>
      <c r="F51" s="639">
        <v>0</v>
      </c>
      <c r="G51" s="619">
        <f t="shared" si="4"/>
        <v>0</v>
      </c>
      <c r="H51" s="631">
        <f>IF(H$3&gt;0,0.55*H$3,0)</f>
        <v>0</v>
      </c>
      <c r="I51" s="636">
        <v>0</v>
      </c>
      <c r="J51" s="639">
        <v>0</v>
      </c>
      <c r="K51" s="21">
        <f t="shared" si="9"/>
        <v>0</v>
      </c>
      <c r="L51" s="648">
        <f>IF(L$3&gt;0,0.55*L$3,0)</f>
        <v>0</v>
      </c>
      <c r="M51" s="636">
        <v>0</v>
      </c>
      <c r="N51" s="639">
        <v>0</v>
      </c>
      <c r="O51" s="21">
        <f t="shared" si="10"/>
        <v>0</v>
      </c>
      <c r="P51" s="648">
        <f>IF(P$3&gt;0,0.55*P$3,0)</f>
        <v>0</v>
      </c>
      <c r="Q51" s="636">
        <v>0</v>
      </c>
      <c r="R51" s="639">
        <v>0</v>
      </c>
      <c r="S51" s="21">
        <f t="shared" si="11"/>
        <v>0</v>
      </c>
      <c r="T51" s="648">
        <f>IF(T$3&gt;0,0.55*T$3,0)</f>
        <v>0</v>
      </c>
      <c r="U51" s="636">
        <v>0</v>
      </c>
      <c r="V51" s="639">
        <v>0</v>
      </c>
      <c r="W51" s="21">
        <f t="shared" si="12"/>
        <v>0</v>
      </c>
      <c r="X51" s="83"/>
      <c r="Y51" s="83"/>
      <c r="Z51" s="83"/>
      <c r="AA51" s="83"/>
    </row>
    <row r="52" spans="1:27" x14ac:dyDescent="0.25">
      <c r="A52" s="1933"/>
      <c r="B52" s="19" t="s">
        <v>33</v>
      </c>
      <c r="C52" s="620"/>
      <c r="D52" s="631">
        <f>IF(D$3&gt;0,0.65*D$3,0)</f>
        <v>0</v>
      </c>
      <c r="E52" s="636">
        <v>0</v>
      </c>
      <c r="F52" s="639">
        <v>0</v>
      </c>
      <c r="G52" s="619">
        <f t="shared" si="4"/>
        <v>0</v>
      </c>
      <c r="H52" s="631">
        <f>IF(H$3&gt;0,0.65*H$3,0)</f>
        <v>0</v>
      </c>
      <c r="I52" s="636">
        <v>0</v>
      </c>
      <c r="J52" s="639">
        <v>0</v>
      </c>
      <c r="K52" s="21">
        <f t="shared" si="9"/>
        <v>0</v>
      </c>
      <c r="L52" s="648">
        <f>IF(L$3&gt;0,0.65*L$3,0)</f>
        <v>0</v>
      </c>
      <c r="M52" s="636">
        <v>0</v>
      </c>
      <c r="N52" s="639">
        <v>0</v>
      </c>
      <c r="O52" s="21">
        <f t="shared" si="10"/>
        <v>0</v>
      </c>
      <c r="P52" s="648">
        <f>IF(P$3&gt;0,0.65*P$3,0)</f>
        <v>0</v>
      </c>
      <c r="Q52" s="636">
        <v>0</v>
      </c>
      <c r="R52" s="639">
        <v>0</v>
      </c>
      <c r="S52" s="21">
        <f t="shared" si="11"/>
        <v>0</v>
      </c>
      <c r="T52" s="648">
        <f>IF(T$3&gt;0,0.65*T$3,0)</f>
        <v>0</v>
      </c>
      <c r="U52" s="636">
        <v>0</v>
      </c>
      <c r="V52" s="639">
        <v>0</v>
      </c>
      <c r="W52" s="21">
        <f t="shared" si="12"/>
        <v>0</v>
      </c>
      <c r="X52" s="83"/>
      <c r="Y52" s="83"/>
      <c r="Z52" s="83"/>
      <c r="AA52" s="83"/>
    </row>
    <row r="53" spans="1:27" x14ac:dyDescent="0.25">
      <c r="A53" s="1933"/>
      <c r="B53" s="19" t="s">
        <v>34</v>
      </c>
      <c r="C53" s="620"/>
      <c r="D53" s="631">
        <f>IF(D$3&gt;0,0.75*D$3,0)</f>
        <v>0</v>
      </c>
      <c r="E53" s="636">
        <v>0</v>
      </c>
      <c r="F53" s="639">
        <v>0</v>
      </c>
      <c r="G53" s="619">
        <f t="shared" si="4"/>
        <v>0</v>
      </c>
      <c r="H53" s="631">
        <f>IF(H$3&gt;0,0.75*H$3,0)</f>
        <v>0</v>
      </c>
      <c r="I53" s="636">
        <v>0</v>
      </c>
      <c r="J53" s="639">
        <v>0</v>
      </c>
      <c r="K53" s="21">
        <f t="shared" si="9"/>
        <v>0</v>
      </c>
      <c r="L53" s="648">
        <f>IF(L$3&gt;0,0.75*L$3,0)</f>
        <v>0</v>
      </c>
      <c r="M53" s="636">
        <v>0</v>
      </c>
      <c r="N53" s="639">
        <v>0</v>
      </c>
      <c r="O53" s="21">
        <f t="shared" si="10"/>
        <v>0</v>
      </c>
      <c r="P53" s="648">
        <f>IF(P$3&gt;0,0.75*P$3,0)</f>
        <v>0</v>
      </c>
      <c r="Q53" s="636">
        <v>0</v>
      </c>
      <c r="R53" s="639">
        <v>0</v>
      </c>
      <c r="S53" s="21">
        <f t="shared" si="11"/>
        <v>0</v>
      </c>
      <c r="T53" s="648">
        <f>IF(T$3&gt;0,0.75*T$3,0)</f>
        <v>0</v>
      </c>
      <c r="U53" s="636">
        <v>0</v>
      </c>
      <c r="V53" s="639">
        <v>0</v>
      </c>
      <c r="W53" s="21">
        <f t="shared" si="12"/>
        <v>0</v>
      </c>
      <c r="X53" s="83"/>
      <c r="Y53" s="83"/>
      <c r="Z53" s="83"/>
      <c r="AA53" s="83"/>
    </row>
    <row r="54" spans="1:27" x14ac:dyDescent="0.25">
      <c r="A54" s="1933" t="s">
        <v>18</v>
      </c>
      <c r="B54" s="19" t="s">
        <v>32</v>
      </c>
      <c r="C54" s="620"/>
      <c r="D54" s="631">
        <f>IF(D$3&gt;0,1*D$3,0)</f>
        <v>0</v>
      </c>
      <c r="E54" s="636">
        <v>0</v>
      </c>
      <c r="F54" s="639">
        <v>0</v>
      </c>
      <c r="G54" s="619">
        <f t="shared" si="4"/>
        <v>0</v>
      </c>
      <c r="H54" s="631">
        <f>IF(H$3&gt;0,1*H$3,0)</f>
        <v>0</v>
      </c>
      <c r="I54" s="636">
        <v>0</v>
      </c>
      <c r="J54" s="639">
        <v>0</v>
      </c>
      <c r="K54" s="21">
        <f t="shared" si="9"/>
        <v>0</v>
      </c>
      <c r="L54" s="648">
        <f>IF(L$3&gt;0,1*L$3,0)</f>
        <v>0</v>
      </c>
      <c r="M54" s="636">
        <v>0</v>
      </c>
      <c r="N54" s="639">
        <v>0</v>
      </c>
      <c r="O54" s="21">
        <f t="shared" si="10"/>
        <v>0</v>
      </c>
      <c r="P54" s="648">
        <f>IF(P$3&gt;0,1*P$3,0)</f>
        <v>0</v>
      </c>
      <c r="Q54" s="636">
        <v>0</v>
      </c>
      <c r="R54" s="639">
        <v>0</v>
      </c>
      <c r="S54" s="21">
        <f t="shared" si="11"/>
        <v>0</v>
      </c>
      <c r="T54" s="648">
        <f>IF(T$3&gt;0,1*T$3,0)</f>
        <v>0</v>
      </c>
      <c r="U54" s="636">
        <v>0</v>
      </c>
      <c r="V54" s="639">
        <v>0</v>
      </c>
      <c r="W54" s="21">
        <f t="shared" si="12"/>
        <v>0</v>
      </c>
      <c r="X54" s="83"/>
      <c r="Y54" s="83"/>
      <c r="Z54" s="83"/>
      <c r="AA54" s="83"/>
    </row>
    <row r="55" spans="1:27" x14ac:dyDescent="0.25">
      <c r="A55" s="1933"/>
      <c r="B55" s="19" t="s">
        <v>33</v>
      </c>
      <c r="C55" s="620"/>
      <c r="D55" s="631">
        <f>IF(D$3&gt;0,1.1*D$3,0)</f>
        <v>0</v>
      </c>
      <c r="E55" s="636">
        <v>0</v>
      </c>
      <c r="F55" s="639">
        <v>0</v>
      </c>
      <c r="G55" s="619">
        <f t="shared" si="4"/>
        <v>0</v>
      </c>
      <c r="H55" s="631">
        <f>IF(H$3&gt;0,1.1*H$3,0)</f>
        <v>0</v>
      </c>
      <c r="I55" s="636">
        <v>0</v>
      </c>
      <c r="J55" s="639">
        <v>0</v>
      </c>
      <c r="K55" s="21">
        <f t="shared" si="9"/>
        <v>0</v>
      </c>
      <c r="L55" s="648">
        <f>IF(L$3&gt;0,1.1*L$3,0)</f>
        <v>0</v>
      </c>
      <c r="M55" s="636">
        <v>0</v>
      </c>
      <c r="N55" s="639">
        <v>0</v>
      </c>
      <c r="O55" s="21">
        <f t="shared" si="10"/>
        <v>0</v>
      </c>
      <c r="P55" s="648">
        <f>IF(P$3&gt;0,1.1*P$3,0)</f>
        <v>0</v>
      </c>
      <c r="Q55" s="636">
        <v>0</v>
      </c>
      <c r="R55" s="639">
        <v>0</v>
      </c>
      <c r="S55" s="21">
        <f t="shared" si="11"/>
        <v>0</v>
      </c>
      <c r="T55" s="648">
        <f>IF(T$3&gt;0,1.1*T$3,0)</f>
        <v>0</v>
      </c>
      <c r="U55" s="636">
        <v>0</v>
      </c>
      <c r="V55" s="639">
        <v>0</v>
      </c>
      <c r="W55" s="21">
        <f t="shared" si="12"/>
        <v>0</v>
      </c>
      <c r="X55" s="83"/>
      <c r="Y55" s="83"/>
      <c r="Z55" s="83"/>
      <c r="AA55" s="83"/>
    </row>
    <row r="56" spans="1:27" x14ac:dyDescent="0.25">
      <c r="A56" s="1933"/>
      <c r="B56" s="19" t="s">
        <v>34</v>
      </c>
      <c r="C56" s="620"/>
      <c r="D56" s="631">
        <f>IF(D$3&gt;0,1.2*D$3,0)</f>
        <v>0</v>
      </c>
      <c r="E56" s="636">
        <v>0</v>
      </c>
      <c r="F56" s="639">
        <v>0</v>
      </c>
      <c r="G56" s="619">
        <f t="shared" si="4"/>
        <v>0</v>
      </c>
      <c r="H56" s="631">
        <f>IF(H$3&gt;0,1.2*H$3,0)</f>
        <v>0</v>
      </c>
      <c r="I56" s="636">
        <v>0</v>
      </c>
      <c r="J56" s="639">
        <v>0</v>
      </c>
      <c r="K56" s="21">
        <f t="shared" si="9"/>
        <v>0</v>
      </c>
      <c r="L56" s="648">
        <f>IF(L$3&gt;0,1.2*L$3,0)</f>
        <v>0</v>
      </c>
      <c r="M56" s="636">
        <v>0</v>
      </c>
      <c r="N56" s="639">
        <v>0</v>
      </c>
      <c r="O56" s="21">
        <f t="shared" si="10"/>
        <v>0</v>
      </c>
      <c r="P56" s="648">
        <f>IF(P$3&gt;0,1.2*P$3,0)</f>
        <v>0</v>
      </c>
      <c r="Q56" s="636">
        <v>0</v>
      </c>
      <c r="R56" s="639">
        <v>0</v>
      </c>
      <c r="S56" s="21">
        <f t="shared" si="11"/>
        <v>0</v>
      </c>
      <c r="T56" s="648">
        <f>IF(T$3&gt;0,1.2*T$3,0)</f>
        <v>0</v>
      </c>
      <c r="U56" s="636">
        <v>0</v>
      </c>
      <c r="V56" s="639">
        <v>0</v>
      </c>
      <c r="W56" s="21">
        <f t="shared" si="12"/>
        <v>0</v>
      </c>
      <c r="X56" s="83"/>
      <c r="Y56" s="83"/>
      <c r="Z56" s="83"/>
      <c r="AA56" s="83"/>
    </row>
    <row r="57" spans="1:27" x14ac:dyDescent="0.25">
      <c r="A57" s="1933" t="s">
        <v>19</v>
      </c>
      <c r="B57" s="19" t="s">
        <v>32</v>
      </c>
      <c r="C57" s="620"/>
      <c r="D57" s="635">
        <v>2</v>
      </c>
      <c r="E57" s="636">
        <v>0</v>
      </c>
      <c r="F57" s="639">
        <v>0</v>
      </c>
      <c r="G57" s="619">
        <f t="shared" si="4"/>
        <v>2</v>
      </c>
      <c r="H57" s="635">
        <v>2</v>
      </c>
      <c r="I57" s="636">
        <v>0</v>
      </c>
      <c r="J57" s="639">
        <v>0</v>
      </c>
      <c r="K57" s="21">
        <f t="shared" si="9"/>
        <v>2</v>
      </c>
      <c r="L57" s="638">
        <v>2</v>
      </c>
      <c r="M57" s="636">
        <v>0</v>
      </c>
      <c r="N57" s="639">
        <v>0</v>
      </c>
      <c r="O57" s="21">
        <f t="shared" si="10"/>
        <v>2</v>
      </c>
      <c r="P57" s="638">
        <v>2</v>
      </c>
      <c r="Q57" s="636">
        <v>0</v>
      </c>
      <c r="R57" s="639">
        <v>0</v>
      </c>
      <c r="S57" s="21">
        <f t="shared" si="11"/>
        <v>2</v>
      </c>
      <c r="T57" s="638">
        <v>2</v>
      </c>
      <c r="U57" s="636">
        <v>0</v>
      </c>
      <c r="V57" s="639">
        <v>0</v>
      </c>
      <c r="W57" s="21">
        <f t="shared" si="12"/>
        <v>2</v>
      </c>
      <c r="X57" s="83"/>
      <c r="Y57" s="83"/>
      <c r="Z57" s="83"/>
      <c r="AA57" s="83"/>
    </row>
    <row r="58" spans="1:27" x14ac:dyDescent="0.25">
      <c r="A58" s="1933"/>
      <c r="B58" s="19" t="s">
        <v>33</v>
      </c>
      <c r="C58" s="620"/>
      <c r="D58" s="635">
        <v>2</v>
      </c>
      <c r="E58" s="636">
        <v>0</v>
      </c>
      <c r="F58" s="639">
        <v>0</v>
      </c>
      <c r="G58" s="619">
        <f t="shared" si="4"/>
        <v>2</v>
      </c>
      <c r="H58" s="635">
        <v>2</v>
      </c>
      <c r="I58" s="636">
        <v>0</v>
      </c>
      <c r="J58" s="639">
        <v>0</v>
      </c>
      <c r="K58" s="21">
        <f t="shared" si="9"/>
        <v>2</v>
      </c>
      <c r="L58" s="638">
        <v>2</v>
      </c>
      <c r="M58" s="636">
        <v>0</v>
      </c>
      <c r="N58" s="639">
        <v>0</v>
      </c>
      <c r="O58" s="21">
        <f t="shared" si="10"/>
        <v>2</v>
      </c>
      <c r="P58" s="638">
        <v>2</v>
      </c>
      <c r="Q58" s="636">
        <v>0</v>
      </c>
      <c r="R58" s="639">
        <v>0</v>
      </c>
      <c r="S58" s="21">
        <f t="shared" si="11"/>
        <v>2</v>
      </c>
      <c r="T58" s="638">
        <v>2</v>
      </c>
      <c r="U58" s="636">
        <v>0</v>
      </c>
      <c r="V58" s="639">
        <v>0</v>
      </c>
      <c r="W58" s="21">
        <f t="shared" si="12"/>
        <v>2</v>
      </c>
      <c r="X58" s="83"/>
      <c r="Y58" s="83"/>
      <c r="Z58" s="83"/>
      <c r="AA58" s="83"/>
    </row>
    <row r="59" spans="1:27" x14ac:dyDescent="0.25">
      <c r="A59" s="1933"/>
      <c r="B59" s="19" t="s">
        <v>34</v>
      </c>
      <c r="C59" s="620"/>
      <c r="D59" s="635">
        <v>4</v>
      </c>
      <c r="E59" s="636">
        <v>0</v>
      </c>
      <c r="F59" s="639">
        <v>0</v>
      </c>
      <c r="G59" s="619">
        <f t="shared" si="4"/>
        <v>4</v>
      </c>
      <c r="H59" s="635">
        <v>4</v>
      </c>
      <c r="I59" s="636">
        <v>0</v>
      </c>
      <c r="J59" s="639">
        <v>0</v>
      </c>
      <c r="K59" s="21">
        <f t="shared" si="9"/>
        <v>4</v>
      </c>
      <c r="L59" s="638">
        <v>4</v>
      </c>
      <c r="M59" s="636">
        <v>0</v>
      </c>
      <c r="N59" s="639">
        <v>0</v>
      </c>
      <c r="O59" s="21">
        <f t="shared" si="10"/>
        <v>4</v>
      </c>
      <c r="P59" s="638">
        <v>4</v>
      </c>
      <c r="Q59" s="636">
        <v>0</v>
      </c>
      <c r="R59" s="639">
        <v>0</v>
      </c>
      <c r="S59" s="21">
        <f t="shared" si="11"/>
        <v>4</v>
      </c>
      <c r="T59" s="638">
        <v>4</v>
      </c>
      <c r="U59" s="636">
        <v>0</v>
      </c>
      <c r="V59" s="639">
        <v>0</v>
      </c>
      <c r="W59" s="21">
        <f t="shared" si="12"/>
        <v>4</v>
      </c>
      <c r="X59" s="83"/>
      <c r="Y59" s="83"/>
      <c r="Z59" s="83"/>
      <c r="AA59" s="83"/>
    </row>
    <row r="60" spans="1:27" x14ac:dyDescent="0.25">
      <c r="A60" s="1933" t="s">
        <v>20</v>
      </c>
      <c r="B60" s="19" t="s">
        <v>32</v>
      </c>
      <c r="C60" s="620"/>
      <c r="D60" s="635">
        <v>6</v>
      </c>
      <c r="E60" s="630">
        <f>0.5*E$3</f>
        <v>0</v>
      </c>
      <c r="F60" s="639">
        <v>0</v>
      </c>
      <c r="G60" s="619">
        <f t="shared" si="4"/>
        <v>6</v>
      </c>
      <c r="H60" s="635">
        <v>6</v>
      </c>
      <c r="I60" s="630">
        <f>0.5*I$3</f>
        <v>0</v>
      </c>
      <c r="J60" s="639">
        <v>0</v>
      </c>
      <c r="K60" s="21">
        <f t="shared" si="9"/>
        <v>6</v>
      </c>
      <c r="L60" s="638">
        <v>6</v>
      </c>
      <c r="M60" s="630">
        <f>0.5*M$3</f>
        <v>0</v>
      </c>
      <c r="N60" s="639">
        <v>0</v>
      </c>
      <c r="O60" s="21">
        <f t="shared" si="10"/>
        <v>6</v>
      </c>
      <c r="P60" s="638">
        <v>6</v>
      </c>
      <c r="Q60" s="630">
        <f>0.5*Q$3</f>
        <v>0</v>
      </c>
      <c r="R60" s="639">
        <v>0</v>
      </c>
      <c r="S60" s="21">
        <f t="shared" si="11"/>
        <v>6</v>
      </c>
      <c r="T60" s="638">
        <v>6</v>
      </c>
      <c r="U60" s="630">
        <f>0.5*U$3</f>
        <v>0</v>
      </c>
      <c r="V60" s="639">
        <v>0</v>
      </c>
      <c r="W60" s="21">
        <f t="shared" si="12"/>
        <v>6</v>
      </c>
      <c r="X60" s="83"/>
      <c r="Y60" s="83"/>
      <c r="Z60" s="83"/>
      <c r="AA60" s="83"/>
    </row>
    <row r="61" spans="1:27" x14ac:dyDescent="0.25">
      <c r="A61" s="1933"/>
      <c r="B61" s="19" t="s">
        <v>33</v>
      </c>
      <c r="C61" s="620"/>
      <c r="D61" s="635">
        <v>6</v>
      </c>
      <c r="E61" s="630">
        <f>0.5*E$3</f>
        <v>0</v>
      </c>
      <c r="F61" s="639">
        <v>0</v>
      </c>
      <c r="G61" s="619">
        <f t="shared" si="4"/>
        <v>6</v>
      </c>
      <c r="H61" s="635">
        <v>6</v>
      </c>
      <c r="I61" s="630">
        <f>0.5*I$3</f>
        <v>0</v>
      </c>
      <c r="J61" s="639">
        <v>0</v>
      </c>
      <c r="K61" s="21">
        <f t="shared" si="9"/>
        <v>6</v>
      </c>
      <c r="L61" s="638">
        <v>6</v>
      </c>
      <c r="M61" s="630">
        <f>0.5*M$3</f>
        <v>0</v>
      </c>
      <c r="N61" s="639">
        <v>0</v>
      </c>
      <c r="O61" s="21">
        <f t="shared" si="10"/>
        <v>6</v>
      </c>
      <c r="P61" s="638">
        <v>6</v>
      </c>
      <c r="Q61" s="630">
        <f>0.5*Q$3</f>
        <v>0</v>
      </c>
      <c r="R61" s="639">
        <v>0</v>
      </c>
      <c r="S61" s="21">
        <f t="shared" si="11"/>
        <v>6</v>
      </c>
      <c r="T61" s="638">
        <v>6</v>
      </c>
      <c r="U61" s="630">
        <f>0.5*U$3</f>
        <v>0</v>
      </c>
      <c r="V61" s="639">
        <v>0</v>
      </c>
      <c r="W61" s="21">
        <f t="shared" si="12"/>
        <v>6</v>
      </c>
      <c r="X61" s="83"/>
      <c r="Y61" s="83"/>
      <c r="Z61" s="83"/>
      <c r="AA61" s="83"/>
    </row>
    <row r="62" spans="1:27" x14ac:dyDescent="0.25">
      <c r="A62" s="1933"/>
      <c r="B62" s="19" t="s">
        <v>34</v>
      </c>
      <c r="C62" s="620"/>
      <c r="D62" s="635">
        <v>8</v>
      </c>
      <c r="E62" s="630">
        <f>0.5*E$3</f>
        <v>0</v>
      </c>
      <c r="F62" s="639">
        <v>0</v>
      </c>
      <c r="G62" s="619">
        <f xml:space="preserve"> SUM(D62:F62) + $C62</f>
        <v>8</v>
      </c>
      <c r="H62" s="635">
        <v>8</v>
      </c>
      <c r="I62" s="630">
        <f>0.5*I$3</f>
        <v>0</v>
      </c>
      <c r="J62" s="639">
        <v>0</v>
      </c>
      <c r="K62" s="21">
        <f t="shared" si="9"/>
        <v>8</v>
      </c>
      <c r="L62" s="638">
        <v>8</v>
      </c>
      <c r="M62" s="630">
        <f>0.5*M$3</f>
        <v>0</v>
      </c>
      <c r="N62" s="639">
        <v>0</v>
      </c>
      <c r="O62" s="21">
        <f t="shared" si="10"/>
        <v>8</v>
      </c>
      <c r="P62" s="638">
        <v>8</v>
      </c>
      <c r="Q62" s="630">
        <f>0.5*Q$3</f>
        <v>0</v>
      </c>
      <c r="R62" s="639">
        <v>0</v>
      </c>
      <c r="S62" s="21">
        <f t="shared" si="11"/>
        <v>8</v>
      </c>
      <c r="T62" s="638">
        <v>8</v>
      </c>
      <c r="U62" s="630">
        <f>0.5*U$3</f>
        <v>0</v>
      </c>
      <c r="V62" s="639">
        <v>0</v>
      </c>
      <c r="W62" s="21">
        <f t="shared" si="12"/>
        <v>8</v>
      </c>
      <c r="X62" s="83"/>
      <c r="Y62" s="83"/>
      <c r="Z62" s="83"/>
      <c r="AA62" s="83"/>
    </row>
    <row r="63" spans="1:27" x14ac:dyDescent="0.25">
      <c r="A63" s="1933" t="s">
        <v>451</v>
      </c>
      <c r="B63" s="19" t="s">
        <v>32</v>
      </c>
      <c r="C63" s="620"/>
      <c r="D63" s="635">
        <v>2</v>
      </c>
      <c r="E63" s="637">
        <v>0</v>
      </c>
      <c r="F63" s="641">
        <v>0</v>
      </c>
      <c r="G63" s="619">
        <f t="shared" ref="G63:G74" si="13" xml:space="preserve"> SUM(D63:F63) + $C63</f>
        <v>2</v>
      </c>
      <c r="H63" s="635">
        <v>2</v>
      </c>
      <c r="I63" s="637">
        <v>0</v>
      </c>
      <c r="J63" s="641">
        <v>0</v>
      </c>
      <c r="K63" s="21">
        <f t="shared" si="9"/>
        <v>2</v>
      </c>
      <c r="L63" s="638">
        <v>2</v>
      </c>
      <c r="M63" s="637">
        <v>0</v>
      </c>
      <c r="N63" s="641">
        <v>0</v>
      </c>
      <c r="O63" s="21">
        <f t="shared" si="10"/>
        <v>2</v>
      </c>
      <c r="P63" s="638">
        <v>2</v>
      </c>
      <c r="Q63" s="637">
        <v>0</v>
      </c>
      <c r="R63" s="641">
        <v>0</v>
      </c>
      <c r="S63" s="21">
        <f t="shared" si="11"/>
        <v>2</v>
      </c>
      <c r="T63" s="638">
        <v>2</v>
      </c>
      <c r="U63" s="637">
        <v>0</v>
      </c>
      <c r="V63" s="641">
        <v>0</v>
      </c>
      <c r="W63" s="21">
        <f t="shared" si="12"/>
        <v>2</v>
      </c>
      <c r="X63" s="83"/>
      <c r="Y63" s="83"/>
      <c r="Z63" s="83"/>
      <c r="AA63" s="83"/>
    </row>
    <row r="64" spans="1:27" x14ac:dyDescent="0.25">
      <c r="A64" s="1933"/>
      <c r="B64" s="19" t="s">
        <v>33</v>
      </c>
      <c r="C64" s="620"/>
      <c r="D64" s="635">
        <v>2</v>
      </c>
      <c r="E64" s="637">
        <v>0</v>
      </c>
      <c r="F64" s="641">
        <v>0</v>
      </c>
      <c r="G64" s="619">
        <f t="shared" si="13"/>
        <v>2</v>
      </c>
      <c r="H64" s="635">
        <v>2</v>
      </c>
      <c r="I64" s="637">
        <v>0</v>
      </c>
      <c r="J64" s="641">
        <v>0</v>
      </c>
      <c r="K64" s="21">
        <f t="shared" si="9"/>
        <v>2</v>
      </c>
      <c r="L64" s="638">
        <v>2</v>
      </c>
      <c r="M64" s="637">
        <v>0</v>
      </c>
      <c r="N64" s="641">
        <v>0</v>
      </c>
      <c r="O64" s="21">
        <f t="shared" si="10"/>
        <v>2</v>
      </c>
      <c r="P64" s="638">
        <v>2</v>
      </c>
      <c r="Q64" s="637">
        <v>0</v>
      </c>
      <c r="R64" s="641">
        <v>0</v>
      </c>
      <c r="S64" s="21">
        <f t="shared" si="11"/>
        <v>2</v>
      </c>
      <c r="T64" s="638">
        <v>2</v>
      </c>
      <c r="U64" s="637">
        <v>0</v>
      </c>
      <c r="V64" s="641">
        <v>0</v>
      </c>
      <c r="W64" s="21">
        <f t="shared" si="12"/>
        <v>2</v>
      </c>
      <c r="X64" s="83"/>
      <c r="Y64" s="83"/>
      <c r="Z64" s="83"/>
      <c r="AA64" s="83"/>
    </row>
    <row r="65" spans="1:27" x14ac:dyDescent="0.25">
      <c r="A65" s="1933"/>
      <c r="B65" s="19" t="s">
        <v>34</v>
      </c>
      <c r="C65" s="620"/>
      <c r="D65" s="635">
        <v>2</v>
      </c>
      <c r="E65" s="637">
        <v>0</v>
      </c>
      <c r="F65" s="641">
        <v>0</v>
      </c>
      <c r="G65" s="619">
        <f t="shared" si="13"/>
        <v>2</v>
      </c>
      <c r="H65" s="635">
        <v>2</v>
      </c>
      <c r="I65" s="637">
        <v>0</v>
      </c>
      <c r="J65" s="641">
        <v>0</v>
      </c>
      <c r="K65" s="21">
        <f t="shared" si="9"/>
        <v>2</v>
      </c>
      <c r="L65" s="638">
        <v>2</v>
      </c>
      <c r="M65" s="637">
        <v>0</v>
      </c>
      <c r="N65" s="641">
        <v>0</v>
      </c>
      <c r="O65" s="21">
        <f t="shared" si="10"/>
        <v>2</v>
      </c>
      <c r="P65" s="638">
        <v>2</v>
      </c>
      <c r="Q65" s="637">
        <v>0</v>
      </c>
      <c r="R65" s="641">
        <v>0</v>
      </c>
      <c r="S65" s="21">
        <f t="shared" si="11"/>
        <v>2</v>
      </c>
      <c r="T65" s="638">
        <v>2</v>
      </c>
      <c r="U65" s="637">
        <v>0</v>
      </c>
      <c r="V65" s="641">
        <v>0</v>
      </c>
      <c r="W65" s="21">
        <f t="shared" si="12"/>
        <v>2</v>
      </c>
      <c r="X65" s="83"/>
      <c r="Y65" s="83"/>
      <c r="Z65" s="83"/>
      <c r="AA65" s="83"/>
    </row>
    <row r="66" spans="1:27" x14ac:dyDescent="0.25">
      <c r="A66" s="1933" t="s">
        <v>452</v>
      </c>
      <c r="B66" s="19" t="s">
        <v>32</v>
      </c>
      <c r="C66" s="620"/>
      <c r="D66" s="635">
        <v>1</v>
      </c>
      <c r="E66" s="637">
        <v>0</v>
      </c>
      <c r="F66" s="641">
        <v>0</v>
      </c>
      <c r="G66" s="619">
        <f t="shared" si="13"/>
        <v>1</v>
      </c>
      <c r="H66" s="635">
        <v>1</v>
      </c>
      <c r="I66" s="637">
        <v>0</v>
      </c>
      <c r="J66" s="641">
        <v>0</v>
      </c>
      <c r="K66" s="21">
        <f t="shared" si="9"/>
        <v>1</v>
      </c>
      <c r="L66" s="638">
        <v>1</v>
      </c>
      <c r="M66" s="637">
        <v>0</v>
      </c>
      <c r="N66" s="641">
        <v>0</v>
      </c>
      <c r="O66" s="21">
        <f t="shared" si="10"/>
        <v>1</v>
      </c>
      <c r="P66" s="638">
        <v>1</v>
      </c>
      <c r="Q66" s="637">
        <v>0</v>
      </c>
      <c r="R66" s="641">
        <v>0</v>
      </c>
      <c r="S66" s="21">
        <f t="shared" si="11"/>
        <v>1</v>
      </c>
      <c r="T66" s="638">
        <v>1</v>
      </c>
      <c r="U66" s="637">
        <v>0</v>
      </c>
      <c r="V66" s="641">
        <v>0</v>
      </c>
      <c r="W66" s="21">
        <f t="shared" si="12"/>
        <v>1</v>
      </c>
      <c r="X66" s="83"/>
      <c r="Y66" s="83"/>
      <c r="Z66" s="83"/>
      <c r="AA66" s="83"/>
    </row>
    <row r="67" spans="1:27" x14ac:dyDescent="0.25">
      <c r="A67" s="1933"/>
      <c r="B67" s="19" t="s">
        <v>33</v>
      </c>
      <c r="C67" s="620"/>
      <c r="D67" s="635">
        <v>1</v>
      </c>
      <c r="E67" s="637">
        <v>0</v>
      </c>
      <c r="F67" s="641">
        <v>0</v>
      </c>
      <c r="G67" s="619">
        <f t="shared" si="13"/>
        <v>1</v>
      </c>
      <c r="H67" s="635">
        <v>1</v>
      </c>
      <c r="I67" s="637">
        <v>0</v>
      </c>
      <c r="J67" s="641">
        <v>0</v>
      </c>
      <c r="K67" s="21">
        <f t="shared" si="9"/>
        <v>1</v>
      </c>
      <c r="L67" s="638">
        <v>1</v>
      </c>
      <c r="M67" s="637">
        <v>0</v>
      </c>
      <c r="N67" s="641">
        <v>0</v>
      </c>
      <c r="O67" s="21">
        <f t="shared" si="10"/>
        <v>1</v>
      </c>
      <c r="P67" s="638">
        <v>1</v>
      </c>
      <c r="Q67" s="637">
        <v>0</v>
      </c>
      <c r="R67" s="641">
        <v>0</v>
      </c>
      <c r="S67" s="21">
        <f t="shared" si="11"/>
        <v>1</v>
      </c>
      <c r="T67" s="638">
        <v>1</v>
      </c>
      <c r="U67" s="637">
        <v>0</v>
      </c>
      <c r="V67" s="641">
        <v>0</v>
      </c>
      <c r="W67" s="21">
        <f t="shared" si="12"/>
        <v>1</v>
      </c>
      <c r="X67" s="83"/>
      <c r="Y67" s="83"/>
      <c r="Z67" s="83"/>
      <c r="AA67" s="83"/>
    </row>
    <row r="68" spans="1:27" x14ac:dyDescent="0.25">
      <c r="A68" s="1933"/>
      <c r="B68" s="19" t="s">
        <v>34</v>
      </c>
      <c r="C68" s="620"/>
      <c r="D68" s="635">
        <v>1</v>
      </c>
      <c r="E68" s="637">
        <v>0</v>
      </c>
      <c r="F68" s="641">
        <v>0</v>
      </c>
      <c r="G68" s="619">
        <f t="shared" si="13"/>
        <v>1</v>
      </c>
      <c r="H68" s="635">
        <v>1</v>
      </c>
      <c r="I68" s="637">
        <v>0</v>
      </c>
      <c r="J68" s="641">
        <v>0</v>
      </c>
      <c r="K68" s="21">
        <f t="shared" si="9"/>
        <v>1</v>
      </c>
      <c r="L68" s="638">
        <v>1</v>
      </c>
      <c r="M68" s="637">
        <v>0</v>
      </c>
      <c r="N68" s="641">
        <v>0</v>
      </c>
      <c r="O68" s="21">
        <f t="shared" si="10"/>
        <v>1</v>
      </c>
      <c r="P68" s="638">
        <v>1</v>
      </c>
      <c r="Q68" s="637">
        <v>0</v>
      </c>
      <c r="R68" s="641">
        <v>0</v>
      </c>
      <c r="S68" s="21">
        <f t="shared" si="11"/>
        <v>1</v>
      </c>
      <c r="T68" s="638">
        <v>1</v>
      </c>
      <c r="U68" s="637">
        <v>0</v>
      </c>
      <c r="V68" s="641">
        <v>0</v>
      </c>
      <c r="W68" s="21">
        <f t="shared" si="12"/>
        <v>1</v>
      </c>
      <c r="X68" s="83"/>
      <c r="Y68" s="83"/>
      <c r="Z68" s="83"/>
      <c r="AA68" s="83"/>
    </row>
    <row r="69" spans="1:27" x14ac:dyDescent="0.25">
      <c r="A69" s="1936" t="s">
        <v>533</v>
      </c>
      <c r="B69" s="19" t="s">
        <v>32</v>
      </c>
      <c r="C69" s="620"/>
      <c r="D69" s="635">
        <v>2</v>
      </c>
      <c r="E69" s="637">
        <v>0</v>
      </c>
      <c r="F69" s="641">
        <v>0</v>
      </c>
      <c r="G69" s="619">
        <f t="shared" si="13"/>
        <v>2</v>
      </c>
      <c r="H69" s="635">
        <v>2</v>
      </c>
      <c r="I69" s="637">
        <v>0</v>
      </c>
      <c r="J69" s="641">
        <v>0</v>
      </c>
      <c r="K69" s="21">
        <f t="shared" si="9"/>
        <v>2</v>
      </c>
      <c r="L69" s="638">
        <v>2</v>
      </c>
      <c r="M69" s="637">
        <v>0</v>
      </c>
      <c r="N69" s="641">
        <v>0</v>
      </c>
      <c r="O69" s="21">
        <f t="shared" si="10"/>
        <v>2</v>
      </c>
      <c r="P69" s="638">
        <v>2</v>
      </c>
      <c r="Q69" s="637">
        <v>0</v>
      </c>
      <c r="R69" s="641">
        <v>0</v>
      </c>
      <c r="S69" s="21">
        <f t="shared" si="11"/>
        <v>2</v>
      </c>
      <c r="T69" s="638">
        <v>2</v>
      </c>
      <c r="U69" s="637">
        <v>0</v>
      </c>
      <c r="V69" s="641">
        <v>0</v>
      </c>
      <c r="W69" s="21">
        <f t="shared" si="12"/>
        <v>2</v>
      </c>
      <c r="X69" s="83"/>
      <c r="Y69" s="83"/>
      <c r="Z69" s="83"/>
      <c r="AA69" s="83"/>
    </row>
    <row r="70" spans="1:27" x14ac:dyDescent="0.25">
      <c r="A70" s="1936"/>
      <c r="B70" s="19" t="s">
        <v>33</v>
      </c>
      <c r="C70" s="620"/>
      <c r="D70" s="635">
        <v>2</v>
      </c>
      <c r="E70" s="637">
        <v>0</v>
      </c>
      <c r="F70" s="641">
        <v>0</v>
      </c>
      <c r="G70" s="619">
        <f t="shared" si="13"/>
        <v>2</v>
      </c>
      <c r="H70" s="635">
        <v>2</v>
      </c>
      <c r="I70" s="637">
        <v>0</v>
      </c>
      <c r="J70" s="641">
        <v>0</v>
      </c>
      <c r="K70" s="21">
        <f t="shared" si="9"/>
        <v>2</v>
      </c>
      <c r="L70" s="638">
        <v>2</v>
      </c>
      <c r="M70" s="637">
        <v>0</v>
      </c>
      <c r="N70" s="641">
        <v>0</v>
      </c>
      <c r="O70" s="21">
        <f t="shared" si="10"/>
        <v>2</v>
      </c>
      <c r="P70" s="638">
        <v>2</v>
      </c>
      <c r="Q70" s="637">
        <v>0</v>
      </c>
      <c r="R70" s="641">
        <v>0</v>
      </c>
      <c r="S70" s="21">
        <f t="shared" si="11"/>
        <v>2</v>
      </c>
      <c r="T70" s="638">
        <v>2</v>
      </c>
      <c r="U70" s="637">
        <v>0</v>
      </c>
      <c r="V70" s="641">
        <v>0</v>
      </c>
      <c r="W70" s="21">
        <f t="shared" si="12"/>
        <v>2</v>
      </c>
      <c r="X70" s="83"/>
      <c r="Y70" s="83"/>
      <c r="Z70" s="83"/>
      <c r="AA70" s="83"/>
    </row>
    <row r="71" spans="1:27" x14ac:dyDescent="0.25">
      <c r="A71" s="1936"/>
      <c r="B71" s="19" t="s">
        <v>34</v>
      </c>
      <c r="C71" s="620"/>
      <c r="D71" s="635">
        <v>2</v>
      </c>
      <c r="E71" s="637">
        <v>0</v>
      </c>
      <c r="F71" s="641">
        <v>0</v>
      </c>
      <c r="G71" s="619">
        <f t="shared" si="13"/>
        <v>2</v>
      </c>
      <c r="H71" s="635">
        <v>2</v>
      </c>
      <c r="I71" s="637">
        <v>0</v>
      </c>
      <c r="J71" s="641">
        <v>0</v>
      </c>
      <c r="K71" s="21">
        <f t="shared" si="9"/>
        <v>2</v>
      </c>
      <c r="L71" s="638">
        <v>2</v>
      </c>
      <c r="M71" s="637">
        <v>0</v>
      </c>
      <c r="N71" s="641">
        <v>0</v>
      </c>
      <c r="O71" s="21">
        <f t="shared" si="10"/>
        <v>2</v>
      </c>
      <c r="P71" s="638">
        <v>2</v>
      </c>
      <c r="Q71" s="637">
        <v>0</v>
      </c>
      <c r="R71" s="641">
        <v>0</v>
      </c>
      <c r="S71" s="21">
        <f t="shared" si="11"/>
        <v>2</v>
      </c>
      <c r="T71" s="638">
        <v>2</v>
      </c>
      <c r="U71" s="637">
        <v>0</v>
      </c>
      <c r="V71" s="641">
        <v>0</v>
      </c>
      <c r="W71" s="21">
        <f t="shared" si="12"/>
        <v>2</v>
      </c>
      <c r="X71" s="83"/>
      <c r="Y71" s="83"/>
      <c r="Z71" s="83"/>
      <c r="AA71" s="83"/>
    </row>
    <row r="72" spans="1:27" x14ac:dyDescent="0.25">
      <c r="A72" s="1933" t="s">
        <v>534</v>
      </c>
      <c r="B72" s="19" t="s">
        <v>32</v>
      </c>
      <c r="C72" s="620"/>
      <c r="D72" s="635">
        <v>1</v>
      </c>
      <c r="E72" s="637">
        <v>0</v>
      </c>
      <c r="F72" s="641">
        <v>0</v>
      </c>
      <c r="G72" s="619">
        <f t="shared" si="13"/>
        <v>1</v>
      </c>
      <c r="H72" s="635">
        <v>1</v>
      </c>
      <c r="I72" s="637">
        <v>0</v>
      </c>
      <c r="J72" s="641">
        <v>0</v>
      </c>
      <c r="K72" s="21">
        <f t="shared" si="9"/>
        <v>1</v>
      </c>
      <c r="L72" s="638">
        <v>1</v>
      </c>
      <c r="M72" s="637">
        <v>0</v>
      </c>
      <c r="N72" s="641">
        <v>0</v>
      </c>
      <c r="O72" s="21">
        <f t="shared" si="10"/>
        <v>1</v>
      </c>
      <c r="P72" s="638">
        <v>1</v>
      </c>
      <c r="Q72" s="637">
        <v>0</v>
      </c>
      <c r="R72" s="641">
        <v>0</v>
      </c>
      <c r="S72" s="21">
        <f t="shared" si="11"/>
        <v>1</v>
      </c>
      <c r="T72" s="638">
        <v>1</v>
      </c>
      <c r="U72" s="637">
        <v>0</v>
      </c>
      <c r="V72" s="641">
        <v>0</v>
      </c>
      <c r="W72" s="21">
        <f t="shared" si="12"/>
        <v>1</v>
      </c>
      <c r="X72" s="83"/>
      <c r="Y72" s="83"/>
      <c r="Z72" s="83"/>
      <c r="AA72" s="83"/>
    </row>
    <row r="73" spans="1:27" x14ac:dyDescent="0.25">
      <c r="A73" s="1933"/>
      <c r="B73" s="19" t="s">
        <v>33</v>
      </c>
      <c r="C73" s="620"/>
      <c r="D73" s="635">
        <v>1</v>
      </c>
      <c r="E73" s="637">
        <v>0</v>
      </c>
      <c r="F73" s="641">
        <v>0</v>
      </c>
      <c r="G73" s="619">
        <f t="shared" si="13"/>
        <v>1</v>
      </c>
      <c r="H73" s="635">
        <v>1</v>
      </c>
      <c r="I73" s="637">
        <v>0</v>
      </c>
      <c r="J73" s="641">
        <v>0</v>
      </c>
      <c r="K73" s="21">
        <f t="shared" si="9"/>
        <v>1</v>
      </c>
      <c r="L73" s="638">
        <v>1</v>
      </c>
      <c r="M73" s="637">
        <v>0</v>
      </c>
      <c r="N73" s="641">
        <v>0</v>
      </c>
      <c r="O73" s="21">
        <f t="shared" si="10"/>
        <v>1</v>
      </c>
      <c r="P73" s="638">
        <v>1</v>
      </c>
      <c r="Q73" s="637">
        <v>0</v>
      </c>
      <c r="R73" s="641">
        <v>0</v>
      </c>
      <c r="S73" s="21">
        <f t="shared" si="11"/>
        <v>1</v>
      </c>
      <c r="T73" s="638">
        <v>1</v>
      </c>
      <c r="U73" s="637">
        <v>0</v>
      </c>
      <c r="V73" s="641">
        <v>0</v>
      </c>
      <c r="W73" s="21">
        <f t="shared" si="12"/>
        <v>1</v>
      </c>
      <c r="X73" s="83"/>
      <c r="Y73" s="83"/>
      <c r="Z73" s="83"/>
      <c r="AA73" s="83"/>
    </row>
    <row r="74" spans="1:27" x14ac:dyDescent="0.25">
      <c r="A74" s="1933"/>
      <c r="B74" s="19" t="s">
        <v>34</v>
      </c>
      <c r="C74" s="620"/>
      <c r="D74" s="635">
        <v>1</v>
      </c>
      <c r="E74" s="637">
        <v>0</v>
      </c>
      <c r="F74" s="641">
        <v>0</v>
      </c>
      <c r="G74" s="619">
        <f t="shared" si="13"/>
        <v>1</v>
      </c>
      <c r="H74" s="635">
        <v>1</v>
      </c>
      <c r="I74" s="637">
        <v>0</v>
      </c>
      <c r="J74" s="641">
        <v>0</v>
      </c>
      <c r="K74" s="21">
        <f t="shared" si="9"/>
        <v>1</v>
      </c>
      <c r="L74" s="638">
        <v>1</v>
      </c>
      <c r="M74" s="637">
        <v>0</v>
      </c>
      <c r="N74" s="641">
        <v>0</v>
      </c>
      <c r="O74" s="21">
        <f t="shared" si="10"/>
        <v>1</v>
      </c>
      <c r="P74" s="638">
        <v>1</v>
      </c>
      <c r="Q74" s="637">
        <v>0</v>
      </c>
      <c r="R74" s="641">
        <v>0</v>
      </c>
      <c r="S74" s="21">
        <f t="shared" si="11"/>
        <v>1</v>
      </c>
      <c r="T74" s="638">
        <v>1</v>
      </c>
      <c r="U74" s="637">
        <v>0</v>
      </c>
      <c r="V74" s="641">
        <v>0</v>
      </c>
      <c r="W74" s="21">
        <f t="shared" si="12"/>
        <v>1</v>
      </c>
      <c r="X74" s="83"/>
      <c r="Y74" s="83"/>
      <c r="Z74" s="83"/>
      <c r="AA74" s="83"/>
    </row>
    <row r="75" spans="1:27" x14ac:dyDescent="0.25">
      <c r="A75" s="1933" t="s">
        <v>21</v>
      </c>
      <c r="B75" s="19" t="s">
        <v>32</v>
      </c>
      <c r="C75" s="620"/>
      <c r="D75" s="625" t="s">
        <v>90</v>
      </c>
      <c r="E75" s="38" t="s">
        <v>90</v>
      </c>
      <c r="F75" s="16" t="s">
        <v>90</v>
      </c>
      <c r="G75" s="619">
        <f t="shared" si="4"/>
        <v>0</v>
      </c>
      <c r="H75" s="625" t="s">
        <v>90</v>
      </c>
      <c r="I75" s="38" t="s">
        <v>90</v>
      </c>
      <c r="J75" s="16" t="s">
        <v>90</v>
      </c>
      <c r="K75" s="21">
        <f t="shared" si="9"/>
        <v>0</v>
      </c>
      <c r="L75" s="190" t="s">
        <v>90</v>
      </c>
      <c r="M75" s="38" t="s">
        <v>90</v>
      </c>
      <c r="N75" s="16" t="s">
        <v>90</v>
      </c>
      <c r="O75" s="21">
        <f t="shared" si="10"/>
        <v>0</v>
      </c>
      <c r="P75" s="190" t="s">
        <v>90</v>
      </c>
      <c r="Q75" s="38" t="s">
        <v>90</v>
      </c>
      <c r="R75" s="16" t="s">
        <v>90</v>
      </c>
      <c r="S75" s="21">
        <f t="shared" si="11"/>
        <v>0</v>
      </c>
      <c r="T75" s="190" t="s">
        <v>90</v>
      </c>
      <c r="U75" s="38" t="s">
        <v>90</v>
      </c>
      <c r="V75" s="16" t="s">
        <v>90</v>
      </c>
      <c r="W75" s="21">
        <f t="shared" si="12"/>
        <v>0</v>
      </c>
      <c r="X75" s="83"/>
      <c r="Y75" s="83"/>
      <c r="Z75" s="83"/>
      <c r="AA75" s="83"/>
    </row>
    <row r="76" spans="1:27" x14ac:dyDescent="0.25">
      <c r="A76" s="1933"/>
      <c r="B76" s="19" t="s">
        <v>33</v>
      </c>
      <c r="C76" s="620"/>
      <c r="D76" s="625" t="s">
        <v>90</v>
      </c>
      <c r="E76" s="38" t="s">
        <v>90</v>
      </c>
      <c r="F76" s="16" t="s">
        <v>90</v>
      </c>
      <c r="G76" s="619">
        <f t="shared" si="4"/>
        <v>0</v>
      </c>
      <c r="H76" s="625" t="s">
        <v>90</v>
      </c>
      <c r="I76" s="38" t="s">
        <v>90</v>
      </c>
      <c r="J76" s="16" t="s">
        <v>90</v>
      </c>
      <c r="K76" s="21">
        <f t="shared" si="9"/>
        <v>0</v>
      </c>
      <c r="L76" s="190" t="s">
        <v>90</v>
      </c>
      <c r="M76" s="38" t="s">
        <v>90</v>
      </c>
      <c r="N76" s="16" t="s">
        <v>90</v>
      </c>
      <c r="O76" s="21">
        <f t="shared" si="10"/>
        <v>0</v>
      </c>
      <c r="P76" s="190" t="s">
        <v>90</v>
      </c>
      <c r="Q76" s="38" t="s">
        <v>90</v>
      </c>
      <c r="R76" s="16" t="s">
        <v>90</v>
      </c>
      <c r="S76" s="21">
        <f t="shared" si="11"/>
        <v>0</v>
      </c>
      <c r="T76" s="190" t="s">
        <v>90</v>
      </c>
      <c r="U76" s="38" t="s">
        <v>90</v>
      </c>
      <c r="V76" s="16" t="s">
        <v>90</v>
      </c>
      <c r="W76" s="21">
        <f t="shared" si="12"/>
        <v>0</v>
      </c>
      <c r="X76" s="83"/>
      <c r="Y76" s="83"/>
      <c r="Z76" s="83"/>
      <c r="AA76" s="83"/>
    </row>
    <row r="77" spans="1:27" x14ac:dyDescent="0.25">
      <c r="A77" s="1933"/>
      <c r="B77" s="13" t="s">
        <v>34</v>
      </c>
      <c r="C77" s="624"/>
      <c r="D77" s="625" t="s">
        <v>90</v>
      </c>
      <c r="E77" s="38" t="s">
        <v>90</v>
      </c>
      <c r="F77" s="16" t="s">
        <v>90</v>
      </c>
      <c r="G77" s="619">
        <f t="shared" si="4"/>
        <v>0</v>
      </c>
      <c r="H77" s="625" t="s">
        <v>90</v>
      </c>
      <c r="I77" s="38" t="s">
        <v>90</v>
      </c>
      <c r="J77" s="16" t="s">
        <v>90</v>
      </c>
      <c r="K77" s="21">
        <f t="shared" si="9"/>
        <v>0</v>
      </c>
      <c r="L77" s="190" t="s">
        <v>90</v>
      </c>
      <c r="M77" s="38" t="s">
        <v>90</v>
      </c>
      <c r="N77" s="16" t="s">
        <v>90</v>
      </c>
      <c r="O77" s="21">
        <f t="shared" si="10"/>
        <v>0</v>
      </c>
      <c r="P77" s="190" t="s">
        <v>90</v>
      </c>
      <c r="Q77" s="38" t="s">
        <v>90</v>
      </c>
      <c r="R77" s="16" t="s">
        <v>90</v>
      </c>
      <c r="S77" s="21">
        <f t="shared" si="11"/>
        <v>0</v>
      </c>
      <c r="T77" s="190" t="s">
        <v>90</v>
      </c>
      <c r="U77" s="38" t="s">
        <v>90</v>
      </c>
      <c r="V77" s="16" t="s">
        <v>90</v>
      </c>
      <c r="W77" s="21">
        <f t="shared" si="12"/>
        <v>0</v>
      </c>
      <c r="X77" s="83"/>
      <c r="Y77" s="83"/>
      <c r="Z77" s="83"/>
      <c r="AA77" s="83"/>
    </row>
    <row r="78" spans="1:27" x14ac:dyDescent="0.25">
      <c r="A78" s="1933" t="s">
        <v>181</v>
      </c>
      <c r="B78" s="19" t="s">
        <v>32</v>
      </c>
      <c r="C78" s="620"/>
      <c r="D78" s="631">
        <f>IF(D$24&gt;0,0.4*D$3,0)</f>
        <v>0</v>
      </c>
      <c r="E78" s="616">
        <v>0</v>
      </c>
      <c r="F78" s="646">
        <v>0</v>
      </c>
      <c r="G78" s="619">
        <f t="shared" si="4"/>
        <v>0</v>
      </c>
      <c r="H78" s="631">
        <f>IF(H$24&gt;0,0.4*H$3,0)</f>
        <v>0</v>
      </c>
      <c r="I78" s="616">
        <v>0</v>
      </c>
      <c r="J78" s="646">
        <v>0</v>
      </c>
      <c r="K78" s="21">
        <f t="shared" si="9"/>
        <v>0</v>
      </c>
      <c r="L78" s="648">
        <f>IF(L$24&gt;0,0.4*L$3,0)</f>
        <v>0</v>
      </c>
      <c r="M78" s="616">
        <v>0</v>
      </c>
      <c r="N78" s="646">
        <v>0</v>
      </c>
      <c r="O78" s="21">
        <f t="shared" si="10"/>
        <v>0</v>
      </c>
      <c r="P78" s="648">
        <f>IF(P$24&gt;0,0.4*P$3,0)</f>
        <v>0</v>
      </c>
      <c r="Q78" s="616">
        <v>0</v>
      </c>
      <c r="R78" s="646">
        <v>0</v>
      </c>
      <c r="S78" s="21">
        <f t="shared" si="11"/>
        <v>0</v>
      </c>
      <c r="T78" s="648">
        <f>IF(T$24&gt;0,0.4*T$3,0)</f>
        <v>0</v>
      </c>
      <c r="U78" s="616">
        <v>0</v>
      </c>
      <c r="V78" s="646">
        <v>0</v>
      </c>
      <c r="W78" s="21">
        <f t="shared" si="12"/>
        <v>0</v>
      </c>
      <c r="X78" s="83"/>
      <c r="Y78" s="83"/>
      <c r="Z78" s="83"/>
      <c r="AA78" s="83"/>
    </row>
    <row r="79" spans="1:27" x14ac:dyDescent="0.25">
      <c r="A79" s="1933"/>
      <c r="B79" s="19" t="s">
        <v>33</v>
      </c>
      <c r="C79" s="620"/>
      <c r="D79" s="631">
        <f>IF(D$24&gt;0,0.45*D$3,0)</f>
        <v>0</v>
      </c>
      <c r="E79" s="616">
        <v>0</v>
      </c>
      <c r="F79" s="646">
        <v>0</v>
      </c>
      <c r="G79" s="619">
        <f t="shared" si="4"/>
        <v>0</v>
      </c>
      <c r="H79" s="631">
        <f>IF(H$24&gt;0,0.45*H$3,0)</f>
        <v>0</v>
      </c>
      <c r="I79" s="616">
        <v>0</v>
      </c>
      <c r="J79" s="646">
        <v>0</v>
      </c>
      <c r="K79" s="21">
        <f t="shared" si="9"/>
        <v>0</v>
      </c>
      <c r="L79" s="648">
        <f>IF(L$24&gt;0,0.45*L$3,0)</f>
        <v>0</v>
      </c>
      <c r="M79" s="616">
        <v>0</v>
      </c>
      <c r="N79" s="646">
        <v>0</v>
      </c>
      <c r="O79" s="21">
        <f t="shared" si="10"/>
        <v>0</v>
      </c>
      <c r="P79" s="648">
        <f>IF(P$24&gt;0,0.45*P$3,0)</f>
        <v>0</v>
      </c>
      <c r="Q79" s="616">
        <v>0</v>
      </c>
      <c r="R79" s="646">
        <v>0</v>
      </c>
      <c r="S79" s="21">
        <f t="shared" si="11"/>
        <v>0</v>
      </c>
      <c r="T79" s="648">
        <f>IF(T$24&gt;0,0.45*T$3,0)</f>
        <v>0</v>
      </c>
      <c r="U79" s="616">
        <v>0</v>
      </c>
      <c r="V79" s="646">
        <v>0</v>
      </c>
      <c r="W79" s="21">
        <f t="shared" si="12"/>
        <v>0</v>
      </c>
      <c r="X79" s="83"/>
      <c r="Y79" s="83"/>
      <c r="Z79" s="83"/>
      <c r="AA79" s="83"/>
    </row>
    <row r="80" spans="1:27" x14ac:dyDescent="0.25">
      <c r="A80" s="1933"/>
      <c r="B80" s="19" t="s">
        <v>34</v>
      </c>
      <c r="C80" s="620"/>
      <c r="D80" s="631">
        <f>IF(D$24&gt;0,0.5*D$3,0)</f>
        <v>0</v>
      </c>
      <c r="E80" s="616">
        <v>0</v>
      </c>
      <c r="F80" s="646">
        <v>0</v>
      </c>
      <c r="G80" s="619">
        <f t="shared" si="4"/>
        <v>0</v>
      </c>
      <c r="H80" s="631">
        <f>IF(H$24&gt;0,0.5*H$3,0)</f>
        <v>0</v>
      </c>
      <c r="I80" s="616">
        <v>0</v>
      </c>
      <c r="J80" s="646">
        <v>0</v>
      </c>
      <c r="K80" s="21">
        <f t="shared" si="9"/>
        <v>0</v>
      </c>
      <c r="L80" s="648">
        <f>IF(L$24&gt;0,0.5*L$3,0)</f>
        <v>0</v>
      </c>
      <c r="M80" s="616">
        <v>0</v>
      </c>
      <c r="N80" s="646">
        <v>0</v>
      </c>
      <c r="O80" s="21">
        <f t="shared" si="10"/>
        <v>0</v>
      </c>
      <c r="P80" s="648">
        <f>IF(P$24&gt;0,0.5*P$3,0)</f>
        <v>0</v>
      </c>
      <c r="Q80" s="616">
        <v>0</v>
      </c>
      <c r="R80" s="646">
        <v>0</v>
      </c>
      <c r="S80" s="21">
        <f t="shared" si="11"/>
        <v>0</v>
      </c>
      <c r="T80" s="648">
        <f>IF(T$24&gt;0,0.5*T$3,0)</f>
        <v>0</v>
      </c>
      <c r="U80" s="616">
        <v>0</v>
      </c>
      <c r="V80" s="646">
        <v>0</v>
      </c>
      <c r="W80" s="21">
        <f t="shared" si="12"/>
        <v>0</v>
      </c>
      <c r="X80" s="83"/>
      <c r="Y80" s="83"/>
      <c r="Z80" s="83"/>
      <c r="AA80" s="83"/>
    </row>
    <row r="81" spans="1:27" x14ac:dyDescent="0.25">
      <c r="A81" s="1933" t="s">
        <v>182</v>
      </c>
      <c r="B81" s="19" t="s">
        <v>32</v>
      </c>
      <c r="C81" s="620"/>
      <c r="D81" s="631">
        <f>IF(D$27&gt;0,0.4*D$3,0)</f>
        <v>0</v>
      </c>
      <c r="E81" s="616">
        <v>0</v>
      </c>
      <c r="F81" s="646">
        <v>0</v>
      </c>
      <c r="G81" s="619">
        <f t="shared" si="4"/>
        <v>0</v>
      </c>
      <c r="H81" s="631">
        <f>IF(H$27&gt;0,0.4*H$3,0)</f>
        <v>0</v>
      </c>
      <c r="I81" s="616">
        <v>0</v>
      </c>
      <c r="J81" s="646">
        <v>0</v>
      </c>
      <c r="K81" s="21">
        <f t="shared" si="9"/>
        <v>0</v>
      </c>
      <c r="L81" s="648">
        <f>IF(L$27&gt;0,0.4*L$3,0)</f>
        <v>0</v>
      </c>
      <c r="M81" s="616">
        <v>0</v>
      </c>
      <c r="N81" s="646">
        <v>0</v>
      </c>
      <c r="O81" s="21">
        <f t="shared" si="10"/>
        <v>0</v>
      </c>
      <c r="P81" s="648">
        <f>IF(P$27&gt;0,0.4*P$3,0)</f>
        <v>0</v>
      </c>
      <c r="Q81" s="616">
        <v>0</v>
      </c>
      <c r="R81" s="646">
        <v>0</v>
      </c>
      <c r="S81" s="21">
        <f t="shared" si="11"/>
        <v>0</v>
      </c>
      <c r="T81" s="648">
        <f>IF(T$27&gt;0,0.4*T$3,0)</f>
        <v>0</v>
      </c>
      <c r="U81" s="616">
        <v>0</v>
      </c>
      <c r="V81" s="646">
        <v>0</v>
      </c>
      <c r="W81" s="21">
        <f t="shared" si="12"/>
        <v>0</v>
      </c>
      <c r="X81" s="83"/>
      <c r="Y81" s="83"/>
      <c r="Z81" s="83"/>
      <c r="AA81" s="83"/>
    </row>
    <row r="82" spans="1:27" x14ac:dyDescent="0.25">
      <c r="A82" s="1933"/>
      <c r="B82" s="19" t="s">
        <v>33</v>
      </c>
      <c r="C82" s="620"/>
      <c r="D82" s="631">
        <f>IF(D$27&gt;0,0.45*D$3,0)</f>
        <v>0</v>
      </c>
      <c r="E82" s="616">
        <v>0</v>
      </c>
      <c r="F82" s="646">
        <v>0</v>
      </c>
      <c r="G82" s="619">
        <f t="shared" si="4"/>
        <v>0</v>
      </c>
      <c r="H82" s="631">
        <f>IF(H$27&gt;0,0.45*H$3,0)</f>
        <v>0</v>
      </c>
      <c r="I82" s="616">
        <v>0</v>
      </c>
      <c r="J82" s="646">
        <v>0</v>
      </c>
      <c r="K82" s="21">
        <f t="shared" si="9"/>
        <v>0</v>
      </c>
      <c r="L82" s="648">
        <f>IF(L$27&gt;0,0.45*L$3,0)</f>
        <v>0</v>
      </c>
      <c r="M82" s="616">
        <v>0</v>
      </c>
      <c r="N82" s="646">
        <v>0</v>
      </c>
      <c r="O82" s="21">
        <f t="shared" si="10"/>
        <v>0</v>
      </c>
      <c r="P82" s="648">
        <f>IF(P$27&gt;0,0.45*P$3,0)</f>
        <v>0</v>
      </c>
      <c r="Q82" s="616">
        <v>0</v>
      </c>
      <c r="R82" s="646">
        <v>0</v>
      </c>
      <c r="S82" s="21">
        <f t="shared" si="11"/>
        <v>0</v>
      </c>
      <c r="T82" s="648">
        <f>IF(T$27&gt;0,0.45*T$3,0)</f>
        <v>0</v>
      </c>
      <c r="U82" s="616">
        <v>0</v>
      </c>
      <c r="V82" s="646">
        <v>0</v>
      </c>
      <c r="W82" s="21">
        <f t="shared" si="12"/>
        <v>0</v>
      </c>
      <c r="X82" s="83"/>
      <c r="Y82" s="83"/>
      <c r="Z82" s="83"/>
      <c r="AA82" s="83"/>
    </row>
    <row r="83" spans="1:27" x14ac:dyDescent="0.25">
      <c r="A83" s="1933"/>
      <c r="B83" s="19" t="s">
        <v>34</v>
      </c>
      <c r="C83" s="620"/>
      <c r="D83" s="631">
        <f>IF(D$27&gt;0,0.5*D$3,0)</f>
        <v>0</v>
      </c>
      <c r="E83" s="616">
        <v>0</v>
      </c>
      <c r="F83" s="646">
        <v>0</v>
      </c>
      <c r="G83" s="619">
        <f t="shared" si="4"/>
        <v>0</v>
      </c>
      <c r="H83" s="631">
        <f>IF(H$27&gt;0,0.5*H$3,0)</f>
        <v>0</v>
      </c>
      <c r="I83" s="616">
        <v>0</v>
      </c>
      <c r="J83" s="646">
        <v>0</v>
      </c>
      <c r="K83" s="21">
        <f t="shared" si="9"/>
        <v>0</v>
      </c>
      <c r="L83" s="648">
        <f>IF(L$27&gt;0,0.5*L$3,0)</f>
        <v>0</v>
      </c>
      <c r="M83" s="616">
        <v>0</v>
      </c>
      <c r="N83" s="646">
        <v>0</v>
      </c>
      <c r="O83" s="21">
        <f t="shared" si="10"/>
        <v>0</v>
      </c>
      <c r="P83" s="648">
        <f>IF(P$27&gt;0,0.5*P$3,0)</f>
        <v>0</v>
      </c>
      <c r="Q83" s="616">
        <v>0</v>
      </c>
      <c r="R83" s="646">
        <v>0</v>
      </c>
      <c r="S83" s="21">
        <f t="shared" si="11"/>
        <v>0</v>
      </c>
      <c r="T83" s="648">
        <f>IF(T$27&gt;0,0.5*T$3,0)</f>
        <v>0</v>
      </c>
      <c r="U83" s="616">
        <v>0</v>
      </c>
      <c r="V83" s="646">
        <v>0</v>
      </c>
      <c r="W83" s="21">
        <f t="shared" si="12"/>
        <v>0</v>
      </c>
      <c r="X83" s="83"/>
      <c r="Y83" s="83"/>
      <c r="Z83" s="83"/>
      <c r="AA83" s="83"/>
    </row>
    <row r="84" spans="1:27" x14ac:dyDescent="0.25">
      <c r="A84" s="1935" t="s">
        <v>183</v>
      </c>
      <c r="B84" s="19" t="s">
        <v>32</v>
      </c>
      <c r="C84" s="620"/>
      <c r="D84" s="631">
        <f>IF(D$27&gt;0,0.55*D$3,0)</f>
        <v>0</v>
      </c>
      <c r="E84" s="616">
        <v>0</v>
      </c>
      <c r="F84" s="646">
        <v>0</v>
      </c>
      <c r="G84" s="619">
        <f t="shared" si="4"/>
        <v>0</v>
      </c>
      <c r="H84" s="631">
        <f>IF(H$27&gt;0,0.55*H$3,0)</f>
        <v>0</v>
      </c>
      <c r="I84" s="616">
        <v>0</v>
      </c>
      <c r="J84" s="646">
        <v>0</v>
      </c>
      <c r="K84" s="21">
        <f t="shared" si="9"/>
        <v>0</v>
      </c>
      <c r="L84" s="648">
        <f>IF(L$27&gt;0,0.55*L$3,0)</f>
        <v>0</v>
      </c>
      <c r="M84" s="616">
        <v>0</v>
      </c>
      <c r="N84" s="646">
        <v>0</v>
      </c>
      <c r="O84" s="21">
        <f t="shared" si="10"/>
        <v>0</v>
      </c>
      <c r="P84" s="648">
        <f>IF(P$27&gt;0,0.55*P$3,0)</f>
        <v>0</v>
      </c>
      <c r="Q84" s="616">
        <v>0</v>
      </c>
      <c r="R84" s="646">
        <v>0</v>
      </c>
      <c r="S84" s="21">
        <f t="shared" si="11"/>
        <v>0</v>
      </c>
      <c r="T84" s="648">
        <f>IF(T$27&gt;0,0.55*T$3,0)</f>
        <v>0</v>
      </c>
      <c r="U84" s="616">
        <v>0</v>
      </c>
      <c r="V84" s="646">
        <v>0</v>
      </c>
      <c r="W84" s="21">
        <f t="shared" si="12"/>
        <v>0</v>
      </c>
      <c r="X84" s="83"/>
      <c r="Y84" s="83"/>
      <c r="Z84" s="83"/>
      <c r="AA84" s="83"/>
    </row>
    <row r="85" spans="1:27" x14ac:dyDescent="0.25">
      <c r="A85" s="1935"/>
      <c r="B85" s="19" t="s">
        <v>33</v>
      </c>
      <c r="C85" s="620"/>
      <c r="D85" s="631">
        <f>IF(D$27&gt;0,0.65*D$3,0)</f>
        <v>0</v>
      </c>
      <c r="E85" s="616">
        <v>0</v>
      </c>
      <c r="F85" s="646">
        <v>0</v>
      </c>
      <c r="G85" s="619">
        <f t="shared" si="4"/>
        <v>0</v>
      </c>
      <c r="H85" s="631">
        <f>IF(H$27&gt;0,0.65*H$3,0)</f>
        <v>0</v>
      </c>
      <c r="I85" s="616">
        <v>0</v>
      </c>
      <c r="J85" s="646">
        <v>0</v>
      </c>
      <c r="K85" s="21">
        <f t="shared" si="9"/>
        <v>0</v>
      </c>
      <c r="L85" s="648">
        <f>IF(L$27&gt;0,0.65*L$3,0)</f>
        <v>0</v>
      </c>
      <c r="M85" s="616">
        <v>0</v>
      </c>
      <c r="N85" s="646">
        <v>0</v>
      </c>
      <c r="O85" s="21">
        <f t="shared" si="10"/>
        <v>0</v>
      </c>
      <c r="P85" s="648">
        <f>IF(P$27&gt;0,0.65*P$3,0)</f>
        <v>0</v>
      </c>
      <c r="Q85" s="616">
        <v>0</v>
      </c>
      <c r="R85" s="646">
        <v>0</v>
      </c>
      <c r="S85" s="21">
        <f t="shared" si="11"/>
        <v>0</v>
      </c>
      <c r="T85" s="648">
        <f>IF(T$27&gt;0,0.65*T$3,0)</f>
        <v>0</v>
      </c>
      <c r="U85" s="616">
        <v>0</v>
      </c>
      <c r="V85" s="646">
        <v>0</v>
      </c>
      <c r="W85" s="21">
        <f t="shared" si="12"/>
        <v>0</v>
      </c>
      <c r="X85" s="83"/>
      <c r="Y85" s="83"/>
      <c r="Z85" s="83"/>
      <c r="AA85" s="83"/>
    </row>
    <row r="86" spans="1:27" ht="15.75" thickBot="1" x14ac:dyDescent="0.3">
      <c r="A86" s="1935"/>
      <c r="B86" s="13" t="s">
        <v>34</v>
      </c>
      <c r="C86" s="621"/>
      <c r="D86" s="682">
        <f>IF(D$27&gt;0,0.75*D$3,0)</f>
        <v>0</v>
      </c>
      <c r="E86" s="659">
        <v>0</v>
      </c>
      <c r="F86" s="663">
        <v>0</v>
      </c>
      <c r="G86" s="622">
        <f t="shared" si="4"/>
        <v>0</v>
      </c>
      <c r="H86" s="682">
        <f>IF(H$27&gt;0,0.75*H$3,0)</f>
        <v>0</v>
      </c>
      <c r="I86" s="659">
        <v>0</v>
      </c>
      <c r="J86" s="663">
        <v>0</v>
      </c>
      <c r="K86" s="77">
        <f t="shared" si="9"/>
        <v>0</v>
      </c>
      <c r="L86" s="685">
        <f>IF(L$27&gt;0,0.75*L$3,0)</f>
        <v>0</v>
      </c>
      <c r="M86" s="659">
        <v>0</v>
      </c>
      <c r="N86" s="663">
        <v>0</v>
      </c>
      <c r="O86" s="77">
        <f t="shared" si="10"/>
        <v>0</v>
      </c>
      <c r="P86" s="685">
        <f>IF(P$27&gt;0,0.75*P$3,0)</f>
        <v>0</v>
      </c>
      <c r="Q86" s="659">
        <v>0</v>
      </c>
      <c r="R86" s="663">
        <v>0</v>
      </c>
      <c r="S86" s="77">
        <f t="shared" si="11"/>
        <v>0</v>
      </c>
      <c r="T86" s="685">
        <f>IF(T$27&gt;0,0.75*T$3,0)</f>
        <v>0</v>
      </c>
      <c r="U86" s="659">
        <v>0</v>
      </c>
      <c r="V86" s="663">
        <v>0</v>
      </c>
      <c r="W86" s="77">
        <f t="shared" si="12"/>
        <v>0</v>
      </c>
      <c r="X86" s="83"/>
      <c r="Y86" s="83"/>
      <c r="Z86" s="83"/>
      <c r="AA86" s="83"/>
    </row>
    <row r="87" spans="1:27" ht="16.5" thickBot="1" x14ac:dyDescent="0.3">
      <c r="A87" s="330" t="s">
        <v>22</v>
      </c>
      <c r="B87" s="329"/>
      <c r="C87" s="329"/>
      <c r="D87" s="329"/>
      <c r="E87" s="329"/>
      <c r="F87" s="329"/>
      <c r="G87" s="329"/>
      <c r="H87" s="329"/>
      <c r="I87" s="329"/>
      <c r="J87" s="329"/>
      <c r="K87" s="329"/>
      <c r="L87" s="329"/>
      <c r="M87" s="329"/>
      <c r="N87" s="329"/>
      <c r="O87" s="329"/>
      <c r="P87" s="329"/>
      <c r="Q87" s="329"/>
      <c r="R87" s="329"/>
      <c r="S87" s="329"/>
      <c r="T87" s="329"/>
      <c r="U87" s="329"/>
      <c r="V87" s="329"/>
      <c r="W87" s="328"/>
    </row>
    <row r="88" spans="1:27" x14ac:dyDescent="0.25">
      <c r="A88" s="1932" t="s">
        <v>23</v>
      </c>
      <c r="B88" s="404" t="s">
        <v>32</v>
      </c>
      <c r="C88" s="324"/>
      <c r="D88" s="668">
        <v>0.25</v>
      </c>
      <c r="E88" s="669">
        <v>0</v>
      </c>
      <c r="F88" s="670">
        <v>0</v>
      </c>
      <c r="G88" s="683">
        <f t="shared" si="4"/>
        <v>0.25</v>
      </c>
      <c r="H88" s="668">
        <v>0.25</v>
      </c>
      <c r="I88" s="669">
        <v>0</v>
      </c>
      <c r="J88" s="670">
        <v>0</v>
      </c>
      <c r="K88" s="230">
        <f t="shared" ref="K88:K105" si="14" xml:space="preserve"> SUM(H88:J88) + $C88</f>
        <v>0.25</v>
      </c>
      <c r="L88" s="668">
        <v>0.25</v>
      </c>
      <c r="M88" s="669">
        <v>0</v>
      </c>
      <c r="N88" s="670">
        <v>0</v>
      </c>
      <c r="O88" s="230">
        <f t="shared" ref="O88:O105" si="15" xml:space="preserve"> SUM(L88:N88) + $C88</f>
        <v>0.25</v>
      </c>
      <c r="P88" s="668">
        <v>0.25</v>
      </c>
      <c r="Q88" s="669">
        <v>0</v>
      </c>
      <c r="R88" s="670">
        <v>0</v>
      </c>
      <c r="S88" s="230">
        <f t="shared" ref="S88:S105" si="16" xml:space="preserve"> SUM(P88:R88) + $C88</f>
        <v>0.25</v>
      </c>
      <c r="T88" s="668">
        <v>0.25</v>
      </c>
      <c r="U88" s="669">
        <v>0</v>
      </c>
      <c r="V88" s="670">
        <v>0</v>
      </c>
      <c r="W88" s="230">
        <f t="shared" ref="W88:W105" si="17" xml:space="preserve"> SUM(T88:V88) + $C88</f>
        <v>0.25</v>
      </c>
      <c r="X88" s="83"/>
      <c r="Y88" s="83"/>
      <c r="Z88" s="83"/>
      <c r="AA88" s="83"/>
    </row>
    <row r="89" spans="1:27" x14ac:dyDescent="0.25">
      <c r="A89" s="1932"/>
      <c r="B89" s="19" t="s">
        <v>33</v>
      </c>
      <c r="C89" s="22"/>
      <c r="D89" s="668">
        <v>0.25</v>
      </c>
      <c r="E89" s="636">
        <v>0</v>
      </c>
      <c r="F89" s="652">
        <v>0</v>
      </c>
      <c r="G89" s="619">
        <f t="shared" si="4"/>
        <v>0.25</v>
      </c>
      <c r="H89" s="668">
        <v>0.25</v>
      </c>
      <c r="I89" s="636">
        <v>0</v>
      </c>
      <c r="J89" s="652">
        <v>0</v>
      </c>
      <c r="K89" s="21">
        <f t="shared" si="14"/>
        <v>0.25</v>
      </c>
      <c r="L89" s="668">
        <v>0.25</v>
      </c>
      <c r="M89" s="636">
        <v>0</v>
      </c>
      <c r="N89" s="652">
        <v>0</v>
      </c>
      <c r="O89" s="21">
        <f t="shared" si="15"/>
        <v>0.25</v>
      </c>
      <c r="P89" s="668">
        <v>0.25</v>
      </c>
      <c r="Q89" s="636">
        <v>0</v>
      </c>
      <c r="R89" s="652">
        <v>0</v>
      </c>
      <c r="S89" s="21">
        <f t="shared" si="16"/>
        <v>0.25</v>
      </c>
      <c r="T89" s="668">
        <v>0.25</v>
      </c>
      <c r="U89" s="636">
        <v>0</v>
      </c>
      <c r="V89" s="652">
        <v>0</v>
      </c>
      <c r="W89" s="21">
        <f t="shared" si="17"/>
        <v>0.25</v>
      </c>
      <c r="X89" s="83"/>
      <c r="Y89" s="83"/>
      <c r="Z89" s="83"/>
      <c r="AA89" s="83"/>
    </row>
    <row r="90" spans="1:27" x14ac:dyDescent="0.25">
      <c r="A90" s="1932"/>
      <c r="B90" s="19" t="s">
        <v>34</v>
      </c>
      <c r="C90" s="22"/>
      <c r="D90" s="668">
        <v>0.25</v>
      </c>
      <c r="E90" s="636">
        <v>0</v>
      </c>
      <c r="F90" s="652">
        <v>0</v>
      </c>
      <c r="G90" s="619">
        <f t="shared" si="4"/>
        <v>0.25</v>
      </c>
      <c r="H90" s="668">
        <v>0.25</v>
      </c>
      <c r="I90" s="636">
        <v>0</v>
      </c>
      <c r="J90" s="652">
        <v>0</v>
      </c>
      <c r="K90" s="21">
        <f t="shared" si="14"/>
        <v>0.25</v>
      </c>
      <c r="L90" s="668">
        <v>0.25</v>
      </c>
      <c r="M90" s="636">
        <v>0</v>
      </c>
      <c r="N90" s="652">
        <v>0</v>
      </c>
      <c r="O90" s="21">
        <f t="shared" si="15"/>
        <v>0.25</v>
      </c>
      <c r="P90" s="668">
        <v>0.25</v>
      </c>
      <c r="Q90" s="636">
        <v>0</v>
      </c>
      <c r="R90" s="652">
        <v>0</v>
      </c>
      <c r="S90" s="21">
        <f t="shared" si="16"/>
        <v>0.25</v>
      </c>
      <c r="T90" s="668">
        <v>0.25</v>
      </c>
      <c r="U90" s="636">
        <v>0</v>
      </c>
      <c r="V90" s="652">
        <v>0</v>
      </c>
      <c r="W90" s="21">
        <f t="shared" si="17"/>
        <v>0.25</v>
      </c>
      <c r="X90" s="83"/>
      <c r="Y90" s="83"/>
      <c r="Z90" s="83"/>
      <c r="AA90" s="83"/>
    </row>
    <row r="91" spans="1:27" x14ac:dyDescent="0.25">
      <c r="A91" s="1974" t="s">
        <v>24</v>
      </c>
      <c r="B91" s="19" t="s">
        <v>32</v>
      </c>
      <c r="C91" s="22"/>
      <c r="D91" s="635">
        <v>4</v>
      </c>
      <c r="E91" s="630">
        <f t="shared" ref="E91:E96" si="18">0.5*E$3</f>
        <v>0</v>
      </c>
      <c r="F91" s="652">
        <v>0</v>
      </c>
      <c r="G91" s="619">
        <f t="shared" si="4"/>
        <v>4</v>
      </c>
      <c r="H91" s="635">
        <v>4</v>
      </c>
      <c r="I91" s="630">
        <f t="shared" ref="I91:I96" si="19">0.5*I$3</f>
        <v>0</v>
      </c>
      <c r="J91" s="652">
        <v>0</v>
      </c>
      <c r="K91" s="21">
        <f t="shared" si="14"/>
        <v>4</v>
      </c>
      <c r="L91" s="635">
        <v>4</v>
      </c>
      <c r="M91" s="630">
        <f t="shared" ref="M91:M96" si="20">0.5*M$3</f>
        <v>0</v>
      </c>
      <c r="N91" s="652">
        <v>0</v>
      </c>
      <c r="O91" s="21">
        <f t="shared" si="15"/>
        <v>4</v>
      </c>
      <c r="P91" s="635">
        <v>4</v>
      </c>
      <c r="Q91" s="630">
        <f t="shared" ref="Q91:Q96" si="21">0.5*Q$3</f>
        <v>0</v>
      </c>
      <c r="R91" s="652">
        <v>0</v>
      </c>
      <c r="S91" s="21">
        <f t="shared" si="16"/>
        <v>4</v>
      </c>
      <c r="T91" s="635">
        <v>4</v>
      </c>
      <c r="U91" s="630">
        <f t="shared" ref="U91:U96" si="22">0.5*U$3</f>
        <v>0</v>
      </c>
      <c r="V91" s="652">
        <v>0</v>
      </c>
      <c r="W91" s="21">
        <f t="shared" si="17"/>
        <v>4</v>
      </c>
      <c r="X91" s="83"/>
      <c r="Y91" s="83"/>
      <c r="Z91" s="83"/>
      <c r="AA91" s="83"/>
    </row>
    <row r="92" spans="1:27" x14ac:dyDescent="0.25">
      <c r="A92" s="1974"/>
      <c r="B92" s="19" t="s">
        <v>33</v>
      </c>
      <c r="C92" s="22"/>
      <c r="D92" s="635">
        <v>4</v>
      </c>
      <c r="E92" s="630">
        <f t="shared" si="18"/>
        <v>0</v>
      </c>
      <c r="F92" s="652">
        <v>0</v>
      </c>
      <c r="G92" s="619">
        <f t="shared" si="4"/>
        <v>4</v>
      </c>
      <c r="H92" s="635">
        <v>4</v>
      </c>
      <c r="I92" s="630">
        <f t="shared" si="19"/>
        <v>0</v>
      </c>
      <c r="J92" s="652">
        <v>0</v>
      </c>
      <c r="K92" s="21">
        <f t="shared" si="14"/>
        <v>4</v>
      </c>
      <c r="L92" s="635">
        <v>4</v>
      </c>
      <c r="M92" s="630">
        <f t="shared" si="20"/>
        <v>0</v>
      </c>
      <c r="N92" s="652">
        <v>0</v>
      </c>
      <c r="O92" s="21">
        <f t="shared" si="15"/>
        <v>4</v>
      </c>
      <c r="P92" s="635">
        <v>4</v>
      </c>
      <c r="Q92" s="630">
        <f t="shared" si="21"/>
        <v>0</v>
      </c>
      <c r="R92" s="652">
        <v>0</v>
      </c>
      <c r="S92" s="21">
        <f t="shared" si="16"/>
        <v>4</v>
      </c>
      <c r="T92" s="635">
        <v>4</v>
      </c>
      <c r="U92" s="630">
        <f t="shared" si="22"/>
        <v>0</v>
      </c>
      <c r="V92" s="652">
        <v>0</v>
      </c>
      <c r="W92" s="21">
        <f t="shared" si="17"/>
        <v>4</v>
      </c>
      <c r="X92" s="83"/>
      <c r="Y92" s="83"/>
      <c r="Z92" s="83"/>
      <c r="AA92" s="83"/>
    </row>
    <row r="93" spans="1:27" x14ac:dyDescent="0.25">
      <c r="A93" s="1974"/>
      <c r="B93" s="19" t="s">
        <v>34</v>
      </c>
      <c r="C93" s="22"/>
      <c r="D93" s="635">
        <v>4</v>
      </c>
      <c r="E93" s="630">
        <f t="shared" si="18"/>
        <v>0</v>
      </c>
      <c r="F93" s="652">
        <v>0</v>
      </c>
      <c r="G93" s="619">
        <f t="shared" si="4"/>
        <v>4</v>
      </c>
      <c r="H93" s="635">
        <v>4</v>
      </c>
      <c r="I93" s="630">
        <f t="shared" si="19"/>
        <v>0</v>
      </c>
      <c r="J93" s="652">
        <v>0</v>
      </c>
      <c r="K93" s="21">
        <f t="shared" si="14"/>
        <v>4</v>
      </c>
      <c r="L93" s="635">
        <v>4</v>
      </c>
      <c r="M93" s="630">
        <f t="shared" si="20"/>
        <v>0</v>
      </c>
      <c r="N93" s="652">
        <v>0</v>
      </c>
      <c r="O93" s="21">
        <f t="shared" si="15"/>
        <v>4</v>
      </c>
      <c r="P93" s="635">
        <v>4</v>
      </c>
      <c r="Q93" s="630">
        <f t="shared" si="21"/>
        <v>0</v>
      </c>
      <c r="R93" s="652">
        <v>0</v>
      </c>
      <c r="S93" s="21">
        <f t="shared" si="16"/>
        <v>4</v>
      </c>
      <c r="T93" s="635">
        <v>4</v>
      </c>
      <c r="U93" s="630">
        <f t="shared" si="22"/>
        <v>0</v>
      </c>
      <c r="V93" s="652">
        <v>0</v>
      </c>
      <c r="W93" s="21">
        <f t="shared" si="17"/>
        <v>4</v>
      </c>
      <c r="X93" s="83"/>
      <c r="Y93" s="83"/>
      <c r="Z93" s="83"/>
      <c r="AA93" s="83"/>
    </row>
    <row r="94" spans="1:27" x14ac:dyDescent="0.25">
      <c r="A94" s="1974" t="s">
        <v>25</v>
      </c>
      <c r="B94" s="19" t="s">
        <v>32</v>
      </c>
      <c r="C94" s="22"/>
      <c r="D94" s="635">
        <v>3</v>
      </c>
      <c r="E94" s="630">
        <f t="shared" si="18"/>
        <v>0</v>
      </c>
      <c r="F94" s="652">
        <v>0</v>
      </c>
      <c r="G94" s="619">
        <f t="shared" ref="G94:G105" si="23" xml:space="preserve"> SUM(D94:F94) + $C94</f>
        <v>3</v>
      </c>
      <c r="H94" s="635">
        <v>3</v>
      </c>
      <c r="I94" s="630">
        <f t="shared" si="19"/>
        <v>0</v>
      </c>
      <c r="J94" s="652">
        <v>0</v>
      </c>
      <c r="K94" s="21">
        <f t="shared" si="14"/>
        <v>3</v>
      </c>
      <c r="L94" s="635">
        <v>3</v>
      </c>
      <c r="M94" s="630">
        <f t="shared" si="20"/>
        <v>0</v>
      </c>
      <c r="N94" s="652">
        <v>0</v>
      </c>
      <c r="O94" s="21">
        <f t="shared" si="15"/>
        <v>3</v>
      </c>
      <c r="P94" s="635">
        <v>3</v>
      </c>
      <c r="Q94" s="630">
        <f t="shared" si="21"/>
        <v>0</v>
      </c>
      <c r="R94" s="652">
        <v>0</v>
      </c>
      <c r="S94" s="21">
        <f t="shared" si="16"/>
        <v>3</v>
      </c>
      <c r="T94" s="635">
        <v>3</v>
      </c>
      <c r="U94" s="630">
        <f t="shared" si="22"/>
        <v>0</v>
      </c>
      <c r="V94" s="652">
        <v>0</v>
      </c>
      <c r="W94" s="21">
        <f t="shared" si="17"/>
        <v>3</v>
      </c>
      <c r="X94" s="83"/>
      <c r="Y94" s="83"/>
      <c r="Z94" s="83"/>
      <c r="AA94" s="83"/>
    </row>
    <row r="95" spans="1:27" x14ac:dyDescent="0.25">
      <c r="A95" s="1974"/>
      <c r="B95" s="19" t="s">
        <v>33</v>
      </c>
      <c r="C95" s="22"/>
      <c r="D95" s="635">
        <v>3</v>
      </c>
      <c r="E95" s="630">
        <f t="shared" si="18"/>
        <v>0</v>
      </c>
      <c r="F95" s="652">
        <v>0</v>
      </c>
      <c r="G95" s="619">
        <f t="shared" si="23"/>
        <v>3</v>
      </c>
      <c r="H95" s="635">
        <v>3</v>
      </c>
      <c r="I95" s="630">
        <f t="shared" si="19"/>
        <v>0</v>
      </c>
      <c r="J95" s="652">
        <v>0</v>
      </c>
      <c r="K95" s="21">
        <f t="shared" si="14"/>
        <v>3</v>
      </c>
      <c r="L95" s="635">
        <v>3</v>
      </c>
      <c r="M95" s="630">
        <f t="shared" si="20"/>
        <v>0</v>
      </c>
      <c r="N95" s="652">
        <v>0</v>
      </c>
      <c r="O95" s="21">
        <f t="shared" si="15"/>
        <v>3</v>
      </c>
      <c r="P95" s="635">
        <v>3</v>
      </c>
      <c r="Q95" s="630">
        <f t="shared" si="21"/>
        <v>0</v>
      </c>
      <c r="R95" s="652">
        <v>0</v>
      </c>
      <c r="S95" s="21">
        <f t="shared" si="16"/>
        <v>3</v>
      </c>
      <c r="T95" s="635">
        <v>3</v>
      </c>
      <c r="U95" s="630">
        <f t="shared" si="22"/>
        <v>0</v>
      </c>
      <c r="V95" s="652">
        <v>0</v>
      </c>
      <c r="W95" s="21">
        <f t="shared" si="17"/>
        <v>3</v>
      </c>
      <c r="X95" s="83"/>
      <c r="Y95" s="83"/>
      <c r="Z95" s="83"/>
      <c r="AA95" s="83"/>
    </row>
    <row r="96" spans="1:27" x14ac:dyDescent="0.25">
      <c r="A96" s="1974"/>
      <c r="B96" s="19" t="s">
        <v>34</v>
      </c>
      <c r="C96" s="22"/>
      <c r="D96" s="635">
        <v>3</v>
      </c>
      <c r="E96" s="630">
        <f t="shared" si="18"/>
        <v>0</v>
      </c>
      <c r="F96" s="652">
        <v>0</v>
      </c>
      <c r="G96" s="619">
        <f t="shared" si="23"/>
        <v>3</v>
      </c>
      <c r="H96" s="635">
        <v>3</v>
      </c>
      <c r="I96" s="630">
        <f t="shared" si="19"/>
        <v>0</v>
      </c>
      <c r="J96" s="652">
        <v>0</v>
      </c>
      <c r="K96" s="21">
        <f t="shared" si="14"/>
        <v>3</v>
      </c>
      <c r="L96" s="635">
        <v>3</v>
      </c>
      <c r="M96" s="630">
        <f t="shared" si="20"/>
        <v>0</v>
      </c>
      <c r="N96" s="652">
        <v>0</v>
      </c>
      <c r="O96" s="21">
        <f t="shared" si="15"/>
        <v>3</v>
      </c>
      <c r="P96" s="635">
        <v>3</v>
      </c>
      <c r="Q96" s="630">
        <f t="shared" si="21"/>
        <v>0</v>
      </c>
      <c r="R96" s="652">
        <v>0</v>
      </c>
      <c r="S96" s="21">
        <f t="shared" si="16"/>
        <v>3</v>
      </c>
      <c r="T96" s="635">
        <v>3</v>
      </c>
      <c r="U96" s="630">
        <f t="shared" si="22"/>
        <v>0</v>
      </c>
      <c r="V96" s="652">
        <v>0</v>
      </c>
      <c r="W96" s="21">
        <f t="shared" si="17"/>
        <v>3</v>
      </c>
      <c r="X96" s="83"/>
      <c r="Y96" s="83"/>
      <c r="Z96" s="83"/>
      <c r="AA96" s="83"/>
    </row>
    <row r="97" spans="1:27" x14ac:dyDescent="0.25">
      <c r="A97" s="1974" t="s">
        <v>26</v>
      </c>
      <c r="B97" s="19" t="s">
        <v>32</v>
      </c>
      <c r="C97" s="22"/>
      <c r="D97" s="658">
        <v>2</v>
      </c>
      <c r="E97" s="636">
        <v>0</v>
      </c>
      <c r="F97" s="636">
        <v>0</v>
      </c>
      <c r="G97" s="619">
        <f t="shared" si="23"/>
        <v>2</v>
      </c>
      <c r="H97" s="658">
        <v>2</v>
      </c>
      <c r="I97" s="636">
        <v>0</v>
      </c>
      <c r="J97" s="636">
        <v>0</v>
      </c>
      <c r="K97" s="21">
        <f t="shared" si="14"/>
        <v>2</v>
      </c>
      <c r="L97" s="658">
        <v>2</v>
      </c>
      <c r="M97" s="636">
        <v>0</v>
      </c>
      <c r="N97" s="636">
        <v>0</v>
      </c>
      <c r="O97" s="21">
        <f t="shared" si="15"/>
        <v>2</v>
      </c>
      <c r="P97" s="658">
        <v>2</v>
      </c>
      <c r="Q97" s="636">
        <v>0</v>
      </c>
      <c r="R97" s="636">
        <v>0</v>
      </c>
      <c r="S97" s="21">
        <f t="shared" si="16"/>
        <v>2</v>
      </c>
      <c r="T97" s="658">
        <v>2</v>
      </c>
      <c r="U97" s="636">
        <v>0</v>
      </c>
      <c r="V97" s="636">
        <v>0</v>
      </c>
      <c r="W97" s="21">
        <f t="shared" si="17"/>
        <v>2</v>
      </c>
      <c r="X97" s="83"/>
      <c r="Y97" s="83"/>
      <c r="Z97" s="83"/>
      <c r="AA97" s="83"/>
    </row>
    <row r="98" spans="1:27" x14ac:dyDescent="0.25">
      <c r="A98" s="1974"/>
      <c r="B98" s="19" t="s">
        <v>33</v>
      </c>
      <c r="C98" s="22"/>
      <c r="D98" s="658">
        <v>2</v>
      </c>
      <c r="E98" s="636">
        <v>0</v>
      </c>
      <c r="F98" s="636">
        <v>0</v>
      </c>
      <c r="G98" s="619">
        <f t="shared" si="23"/>
        <v>2</v>
      </c>
      <c r="H98" s="658">
        <v>2</v>
      </c>
      <c r="I98" s="636">
        <v>0</v>
      </c>
      <c r="J98" s="636">
        <v>0</v>
      </c>
      <c r="K98" s="21">
        <f t="shared" si="14"/>
        <v>2</v>
      </c>
      <c r="L98" s="658">
        <v>2</v>
      </c>
      <c r="M98" s="636">
        <v>0</v>
      </c>
      <c r="N98" s="636">
        <v>0</v>
      </c>
      <c r="O98" s="21">
        <f t="shared" si="15"/>
        <v>2</v>
      </c>
      <c r="P98" s="658">
        <v>2</v>
      </c>
      <c r="Q98" s="636">
        <v>0</v>
      </c>
      <c r="R98" s="636">
        <v>0</v>
      </c>
      <c r="S98" s="21">
        <f t="shared" si="16"/>
        <v>2</v>
      </c>
      <c r="T98" s="658">
        <v>2</v>
      </c>
      <c r="U98" s="636">
        <v>0</v>
      </c>
      <c r="V98" s="636">
        <v>0</v>
      </c>
      <c r="W98" s="21">
        <f t="shared" si="17"/>
        <v>2</v>
      </c>
      <c r="X98" s="83"/>
      <c r="Y98" s="83"/>
      <c r="Z98" s="83"/>
      <c r="AA98" s="83"/>
    </row>
    <row r="99" spans="1:27" x14ac:dyDescent="0.25">
      <c r="A99" s="1974"/>
      <c r="B99" s="19" t="s">
        <v>34</v>
      </c>
      <c r="C99" s="22"/>
      <c r="D99" s="658">
        <v>2</v>
      </c>
      <c r="E99" s="636">
        <v>0</v>
      </c>
      <c r="F99" s="636">
        <v>0</v>
      </c>
      <c r="G99" s="619">
        <f t="shared" si="23"/>
        <v>2</v>
      </c>
      <c r="H99" s="658">
        <v>2</v>
      </c>
      <c r="I99" s="636">
        <v>0</v>
      </c>
      <c r="J99" s="636">
        <v>0</v>
      </c>
      <c r="K99" s="21">
        <f t="shared" si="14"/>
        <v>2</v>
      </c>
      <c r="L99" s="658">
        <v>2</v>
      </c>
      <c r="M99" s="636">
        <v>0</v>
      </c>
      <c r="N99" s="636">
        <v>0</v>
      </c>
      <c r="O99" s="21">
        <f t="shared" si="15"/>
        <v>2</v>
      </c>
      <c r="P99" s="658">
        <v>2</v>
      </c>
      <c r="Q99" s="636">
        <v>0</v>
      </c>
      <c r="R99" s="636">
        <v>0</v>
      </c>
      <c r="S99" s="21">
        <f t="shared" si="16"/>
        <v>2</v>
      </c>
      <c r="T99" s="658">
        <v>2</v>
      </c>
      <c r="U99" s="636">
        <v>0</v>
      </c>
      <c r="V99" s="636">
        <v>0</v>
      </c>
      <c r="W99" s="21">
        <f t="shared" si="17"/>
        <v>2</v>
      </c>
      <c r="X99" s="83"/>
      <c r="Y99" s="83"/>
      <c r="Z99" s="83"/>
      <c r="AA99" s="83"/>
    </row>
    <row r="100" spans="1:27" x14ac:dyDescent="0.25">
      <c r="A100" s="1974" t="s">
        <v>27</v>
      </c>
      <c r="B100" s="19" t="s">
        <v>32</v>
      </c>
      <c r="C100" s="22"/>
      <c r="D100" s="689">
        <v>2</v>
      </c>
      <c r="E100" s="635">
        <v>0</v>
      </c>
      <c r="F100" s="635">
        <v>0</v>
      </c>
      <c r="G100" s="619">
        <f t="shared" si="23"/>
        <v>2</v>
      </c>
      <c r="H100" s="689">
        <v>2</v>
      </c>
      <c r="I100" s="635">
        <v>0</v>
      </c>
      <c r="J100" s="635">
        <v>0</v>
      </c>
      <c r="K100" s="21">
        <f t="shared" si="14"/>
        <v>2</v>
      </c>
      <c r="L100" s="689">
        <v>2</v>
      </c>
      <c r="M100" s="635">
        <v>0</v>
      </c>
      <c r="N100" s="635">
        <v>0</v>
      </c>
      <c r="O100" s="21">
        <f t="shared" si="15"/>
        <v>2</v>
      </c>
      <c r="P100" s="689">
        <v>2</v>
      </c>
      <c r="Q100" s="635">
        <v>0</v>
      </c>
      <c r="R100" s="635">
        <v>0</v>
      </c>
      <c r="S100" s="21">
        <f t="shared" si="16"/>
        <v>2</v>
      </c>
      <c r="T100" s="689">
        <v>2</v>
      </c>
      <c r="U100" s="635">
        <v>0</v>
      </c>
      <c r="V100" s="635">
        <v>0</v>
      </c>
      <c r="W100" s="21">
        <f t="shared" si="17"/>
        <v>2</v>
      </c>
      <c r="X100" s="83"/>
      <c r="Y100" s="83"/>
      <c r="Z100" s="83"/>
      <c r="AA100" s="83"/>
    </row>
    <row r="101" spans="1:27" x14ac:dyDescent="0.25">
      <c r="A101" s="1974"/>
      <c r="B101" s="19" t="s">
        <v>33</v>
      </c>
      <c r="C101" s="22"/>
      <c r="D101" s="689">
        <v>2</v>
      </c>
      <c r="E101" s="635">
        <v>0</v>
      </c>
      <c r="F101" s="635">
        <v>0</v>
      </c>
      <c r="G101" s="619">
        <f t="shared" si="23"/>
        <v>2</v>
      </c>
      <c r="H101" s="689">
        <v>2</v>
      </c>
      <c r="I101" s="635">
        <v>0</v>
      </c>
      <c r="J101" s="635">
        <v>0</v>
      </c>
      <c r="K101" s="21">
        <f t="shared" si="14"/>
        <v>2</v>
      </c>
      <c r="L101" s="689">
        <v>2</v>
      </c>
      <c r="M101" s="635">
        <v>0</v>
      </c>
      <c r="N101" s="635">
        <v>0</v>
      </c>
      <c r="O101" s="21">
        <f t="shared" si="15"/>
        <v>2</v>
      </c>
      <c r="P101" s="689">
        <v>2</v>
      </c>
      <c r="Q101" s="635">
        <v>0</v>
      </c>
      <c r="R101" s="635">
        <v>0</v>
      </c>
      <c r="S101" s="21">
        <f t="shared" si="16"/>
        <v>2</v>
      </c>
      <c r="T101" s="689">
        <v>2</v>
      </c>
      <c r="U101" s="635">
        <v>0</v>
      </c>
      <c r="V101" s="635">
        <v>0</v>
      </c>
      <c r="W101" s="21">
        <f t="shared" si="17"/>
        <v>2</v>
      </c>
      <c r="X101" s="83"/>
      <c r="Y101" s="83"/>
      <c r="Z101" s="83"/>
      <c r="AA101" s="83"/>
    </row>
    <row r="102" spans="1:27" x14ac:dyDescent="0.25">
      <c r="A102" s="1974"/>
      <c r="B102" s="19" t="s">
        <v>34</v>
      </c>
      <c r="C102" s="22"/>
      <c r="D102" s="689">
        <v>2</v>
      </c>
      <c r="E102" s="635">
        <v>0</v>
      </c>
      <c r="F102" s="635">
        <v>0</v>
      </c>
      <c r="G102" s="619">
        <f t="shared" si="23"/>
        <v>2</v>
      </c>
      <c r="H102" s="689">
        <v>2</v>
      </c>
      <c r="I102" s="635">
        <v>0</v>
      </c>
      <c r="J102" s="635">
        <v>0</v>
      </c>
      <c r="K102" s="21">
        <f t="shared" si="14"/>
        <v>2</v>
      </c>
      <c r="L102" s="689">
        <v>2</v>
      </c>
      <c r="M102" s="635">
        <v>0</v>
      </c>
      <c r="N102" s="635">
        <v>0</v>
      </c>
      <c r="O102" s="21">
        <f t="shared" si="15"/>
        <v>2</v>
      </c>
      <c r="P102" s="689">
        <v>2</v>
      </c>
      <c r="Q102" s="635">
        <v>0</v>
      </c>
      <c r="R102" s="635">
        <v>0</v>
      </c>
      <c r="S102" s="21">
        <f t="shared" si="16"/>
        <v>2</v>
      </c>
      <c r="T102" s="689">
        <v>2</v>
      </c>
      <c r="U102" s="635">
        <v>0</v>
      </c>
      <c r="V102" s="635">
        <v>0</v>
      </c>
      <c r="W102" s="21">
        <f t="shared" si="17"/>
        <v>2</v>
      </c>
      <c r="X102" s="83"/>
      <c r="Y102" s="83"/>
      <c r="Z102" s="83"/>
      <c r="AA102" s="83"/>
    </row>
    <row r="103" spans="1:27" x14ac:dyDescent="0.25">
      <c r="A103" s="1907" t="s">
        <v>28</v>
      </c>
      <c r="B103" s="19" t="s">
        <v>32</v>
      </c>
      <c r="C103" s="22"/>
      <c r="D103" s="635">
        <v>1</v>
      </c>
      <c r="E103" s="637">
        <v>0</v>
      </c>
      <c r="F103" s="635">
        <v>0</v>
      </c>
      <c r="G103" s="619">
        <f t="shared" si="23"/>
        <v>1</v>
      </c>
      <c r="H103" s="635">
        <v>1</v>
      </c>
      <c r="I103" s="637">
        <v>0</v>
      </c>
      <c r="J103" s="635">
        <v>0</v>
      </c>
      <c r="K103" s="21">
        <f t="shared" si="14"/>
        <v>1</v>
      </c>
      <c r="L103" s="635">
        <v>1</v>
      </c>
      <c r="M103" s="637">
        <v>0</v>
      </c>
      <c r="N103" s="635">
        <v>0</v>
      </c>
      <c r="O103" s="21">
        <f t="shared" si="15"/>
        <v>1</v>
      </c>
      <c r="P103" s="635">
        <v>1</v>
      </c>
      <c r="Q103" s="637">
        <v>0</v>
      </c>
      <c r="R103" s="635">
        <v>0</v>
      </c>
      <c r="S103" s="21">
        <f t="shared" si="16"/>
        <v>1</v>
      </c>
      <c r="T103" s="635">
        <v>1</v>
      </c>
      <c r="U103" s="637">
        <v>0</v>
      </c>
      <c r="V103" s="635">
        <v>0</v>
      </c>
      <c r="W103" s="21">
        <f t="shared" si="17"/>
        <v>1</v>
      </c>
      <c r="X103" s="83"/>
      <c r="Y103" s="83"/>
      <c r="Z103" s="83"/>
      <c r="AA103" s="83"/>
    </row>
    <row r="104" spans="1:27" x14ac:dyDescent="0.25">
      <c r="A104" s="1907"/>
      <c r="B104" s="19" t="s">
        <v>33</v>
      </c>
      <c r="C104" s="22"/>
      <c r="D104" s="635">
        <v>2</v>
      </c>
      <c r="E104" s="637">
        <v>0</v>
      </c>
      <c r="F104" s="635">
        <v>0</v>
      </c>
      <c r="G104" s="619">
        <f t="shared" si="23"/>
        <v>2</v>
      </c>
      <c r="H104" s="635">
        <v>2</v>
      </c>
      <c r="I104" s="637">
        <v>0</v>
      </c>
      <c r="J104" s="635">
        <v>0</v>
      </c>
      <c r="K104" s="21">
        <f t="shared" si="14"/>
        <v>2</v>
      </c>
      <c r="L104" s="635">
        <v>2</v>
      </c>
      <c r="M104" s="637">
        <v>0</v>
      </c>
      <c r="N104" s="635">
        <v>0</v>
      </c>
      <c r="O104" s="21">
        <f t="shared" si="15"/>
        <v>2</v>
      </c>
      <c r="P104" s="635">
        <v>2</v>
      </c>
      <c r="Q104" s="637">
        <v>0</v>
      </c>
      <c r="R104" s="635">
        <v>0</v>
      </c>
      <c r="S104" s="21">
        <f t="shared" si="16"/>
        <v>2</v>
      </c>
      <c r="T104" s="635">
        <v>2</v>
      </c>
      <c r="U104" s="637">
        <v>0</v>
      </c>
      <c r="V104" s="635">
        <v>0</v>
      </c>
      <c r="W104" s="21">
        <f t="shared" si="17"/>
        <v>2</v>
      </c>
      <c r="X104" s="83"/>
      <c r="Y104" s="83"/>
      <c r="Z104" s="83"/>
      <c r="AA104" s="83"/>
    </row>
    <row r="105" spans="1:27" ht="15.75" thickBot="1" x14ac:dyDescent="0.3">
      <c r="A105" s="1975"/>
      <c r="B105" s="20" t="s">
        <v>34</v>
      </c>
      <c r="C105" s="23"/>
      <c r="D105" s="642">
        <v>3</v>
      </c>
      <c r="E105" s="643">
        <v>0</v>
      </c>
      <c r="F105" s="644">
        <v>0</v>
      </c>
      <c r="G105" s="622">
        <f t="shared" si="23"/>
        <v>3</v>
      </c>
      <c r="H105" s="642">
        <v>3</v>
      </c>
      <c r="I105" s="643">
        <v>0</v>
      </c>
      <c r="J105" s="644">
        <v>0</v>
      </c>
      <c r="K105" s="24">
        <f t="shared" si="14"/>
        <v>3</v>
      </c>
      <c r="L105" s="642">
        <v>3</v>
      </c>
      <c r="M105" s="643">
        <v>0</v>
      </c>
      <c r="N105" s="644">
        <v>0</v>
      </c>
      <c r="O105" s="24">
        <f t="shared" si="15"/>
        <v>3</v>
      </c>
      <c r="P105" s="642">
        <v>3</v>
      </c>
      <c r="Q105" s="643">
        <v>0</v>
      </c>
      <c r="R105" s="644">
        <v>0</v>
      </c>
      <c r="S105" s="24">
        <f t="shared" si="16"/>
        <v>3</v>
      </c>
      <c r="T105" s="642">
        <v>3</v>
      </c>
      <c r="U105" s="643">
        <v>0</v>
      </c>
      <c r="V105" s="644">
        <v>0</v>
      </c>
      <c r="W105" s="24">
        <f t="shared" si="17"/>
        <v>3</v>
      </c>
      <c r="X105" s="83"/>
      <c r="Y105" s="83"/>
      <c r="Z105" s="83"/>
      <c r="AA105" s="83"/>
    </row>
    <row r="107" spans="1:27" x14ac:dyDescent="0.25">
      <c r="A107" s="125" t="s">
        <v>89</v>
      </c>
    </row>
  </sheetData>
  <customSheetViews>
    <customSheetView guid="{B91A3F61-3B23-46E3-9B55-19B17EB6638A}" state="hidden">
      <pageMargins left="0.7" right="0.7" top="0.75" bottom="0.75" header="0.3" footer="0.3"/>
    </customSheetView>
    <customSheetView guid="{F5CB9414-DBF4-48FF-9213-FFE745451535}" state="hidden">
      <pageMargins left="0.7" right="0.7" top="0.75" bottom="0.75" header="0.3" footer="0.3"/>
    </customSheetView>
    <customSheetView guid="{A1A876F1-3EAA-4E5F-BD51-8B131AB8854B}" state="hidden">
      <pageMargins left="0.7" right="0.7" top="0.75" bottom="0.75" header="0.3" footer="0.3"/>
    </customSheetView>
    <customSheetView guid="{18A094BB-EA3E-4938-9069-21F549B37E23}" state="hidden">
      <pageMargins left="0.7" right="0.7" top="0.75" bottom="0.75" header="0.3" footer="0.3"/>
    </customSheetView>
  </customSheetViews>
  <mergeCells count="43">
    <mergeCell ref="T1:W1"/>
    <mergeCell ref="W2:W3"/>
    <mergeCell ref="L1:O1"/>
    <mergeCell ref="O2:O3"/>
    <mergeCell ref="P1:S1"/>
    <mergeCell ref="S2:S3"/>
    <mergeCell ref="A78:A80"/>
    <mergeCell ref="H1:K1"/>
    <mergeCell ref="K2:K3"/>
    <mergeCell ref="A57:A59"/>
    <mergeCell ref="A60:A62"/>
    <mergeCell ref="A75:A77"/>
    <mergeCell ref="A38:A40"/>
    <mergeCell ref="A42:A44"/>
    <mergeCell ref="A45:A47"/>
    <mergeCell ref="A48:A50"/>
    <mergeCell ref="A51:A53"/>
    <mergeCell ref="A54:A56"/>
    <mergeCell ref="A34:A36"/>
    <mergeCell ref="A16:A18"/>
    <mergeCell ref="D1:G1"/>
    <mergeCell ref="C2:C3"/>
    <mergeCell ref="A81:A83"/>
    <mergeCell ref="A84:A86"/>
    <mergeCell ref="A97:A99"/>
    <mergeCell ref="A100:A102"/>
    <mergeCell ref="A103:A105"/>
    <mergeCell ref="A88:A90"/>
    <mergeCell ref="A91:A93"/>
    <mergeCell ref="A94:A96"/>
    <mergeCell ref="G2:G3"/>
    <mergeCell ref="A8:A10"/>
    <mergeCell ref="A12:A14"/>
    <mergeCell ref="A19:A21"/>
    <mergeCell ref="A22:A24"/>
    <mergeCell ref="A63:A65"/>
    <mergeCell ref="A66:A68"/>
    <mergeCell ref="A69:A71"/>
    <mergeCell ref="A72:A74"/>
    <mergeCell ref="A5:A7"/>
    <mergeCell ref="A25:A27"/>
    <mergeCell ref="A28:A30"/>
    <mergeCell ref="A31:A33"/>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Лист9"/>
  <dimension ref="A1:K202"/>
  <sheetViews>
    <sheetView showFormulas="1" topLeftCell="E22" zoomScale="70" zoomScaleNormal="70" workbookViewId="0">
      <selection activeCell="F54" sqref="F54"/>
    </sheetView>
  </sheetViews>
  <sheetFormatPr defaultRowHeight="15" x14ac:dyDescent="0.25"/>
  <cols>
    <col min="1" max="1" width="31.7109375" bestFit="1" customWidth="1"/>
    <col min="2" max="2" width="23.5703125" hidden="1" customWidth="1"/>
    <col min="3" max="3" width="0" hidden="1" customWidth="1"/>
    <col min="4" max="4" width="34.5703125" bestFit="1" customWidth="1"/>
    <col min="5" max="6" width="34.42578125" bestFit="1" customWidth="1"/>
    <col min="7" max="7" width="7.5703125" bestFit="1" customWidth="1"/>
    <col min="8" max="8" width="34.5703125" bestFit="1" customWidth="1"/>
    <col min="9" max="9" width="34.140625" bestFit="1" customWidth="1"/>
    <col min="10" max="10" width="34.28515625" bestFit="1" customWidth="1"/>
  </cols>
  <sheetData>
    <row r="1" spans="1:11" ht="15.75" x14ac:dyDescent="0.25">
      <c r="A1" s="465" t="s">
        <v>91</v>
      </c>
      <c r="B1" s="35"/>
      <c r="C1" s="43"/>
      <c r="D1" s="1982" t="s">
        <v>40</v>
      </c>
      <c r="E1" s="1983"/>
      <c r="F1" s="1983"/>
      <c r="G1" s="1984"/>
      <c r="H1" s="1982" t="s">
        <v>355</v>
      </c>
      <c r="I1" s="1983"/>
      <c r="J1" s="1983"/>
      <c r="K1" s="1984"/>
    </row>
    <row r="2" spans="1:11" ht="31.5" x14ac:dyDescent="0.25">
      <c r="B2" s="41" t="s">
        <v>37</v>
      </c>
      <c r="C2" s="2311" t="s">
        <v>35</v>
      </c>
      <c r="D2" s="451" t="s">
        <v>1796</v>
      </c>
      <c r="E2" s="451" t="s">
        <v>95</v>
      </c>
      <c r="F2" s="451" t="s">
        <v>1780</v>
      </c>
      <c r="G2" s="2312" t="s">
        <v>38</v>
      </c>
      <c r="H2" s="451" t="s">
        <v>1796</v>
      </c>
      <c r="I2" s="451" t="s">
        <v>95</v>
      </c>
      <c r="J2" s="451" t="s">
        <v>1780</v>
      </c>
      <c r="K2" s="1985" t="s">
        <v>38</v>
      </c>
    </row>
    <row r="3" spans="1:11" ht="16.5" thickBot="1" x14ac:dyDescent="0.3">
      <c r="A3" s="12" t="s">
        <v>36</v>
      </c>
      <c r="B3" s="42">
        <f>ТрЗ_ОП!F5</f>
        <v>1</v>
      </c>
      <c r="C3" s="1946"/>
      <c r="D3" s="421">
        <f>INDEX(ТрЗ_ОП!$P$11:$P$102,MATCH(D2,ТрЗ_ОП!$O$11:$O$102,0))</f>
        <v>1</v>
      </c>
      <c r="E3" s="421">
        <f>INDEX(ТрЗ_ОП!$P$11:$P$102,MATCH(E2,ТрЗ_ОП!$O$11:$O$102,0))</f>
        <v>1</v>
      </c>
      <c r="F3" s="421">
        <f>INDEX(ТрЗ_ОП!$P$11:$P$102,MATCH(F2,ТрЗ_ОП!$O$11:$O$102,0))</f>
        <v>0</v>
      </c>
      <c r="G3" s="2312"/>
      <c r="H3" s="421">
        <f>INDEX(ТрЗ_ОП!$P$11:$P$102,MATCH(H2,ТрЗ_ОП!$O$11:$O$102,0))</f>
        <v>1</v>
      </c>
      <c r="I3" s="421">
        <f>INDEX(ТрЗ_ОП!$P$11:$P$102,MATCH(I2,ТрЗ_ОП!$O$11:$O$102,0))</f>
        <v>1</v>
      </c>
      <c r="J3" s="421">
        <f>INDEX(ТрЗ_ОП!$P$11:$P$102,MATCH(J2,ТрЗ_ОП!$O$11:$O$102,0))</f>
        <v>0</v>
      </c>
      <c r="K3" s="1985"/>
    </row>
    <row r="4" spans="1:11" ht="16.5" thickBot="1" x14ac:dyDescent="0.3">
      <c r="A4" s="326" t="s">
        <v>448</v>
      </c>
      <c r="B4" s="327"/>
      <c r="C4" s="327"/>
      <c r="D4" s="327"/>
      <c r="E4" s="327"/>
      <c r="F4" s="327"/>
      <c r="G4" s="327"/>
      <c r="H4" s="327"/>
      <c r="I4" s="327"/>
      <c r="J4" s="327"/>
      <c r="K4" s="396"/>
    </row>
    <row r="5" spans="1:11" x14ac:dyDescent="0.25">
      <c r="A5" s="1932" t="s">
        <v>0</v>
      </c>
      <c r="B5" s="1723" t="s">
        <v>32</v>
      </c>
      <c r="C5" s="1751"/>
      <c r="D5" s="1726">
        <v>1</v>
      </c>
      <c r="E5" s="1726">
        <f t="shared" ref="E5:F8" si="0">0.25*E$3</f>
        <v>0.25</v>
      </c>
      <c r="F5" s="1725">
        <f t="shared" si="0"/>
        <v>0</v>
      </c>
      <c r="G5" s="1727">
        <f xml:space="preserve"> SUM(D5:F5) + $C5</f>
        <v>1.25</v>
      </c>
      <c r="H5" s="1726">
        <v>1</v>
      </c>
      <c r="I5" s="1726">
        <f t="shared" ref="I5:J8" si="1">0.25*I$3</f>
        <v>0.25</v>
      </c>
      <c r="J5" s="1725">
        <f t="shared" si="1"/>
        <v>0</v>
      </c>
      <c r="K5" s="1727">
        <f t="shared" ref="K5:K10" si="2" xml:space="preserve"> SUM(H5:J5) + $C5</f>
        <v>1.25</v>
      </c>
    </row>
    <row r="6" spans="1:11" x14ac:dyDescent="0.25">
      <c r="A6" s="1932"/>
      <c r="B6" s="19" t="s">
        <v>33</v>
      </c>
      <c r="C6" s="817"/>
      <c r="D6" s="446">
        <v>1</v>
      </c>
      <c r="E6" s="814">
        <v>0</v>
      </c>
      <c r="F6" s="630">
        <f>IF(F$3=1,3,0)</f>
        <v>0</v>
      </c>
      <c r="G6" s="21">
        <f xml:space="preserve"> SUM(D6:F6) + $C6</f>
        <v>1</v>
      </c>
      <c r="H6" s="446">
        <v>1</v>
      </c>
      <c r="I6" s="814">
        <v>0</v>
      </c>
      <c r="J6" s="630">
        <f>IF(J$3=1,3,0)</f>
        <v>0</v>
      </c>
      <c r="K6" s="21">
        <f t="shared" si="2"/>
        <v>1</v>
      </c>
    </row>
    <row r="7" spans="1:11" x14ac:dyDescent="0.25">
      <c r="A7" s="1932"/>
      <c r="B7" s="13" t="s">
        <v>34</v>
      </c>
      <c r="C7" s="820"/>
      <c r="D7" s="446">
        <v>2</v>
      </c>
      <c r="E7" s="814">
        <v>0</v>
      </c>
      <c r="F7" s="630">
        <f>IF(F$3=1,6,0)</f>
        <v>0</v>
      </c>
      <c r="G7" s="21">
        <f xml:space="preserve"> SUM(D7:F7) + $C7</f>
        <v>2</v>
      </c>
      <c r="H7" s="446">
        <v>2</v>
      </c>
      <c r="I7" s="814">
        <v>0</v>
      </c>
      <c r="J7" s="630">
        <f>IF(J$3=1,6,0)</f>
        <v>0</v>
      </c>
      <c r="K7" s="21">
        <f t="shared" si="2"/>
        <v>2</v>
      </c>
    </row>
    <row r="8" spans="1:11" x14ac:dyDescent="0.25">
      <c r="A8" s="2310" t="s">
        <v>449</v>
      </c>
      <c r="B8" s="1728" t="s">
        <v>32</v>
      </c>
      <c r="C8" s="1729"/>
      <c r="D8" s="1726">
        <v>1</v>
      </c>
      <c r="E8" s="1726">
        <f t="shared" si="0"/>
        <v>0.25</v>
      </c>
      <c r="F8" s="1725">
        <f t="shared" si="0"/>
        <v>0</v>
      </c>
      <c r="G8" s="1730">
        <f xml:space="preserve"> SUM(D8:F8) + $C8</f>
        <v>1.25</v>
      </c>
      <c r="H8" s="1726">
        <v>1</v>
      </c>
      <c r="I8" s="1726">
        <f t="shared" si="1"/>
        <v>0.25</v>
      </c>
      <c r="J8" s="1725">
        <f t="shared" si="1"/>
        <v>0</v>
      </c>
      <c r="K8" s="1730">
        <f t="shared" si="2"/>
        <v>1.25</v>
      </c>
    </row>
    <row r="9" spans="1:11" x14ac:dyDescent="0.25">
      <c r="A9" s="1932"/>
      <c r="B9" s="19" t="s">
        <v>33</v>
      </c>
      <c r="C9" s="817"/>
      <c r="D9" s="446">
        <v>1</v>
      </c>
      <c r="E9" s="814">
        <v>0</v>
      </c>
      <c r="F9" s="630">
        <f>IF(F$3=1,3,0)</f>
        <v>0</v>
      </c>
      <c r="G9" s="21">
        <f t="shared" ref="G9:G93" si="3" xml:space="preserve"> SUM(D9:F9) + $C9</f>
        <v>1</v>
      </c>
      <c r="H9" s="446">
        <v>1</v>
      </c>
      <c r="I9" s="814">
        <v>0</v>
      </c>
      <c r="J9" s="630">
        <f>IF(J$3=1,3,0)</f>
        <v>0</v>
      </c>
      <c r="K9" s="21">
        <f t="shared" si="2"/>
        <v>1</v>
      </c>
    </row>
    <row r="10" spans="1:11" ht="15.75" thickBot="1" x14ac:dyDescent="0.3">
      <c r="A10" s="1932"/>
      <c r="B10" s="13" t="s">
        <v>34</v>
      </c>
      <c r="C10" s="820"/>
      <c r="D10" s="446">
        <v>2</v>
      </c>
      <c r="E10" s="814">
        <v>0</v>
      </c>
      <c r="F10" s="630">
        <f>IF(F$3=1,6,0)</f>
        <v>0</v>
      </c>
      <c r="G10" s="77">
        <f t="shared" si="3"/>
        <v>2</v>
      </c>
      <c r="H10" s="446">
        <v>2</v>
      </c>
      <c r="I10" s="814">
        <v>0</v>
      </c>
      <c r="J10" s="630">
        <f>IF(J$3=1,6,0)</f>
        <v>0</v>
      </c>
      <c r="K10" s="77">
        <f t="shared" si="2"/>
        <v>2</v>
      </c>
    </row>
    <row r="11" spans="1:11" ht="16.5" thickBot="1" x14ac:dyDescent="0.3">
      <c r="A11" s="326" t="s">
        <v>1</v>
      </c>
      <c r="B11" s="327"/>
      <c r="C11" s="1752"/>
      <c r="D11" s="327"/>
      <c r="E11" s="327"/>
      <c r="F11" s="327"/>
      <c r="G11" s="329"/>
      <c r="H11" s="327"/>
      <c r="I11" s="327"/>
      <c r="J11" s="327"/>
      <c r="K11" s="396"/>
    </row>
    <row r="12" spans="1:11" x14ac:dyDescent="0.25">
      <c r="A12" s="1932" t="s">
        <v>2</v>
      </c>
      <c r="B12" s="1723" t="s">
        <v>32</v>
      </c>
      <c r="C12" s="1724"/>
      <c r="D12" s="1726">
        <v>4</v>
      </c>
      <c r="E12" s="1725">
        <f>2*E$3</f>
        <v>2</v>
      </c>
      <c r="F12" s="1725">
        <f>0.5*F$3</f>
        <v>0</v>
      </c>
      <c r="G12" s="1727">
        <f t="shared" si="3"/>
        <v>6</v>
      </c>
      <c r="H12" s="1726">
        <v>4</v>
      </c>
      <c r="I12" s="1725">
        <f>2*I$3</f>
        <v>2</v>
      </c>
      <c r="J12" s="1725">
        <f>0.5*J$3</f>
        <v>0</v>
      </c>
      <c r="K12" s="1727">
        <f xml:space="preserve"> SUM(H12:J12) + $C12</f>
        <v>6</v>
      </c>
    </row>
    <row r="13" spans="1:11" x14ac:dyDescent="0.25">
      <c r="A13" s="1932"/>
      <c r="B13" s="19" t="s">
        <v>33</v>
      </c>
      <c r="C13" s="817"/>
      <c r="D13" s="446">
        <v>2</v>
      </c>
      <c r="E13" s="478">
        <f>IF(E$3&gt;3,0.25*E$3,0.5)</f>
        <v>0.5</v>
      </c>
      <c r="F13" s="630">
        <f>IF(F$3=1,16,0)</f>
        <v>0</v>
      </c>
      <c r="G13" s="21">
        <f t="shared" si="3"/>
        <v>2.5</v>
      </c>
      <c r="H13" s="446">
        <v>2</v>
      </c>
      <c r="I13" s="478">
        <f>IF(I$3&gt;3,0.25*I$3,0.5)</f>
        <v>0.5</v>
      </c>
      <c r="J13" s="630">
        <f>IF(J$3=1,16,0)</f>
        <v>0</v>
      </c>
      <c r="K13" s="21">
        <f xml:space="preserve"> SUM(H13:J13) + $C13</f>
        <v>2.5</v>
      </c>
    </row>
    <row r="14" spans="1:11" ht="15.75" thickBot="1" x14ac:dyDescent="0.3">
      <c r="A14" s="1932"/>
      <c r="B14" s="13" t="s">
        <v>34</v>
      </c>
      <c r="C14" s="820"/>
      <c r="D14" s="1749">
        <v>4</v>
      </c>
      <c r="E14" s="478">
        <f>IF(E$3&gt;3,0.25*E$3,0.5)</f>
        <v>0.5</v>
      </c>
      <c r="F14" s="630">
        <f>IF(F$3=1,32,0)</f>
        <v>0</v>
      </c>
      <c r="G14" s="77">
        <f t="shared" si="3"/>
        <v>4.5</v>
      </c>
      <c r="H14" s="1749">
        <v>4</v>
      </c>
      <c r="I14" s="478">
        <f>IF(I$3&gt;3,0.25*I$3,0.5)</f>
        <v>0.5</v>
      </c>
      <c r="J14" s="630">
        <f>IF(J$3=1,32,0)</f>
        <v>0</v>
      </c>
      <c r="K14" s="77">
        <f xml:space="preserve"> SUM(H14:J14) + $C14</f>
        <v>4.5</v>
      </c>
    </row>
    <row r="15" spans="1:11" ht="16.5" thickBot="1" x14ac:dyDescent="0.3">
      <c r="A15" s="330" t="s">
        <v>3</v>
      </c>
      <c r="B15" s="329"/>
      <c r="C15" s="1753"/>
      <c r="D15" s="329"/>
      <c r="E15" s="329"/>
      <c r="F15" s="329"/>
      <c r="G15" s="329"/>
      <c r="H15" s="329"/>
      <c r="I15" s="329"/>
      <c r="J15" s="329"/>
      <c r="K15" s="396"/>
    </row>
    <row r="16" spans="1:11" x14ac:dyDescent="0.25">
      <c r="A16" s="1944" t="s">
        <v>4</v>
      </c>
      <c r="B16" s="1731" t="s">
        <v>32</v>
      </c>
      <c r="C16" s="1724"/>
      <c r="D16" s="1732">
        <v>0.25</v>
      </c>
      <c r="E16" s="1733">
        <v>0</v>
      </c>
      <c r="F16" s="1734">
        <v>0</v>
      </c>
      <c r="G16" s="1727">
        <f t="shared" si="3"/>
        <v>0.25</v>
      </c>
      <c r="H16" s="1732">
        <v>0.25</v>
      </c>
      <c r="I16" s="1733">
        <v>0</v>
      </c>
      <c r="J16" s="1734">
        <v>0</v>
      </c>
      <c r="K16" s="1727">
        <f t="shared" ref="K16:K36" si="4" xml:space="preserve"> SUM(H16:J16) + $C16</f>
        <v>0.25</v>
      </c>
    </row>
    <row r="17" spans="1:11" x14ac:dyDescent="0.25">
      <c r="A17" s="1937"/>
      <c r="B17" s="18" t="s">
        <v>33</v>
      </c>
      <c r="C17" s="817"/>
      <c r="D17" s="482" t="s">
        <v>1768</v>
      </c>
      <c r="E17" s="482" t="s">
        <v>1768</v>
      </c>
      <c r="F17" s="482" t="s">
        <v>1768</v>
      </c>
      <c r="G17" s="21">
        <f t="shared" si="3"/>
        <v>0</v>
      </c>
      <c r="H17" s="482" t="s">
        <v>1768</v>
      </c>
      <c r="I17" s="482" t="s">
        <v>1768</v>
      </c>
      <c r="J17" s="482" t="s">
        <v>1768</v>
      </c>
      <c r="K17" s="21">
        <f t="shared" si="4"/>
        <v>0</v>
      </c>
    </row>
    <row r="18" spans="1:11" x14ac:dyDescent="0.25">
      <c r="A18" s="1937"/>
      <c r="B18" s="18" t="s">
        <v>34</v>
      </c>
      <c r="C18" s="817"/>
      <c r="D18" s="482" t="s">
        <v>1768</v>
      </c>
      <c r="E18" s="482" t="s">
        <v>1768</v>
      </c>
      <c r="F18" s="482" t="s">
        <v>1768</v>
      </c>
      <c r="G18" s="21">
        <f t="shared" si="3"/>
        <v>0</v>
      </c>
      <c r="H18" s="482" t="s">
        <v>1768</v>
      </c>
      <c r="I18" s="482" t="s">
        <v>1768</v>
      </c>
      <c r="J18" s="482" t="s">
        <v>1768</v>
      </c>
      <c r="K18" s="21">
        <f t="shared" si="4"/>
        <v>0</v>
      </c>
    </row>
    <row r="19" spans="1:11" x14ac:dyDescent="0.25">
      <c r="A19" s="1937" t="s">
        <v>5</v>
      </c>
      <c r="B19" s="1728" t="s">
        <v>32</v>
      </c>
      <c r="C19" s="1729"/>
      <c r="D19" s="1735">
        <f>0.5*D$3</f>
        <v>0.5</v>
      </c>
      <c r="E19" s="1736">
        <v>0</v>
      </c>
      <c r="F19" s="1725">
        <f t="shared" ref="F19:F22" si="5">0.5*F$3</f>
        <v>0</v>
      </c>
      <c r="G19" s="1730">
        <f t="shared" si="3"/>
        <v>0.5</v>
      </c>
      <c r="H19" s="1735">
        <f>0.5*H$3</f>
        <v>0.5</v>
      </c>
      <c r="I19" s="1736">
        <v>0</v>
      </c>
      <c r="J19" s="1725">
        <f t="shared" ref="J19:J22" si="6">0.5*J$3</f>
        <v>0</v>
      </c>
      <c r="K19" s="1730">
        <f t="shared" si="4"/>
        <v>0.5</v>
      </c>
    </row>
    <row r="20" spans="1:11" x14ac:dyDescent="0.25">
      <c r="A20" s="1937"/>
      <c r="B20" s="19" t="s">
        <v>33</v>
      </c>
      <c r="C20" s="817"/>
      <c r="D20" s="493">
        <f>IF(D$3&gt;1,0.5*D$3,1)</f>
        <v>1</v>
      </c>
      <c r="E20" s="15">
        <v>0</v>
      </c>
      <c r="F20" s="814">
        <v>0</v>
      </c>
      <c r="G20" s="21">
        <f t="shared" si="3"/>
        <v>1</v>
      </c>
      <c r="H20" s="493">
        <f>IF(H$3&gt;1,0.5*H$3,1)</f>
        <v>1</v>
      </c>
      <c r="I20" s="814">
        <v>0</v>
      </c>
      <c r="J20" s="814">
        <v>0</v>
      </c>
      <c r="K20" s="21">
        <f t="shared" si="4"/>
        <v>1</v>
      </c>
    </row>
    <row r="21" spans="1:11" x14ac:dyDescent="0.25">
      <c r="A21" s="1937"/>
      <c r="B21" s="19" t="s">
        <v>34</v>
      </c>
      <c r="C21" s="817"/>
      <c r="D21" s="493">
        <f>IF(D$3&gt;1,0.5*D$3,1)</f>
        <v>1</v>
      </c>
      <c r="E21" s="15">
        <v>0</v>
      </c>
      <c r="F21" s="814">
        <v>0</v>
      </c>
      <c r="G21" s="21">
        <f t="shared" si="3"/>
        <v>1</v>
      </c>
      <c r="H21" s="493">
        <f>IF(H$3&gt;1,0.5*H$3,1)</f>
        <v>1</v>
      </c>
      <c r="I21" s="814">
        <v>0</v>
      </c>
      <c r="J21" s="814">
        <v>0</v>
      </c>
      <c r="K21" s="21">
        <f t="shared" si="4"/>
        <v>1</v>
      </c>
    </row>
    <row r="22" spans="1:11" x14ac:dyDescent="0.25">
      <c r="A22" s="1937" t="s">
        <v>6</v>
      </c>
      <c r="B22" s="1728" t="s">
        <v>32</v>
      </c>
      <c r="C22" s="1729"/>
      <c r="D22" s="1746">
        <v>8</v>
      </c>
      <c r="E22" s="1737">
        <f>0.5*E$3</f>
        <v>0.5</v>
      </c>
      <c r="F22" s="1737">
        <f t="shared" si="5"/>
        <v>0</v>
      </c>
      <c r="G22" s="1730">
        <f t="shared" si="3"/>
        <v>8.5</v>
      </c>
      <c r="H22" s="1746">
        <v>8</v>
      </c>
      <c r="I22" s="1737">
        <f>0.5*I$3</f>
        <v>0.5</v>
      </c>
      <c r="J22" s="1737">
        <f t="shared" si="6"/>
        <v>0</v>
      </c>
      <c r="K22" s="1730">
        <f t="shared" si="4"/>
        <v>8.5</v>
      </c>
    </row>
    <row r="23" spans="1:11" x14ac:dyDescent="0.25">
      <c r="A23" s="1937"/>
      <c r="B23" s="19" t="s">
        <v>33</v>
      </c>
      <c r="C23" s="817"/>
      <c r="D23" s="446">
        <v>2</v>
      </c>
      <c r="E23" s="478">
        <f>IF(E$3&gt;3,0.25*E$3,0.5)</f>
        <v>0.5</v>
      </c>
      <c r="F23" s="630">
        <f>IF(F$3=1,16,0)</f>
        <v>0</v>
      </c>
      <c r="G23" s="21">
        <f t="shared" si="3"/>
        <v>2.5</v>
      </c>
      <c r="H23" s="446">
        <v>2</v>
      </c>
      <c r="I23" s="478">
        <f>IF(I$3&gt;3,0.25*I$3,0.5)</f>
        <v>0.5</v>
      </c>
      <c r="J23" s="630">
        <f>IF(J$3=1,16,0)</f>
        <v>0</v>
      </c>
      <c r="K23" s="21">
        <f t="shared" si="4"/>
        <v>2.5</v>
      </c>
    </row>
    <row r="24" spans="1:11" x14ac:dyDescent="0.25">
      <c r="A24" s="1937"/>
      <c r="B24" s="19" t="s">
        <v>34</v>
      </c>
      <c r="C24" s="817"/>
      <c r="D24" s="1749">
        <v>4</v>
      </c>
      <c r="E24" s="478">
        <f>IF(E$3&gt;3,0.25*E$3,0.5)</f>
        <v>0.5</v>
      </c>
      <c r="F24" s="630">
        <f>IF(F$3=1,32,0)</f>
        <v>0</v>
      </c>
      <c r="G24" s="21">
        <f t="shared" si="3"/>
        <v>4.5</v>
      </c>
      <c r="H24" s="1749">
        <v>4</v>
      </c>
      <c r="I24" s="478">
        <f>IF(I$3&gt;3,0.25*I$3,0.5)</f>
        <v>0.5</v>
      </c>
      <c r="J24" s="630">
        <f>IF(J$3=1,32,0)</f>
        <v>0</v>
      </c>
      <c r="K24" s="21">
        <f t="shared" si="4"/>
        <v>4.5</v>
      </c>
    </row>
    <row r="25" spans="1:11" x14ac:dyDescent="0.25">
      <c r="A25" s="1937" t="s">
        <v>7</v>
      </c>
      <c r="B25" s="1728" t="s">
        <v>32</v>
      </c>
      <c r="C25" s="1729"/>
      <c r="D25" s="1735">
        <v>2</v>
      </c>
      <c r="E25" s="1736">
        <v>0</v>
      </c>
      <c r="F25" s="1737">
        <v>0</v>
      </c>
      <c r="G25" s="1730">
        <f t="shared" si="3"/>
        <v>2</v>
      </c>
      <c r="H25" s="1735">
        <v>2</v>
      </c>
      <c r="I25" s="1736">
        <v>0</v>
      </c>
      <c r="J25" s="1737">
        <v>0</v>
      </c>
      <c r="K25" s="1730">
        <f t="shared" si="4"/>
        <v>2</v>
      </c>
    </row>
    <row r="26" spans="1:11" x14ac:dyDescent="0.25">
      <c r="A26" s="1937"/>
      <c r="B26" s="19" t="s">
        <v>33</v>
      </c>
      <c r="C26" s="817"/>
      <c r="D26" s="38">
        <v>2</v>
      </c>
      <c r="E26" s="15">
        <v>0</v>
      </c>
      <c r="F26" s="630">
        <f>IF(F$3=1,12,0)</f>
        <v>0</v>
      </c>
      <c r="G26" s="21">
        <f t="shared" si="3"/>
        <v>2</v>
      </c>
      <c r="H26" s="821">
        <v>2</v>
      </c>
      <c r="I26" s="814">
        <v>0</v>
      </c>
      <c r="J26" s="630">
        <f>IF(J$3=1,12,0)</f>
        <v>0</v>
      </c>
      <c r="K26" s="21">
        <f t="shared" si="4"/>
        <v>2</v>
      </c>
    </row>
    <row r="27" spans="1:11" x14ac:dyDescent="0.25">
      <c r="A27" s="1937"/>
      <c r="B27" s="19" t="s">
        <v>34</v>
      </c>
      <c r="C27" s="817"/>
      <c r="D27" s="807">
        <v>4</v>
      </c>
      <c r="E27" s="15">
        <v>0</v>
      </c>
      <c r="F27" s="630">
        <f>IF(F$3=1,20,0)</f>
        <v>0</v>
      </c>
      <c r="G27" s="21">
        <f t="shared" si="3"/>
        <v>4</v>
      </c>
      <c r="H27" s="807">
        <v>4</v>
      </c>
      <c r="I27" s="814">
        <v>0</v>
      </c>
      <c r="J27" s="630">
        <f>IF(J$3=1,20,0)</f>
        <v>0</v>
      </c>
      <c r="K27" s="21">
        <f t="shared" si="4"/>
        <v>4</v>
      </c>
    </row>
    <row r="28" spans="1:11" x14ac:dyDescent="0.25">
      <c r="A28" s="1937" t="s">
        <v>8</v>
      </c>
      <c r="B28" s="1728" t="s">
        <v>32</v>
      </c>
      <c r="C28" s="1729"/>
      <c r="D28" s="1735">
        <v>2</v>
      </c>
      <c r="E28" s="1736">
        <v>0</v>
      </c>
      <c r="F28" s="1738">
        <v>0</v>
      </c>
      <c r="G28" s="1730">
        <f t="shared" si="3"/>
        <v>2</v>
      </c>
      <c r="H28" s="1735">
        <v>2</v>
      </c>
      <c r="I28" s="1736">
        <v>0</v>
      </c>
      <c r="J28" s="1738">
        <v>0</v>
      </c>
      <c r="K28" s="1730">
        <f t="shared" si="4"/>
        <v>2</v>
      </c>
    </row>
    <row r="29" spans="1:11" x14ac:dyDescent="0.25">
      <c r="A29" s="1937"/>
      <c r="B29" s="19" t="s">
        <v>33</v>
      </c>
      <c r="C29" s="817"/>
      <c r="D29" s="38">
        <v>4</v>
      </c>
      <c r="E29" s="15">
        <v>0</v>
      </c>
      <c r="F29" s="630">
        <f>IF(F$3=1,12,0)</f>
        <v>0</v>
      </c>
      <c r="G29" s="21">
        <f t="shared" si="3"/>
        <v>4</v>
      </c>
      <c r="H29" s="821">
        <v>4</v>
      </c>
      <c r="I29" s="814">
        <v>0</v>
      </c>
      <c r="J29" s="630">
        <f>IF(J$3=1,12,0)</f>
        <v>0</v>
      </c>
      <c r="K29" s="21">
        <f t="shared" si="4"/>
        <v>4</v>
      </c>
    </row>
    <row r="30" spans="1:11" x14ac:dyDescent="0.25">
      <c r="A30" s="1937"/>
      <c r="B30" s="19" t="s">
        <v>34</v>
      </c>
      <c r="C30" s="817"/>
      <c r="D30" s="807">
        <v>6</v>
      </c>
      <c r="E30" s="15">
        <v>0</v>
      </c>
      <c r="F30" s="630">
        <f>IF(F$3=1,20,0)</f>
        <v>0</v>
      </c>
      <c r="G30" s="21">
        <f t="shared" si="3"/>
        <v>6</v>
      </c>
      <c r="H30" s="807">
        <v>6</v>
      </c>
      <c r="I30" s="814">
        <v>0</v>
      </c>
      <c r="J30" s="630">
        <f>IF(J$3=1,20,0)</f>
        <v>0</v>
      </c>
      <c r="K30" s="21">
        <f t="shared" si="4"/>
        <v>6</v>
      </c>
    </row>
    <row r="31" spans="1:11" x14ac:dyDescent="0.25">
      <c r="A31" s="1937" t="s">
        <v>9</v>
      </c>
      <c r="B31" s="1728" t="s">
        <v>32</v>
      </c>
      <c r="C31" s="1729"/>
      <c r="D31" s="1735">
        <f>2+(0.5*D$3)</f>
        <v>2.5</v>
      </c>
      <c r="E31" s="1736">
        <v>0</v>
      </c>
      <c r="F31" s="1735">
        <f>0.5*F$3</f>
        <v>0</v>
      </c>
      <c r="G31" s="1730">
        <f t="shared" si="3"/>
        <v>2.5</v>
      </c>
      <c r="H31" s="1735">
        <f>2+(0.5*H$3)</f>
        <v>2.5</v>
      </c>
      <c r="I31" s="1736">
        <v>0</v>
      </c>
      <c r="J31" s="1735">
        <f>0.5*J$3</f>
        <v>0</v>
      </c>
      <c r="K31" s="1730">
        <f t="shared" si="4"/>
        <v>2.5</v>
      </c>
    </row>
    <row r="32" spans="1:11" x14ac:dyDescent="0.25">
      <c r="A32" s="1937"/>
      <c r="B32" s="19" t="s">
        <v>33</v>
      </c>
      <c r="C32" s="817"/>
      <c r="D32" s="493">
        <f>IF(D$3&gt;1,D$3*0.5,1)</f>
        <v>1</v>
      </c>
      <c r="E32" s="489">
        <v>0</v>
      </c>
      <c r="F32" s="630">
        <f>IF(F$3=1,4,0)</f>
        <v>0</v>
      </c>
      <c r="G32" s="21">
        <f t="shared" si="3"/>
        <v>1</v>
      </c>
      <c r="H32" s="493">
        <f>IF(H$3&gt;1,H$3*0.5,1)</f>
        <v>1</v>
      </c>
      <c r="I32" s="489">
        <v>0</v>
      </c>
      <c r="J32" s="630">
        <f>IF(J$3=1,4,0)</f>
        <v>0</v>
      </c>
      <c r="K32" s="21">
        <f t="shared" si="4"/>
        <v>1</v>
      </c>
    </row>
    <row r="33" spans="1:11" x14ac:dyDescent="0.25">
      <c r="A33" s="1937"/>
      <c r="B33" s="19" t="s">
        <v>34</v>
      </c>
      <c r="C33" s="817"/>
      <c r="D33" s="493">
        <f>IF(D$3&gt;1,D$3*0.5,1)</f>
        <v>1</v>
      </c>
      <c r="E33" s="489">
        <v>0</v>
      </c>
      <c r="F33" s="630">
        <f>IF(F$3=1,6,0)</f>
        <v>0</v>
      </c>
      <c r="G33" s="21">
        <f t="shared" si="3"/>
        <v>1</v>
      </c>
      <c r="H33" s="493">
        <f>IF(H$3&gt;1,H$3*0.5,1)</f>
        <v>1</v>
      </c>
      <c r="I33" s="489">
        <v>0</v>
      </c>
      <c r="J33" s="630">
        <f>IF(J$3=1,6,0)</f>
        <v>0</v>
      </c>
      <c r="K33" s="21">
        <f t="shared" si="4"/>
        <v>1</v>
      </c>
    </row>
    <row r="34" spans="1:11" x14ac:dyDescent="0.25">
      <c r="A34" s="1937" t="s">
        <v>10</v>
      </c>
      <c r="B34" s="1728" t="s">
        <v>32</v>
      </c>
      <c r="C34" s="1729"/>
      <c r="D34" s="1735">
        <v>1</v>
      </c>
      <c r="E34" s="1736">
        <v>0</v>
      </c>
      <c r="F34" s="1735">
        <f>0.5*F$3</f>
        <v>0</v>
      </c>
      <c r="G34" s="1730">
        <f t="shared" si="3"/>
        <v>1</v>
      </c>
      <c r="H34" s="1735">
        <v>1</v>
      </c>
      <c r="I34" s="1736">
        <v>0</v>
      </c>
      <c r="J34" s="1735">
        <f>0.5*J$3</f>
        <v>0</v>
      </c>
      <c r="K34" s="1730">
        <f t="shared" si="4"/>
        <v>1</v>
      </c>
    </row>
    <row r="35" spans="1:11" x14ac:dyDescent="0.25">
      <c r="A35" s="1937"/>
      <c r="B35" s="19" t="s">
        <v>33</v>
      </c>
      <c r="C35" s="817"/>
      <c r="D35" s="38">
        <v>2</v>
      </c>
      <c r="E35" s="15">
        <v>0</v>
      </c>
      <c r="F35" s="493">
        <f>IF(F$3=1,4,0)</f>
        <v>0</v>
      </c>
      <c r="G35" s="21">
        <f t="shared" si="3"/>
        <v>2</v>
      </c>
      <c r="H35" s="821">
        <v>2</v>
      </c>
      <c r="I35" s="814">
        <v>0</v>
      </c>
      <c r="J35" s="493">
        <f>IF(J$3=1,4,0)</f>
        <v>0</v>
      </c>
      <c r="K35" s="21">
        <f t="shared" si="4"/>
        <v>2</v>
      </c>
    </row>
    <row r="36" spans="1:11" ht="15.75" thickBot="1" x14ac:dyDescent="0.3">
      <c r="A36" s="1938"/>
      <c r="B36" s="13" t="s">
        <v>34</v>
      </c>
      <c r="C36" s="820"/>
      <c r="D36" s="39">
        <v>4</v>
      </c>
      <c r="E36" s="399">
        <v>0</v>
      </c>
      <c r="F36" s="493">
        <f>IF(F$3=1,6,0)</f>
        <v>0</v>
      </c>
      <c r="G36" s="77">
        <f t="shared" si="3"/>
        <v>4</v>
      </c>
      <c r="H36" s="745">
        <v>4</v>
      </c>
      <c r="I36" s="917">
        <v>0</v>
      </c>
      <c r="J36" s="493">
        <f>IF(J$3=1,6,0)</f>
        <v>0</v>
      </c>
      <c r="K36" s="77">
        <f t="shared" si="4"/>
        <v>4</v>
      </c>
    </row>
    <row r="37" spans="1:11" ht="16.5" thickBot="1" x14ac:dyDescent="0.3">
      <c r="A37" s="330" t="s">
        <v>11</v>
      </c>
      <c r="B37" s="329"/>
      <c r="C37" s="1753"/>
      <c r="D37" s="329"/>
      <c r="E37" s="329"/>
      <c r="F37" s="329"/>
      <c r="G37" s="329"/>
      <c r="H37" s="329"/>
      <c r="I37" s="329"/>
      <c r="J37" s="329"/>
      <c r="K37" s="396"/>
    </row>
    <row r="38" spans="1:11" x14ac:dyDescent="0.25">
      <c r="A38" s="1932" t="s">
        <v>559</v>
      </c>
      <c r="B38" s="1723" t="s">
        <v>32</v>
      </c>
      <c r="C38" s="1724"/>
      <c r="D38" s="1726">
        <f>D$22+D$25+D$28</f>
        <v>12</v>
      </c>
      <c r="E38" s="1725">
        <f>E$22*2</f>
        <v>1</v>
      </c>
      <c r="F38" s="1737">
        <f>0.5*F$3</f>
        <v>0</v>
      </c>
      <c r="G38" s="1727">
        <f t="shared" si="3"/>
        <v>13</v>
      </c>
      <c r="H38" s="1726">
        <f>H$22+H$25+H$28</f>
        <v>12</v>
      </c>
      <c r="I38" s="1725">
        <f>I$22*2</f>
        <v>1</v>
      </c>
      <c r="J38" s="1737">
        <f>0.5*J$3</f>
        <v>0</v>
      </c>
      <c r="K38" s="1727">
        <f xml:space="preserve"> SUM(H38:J38) + $C38</f>
        <v>13</v>
      </c>
    </row>
    <row r="39" spans="1:11" x14ac:dyDescent="0.25">
      <c r="A39" s="1932"/>
      <c r="B39" s="19" t="s">
        <v>33</v>
      </c>
      <c r="C39" s="817"/>
      <c r="D39" s="1750">
        <v>8</v>
      </c>
      <c r="E39" s="478">
        <f>IF(E$3&gt;3,0.5*E$3,1)</f>
        <v>1</v>
      </c>
      <c r="F39" s="630">
        <f>IF(F$3=1,16,0)</f>
        <v>0</v>
      </c>
      <c r="G39" s="21">
        <f t="shared" si="3"/>
        <v>9</v>
      </c>
      <c r="H39" s="1750">
        <v>8</v>
      </c>
      <c r="I39" s="478">
        <f>IF(I$3&gt;3,0.5*I$3,1)</f>
        <v>1</v>
      </c>
      <c r="J39" s="630">
        <f>IF(J$3=1,16,0)</f>
        <v>0</v>
      </c>
      <c r="K39" s="21">
        <f xml:space="preserve"> SUM(H39:J39) + $C39</f>
        <v>9</v>
      </c>
    </row>
    <row r="40" spans="1:11" ht="15.75" thickBot="1" x14ac:dyDescent="0.3">
      <c r="A40" s="1932"/>
      <c r="B40" s="13" t="s">
        <v>34</v>
      </c>
      <c r="C40" s="820"/>
      <c r="D40" s="1750">
        <v>12</v>
      </c>
      <c r="E40" s="478">
        <f>IF(E$3&gt;3,0.5*E$3,1)</f>
        <v>1</v>
      </c>
      <c r="F40" s="630">
        <f>IF(F$3=1,24,0)</f>
        <v>0</v>
      </c>
      <c r="G40" s="77">
        <f t="shared" si="3"/>
        <v>13</v>
      </c>
      <c r="H40" s="1750">
        <v>12</v>
      </c>
      <c r="I40" s="478">
        <f>IF(I$3&gt;3,0.5*I$3,1)</f>
        <v>1</v>
      </c>
      <c r="J40" s="630">
        <f>IF(J$3=1,24,0)</f>
        <v>0</v>
      </c>
      <c r="K40" s="77">
        <f xml:space="preserve"> SUM(H40:J40) + $C40</f>
        <v>13</v>
      </c>
    </row>
    <row r="41" spans="1:11" ht="16.5" thickBot="1" x14ac:dyDescent="0.3">
      <c r="A41" s="330" t="s">
        <v>13</v>
      </c>
      <c r="B41" s="329"/>
      <c r="C41" s="1753"/>
      <c r="D41" s="329"/>
      <c r="E41" s="329"/>
      <c r="F41" s="329"/>
      <c r="G41" s="329"/>
      <c r="H41" s="329"/>
      <c r="I41" s="329"/>
      <c r="J41" s="329"/>
      <c r="K41" s="396"/>
    </row>
    <row r="42" spans="1:11" x14ac:dyDescent="0.25">
      <c r="A42" s="1932" t="s">
        <v>558</v>
      </c>
      <c r="B42" s="1723" t="s">
        <v>32</v>
      </c>
      <c r="C42" s="1724"/>
      <c r="D42" s="1735">
        <f>0.5*D$3</f>
        <v>0.5</v>
      </c>
      <c r="E42" s="1736">
        <v>0</v>
      </c>
      <c r="F42" s="1725">
        <f>0.5*F$3</f>
        <v>0</v>
      </c>
      <c r="G42" s="1727">
        <f t="shared" si="3"/>
        <v>0.5</v>
      </c>
      <c r="H42" s="1735">
        <f>0.5*H$3</f>
        <v>0.5</v>
      </c>
      <c r="I42" s="1736">
        <v>0</v>
      </c>
      <c r="J42" s="1725">
        <f>0.5*J$3</f>
        <v>0</v>
      </c>
      <c r="K42" s="1727">
        <f t="shared" ref="K42:K86" si="7" xml:space="preserve"> SUM(H42:J42) + $C42</f>
        <v>0.5</v>
      </c>
    </row>
    <row r="43" spans="1:11" x14ac:dyDescent="0.25">
      <c r="A43" s="1932"/>
      <c r="B43" s="19" t="s">
        <v>33</v>
      </c>
      <c r="C43" s="817"/>
      <c r="D43" s="493">
        <f>IF(D$3&gt;1,0.5*D$3,1)</f>
        <v>1</v>
      </c>
      <c r="E43" s="814">
        <v>0</v>
      </c>
      <c r="F43" s="814">
        <v>0</v>
      </c>
      <c r="G43" s="21">
        <f t="shared" si="3"/>
        <v>1</v>
      </c>
      <c r="H43" s="493">
        <f>IF(H$3&gt;1,0.5*H$3,1)</f>
        <v>1</v>
      </c>
      <c r="I43" s="814">
        <v>0</v>
      </c>
      <c r="J43" s="814">
        <v>0</v>
      </c>
      <c r="K43" s="21">
        <f t="shared" si="7"/>
        <v>1</v>
      </c>
    </row>
    <row r="44" spans="1:11" x14ac:dyDescent="0.25">
      <c r="A44" s="1932"/>
      <c r="B44" s="19" t="s">
        <v>34</v>
      </c>
      <c r="C44" s="817"/>
      <c r="D44" s="493">
        <f>IF(D$3&gt;1,0.5*D$3,1)</f>
        <v>1</v>
      </c>
      <c r="E44" s="814">
        <v>0</v>
      </c>
      <c r="F44" s="814">
        <v>0</v>
      </c>
      <c r="G44" s="21">
        <f t="shared" si="3"/>
        <v>1</v>
      </c>
      <c r="H44" s="493">
        <f>IF(H$3&gt;1,0.5*H$3,1)</f>
        <v>1</v>
      </c>
      <c r="I44" s="814">
        <v>0</v>
      </c>
      <c r="J44" s="814">
        <v>0</v>
      </c>
      <c r="K44" s="21">
        <f t="shared" si="7"/>
        <v>1</v>
      </c>
    </row>
    <row r="45" spans="1:11" x14ac:dyDescent="0.25">
      <c r="A45" s="1933" t="s">
        <v>15</v>
      </c>
      <c r="B45" s="1728" t="s">
        <v>32</v>
      </c>
      <c r="C45" s="1729"/>
      <c r="D45" s="1735">
        <v>12</v>
      </c>
      <c r="E45" s="1725">
        <f>E$3*2</f>
        <v>2</v>
      </c>
      <c r="F45" s="1735">
        <f>1*F$3</f>
        <v>0</v>
      </c>
      <c r="G45" s="1730">
        <f t="shared" si="3"/>
        <v>14</v>
      </c>
      <c r="H45" s="1735">
        <v>12</v>
      </c>
      <c r="I45" s="1725">
        <f>I$3*2</f>
        <v>2</v>
      </c>
      <c r="J45" s="1735">
        <f>1*J$3</f>
        <v>0</v>
      </c>
      <c r="K45" s="1730">
        <f t="shared" si="7"/>
        <v>14</v>
      </c>
    </row>
    <row r="46" spans="1:11" x14ac:dyDescent="0.25">
      <c r="A46" s="1933"/>
      <c r="B46" s="19" t="s">
        <v>33</v>
      </c>
      <c r="C46" s="817"/>
      <c r="D46" s="38">
        <v>4</v>
      </c>
      <c r="E46" s="478">
        <f>IF(E$3&gt;3,0.5*E$3,1)</f>
        <v>1</v>
      </c>
      <c r="F46" s="630">
        <f>IF(F$3=1,6,0)</f>
        <v>0</v>
      </c>
      <c r="G46" s="21">
        <f t="shared" si="3"/>
        <v>5</v>
      </c>
      <c r="H46" s="821">
        <v>4</v>
      </c>
      <c r="I46" s="478">
        <f>IF(I$3&gt;3,0.5*I$3,1)</f>
        <v>1</v>
      </c>
      <c r="J46" s="630">
        <f>IF(J$3=1,6,0)</f>
        <v>0</v>
      </c>
      <c r="K46" s="21">
        <f t="shared" si="7"/>
        <v>5</v>
      </c>
    </row>
    <row r="47" spans="1:11" x14ac:dyDescent="0.25">
      <c r="A47" s="1933"/>
      <c r="B47" s="19" t="s">
        <v>34</v>
      </c>
      <c r="C47" s="817"/>
      <c r="D47" s="38">
        <v>8</v>
      </c>
      <c r="E47" s="478">
        <f>IF(E$3&gt;3,0.5*E$3,1)</f>
        <v>1</v>
      </c>
      <c r="F47" s="630">
        <f>IF(F$3=1,6,0)</f>
        <v>0</v>
      </c>
      <c r="G47" s="21">
        <f t="shared" si="3"/>
        <v>9</v>
      </c>
      <c r="H47" s="821">
        <v>8</v>
      </c>
      <c r="I47" s="478">
        <f>IF(I$3&gt;3,0.5*I$3,1)</f>
        <v>1</v>
      </c>
      <c r="J47" s="630">
        <f>IF(J$3=1,6,0)</f>
        <v>0</v>
      </c>
      <c r="K47" s="21">
        <f t="shared" si="7"/>
        <v>9</v>
      </c>
    </row>
    <row r="48" spans="1:11" x14ac:dyDescent="0.25">
      <c r="A48" s="1933" t="s">
        <v>555</v>
      </c>
      <c r="B48" s="1728" t="s">
        <v>32</v>
      </c>
      <c r="C48" s="1729"/>
      <c r="D48" s="1735">
        <f>1*D$3</f>
        <v>1</v>
      </c>
      <c r="E48" s="1736">
        <v>0</v>
      </c>
      <c r="F48" s="1735">
        <v>0</v>
      </c>
      <c r="G48" s="1730">
        <f t="shared" si="3"/>
        <v>1</v>
      </c>
      <c r="H48" s="1735">
        <f>1*H$3</f>
        <v>1</v>
      </c>
      <c r="I48" s="1736">
        <v>0</v>
      </c>
      <c r="J48" s="1735">
        <v>0</v>
      </c>
      <c r="K48" s="1730">
        <f t="shared" si="7"/>
        <v>1</v>
      </c>
    </row>
    <row r="49" spans="1:11" x14ac:dyDescent="0.25">
      <c r="A49" s="1933"/>
      <c r="B49" s="19" t="s">
        <v>33</v>
      </c>
      <c r="C49" s="817"/>
      <c r="D49" s="493">
        <f>IF(D$3&gt;1,D$3*0.25+1,1)</f>
        <v>1</v>
      </c>
      <c r="E49" s="489">
        <v>0</v>
      </c>
      <c r="F49" s="630">
        <f>IF(F$3=1,1,0)</f>
        <v>0</v>
      </c>
      <c r="G49" s="21">
        <f t="shared" si="3"/>
        <v>1</v>
      </c>
      <c r="H49" s="493">
        <f>IF(H$3&gt;1,H$3*0.25+1,1)</f>
        <v>1</v>
      </c>
      <c r="I49" s="489">
        <v>0</v>
      </c>
      <c r="J49" s="630">
        <f>IF(J$3=1,1,0)</f>
        <v>0</v>
      </c>
      <c r="K49" s="21">
        <f t="shared" si="7"/>
        <v>1</v>
      </c>
    </row>
    <row r="50" spans="1:11" x14ac:dyDescent="0.25">
      <c r="A50" s="1933"/>
      <c r="B50" s="19" t="s">
        <v>34</v>
      </c>
      <c r="C50" s="817"/>
      <c r="D50" s="493">
        <f>IF(D$3&gt;1,D$3*0.25+1,1)</f>
        <v>1</v>
      </c>
      <c r="E50" s="489">
        <v>0</v>
      </c>
      <c r="F50" s="630">
        <f>IF(F$3=1,1,0)</f>
        <v>0</v>
      </c>
      <c r="G50" s="21">
        <f t="shared" si="3"/>
        <v>1</v>
      </c>
      <c r="H50" s="493">
        <f>IF(H$3&gt;1,H$3*0.25+1,1)</f>
        <v>1</v>
      </c>
      <c r="I50" s="489">
        <v>0</v>
      </c>
      <c r="J50" s="630">
        <f>IF(J$3=1,1,0)</f>
        <v>0</v>
      </c>
      <c r="K50" s="21">
        <f t="shared" si="7"/>
        <v>1</v>
      </c>
    </row>
    <row r="51" spans="1:11" x14ac:dyDescent="0.25">
      <c r="A51" s="1933" t="s">
        <v>556</v>
      </c>
      <c r="B51" s="1728" t="s">
        <v>32</v>
      </c>
      <c r="C51" s="1729"/>
      <c r="D51" s="1735">
        <f>1*D$3</f>
        <v>1</v>
      </c>
      <c r="E51" s="1736">
        <v>0</v>
      </c>
      <c r="F51" s="1735">
        <v>0</v>
      </c>
      <c r="G51" s="1730">
        <f t="shared" si="3"/>
        <v>1</v>
      </c>
      <c r="H51" s="1735">
        <f>1*H$3</f>
        <v>1</v>
      </c>
      <c r="I51" s="1736">
        <v>0</v>
      </c>
      <c r="J51" s="1735">
        <v>0</v>
      </c>
      <c r="K51" s="1730">
        <f t="shared" si="7"/>
        <v>1</v>
      </c>
    </row>
    <row r="52" spans="1:11" x14ac:dyDescent="0.25">
      <c r="A52" s="1933"/>
      <c r="B52" s="19" t="s">
        <v>33</v>
      </c>
      <c r="C52" s="817"/>
      <c r="D52" s="493">
        <f>IF(D$3&gt;1,D$3*0.25+1,1)</f>
        <v>1</v>
      </c>
      <c r="E52" s="489">
        <v>0</v>
      </c>
      <c r="F52" s="630">
        <f>IF(F$3=1,1,0)</f>
        <v>0</v>
      </c>
      <c r="G52" s="21">
        <f t="shared" si="3"/>
        <v>1</v>
      </c>
      <c r="H52" s="493">
        <f>IF(H$3&gt;1,H$3*0.25+1,1)</f>
        <v>1</v>
      </c>
      <c r="I52" s="489">
        <v>0</v>
      </c>
      <c r="J52" s="630">
        <f>IF(J$3=1,1,0)</f>
        <v>0</v>
      </c>
      <c r="K52" s="21">
        <f t="shared" si="7"/>
        <v>1</v>
      </c>
    </row>
    <row r="53" spans="1:11" x14ac:dyDescent="0.25">
      <c r="A53" s="1933"/>
      <c r="B53" s="19" t="s">
        <v>34</v>
      </c>
      <c r="C53" s="817"/>
      <c r="D53" s="493">
        <f>IF(D$3&gt;1,D$3*0.25+1,1)</f>
        <v>1</v>
      </c>
      <c r="E53" s="489">
        <v>0</v>
      </c>
      <c r="F53" s="630">
        <f>IF(F$3=1,1,0)</f>
        <v>0</v>
      </c>
      <c r="G53" s="21">
        <f t="shared" si="3"/>
        <v>1</v>
      </c>
      <c r="H53" s="493">
        <f>IF(H$3&gt;1,H$3*0.25+1,1)</f>
        <v>1</v>
      </c>
      <c r="I53" s="489">
        <v>0</v>
      </c>
      <c r="J53" s="630">
        <f>IF(J$3=1,1,0)</f>
        <v>0</v>
      </c>
      <c r="K53" s="21">
        <f t="shared" si="7"/>
        <v>1</v>
      </c>
    </row>
    <row r="54" spans="1:11" x14ac:dyDescent="0.25">
      <c r="A54" s="1933" t="s">
        <v>557</v>
      </c>
      <c r="B54" s="1728" t="s">
        <v>32</v>
      </c>
      <c r="C54" s="1729"/>
      <c r="D54" s="1735">
        <f>1*D$3</f>
        <v>1</v>
      </c>
      <c r="E54" s="1736">
        <v>0</v>
      </c>
      <c r="F54" s="1736">
        <v>0</v>
      </c>
      <c r="G54" s="1730">
        <f t="shared" si="3"/>
        <v>1</v>
      </c>
      <c r="H54" s="1735">
        <f>1*H$3</f>
        <v>1</v>
      </c>
      <c r="I54" s="1736">
        <v>0</v>
      </c>
      <c r="J54" s="1736">
        <v>0</v>
      </c>
      <c r="K54" s="1730">
        <f t="shared" si="7"/>
        <v>1</v>
      </c>
    </row>
    <row r="55" spans="1:11" x14ac:dyDescent="0.25">
      <c r="A55" s="1933"/>
      <c r="B55" s="19" t="s">
        <v>33</v>
      </c>
      <c r="C55" s="817"/>
      <c r="D55" s="493">
        <f>IF(D$3&gt;1,D$3*0.25+0.5,0.5)</f>
        <v>0.5</v>
      </c>
      <c r="E55" s="15">
        <v>0</v>
      </c>
      <c r="F55" s="630">
        <f>IF(F$3=1,1,0)</f>
        <v>0</v>
      </c>
      <c r="G55" s="21">
        <f t="shared" si="3"/>
        <v>0.5</v>
      </c>
      <c r="H55" s="493">
        <f>IF(H$3&gt;1,H$3*0.25+0.5,0.5)</f>
        <v>0.5</v>
      </c>
      <c r="I55" s="814">
        <v>0</v>
      </c>
      <c r="J55" s="630">
        <f>IF(J$3=1,1,0)</f>
        <v>0</v>
      </c>
      <c r="K55" s="21">
        <f t="shared" si="7"/>
        <v>0.5</v>
      </c>
    </row>
    <row r="56" spans="1:11" x14ac:dyDescent="0.25">
      <c r="A56" s="1933"/>
      <c r="B56" s="19" t="s">
        <v>34</v>
      </c>
      <c r="C56" s="817"/>
      <c r="D56" s="493">
        <f>IF(D$3&gt;1,D$3*0.25+0.5,0.5)</f>
        <v>0.5</v>
      </c>
      <c r="E56" s="15">
        <v>0</v>
      </c>
      <c r="F56" s="630">
        <f>IF(F$3=1,1,0)</f>
        <v>0</v>
      </c>
      <c r="G56" s="21">
        <f t="shared" si="3"/>
        <v>0.5</v>
      </c>
      <c r="H56" s="493">
        <f>IF(H$3&gt;1,H$3*0.25+0.5,0.5)</f>
        <v>0.5</v>
      </c>
      <c r="I56" s="814">
        <v>0</v>
      </c>
      <c r="J56" s="630">
        <f>IF(J$3=1,1,0)</f>
        <v>0</v>
      </c>
      <c r="K56" s="21">
        <f t="shared" si="7"/>
        <v>0.5</v>
      </c>
    </row>
    <row r="57" spans="1:11" x14ac:dyDescent="0.25">
      <c r="A57" s="1933" t="s">
        <v>19</v>
      </c>
      <c r="B57" s="1728" t="s">
        <v>32</v>
      </c>
      <c r="C57" s="1729"/>
      <c r="D57" s="1735">
        <v>2</v>
      </c>
      <c r="E57" s="1736">
        <v>0</v>
      </c>
      <c r="F57" s="1736">
        <v>0</v>
      </c>
      <c r="G57" s="1730">
        <f t="shared" si="3"/>
        <v>2</v>
      </c>
      <c r="H57" s="1735">
        <v>2</v>
      </c>
      <c r="I57" s="1736">
        <v>0</v>
      </c>
      <c r="J57" s="1736">
        <v>0</v>
      </c>
      <c r="K57" s="1730">
        <f t="shared" si="7"/>
        <v>2</v>
      </c>
    </row>
    <row r="58" spans="1:11" x14ac:dyDescent="0.25">
      <c r="A58" s="1933"/>
      <c r="B58" s="19" t="s">
        <v>33</v>
      </c>
      <c r="C58" s="817"/>
      <c r="D58" s="38">
        <v>4</v>
      </c>
      <c r="E58" s="478">
        <f>IF(E$3&gt;3,0.5*E$3,1)</f>
        <v>1</v>
      </c>
      <c r="F58" s="630">
        <f>IF(F$3=1,16,0)</f>
        <v>0</v>
      </c>
      <c r="G58" s="21">
        <f t="shared" si="3"/>
        <v>5</v>
      </c>
      <c r="H58" s="821">
        <v>4</v>
      </c>
      <c r="I58" s="478">
        <f>IF(I$3&gt;3,0.5*I$3,1)</f>
        <v>1</v>
      </c>
      <c r="J58" s="630">
        <f>IF(J$3=1,16,0)</f>
        <v>0</v>
      </c>
      <c r="K58" s="21">
        <f t="shared" si="7"/>
        <v>5</v>
      </c>
    </row>
    <row r="59" spans="1:11" x14ac:dyDescent="0.25">
      <c r="A59" s="1933"/>
      <c r="B59" s="19" t="s">
        <v>34</v>
      </c>
      <c r="C59" s="817"/>
      <c r="D59" s="38">
        <v>6</v>
      </c>
      <c r="E59" s="478">
        <f>IF(E$3&gt;3,0.5*E$3,1)</f>
        <v>1</v>
      </c>
      <c r="F59" s="630">
        <f>IF(F$3=1,32,0)</f>
        <v>0</v>
      </c>
      <c r="G59" s="21">
        <f t="shared" si="3"/>
        <v>7</v>
      </c>
      <c r="H59" s="821">
        <v>6</v>
      </c>
      <c r="I59" s="478">
        <f>IF(I$3&gt;3,0.5*I$3,1)</f>
        <v>1</v>
      </c>
      <c r="J59" s="630">
        <f>IF(J$3=1,32,0)</f>
        <v>0</v>
      </c>
      <c r="K59" s="21">
        <f t="shared" si="7"/>
        <v>7</v>
      </c>
    </row>
    <row r="60" spans="1:11" x14ac:dyDescent="0.25">
      <c r="A60" s="1933" t="s">
        <v>20</v>
      </c>
      <c r="B60" s="1728" t="s">
        <v>32</v>
      </c>
      <c r="C60" s="1729"/>
      <c r="D60" s="1735">
        <v>4</v>
      </c>
      <c r="E60" s="1737">
        <f>2*E$3</f>
        <v>2</v>
      </c>
      <c r="F60" s="1725">
        <f>0.5*F$3</f>
        <v>0</v>
      </c>
      <c r="G60" s="1730">
        <f t="shared" si="3"/>
        <v>6</v>
      </c>
      <c r="H60" s="1735">
        <v>4</v>
      </c>
      <c r="I60" s="1737">
        <f>2*I$3</f>
        <v>2</v>
      </c>
      <c r="J60" s="1725">
        <f>0.5*J$3</f>
        <v>0</v>
      </c>
      <c r="K60" s="1730">
        <f t="shared" si="7"/>
        <v>6</v>
      </c>
    </row>
    <row r="61" spans="1:11" x14ac:dyDescent="0.25">
      <c r="A61" s="1933"/>
      <c r="B61" s="19" t="s">
        <v>33</v>
      </c>
      <c r="C61" s="817"/>
      <c r="D61" s="38">
        <v>2</v>
      </c>
      <c r="E61" s="478">
        <f>IF(E$3&gt;3,0.25*E$3,0.5)</f>
        <v>0.5</v>
      </c>
      <c r="F61" s="630">
        <f>IF(F$3=1,4,0)</f>
        <v>0</v>
      </c>
      <c r="G61" s="21">
        <f t="shared" si="3"/>
        <v>2.5</v>
      </c>
      <c r="H61" s="821">
        <v>2</v>
      </c>
      <c r="I61" s="478">
        <f>IF(I$3&gt;3,0.25*I$3,0.5)</f>
        <v>0.5</v>
      </c>
      <c r="J61" s="630">
        <f>IF(J$3=1,4,0)</f>
        <v>0</v>
      </c>
      <c r="K61" s="21">
        <f t="shared" si="7"/>
        <v>2.5</v>
      </c>
    </row>
    <row r="62" spans="1:11" x14ac:dyDescent="0.25">
      <c r="A62" s="1933"/>
      <c r="B62" s="19" t="s">
        <v>34</v>
      </c>
      <c r="C62" s="817"/>
      <c r="D62" s="38">
        <v>4</v>
      </c>
      <c r="E62" s="478">
        <f>IF(E$3&gt;3,0.25*E$3,0.5)</f>
        <v>0.5</v>
      </c>
      <c r="F62" s="630">
        <f>IF(F$3=1,8,0)</f>
        <v>0</v>
      </c>
      <c r="G62" s="21">
        <f t="shared" si="3"/>
        <v>4.5</v>
      </c>
      <c r="H62" s="821">
        <v>4</v>
      </c>
      <c r="I62" s="478">
        <f>IF(I$3&gt;3,0.25*I$3,0.5)</f>
        <v>0.5</v>
      </c>
      <c r="J62" s="630">
        <f>IF(J$3=1,8,0)</f>
        <v>0</v>
      </c>
      <c r="K62" s="21">
        <f t="shared" si="7"/>
        <v>4.5</v>
      </c>
    </row>
    <row r="63" spans="1:11" x14ac:dyDescent="0.25">
      <c r="A63" s="1933" t="s">
        <v>451</v>
      </c>
      <c r="B63" s="1728" t="s">
        <v>32</v>
      </c>
      <c r="C63" s="1729"/>
      <c r="D63" s="1739">
        <v>0.25</v>
      </c>
      <c r="E63" s="1737">
        <v>0</v>
      </c>
      <c r="F63" s="1738">
        <v>0</v>
      </c>
      <c r="G63" s="1730">
        <f t="shared" si="3"/>
        <v>0.25</v>
      </c>
      <c r="H63" s="1739">
        <v>0.25</v>
      </c>
      <c r="I63" s="1737">
        <v>0</v>
      </c>
      <c r="J63" s="1738">
        <v>0</v>
      </c>
      <c r="K63" s="1730">
        <f t="shared" si="7"/>
        <v>0.25</v>
      </c>
    </row>
    <row r="64" spans="1:11" x14ac:dyDescent="0.25">
      <c r="A64" s="1933"/>
      <c r="B64" s="19" t="s">
        <v>33</v>
      </c>
      <c r="C64" s="817"/>
      <c r="D64" s="482" t="s">
        <v>1768</v>
      </c>
      <c r="E64" s="482" t="s">
        <v>1768</v>
      </c>
      <c r="F64" s="482" t="s">
        <v>1768</v>
      </c>
      <c r="G64" s="21">
        <f t="shared" si="3"/>
        <v>0</v>
      </c>
      <c r="H64" s="482" t="s">
        <v>1768</v>
      </c>
      <c r="I64" s="482" t="s">
        <v>1768</v>
      </c>
      <c r="J64" s="482" t="s">
        <v>1768</v>
      </c>
      <c r="K64" s="21">
        <f t="shared" si="7"/>
        <v>0</v>
      </c>
    </row>
    <row r="65" spans="1:11" x14ac:dyDescent="0.25">
      <c r="A65" s="1933"/>
      <c r="B65" s="19" t="s">
        <v>34</v>
      </c>
      <c r="C65" s="817"/>
      <c r="D65" s="482" t="s">
        <v>1768</v>
      </c>
      <c r="E65" s="482" t="s">
        <v>1768</v>
      </c>
      <c r="F65" s="482" t="s">
        <v>1768</v>
      </c>
      <c r="G65" s="21">
        <f t="shared" si="3"/>
        <v>0</v>
      </c>
      <c r="H65" s="482" t="s">
        <v>1768</v>
      </c>
      <c r="I65" s="482" t="s">
        <v>1768</v>
      </c>
      <c r="J65" s="482" t="s">
        <v>1768</v>
      </c>
      <c r="K65" s="21">
        <f t="shared" si="7"/>
        <v>0</v>
      </c>
    </row>
    <row r="66" spans="1:11" x14ac:dyDescent="0.25">
      <c r="A66" s="1933" t="s">
        <v>452</v>
      </c>
      <c r="B66" s="1728" t="s">
        <v>32</v>
      </c>
      <c r="C66" s="1729"/>
      <c r="D66" s="1739">
        <v>0.25</v>
      </c>
      <c r="E66" s="1737">
        <v>0</v>
      </c>
      <c r="F66" s="1738">
        <v>0</v>
      </c>
      <c r="G66" s="1730">
        <f t="shared" si="3"/>
        <v>0.25</v>
      </c>
      <c r="H66" s="1739">
        <v>0.25</v>
      </c>
      <c r="I66" s="1737">
        <v>0</v>
      </c>
      <c r="J66" s="1738">
        <v>0</v>
      </c>
      <c r="K66" s="1730">
        <f t="shared" si="7"/>
        <v>0.25</v>
      </c>
    </row>
    <row r="67" spans="1:11" x14ac:dyDescent="0.25">
      <c r="A67" s="1933"/>
      <c r="B67" s="19" t="s">
        <v>33</v>
      </c>
      <c r="C67" s="817"/>
      <c r="D67" s="493">
        <f>IF(D$3&gt;1,D$3*0.25+0.5,0.5)</f>
        <v>0.5</v>
      </c>
      <c r="E67" s="475">
        <v>0</v>
      </c>
      <c r="F67" s="630">
        <f>IF(F$3=1,1,0)</f>
        <v>0</v>
      </c>
      <c r="G67" s="21">
        <f t="shared" si="3"/>
        <v>0.5</v>
      </c>
      <c r="H67" s="493">
        <f>IF(H$3&gt;1,H$3*0.25+0.5,0.5)</f>
        <v>0.5</v>
      </c>
      <c r="I67" s="764">
        <v>0</v>
      </c>
      <c r="J67" s="630">
        <f>IF(J$3=1,1,0)</f>
        <v>0</v>
      </c>
      <c r="K67" s="21">
        <f t="shared" si="7"/>
        <v>0.5</v>
      </c>
    </row>
    <row r="68" spans="1:11" x14ac:dyDescent="0.25">
      <c r="A68" s="1933"/>
      <c r="B68" s="19" t="s">
        <v>34</v>
      </c>
      <c r="C68" s="817"/>
      <c r="D68" s="493">
        <f>IF(D$3&gt;1,D$3*0.25+0.5,0.5)</f>
        <v>0.5</v>
      </c>
      <c r="E68" s="475">
        <v>0</v>
      </c>
      <c r="F68" s="630">
        <f>IF(F$3=1,1,0)</f>
        <v>0</v>
      </c>
      <c r="G68" s="21">
        <f t="shared" si="3"/>
        <v>0.5</v>
      </c>
      <c r="H68" s="493">
        <f>IF(H$3&gt;1,H$3*0.25+0.5,0.5)</f>
        <v>0.5</v>
      </c>
      <c r="I68" s="764">
        <v>0</v>
      </c>
      <c r="J68" s="630">
        <f>IF(J$3=1,1,0)</f>
        <v>0</v>
      </c>
      <c r="K68" s="21">
        <f t="shared" si="7"/>
        <v>0.5</v>
      </c>
    </row>
    <row r="69" spans="1:11" x14ac:dyDescent="0.25">
      <c r="A69" s="1936" t="s">
        <v>533</v>
      </c>
      <c r="B69" s="1728" t="s">
        <v>32</v>
      </c>
      <c r="C69" s="1729"/>
      <c r="D69" s="1735">
        <f>2+(1.5*D$3)</f>
        <v>3.5</v>
      </c>
      <c r="E69" s="1725">
        <f>E$3*2</f>
        <v>2</v>
      </c>
      <c r="F69" s="1725">
        <f t="shared" ref="F69:F72" si="8">0.5*F$3</f>
        <v>0</v>
      </c>
      <c r="G69" s="1730">
        <f t="shared" si="3"/>
        <v>5.5</v>
      </c>
      <c r="H69" s="1735">
        <f>2+(1.5*H$3)</f>
        <v>3.5</v>
      </c>
      <c r="I69" s="1725">
        <f>I$3*2</f>
        <v>2</v>
      </c>
      <c r="J69" s="1725">
        <f t="shared" ref="J69:J72" si="9">0.5*J$3</f>
        <v>0</v>
      </c>
      <c r="K69" s="1730">
        <f t="shared" si="7"/>
        <v>5.5</v>
      </c>
    </row>
    <row r="70" spans="1:11" x14ac:dyDescent="0.25">
      <c r="A70" s="1936"/>
      <c r="B70" s="19" t="s">
        <v>33</v>
      </c>
      <c r="C70" s="817"/>
      <c r="D70" s="482" t="s">
        <v>1768</v>
      </c>
      <c r="E70" s="482" t="s">
        <v>1768</v>
      </c>
      <c r="F70" s="482" t="s">
        <v>1768</v>
      </c>
      <c r="G70" s="21">
        <f t="shared" si="3"/>
        <v>0</v>
      </c>
      <c r="H70" s="482" t="s">
        <v>1768</v>
      </c>
      <c r="I70" s="482" t="s">
        <v>1768</v>
      </c>
      <c r="J70" s="482" t="s">
        <v>1768</v>
      </c>
      <c r="K70" s="21">
        <f t="shared" si="7"/>
        <v>0</v>
      </c>
    </row>
    <row r="71" spans="1:11" x14ac:dyDescent="0.25">
      <c r="A71" s="1936"/>
      <c r="B71" s="19" t="s">
        <v>34</v>
      </c>
      <c r="C71" s="817"/>
      <c r="D71" s="482" t="s">
        <v>1768</v>
      </c>
      <c r="E71" s="482" t="s">
        <v>1768</v>
      </c>
      <c r="F71" s="482" t="s">
        <v>1768</v>
      </c>
      <c r="G71" s="21">
        <f t="shared" si="3"/>
        <v>0</v>
      </c>
      <c r="H71" s="482" t="s">
        <v>1768</v>
      </c>
      <c r="I71" s="482" t="s">
        <v>1768</v>
      </c>
      <c r="J71" s="482" t="s">
        <v>1768</v>
      </c>
      <c r="K71" s="21">
        <f t="shared" si="7"/>
        <v>0</v>
      </c>
    </row>
    <row r="72" spans="1:11" x14ac:dyDescent="0.25">
      <c r="A72" s="1933" t="s">
        <v>534</v>
      </c>
      <c r="B72" s="1728" t="s">
        <v>32</v>
      </c>
      <c r="C72" s="1729"/>
      <c r="D72" s="1735">
        <f>2+(1.5*D$3)</f>
        <v>3.5</v>
      </c>
      <c r="E72" s="1725">
        <f>E$3*2</f>
        <v>2</v>
      </c>
      <c r="F72" s="1725">
        <f t="shared" si="8"/>
        <v>0</v>
      </c>
      <c r="G72" s="1730">
        <f t="shared" si="3"/>
        <v>5.5</v>
      </c>
      <c r="H72" s="1735">
        <f>2+(1.5*H$3)</f>
        <v>3.5</v>
      </c>
      <c r="I72" s="1725">
        <f>I$3*2</f>
        <v>2</v>
      </c>
      <c r="J72" s="1725">
        <f t="shared" si="9"/>
        <v>0</v>
      </c>
      <c r="K72" s="1730">
        <f t="shared" si="7"/>
        <v>5.5</v>
      </c>
    </row>
    <row r="73" spans="1:11" x14ac:dyDescent="0.25">
      <c r="A73" s="1933"/>
      <c r="B73" s="19" t="s">
        <v>33</v>
      </c>
      <c r="C73" s="817"/>
      <c r="D73" s="482" t="s">
        <v>1768</v>
      </c>
      <c r="E73" s="482" t="s">
        <v>1768</v>
      </c>
      <c r="F73" s="482" t="s">
        <v>1768</v>
      </c>
      <c r="G73" s="21">
        <f t="shared" si="3"/>
        <v>0</v>
      </c>
      <c r="H73" s="482" t="s">
        <v>1768</v>
      </c>
      <c r="I73" s="482" t="s">
        <v>1768</v>
      </c>
      <c r="J73" s="482" t="s">
        <v>1768</v>
      </c>
      <c r="K73" s="21">
        <f t="shared" si="7"/>
        <v>0</v>
      </c>
    </row>
    <row r="74" spans="1:11" x14ac:dyDescent="0.25">
      <c r="A74" s="1933"/>
      <c r="B74" s="19" t="s">
        <v>34</v>
      </c>
      <c r="C74" s="817"/>
      <c r="D74" s="482" t="s">
        <v>1768</v>
      </c>
      <c r="E74" s="482" t="s">
        <v>1768</v>
      </c>
      <c r="F74" s="482" t="s">
        <v>1768</v>
      </c>
      <c r="G74" s="21">
        <f t="shared" si="3"/>
        <v>0</v>
      </c>
      <c r="H74" s="482" t="s">
        <v>1768</v>
      </c>
      <c r="I74" s="482" t="s">
        <v>1768</v>
      </c>
      <c r="J74" s="482" t="s">
        <v>1768</v>
      </c>
      <c r="K74" s="21">
        <f t="shared" si="7"/>
        <v>0</v>
      </c>
    </row>
    <row r="75" spans="1:11" x14ac:dyDescent="0.25">
      <c r="A75" s="1933" t="s">
        <v>21</v>
      </c>
      <c r="B75" s="1728" t="s">
        <v>32</v>
      </c>
      <c r="C75" s="1729"/>
      <c r="D75" s="1735" t="s">
        <v>90</v>
      </c>
      <c r="E75" s="1735" t="s">
        <v>90</v>
      </c>
      <c r="F75" s="1735" t="s">
        <v>90</v>
      </c>
      <c r="G75" s="1730">
        <f t="shared" si="3"/>
        <v>0</v>
      </c>
      <c r="H75" s="1735" t="s">
        <v>90</v>
      </c>
      <c r="I75" s="1735" t="s">
        <v>90</v>
      </c>
      <c r="J75" s="1735" t="s">
        <v>90</v>
      </c>
      <c r="K75" s="1730">
        <f t="shared" si="7"/>
        <v>0</v>
      </c>
    </row>
    <row r="76" spans="1:11" x14ac:dyDescent="0.25">
      <c r="A76" s="1933"/>
      <c r="B76" s="19" t="s">
        <v>33</v>
      </c>
      <c r="C76" s="817"/>
      <c r="D76" s="38" t="s">
        <v>90</v>
      </c>
      <c r="E76" s="38" t="s">
        <v>90</v>
      </c>
      <c r="F76" s="38" t="s">
        <v>90</v>
      </c>
      <c r="G76" s="21">
        <f t="shared" si="3"/>
        <v>0</v>
      </c>
      <c r="H76" s="821" t="s">
        <v>90</v>
      </c>
      <c r="I76" s="821" t="s">
        <v>90</v>
      </c>
      <c r="J76" s="821" t="s">
        <v>90</v>
      </c>
      <c r="K76" s="21">
        <f t="shared" si="7"/>
        <v>0</v>
      </c>
    </row>
    <row r="77" spans="1:11" x14ac:dyDescent="0.25">
      <c r="A77" s="1933"/>
      <c r="B77" s="13" t="s">
        <v>34</v>
      </c>
      <c r="C77" s="820"/>
      <c r="D77" s="38" t="s">
        <v>90</v>
      </c>
      <c r="E77" s="38" t="s">
        <v>90</v>
      </c>
      <c r="F77" s="38" t="s">
        <v>90</v>
      </c>
      <c r="G77" s="21">
        <f t="shared" si="3"/>
        <v>0</v>
      </c>
      <c r="H77" s="821" t="s">
        <v>90</v>
      </c>
      <c r="I77" s="821" t="s">
        <v>90</v>
      </c>
      <c r="J77" s="821" t="s">
        <v>90</v>
      </c>
      <c r="K77" s="21">
        <f t="shared" si="7"/>
        <v>0</v>
      </c>
    </row>
    <row r="78" spans="1:11" x14ac:dyDescent="0.25">
      <c r="A78" s="1933" t="s">
        <v>181</v>
      </c>
      <c r="B78" s="1728" t="s">
        <v>32</v>
      </c>
      <c r="C78" s="1729"/>
      <c r="D78" s="1735">
        <f t="shared" ref="D78:D84" si="10">0.25*D$3</f>
        <v>0.25</v>
      </c>
      <c r="E78" s="1736">
        <v>0</v>
      </c>
      <c r="F78" s="1741">
        <v>0</v>
      </c>
      <c r="G78" s="1730">
        <f t="shared" si="3"/>
        <v>0.25</v>
      </c>
      <c r="H78" s="1735">
        <f t="shared" ref="H78:H84" si="11">0.25*H$3</f>
        <v>0.25</v>
      </c>
      <c r="I78" s="1736">
        <v>0</v>
      </c>
      <c r="J78" s="1741">
        <v>0</v>
      </c>
      <c r="K78" s="1730">
        <f t="shared" si="7"/>
        <v>0.25</v>
      </c>
    </row>
    <row r="79" spans="1:11" x14ac:dyDescent="0.25">
      <c r="A79" s="1933"/>
      <c r="B79" s="19" t="s">
        <v>33</v>
      </c>
      <c r="C79" s="817"/>
      <c r="D79" s="493">
        <f>IF(D$3&gt;1,D$3*0.25+1,1)</f>
        <v>1</v>
      </c>
      <c r="E79" s="814">
        <v>0</v>
      </c>
      <c r="F79" s="630">
        <f>IF(F$3=1,1,0)</f>
        <v>0</v>
      </c>
      <c r="G79" s="21">
        <f t="shared" si="3"/>
        <v>1</v>
      </c>
      <c r="H79" s="493">
        <f>IF(H$3&gt;1,H$3*0.25+1,1)</f>
        <v>1</v>
      </c>
      <c r="I79" s="814">
        <v>0</v>
      </c>
      <c r="J79" s="630">
        <f>IF(J$3=1,1,0)</f>
        <v>0</v>
      </c>
      <c r="K79" s="21">
        <f t="shared" si="7"/>
        <v>1</v>
      </c>
    </row>
    <row r="80" spans="1:11" x14ac:dyDescent="0.25">
      <c r="A80" s="1933"/>
      <c r="B80" s="19" t="s">
        <v>34</v>
      </c>
      <c r="C80" s="817"/>
      <c r="D80" s="493">
        <f>IF(D$3&gt;1,D$3*0.25+1,1)</f>
        <v>1</v>
      </c>
      <c r="E80" s="814">
        <v>0</v>
      </c>
      <c r="F80" s="630">
        <f>IF(F$3=1,1,0)</f>
        <v>0</v>
      </c>
      <c r="G80" s="21">
        <f t="shared" si="3"/>
        <v>1</v>
      </c>
      <c r="H80" s="493">
        <f>IF(H$3&gt;1,H$3*0.25+1,1)</f>
        <v>1</v>
      </c>
      <c r="I80" s="814">
        <v>0</v>
      </c>
      <c r="J80" s="630">
        <f>IF(J$3=1,1,0)</f>
        <v>0</v>
      </c>
      <c r="K80" s="21">
        <f t="shared" si="7"/>
        <v>1</v>
      </c>
    </row>
    <row r="81" spans="1:11" x14ac:dyDescent="0.25">
      <c r="A81" s="1933" t="s">
        <v>182</v>
      </c>
      <c r="B81" s="1728" t="s">
        <v>32</v>
      </c>
      <c r="C81" s="1729"/>
      <c r="D81" s="1735">
        <f t="shared" si="10"/>
        <v>0.25</v>
      </c>
      <c r="E81" s="1736">
        <v>0</v>
      </c>
      <c r="F81" s="1741">
        <v>0</v>
      </c>
      <c r="G81" s="1730">
        <f t="shared" si="3"/>
        <v>0.25</v>
      </c>
      <c r="H81" s="1735">
        <f t="shared" si="11"/>
        <v>0.25</v>
      </c>
      <c r="I81" s="1736">
        <v>0</v>
      </c>
      <c r="J81" s="1741">
        <v>0</v>
      </c>
      <c r="K81" s="1730">
        <f t="shared" si="7"/>
        <v>0.25</v>
      </c>
    </row>
    <row r="82" spans="1:11" x14ac:dyDescent="0.25">
      <c r="A82" s="1933"/>
      <c r="B82" s="19" t="s">
        <v>33</v>
      </c>
      <c r="C82" s="817"/>
      <c r="D82" s="493">
        <f>IF(D$3&gt;1,D$3*0.25+1,1)</f>
        <v>1</v>
      </c>
      <c r="E82" s="489">
        <v>0</v>
      </c>
      <c r="F82" s="630">
        <f>IF(F$3=1,1,0)</f>
        <v>0</v>
      </c>
      <c r="G82" s="21">
        <f t="shared" si="3"/>
        <v>1</v>
      </c>
      <c r="H82" s="493">
        <f>IF(H$3&gt;1,H$3*0.25+1,1)</f>
        <v>1</v>
      </c>
      <c r="I82" s="489">
        <v>0</v>
      </c>
      <c r="J82" s="630">
        <f>IF(J$3=1,1,0)</f>
        <v>0</v>
      </c>
      <c r="K82" s="21">
        <f t="shared" si="7"/>
        <v>1</v>
      </c>
    </row>
    <row r="83" spans="1:11" x14ac:dyDescent="0.25">
      <c r="A83" s="1933"/>
      <c r="B83" s="19" t="s">
        <v>34</v>
      </c>
      <c r="C83" s="817"/>
      <c r="D83" s="493">
        <f>IF(D$3&gt;1,D$3*0.25+1,1)</f>
        <v>1</v>
      </c>
      <c r="E83" s="489">
        <v>0</v>
      </c>
      <c r="F83" s="630">
        <f>IF(F$3=1,1,0)</f>
        <v>0</v>
      </c>
      <c r="G83" s="21">
        <f t="shared" si="3"/>
        <v>1</v>
      </c>
      <c r="H83" s="493">
        <f>IF(H$3&gt;1,H$3*0.25+1,1)</f>
        <v>1</v>
      </c>
      <c r="I83" s="489">
        <v>0</v>
      </c>
      <c r="J83" s="630">
        <f>IF(J$3=1,1,0)</f>
        <v>0</v>
      </c>
      <c r="K83" s="21">
        <f t="shared" si="7"/>
        <v>1</v>
      </c>
    </row>
    <row r="84" spans="1:11" x14ac:dyDescent="0.25">
      <c r="A84" s="1935" t="s">
        <v>183</v>
      </c>
      <c r="B84" s="1728" t="s">
        <v>32</v>
      </c>
      <c r="C84" s="1729"/>
      <c r="D84" s="1735">
        <f t="shared" si="10"/>
        <v>0.25</v>
      </c>
      <c r="E84" s="1736">
        <v>0</v>
      </c>
      <c r="F84" s="1741">
        <v>0</v>
      </c>
      <c r="G84" s="1730">
        <f t="shared" si="3"/>
        <v>0.25</v>
      </c>
      <c r="H84" s="1735">
        <f t="shared" si="11"/>
        <v>0.25</v>
      </c>
      <c r="I84" s="1736">
        <v>0</v>
      </c>
      <c r="J84" s="1741">
        <v>0</v>
      </c>
      <c r="K84" s="1730">
        <f t="shared" si="7"/>
        <v>0.25</v>
      </c>
    </row>
    <row r="85" spans="1:11" x14ac:dyDescent="0.25">
      <c r="A85" s="1935"/>
      <c r="B85" s="19" t="s">
        <v>33</v>
      </c>
      <c r="C85" s="817"/>
      <c r="D85" s="493">
        <f>IF(D$3&gt;1,D$3*0.25+0.5,0.5)</f>
        <v>0.5</v>
      </c>
      <c r="E85" s="15">
        <v>0</v>
      </c>
      <c r="F85" s="630">
        <f>IF(F$3=1,1,0)</f>
        <v>0</v>
      </c>
      <c r="G85" s="21">
        <f t="shared" si="3"/>
        <v>0.5</v>
      </c>
      <c r="H85" s="493">
        <f>IF(H$3&gt;1,H$3*0.25+0.5,0.5)</f>
        <v>0.5</v>
      </c>
      <c r="I85" s="814">
        <v>0</v>
      </c>
      <c r="J85" s="630">
        <f>IF(J$3=1,1,0)</f>
        <v>0</v>
      </c>
      <c r="K85" s="21">
        <f t="shared" si="7"/>
        <v>0.5</v>
      </c>
    </row>
    <row r="86" spans="1:11" ht="15.75" thickBot="1" x14ac:dyDescent="0.3">
      <c r="A86" s="1935"/>
      <c r="B86" s="13" t="s">
        <v>34</v>
      </c>
      <c r="C86" s="820"/>
      <c r="D86" s="493">
        <f>IF(D$3&gt;1,D$3*0.25+0.5,0.5)</f>
        <v>0.5</v>
      </c>
      <c r="E86" s="399">
        <v>0</v>
      </c>
      <c r="F86" s="630">
        <f>IF(F$3=1,1,0)</f>
        <v>0</v>
      </c>
      <c r="G86" s="77">
        <f t="shared" si="3"/>
        <v>0.5</v>
      </c>
      <c r="H86" s="493">
        <f>IF(H$3&gt;1,H$3*0.25+0.5,0.5)</f>
        <v>0.5</v>
      </c>
      <c r="I86" s="917">
        <v>0</v>
      </c>
      <c r="J86" s="630">
        <f>IF(J$3=1,1,0)</f>
        <v>0</v>
      </c>
      <c r="K86" s="77">
        <f t="shared" si="7"/>
        <v>0.5</v>
      </c>
    </row>
    <row r="87" spans="1:11" ht="16.5" thickBot="1" x14ac:dyDescent="0.3">
      <c r="A87" s="330" t="s">
        <v>22</v>
      </c>
      <c r="B87" s="329"/>
      <c r="C87" s="1753"/>
      <c r="D87" s="329"/>
      <c r="E87" s="329"/>
      <c r="F87" s="329"/>
      <c r="G87" s="329"/>
      <c r="H87" s="329"/>
      <c r="I87" s="329"/>
      <c r="J87" s="329"/>
      <c r="K87" s="396"/>
    </row>
    <row r="88" spans="1:11" x14ac:dyDescent="0.25">
      <c r="A88" s="1932" t="s">
        <v>23</v>
      </c>
      <c r="B88" s="1723" t="s">
        <v>32</v>
      </c>
      <c r="C88" s="1724"/>
      <c r="D88" s="1732">
        <v>0.25</v>
      </c>
      <c r="E88" s="1733">
        <v>0</v>
      </c>
      <c r="F88" s="1743">
        <v>0</v>
      </c>
      <c r="G88" s="1727">
        <f t="shared" si="3"/>
        <v>0.25</v>
      </c>
      <c r="H88" s="1732">
        <v>0.25</v>
      </c>
      <c r="I88" s="1733">
        <v>0</v>
      </c>
      <c r="J88" s="1743">
        <v>0</v>
      </c>
      <c r="K88" s="1727">
        <f t="shared" ref="K88:K93" si="12" xml:space="preserve"> SUM(H88:J88) + $C88</f>
        <v>0.25</v>
      </c>
    </row>
    <row r="89" spans="1:11" x14ac:dyDescent="0.25">
      <c r="A89" s="1932"/>
      <c r="B89" s="19" t="s">
        <v>33</v>
      </c>
      <c r="C89" s="817"/>
      <c r="D89" s="482" t="s">
        <v>1768</v>
      </c>
      <c r="E89" s="482" t="s">
        <v>1768</v>
      </c>
      <c r="F89" s="482" t="s">
        <v>1768</v>
      </c>
      <c r="G89" s="21">
        <f t="shared" si="3"/>
        <v>0</v>
      </c>
      <c r="H89" s="482" t="s">
        <v>1768</v>
      </c>
      <c r="I89" s="482" t="s">
        <v>1768</v>
      </c>
      <c r="J89" s="482" t="s">
        <v>1768</v>
      </c>
      <c r="K89" s="21">
        <f t="shared" si="12"/>
        <v>0</v>
      </c>
    </row>
    <row r="90" spans="1:11" x14ac:dyDescent="0.25">
      <c r="A90" s="1932"/>
      <c r="B90" s="19" t="s">
        <v>34</v>
      </c>
      <c r="C90" s="817"/>
      <c r="D90" s="482" t="s">
        <v>1768</v>
      </c>
      <c r="E90" s="482" t="s">
        <v>1768</v>
      </c>
      <c r="F90" s="482" t="s">
        <v>1768</v>
      </c>
      <c r="G90" s="21">
        <f t="shared" si="3"/>
        <v>0</v>
      </c>
      <c r="H90" s="482" t="s">
        <v>1768</v>
      </c>
      <c r="I90" s="482" t="s">
        <v>1768</v>
      </c>
      <c r="J90" s="482" t="s">
        <v>1768</v>
      </c>
      <c r="K90" s="21">
        <f t="shared" si="12"/>
        <v>0</v>
      </c>
    </row>
    <row r="91" spans="1:11" x14ac:dyDescent="0.25">
      <c r="A91" s="1933" t="s">
        <v>24</v>
      </c>
      <c r="B91" s="1728" t="s">
        <v>32</v>
      </c>
      <c r="C91" s="1729"/>
      <c r="D91" s="1735">
        <v>6</v>
      </c>
      <c r="E91" s="1737">
        <f>1*E$3</f>
        <v>1</v>
      </c>
      <c r="F91" s="1744">
        <f>0.5*F$3</f>
        <v>0</v>
      </c>
      <c r="G91" s="1730">
        <f t="shared" si="3"/>
        <v>7</v>
      </c>
      <c r="H91" s="1735">
        <v>6</v>
      </c>
      <c r="I91" s="1737">
        <f>1*I$3</f>
        <v>1</v>
      </c>
      <c r="J91" s="1744">
        <f>0.5*J$3</f>
        <v>0</v>
      </c>
      <c r="K91" s="1730">
        <f t="shared" si="12"/>
        <v>7</v>
      </c>
    </row>
    <row r="92" spans="1:11" x14ac:dyDescent="0.25">
      <c r="A92" s="1933"/>
      <c r="B92" s="19" t="s">
        <v>33</v>
      </c>
      <c r="C92" s="817"/>
      <c r="D92" s="821">
        <v>2</v>
      </c>
      <c r="E92" s="478">
        <f>IF(E$3&gt;3,0.5*E$3,1)</f>
        <v>1</v>
      </c>
      <c r="F92" s="630">
        <f>IF(F$3=1,10,0)</f>
        <v>0</v>
      </c>
      <c r="G92" s="21">
        <f t="shared" si="3"/>
        <v>3</v>
      </c>
      <c r="H92" s="821">
        <v>2</v>
      </c>
      <c r="I92" s="478">
        <f>IF(I$3&gt;3,0.5*I$3,1)</f>
        <v>1</v>
      </c>
      <c r="J92" s="630">
        <f>IF(J$3=1,10,0)</f>
        <v>0</v>
      </c>
      <c r="K92" s="21">
        <f t="shared" si="12"/>
        <v>3</v>
      </c>
    </row>
    <row r="93" spans="1:11" x14ac:dyDescent="0.25">
      <c r="A93" s="1933"/>
      <c r="B93" s="19" t="s">
        <v>34</v>
      </c>
      <c r="C93" s="817"/>
      <c r="D93" s="821">
        <v>4</v>
      </c>
      <c r="E93" s="478">
        <f>IF(E$3&gt;3,0.5*E$3,1)</f>
        <v>1</v>
      </c>
      <c r="F93" s="630">
        <f>IF(F$3=1,16,0)</f>
        <v>0</v>
      </c>
      <c r="G93" s="21">
        <f t="shared" si="3"/>
        <v>5</v>
      </c>
      <c r="H93" s="821">
        <v>4</v>
      </c>
      <c r="I93" s="478">
        <f>IF(I$3&gt;3,0.5*I$3,1)</f>
        <v>1</v>
      </c>
      <c r="J93" s="630">
        <f>IF(J$3=1,16,0)</f>
        <v>0</v>
      </c>
      <c r="K93" s="21">
        <f t="shared" si="12"/>
        <v>5</v>
      </c>
    </row>
    <row r="94" spans="1:11" x14ac:dyDescent="0.25">
      <c r="A94" s="1933" t="s">
        <v>25</v>
      </c>
      <c r="B94" s="1728" t="s">
        <v>32</v>
      </c>
      <c r="C94" s="1729"/>
      <c r="D94" s="1735">
        <v>2</v>
      </c>
      <c r="E94" s="1738">
        <v>0</v>
      </c>
      <c r="F94" s="1741">
        <v>0</v>
      </c>
      <c r="G94" s="1730">
        <f t="shared" ref="G94:G105" si="13" xml:space="preserve"> SUM(D94:F94) + $C94</f>
        <v>2</v>
      </c>
      <c r="H94" s="1735">
        <v>2</v>
      </c>
      <c r="I94" s="1738">
        <v>0</v>
      </c>
      <c r="J94" s="1741">
        <v>0</v>
      </c>
      <c r="K94" s="1730">
        <f t="shared" ref="K94:K105" si="14" xml:space="preserve"> SUM(H94:J94) + $C94</f>
        <v>2</v>
      </c>
    </row>
    <row r="95" spans="1:11" x14ac:dyDescent="0.25">
      <c r="A95" s="1933"/>
      <c r="B95" s="19" t="s">
        <v>33</v>
      </c>
      <c r="C95" s="817"/>
      <c r="D95" s="821">
        <v>2</v>
      </c>
      <c r="E95" s="33">
        <v>0</v>
      </c>
      <c r="F95" s="630">
        <f>IF(F$3=1,8,0)</f>
        <v>0</v>
      </c>
      <c r="G95" s="21">
        <f t="shared" si="13"/>
        <v>2</v>
      </c>
      <c r="H95" s="821">
        <v>2</v>
      </c>
      <c r="I95" s="819">
        <v>0</v>
      </c>
      <c r="J95" s="630">
        <f>IF(J$3=1,8,0)</f>
        <v>0</v>
      </c>
      <c r="K95" s="21">
        <f t="shared" si="14"/>
        <v>2</v>
      </c>
    </row>
    <row r="96" spans="1:11" x14ac:dyDescent="0.25">
      <c r="A96" s="1933"/>
      <c r="B96" s="19" t="s">
        <v>34</v>
      </c>
      <c r="C96" s="817"/>
      <c r="D96" s="821">
        <v>4</v>
      </c>
      <c r="E96" s="33">
        <v>0</v>
      </c>
      <c r="F96" s="630">
        <f>IF(F$3=1,12,0)</f>
        <v>0</v>
      </c>
      <c r="G96" s="21">
        <f t="shared" si="13"/>
        <v>4</v>
      </c>
      <c r="H96" s="821">
        <v>4</v>
      </c>
      <c r="I96" s="819">
        <v>0</v>
      </c>
      <c r="J96" s="630">
        <f>IF(J$3=1,12,0)</f>
        <v>0</v>
      </c>
      <c r="K96" s="21">
        <f t="shared" si="14"/>
        <v>4</v>
      </c>
    </row>
    <row r="97" spans="1:11" x14ac:dyDescent="0.25">
      <c r="A97" s="1933" t="s">
        <v>26</v>
      </c>
      <c r="B97" s="1728" t="s">
        <v>32</v>
      </c>
      <c r="C97" s="1729"/>
      <c r="D97" s="1735">
        <v>12</v>
      </c>
      <c r="E97" s="1725">
        <f>E$3*2</f>
        <v>2</v>
      </c>
      <c r="F97" s="1745">
        <f>1*F$3</f>
        <v>0</v>
      </c>
      <c r="G97" s="1730">
        <f t="shared" si="13"/>
        <v>14</v>
      </c>
      <c r="H97" s="1735">
        <v>12</v>
      </c>
      <c r="I97" s="1725">
        <f>I$3*2</f>
        <v>2</v>
      </c>
      <c r="J97" s="1745">
        <f>1*J$3</f>
        <v>0</v>
      </c>
      <c r="K97" s="1730">
        <f t="shared" si="14"/>
        <v>14</v>
      </c>
    </row>
    <row r="98" spans="1:11" x14ac:dyDescent="0.25">
      <c r="A98" s="1933"/>
      <c r="B98" s="19" t="s">
        <v>33</v>
      </c>
      <c r="C98" s="817"/>
      <c r="D98" s="493">
        <f>IF(D$3&gt;1,D$3*0.25+2,2)</f>
        <v>2</v>
      </c>
      <c r="E98" s="819">
        <v>0</v>
      </c>
      <c r="F98" s="630">
        <f>IF(F$3=1,10,0)</f>
        <v>0</v>
      </c>
      <c r="G98" s="21">
        <f t="shared" si="13"/>
        <v>2</v>
      </c>
      <c r="H98" s="493">
        <f>IF(H$3&gt;1,H$3*0.25+2,2)</f>
        <v>2</v>
      </c>
      <c r="I98" s="819">
        <v>0</v>
      </c>
      <c r="J98" s="630">
        <f>IF(J$3=1,10,0)</f>
        <v>0</v>
      </c>
      <c r="K98" s="21">
        <f t="shared" si="14"/>
        <v>2</v>
      </c>
    </row>
    <row r="99" spans="1:11" x14ac:dyDescent="0.25">
      <c r="A99" s="1933"/>
      <c r="B99" s="19" t="s">
        <v>34</v>
      </c>
      <c r="C99" s="817"/>
      <c r="D99" s="493">
        <f>IF(D$3&gt;1,D$3*0.25+4,4)</f>
        <v>4</v>
      </c>
      <c r="E99" s="819">
        <v>0</v>
      </c>
      <c r="F99" s="630">
        <f>IF(F$3=1,16,0)</f>
        <v>0</v>
      </c>
      <c r="G99" s="21">
        <f t="shared" si="13"/>
        <v>4</v>
      </c>
      <c r="H99" s="493">
        <f>IF(H$3&gt;1,H$3*0.25+4,4)</f>
        <v>4</v>
      </c>
      <c r="I99" s="819">
        <v>0</v>
      </c>
      <c r="J99" s="630">
        <f>IF(J$3=1,16,0)</f>
        <v>0</v>
      </c>
      <c r="K99" s="21">
        <f t="shared" si="14"/>
        <v>4</v>
      </c>
    </row>
    <row r="100" spans="1:11" x14ac:dyDescent="0.25">
      <c r="A100" s="1933" t="s">
        <v>27</v>
      </c>
      <c r="B100" s="1728" t="s">
        <v>32</v>
      </c>
      <c r="C100" s="1729"/>
      <c r="D100" s="1735">
        <v>6</v>
      </c>
      <c r="E100" s="1725">
        <f>E$3*2</f>
        <v>2</v>
      </c>
      <c r="F100" s="1745">
        <f>1*F$3</f>
        <v>0</v>
      </c>
      <c r="G100" s="1730">
        <f t="shared" si="13"/>
        <v>8</v>
      </c>
      <c r="H100" s="1735">
        <v>6</v>
      </c>
      <c r="I100" s="1725">
        <f>I$3*2</f>
        <v>2</v>
      </c>
      <c r="J100" s="1745">
        <f>1*J$3</f>
        <v>0</v>
      </c>
      <c r="K100" s="1730">
        <f t="shared" si="14"/>
        <v>8</v>
      </c>
    </row>
    <row r="101" spans="1:11" x14ac:dyDescent="0.25">
      <c r="A101" s="1933"/>
      <c r="B101" s="19" t="s">
        <v>33</v>
      </c>
      <c r="C101" s="817"/>
      <c r="D101" s="493">
        <f>IF(D$3&gt;1,D$3*0.25+2,2)</f>
        <v>2</v>
      </c>
      <c r="E101" s="482">
        <v>0</v>
      </c>
      <c r="F101" s="630">
        <f>IF(F$3=1,10,0)</f>
        <v>0</v>
      </c>
      <c r="G101" s="21">
        <f t="shared" si="13"/>
        <v>2</v>
      </c>
      <c r="H101" s="493">
        <f>IF(H$3&gt;1,H$3*0.25+2,2)</f>
        <v>2</v>
      </c>
      <c r="I101" s="482">
        <v>0</v>
      </c>
      <c r="J101" s="630">
        <f>IF(J$3=1,10,0)</f>
        <v>0</v>
      </c>
      <c r="K101" s="21">
        <f t="shared" si="14"/>
        <v>2</v>
      </c>
    </row>
    <row r="102" spans="1:11" x14ac:dyDescent="0.25">
      <c r="A102" s="1933"/>
      <c r="B102" s="19" t="s">
        <v>34</v>
      </c>
      <c r="C102" s="817"/>
      <c r="D102" s="493">
        <f>IF(D$3&gt;1,D$3*0.25+4,4)</f>
        <v>4</v>
      </c>
      <c r="E102" s="482">
        <v>0</v>
      </c>
      <c r="F102" s="630">
        <f>IF(F$3=1,16,0)</f>
        <v>0</v>
      </c>
      <c r="G102" s="21">
        <f t="shared" si="13"/>
        <v>4</v>
      </c>
      <c r="H102" s="493">
        <f>IF(H$3&gt;1,H$3*0.25+4,4)</f>
        <v>4</v>
      </c>
      <c r="I102" s="482">
        <v>0</v>
      </c>
      <c r="J102" s="630">
        <f>IF(J$3=1,16,0)</f>
        <v>0</v>
      </c>
      <c r="K102" s="21">
        <f t="shared" si="14"/>
        <v>4</v>
      </c>
    </row>
    <row r="103" spans="1:11" x14ac:dyDescent="0.25">
      <c r="A103" s="1932" t="s">
        <v>28</v>
      </c>
      <c r="B103" s="1728" t="s">
        <v>32</v>
      </c>
      <c r="C103" s="1729"/>
      <c r="D103" s="1735">
        <v>2</v>
      </c>
      <c r="E103" s="1746">
        <f t="shared" ref="E103:F103" si="15">0.5*E$3</f>
        <v>0.5</v>
      </c>
      <c r="F103" s="1747">
        <f t="shared" si="15"/>
        <v>0</v>
      </c>
      <c r="G103" s="1730">
        <f t="shared" si="13"/>
        <v>2.5</v>
      </c>
      <c r="H103" s="1735">
        <v>2</v>
      </c>
      <c r="I103" s="1746">
        <f t="shared" ref="I103:J103" si="16">0.5*I$3</f>
        <v>0.5</v>
      </c>
      <c r="J103" s="1747">
        <f t="shared" si="16"/>
        <v>0</v>
      </c>
      <c r="K103" s="1730">
        <f t="shared" si="14"/>
        <v>2.5</v>
      </c>
    </row>
    <row r="104" spans="1:11" x14ac:dyDescent="0.25">
      <c r="A104" s="1932"/>
      <c r="B104" s="19" t="s">
        <v>33</v>
      </c>
      <c r="C104" s="817"/>
      <c r="D104" s="482">
        <v>2</v>
      </c>
      <c r="E104" s="482">
        <v>0</v>
      </c>
      <c r="F104" s="630">
        <f>IF(F$3=1,10,0)</f>
        <v>0</v>
      </c>
      <c r="G104" s="21">
        <f t="shared" si="13"/>
        <v>2</v>
      </c>
      <c r="H104" s="482">
        <v>2</v>
      </c>
      <c r="I104" s="482">
        <v>0</v>
      </c>
      <c r="J104" s="630">
        <f>IF(J$3=1,10,0)</f>
        <v>0</v>
      </c>
      <c r="K104" s="21">
        <f t="shared" si="14"/>
        <v>2</v>
      </c>
    </row>
    <row r="105" spans="1:11" ht="15.75" thickBot="1" x14ac:dyDescent="0.3">
      <c r="A105" s="1934"/>
      <c r="B105" s="20" t="s">
        <v>34</v>
      </c>
      <c r="C105" s="818"/>
      <c r="D105" s="507">
        <v>4</v>
      </c>
      <c r="E105" s="491">
        <v>0</v>
      </c>
      <c r="F105" s="1695">
        <f>IF(F$3=1,16,0)</f>
        <v>0</v>
      </c>
      <c r="G105" s="24">
        <f t="shared" si="13"/>
        <v>4</v>
      </c>
      <c r="H105" s="507">
        <v>4</v>
      </c>
      <c r="I105" s="491">
        <v>0</v>
      </c>
      <c r="J105" s="1695">
        <f>IF(J$3=1,16,0)</f>
        <v>0</v>
      </c>
      <c r="K105" s="24">
        <f t="shared" si="14"/>
        <v>4</v>
      </c>
    </row>
    <row r="107" spans="1:11" ht="15.75" x14ac:dyDescent="0.25">
      <c r="A107" s="1691" t="s">
        <v>1702</v>
      </c>
      <c r="B107" s="1691" t="s">
        <v>1703</v>
      </c>
      <c r="C107" s="1722"/>
      <c r="D107" s="1696"/>
      <c r="E107" s="1722" t="s">
        <v>1704</v>
      </c>
      <c r="F107" s="1722"/>
    </row>
    <row r="108" spans="1:11" ht="150" x14ac:dyDescent="0.25">
      <c r="A108" s="1692" t="s">
        <v>1796</v>
      </c>
      <c r="B108" s="1692" t="s">
        <v>1846</v>
      </c>
      <c r="C108" s="1722"/>
      <c r="D108" s="1722"/>
      <c r="E108" s="1722"/>
      <c r="F108" s="1722"/>
    </row>
    <row r="109" spans="1:11" ht="150" x14ac:dyDescent="0.25">
      <c r="A109" s="1692" t="s">
        <v>95</v>
      </c>
      <c r="B109" s="1692" t="s">
        <v>1782</v>
      </c>
      <c r="C109" s="1722"/>
      <c r="D109" s="1722"/>
      <c r="E109" s="1722"/>
      <c r="F109" s="1722"/>
    </row>
    <row r="110" spans="1:11" ht="60" x14ac:dyDescent="0.25">
      <c r="A110" s="1692" t="s">
        <v>1780</v>
      </c>
      <c r="B110" s="1692" t="s">
        <v>1816</v>
      </c>
      <c r="C110" s="1722"/>
      <c r="D110" s="1722"/>
      <c r="E110" s="1722"/>
      <c r="F110" s="1722"/>
    </row>
    <row r="111" spans="1:11" x14ac:dyDescent="0.25">
      <c r="A111" s="1722"/>
      <c r="B111" s="1722"/>
      <c r="C111" s="1722"/>
      <c r="D111" s="1722"/>
      <c r="E111" s="1722"/>
      <c r="F111" s="1722"/>
    </row>
    <row r="112" spans="1:11" x14ac:dyDescent="0.25">
      <c r="A112" s="1693" t="s">
        <v>89</v>
      </c>
      <c r="B112" s="1722"/>
      <c r="C112" s="1722"/>
      <c r="D112" s="1722"/>
      <c r="E112" s="1722"/>
      <c r="F112" s="1722"/>
    </row>
    <row r="113" spans="1:7" ht="15.75" x14ac:dyDescent="0.25">
      <c r="A113" s="1930" t="str">
        <f>A5</f>
        <v>ТЗ</v>
      </c>
      <c r="B113" s="1931"/>
      <c r="C113" s="1722"/>
      <c r="D113" s="1694" t="s">
        <v>66</v>
      </c>
      <c r="E113" s="1694" t="s">
        <v>65</v>
      </c>
      <c r="F113" s="1694" t="s">
        <v>64</v>
      </c>
    </row>
    <row r="114" spans="1:7" x14ac:dyDescent="0.25">
      <c r="A114" s="132" t="s">
        <v>1707</v>
      </c>
      <c r="B114" s="905" t="s">
        <v>33</v>
      </c>
      <c r="C114" s="1722"/>
      <c r="D114" s="880"/>
      <c r="E114" s="814"/>
      <c r="F114" s="814" t="s">
        <v>1783</v>
      </c>
    </row>
    <row r="115" spans="1:7" x14ac:dyDescent="0.25">
      <c r="A115" s="132" t="s">
        <v>1708</v>
      </c>
      <c r="B115" s="905" t="s">
        <v>34</v>
      </c>
      <c r="C115" s="1722"/>
      <c r="D115" s="880"/>
      <c r="E115" s="814"/>
      <c r="F115" s="814" t="s">
        <v>1777</v>
      </c>
    </row>
    <row r="116" spans="1:7" ht="15.75" x14ac:dyDescent="0.25">
      <c r="A116" s="1930" t="str">
        <f>A8</f>
        <v>ФТТ</v>
      </c>
      <c r="B116" s="1931"/>
      <c r="C116" s="1722"/>
      <c r="D116" s="1694" t="s">
        <v>66</v>
      </c>
      <c r="E116" s="1694" t="s">
        <v>65</v>
      </c>
      <c r="F116" s="1694" t="s">
        <v>64</v>
      </c>
    </row>
    <row r="117" spans="1:7" x14ac:dyDescent="0.25">
      <c r="A117" s="132" t="s">
        <v>1709</v>
      </c>
      <c r="B117" s="905" t="s">
        <v>33</v>
      </c>
      <c r="C117" s="1722"/>
      <c r="D117" s="880"/>
      <c r="E117" s="814"/>
      <c r="F117" s="814" t="s">
        <v>1783</v>
      </c>
    </row>
    <row r="118" spans="1:7" x14ac:dyDescent="0.25">
      <c r="A118" s="132" t="s">
        <v>1710</v>
      </c>
      <c r="B118" s="905" t="s">
        <v>34</v>
      </c>
      <c r="C118" s="1722"/>
      <c r="D118" s="880"/>
      <c r="E118" s="814"/>
      <c r="F118" s="814" t="s">
        <v>1777</v>
      </c>
    </row>
    <row r="119" spans="1:7" ht="15.75" x14ac:dyDescent="0.25">
      <c r="A119" s="1930" t="str">
        <f>A12</f>
        <v>Пояснительная записка к эскизному проекту</v>
      </c>
      <c r="B119" s="1931"/>
      <c r="C119" s="1722"/>
      <c r="D119" s="1694" t="s">
        <v>66</v>
      </c>
      <c r="E119" s="1694" t="s">
        <v>65</v>
      </c>
      <c r="F119" s="1694" t="s">
        <v>64</v>
      </c>
    </row>
    <row r="120" spans="1:7" x14ac:dyDescent="0.25">
      <c r="A120" s="132" t="s">
        <v>1711</v>
      </c>
      <c r="B120" s="905" t="s">
        <v>33</v>
      </c>
      <c r="C120" s="1722"/>
      <c r="D120" s="129"/>
      <c r="E120" s="814" t="s">
        <v>1791</v>
      </c>
      <c r="F120" s="814" t="s">
        <v>1775</v>
      </c>
    </row>
    <row r="121" spans="1:7" x14ac:dyDescent="0.25">
      <c r="A121" s="132" t="s">
        <v>1712</v>
      </c>
      <c r="B121" s="905" t="s">
        <v>34</v>
      </c>
      <c r="C121" s="1722"/>
      <c r="D121" s="129"/>
      <c r="E121" s="814" t="s">
        <v>1791</v>
      </c>
      <c r="F121" s="814" t="s">
        <v>1776</v>
      </c>
    </row>
    <row r="122" spans="1:7" ht="15.75" x14ac:dyDescent="0.25">
      <c r="A122" s="1930" t="str">
        <f>A19</f>
        <v xml:space="preserve">Ведомость покупных изделий </v>
      </c>
      <c r="B122" s="1931"/>
      <c r="C122" s="1722"/>
      <c r="D122" s="1694" t="s">
        <v>66</v>
      </c>
      <c r="E122" s="1694" t="s">
        <v>65</v>
      </c>
      <c r="F122" s="1694" t="s">
        <v>64</v>
      </c>
    </row>
    <row r="123" spans="1:7" x14ac:dyDescent="0.25">
      <c r="A123" s="132" t="s">
        <v>1713</v>
      </c>
      <c r="B123" s="905" t="s">
        <v>33</v>
      </c>
      <c r="C123" s="1722"/>
      <c r="D123" s="814" t="s">
        <v>1784</v>
      </c>
      <c r="E123" s="814"/>
      <c r="F123" s="129"/>
      <c r="G123" s="1748" t="s">
        <v>1798</v>
      </c>
    </row>
    <row r="124" spans="1:7" x14ac:dyDescent="0.25">
      <c r="A124" s="132" t="s">
        <v>1714</v>
      </c>
      <c r="B124" s="905" t="s">
        <v>34</v>
      </c>
      <c r="C124" s="1722"/>
      <c r="D124" s="814" t="s">
        <v>1784</v>
      </c>
      <c r="E124" s="814"/>
      <c r="F124" s="129"/>
    </row>
    <row r="125" spans="1:7" ht="15.75" x14ac:dyDescent="0.25">
      <c r="A125" s="1930" t="str">
        <f>A22</f>
        <v xml:space="preserve">Пояснительная записка к техническому проекту </v>
      </c>
      <c r="B125" s="1931"/>
      <c r="C125" s="1722"/>
      <c r="D125" s="1694" t="s">
        <v>66</v>
      </c>
      <c r="E125" s="1694" t="s">
        <v>65</v>
      </c>
      <c r="F125" s="1694" t="s">
        <v>64</v>
      </c>
    </row>
    <row r="126" spans="1:7" x14ac:dyDescent="0.25">
      <c r="A126" s="132" t="s">
        <v>1715</v>
      </c>
      <c r="B126" s="905" t="s">
        <v>33</v>
      </c>
      <c r="C126" s="1722"/>
      <c r="D126" s="129"/>
      <c r="E126" s="814" t="s">
        <v>1791</v>
      </c>
      <c r="F126" s="814" t="s">
        <v>1775</v>
      </c>
    </row>
    <row r="127" spans="1:7" x14ac:dyDescent="0.25">
      <c r="A127" s="132" t="s">
        <v>1716</v>
      </c>
      <c r="B127" s="905" t="s">
        <v>34</v>
      </c>
      <c r="C127" s="1722"/>
      <c r="D127" s="129"/>
      <c r="E127" s="814" t="s">
        <v>1791</v>
      </c>
      <c r="F127" s="814" t="s">
        <v>1776</v>
      </c>
    </row>
    <row r="128" spans="1:7" ht="15.75" x14ac:dyDescent="0.25">
      <c r="A128" s="1930" t="str">
        <f>A25</f>
        <v xml:space="preserve">Описание комплекса технических средств </v>
      </c>
      <c r="B128" s="1931"/>
      <c r="C128" s="1722"/>
      <c r="D128" s="1694" t="s">
        <v>66</v>
      </c>
      <c r="E128" s="1694" t="s">
        <v>65</v>
      </c>
      <c r="F128" s="1694" t="s">
        <v>64</v>
      </c>
    </row>
    <row r="129" spans="1:7" x14ac:dyDescent="0.25">
      <c r="A129" s="132" t="s">
        <v>1717</v>
      </c>
      <c r="B129" s="905" t="s">
        <v>33</v>
      </c>
      <c r="C129" s="1722"/>
      <c r="D129" s="1381"/>
      <c r="E129" s="1381"/>
      <c r="F129" s="814" t="s">
        <v>1785</v>
      </c>
    </row>
    <row r="130" spans="1:7" x14ac:dyDescent="0.25">
      <c r="A130" s="132" t="s">
        <v>1718</v>
      </c>
      <c r="B130" s="905" t="s">
        <v>34</v>
      </c>
      <c r="C130" s="1722"/>
      <c r="D130" s="1381"/>
      <c r="E130" s="1381"/>
      <c r="F130" s="814" t="s">
        <v>1786</v>
      </c>
    </row>
    <row r="131" spans="1:7" ht="15.75" x14ac:dyDescent="0.25">
      <c r="A131" s="1930" t="str">
        <f>A28</f>
        <v xml:space="preserve">Описание программного обеспечения </v>
      </c>
      <c r="B131" s="1931"/>
      <c r="C131" s="1722"/>
      <c r="D131" s="1694" t="s">
        <v>66</v>
      </c>
      <c r="E131" s="1694" t="s">
        <v>65</v>
      </c>
      <c r="F131" s="1694" t="s">
        <v>64</v>
      </c>
    </row>
    <row r="132" spans="1:7" x14ac:dyDescent="0.25">
      <c r="A132" s="132" t="s">
        <v>1719</v>
      </c>
      <c r="B132" s="905" t="s">
        <v>33</v>
      </c>
      <c r="C132" s="1722"/>
      <c r="D132" s="1381"/>
      <c r="E132" s="1381"/>
      <c r="F132" s="814" t="s">
        <v>1787</v>
      </c>
    </row>
    <row r="133" spans="1:7" x14ac:dyDescent="0.25">
      <c r="A133" s="132" t="s">
        <v>1720</v>
      </c>
      <c r="B133" s="905" t="s">
        <v>34</v>
      </c>
      <c r="C133" s="1722"/>
      <c r="D133" s="1381"/>
      <c r="E133" s="1381"/>
      <c r="F133" s="814" t="s">
        <v>1788</v>
      </c>
    </row>
    <row r="134" spans="1:7" ht="15.75" x14ac:dyDescent="0.25">
      <c r="A134" s="1930" t="str">
        <f>A31</f>
        <v>Схема структурная</v>
      </c>
      <c r="B134" s="1931"/>
      <c r="C134" s="1722"/>
      <c r="D134" s="1694" t="s">
        <v>66</v>
      </c>
      <c r="E134" s="1694" t="s">
        <v>65</v>
      </c>
      <c r="F134" s="1694" t="s">
        <v>64</v>
      </c>
    </row>
    <row r="135" spans="1:7" x14ac:dyDescent="0.25">
      <c r="A135" s="132" t="s">
        <v>1721</v>
      </c>
      <c r="B135" s="905" t="s">
        <v>33</v>
      </c>
      <c r="C135" s="1722"/>
      <c r="D135" s="658" t="s">
        <v>1784</v>
      </c>
      <c r="E135" s="1381"/>
      <c r="F135" s="814" t="s">
        <v>1804</v>
      </c>
    </row>
    <row r="136" spans="1:7" x14ac:dyDescent="0.25">
      <c r="A136" s="132" t="s">
        <v>1722</v>
      </c>
      <c r="B136" s="905" t="s">
        <v>34</v>
      </c>
      <c r="C136" s="1722"/>
      <c r="D136" s="658" t="s">
        <v>1784</v>
      </c>
      <c r="E136" s="1381"/>
      <c r="F136" s="814" t="s">
        <v>1807</v>
      </c>
    </row>
    <row r="137" spans="1:7" ht="15.75" x14ac:dyDescent="0.25">
      <c r="A137" s="1930" t="str">
        <f>A34</f>
        <v>Схема функциональная</v>
      </c>
      <c r="B137" s="1931"/>
      <c r="C137" s="1722"/>
      <c r="D137" s="1694" t="s">
        <v>66</v>
      </c>
      <c r="E137" s="1694" t="s">
        <v>65</v>
      </c>
      <c r="F137" s="1694" t="s">
        <v>64</v>
      </c>
    </row>
    <row r="138" spans="1:7" x14ac:dyDescent="0.25">
      <c r="A138" s="132" t="s">
        <v>1723</v>
      </c>
      <c r="B138" s="905" t="s">
        <v>33</v>
      </c>
      <c r="C138" s="1722"/>
      <c r="D138" s="1381"/>
      <c r="E138" s="1381"/>
      <c r="F138" s="814" t="s">
        <v>1790</v>
      </c>
    </row>
    <row r="139" spans="1:7" x14ac:dyDescent="0.25">
      <c r="A139" s="132" t="s">
        <v>1724</v>
      </c>
      <c r="B139" s="905" t="s">
        <v>34</v>
      </c>
      <c r="C139" s="1722"/>
      <c r="D139" s="1381"/>
      <c r="E139" s="1381"/>
      <c r="F139" s="814" t="s">
        <v>1789</v>
      </c>
    </row>
    <row r="140" spans="1:7" ht="15.75" x14ac:dyDescent="0.25">
      <c r="A140" s="1930" t="str">
        <f>A38</f>
        <v>Пояснительная записка к технорабочему проекту</v>
      </c>
      <c r="B140" s="1931"/>
      <c r="C140" s="1722"/>
      <c r="D140" s="1694" t="s">
        <v>66</v>
      </c>
      <c r="E140" s="1694" t="s">
        <v>65</v>
      </c>
      <c r="F140" s="1694" t="s">
        <v>64</v>
      </c>
    </row>
    <row r="141" spans="1:7" x14ac:dyDescent="0.25">
      <c r="A141" s="132" t="s">
        <v>1725</v>
      </c>
      <c r="B141" s="905" t="s">
        <v>33</v>
      </c>
      <c r="C141" s="1722"/>
      <c r="D141" s="1381"/>
      <c r="E141" s="814" t="s">
        <v>1794</v>
      </c>
      <c r="F141" s="814" t="s">
        <v>1792</v>
      </c>
    </row>
    <row r="142" spans="1:7" x14ac:dyDescent="0.25">
      <c r="A142" s="132" t="s">
        <v>1726</v>
      </c>
      <c r="B142" s="905" t="s">
        <v>34</v>
      </c>
      <c r="C142" s="1722"/>
      <c r="D142" s="1381"/>
      <c r="E142" s="814" t="s">
        <v>1794</v>
      </c>
      <c r="F142" s="814" t="s">
        <v>1793</v>
      </c>
    </row>
    <row r="143" spans="1:7" ht="15.75" x14ac:dyDescent="0.25">
      <c r="A143" s="1930" t="str">
        <f>A42</f>
        <v>Спецификация оборудования</v>
      </c>
      <c r="B143" s="1931"/>
      <c r="C143" s="1722"/>
      <c r="D143" s="1694" t="s">
        <v>66</v>
      </c>
      <c r="E143" s="1694" t="s">
        <v>65</v>
      </c>
      <c r="F143" s="1694" t="s">
        <v>64</v>
      </c>
    </row>
    <row r="144" spans="1:7" x14ac:dyDescent="0.25">
      <c r="A144" s="132" t="s">
        <v>1727</v>
      </c>
      <c r="B144" s="905" t="s">
        <v>33</v>
      </c>
      <c r="C144" s="1722"/>
      <c r="D144" s="814" t="s">
        <v>1784</v>
      </c>
      <c r="E144" s="1381"/>
      <c r="F144" s="1381"/>
      <c r="G144" s="1748" t="s">
        <v>1798</v>
      </c>
    </row>
    <row r="145" spans="1:7" x14ac:dyDescent="0.25">
      <c r="A145" s="132" t="s">
        <v>1728</v>
      </c>
      <c r="B145" s="905" t="s">
        <v>34</v>
      </c>
      <c r="C145" s="1722"/>
      <c r="D145" s="814" t="s">
        <v>1784</v>
      </c>
      <c r="E145" s="1381"/>
      <c r="F145" s="1381"/>
    </row>
    <row r="146" spans="1:7" ht="15.75" x14ac:dyDescent="0.25">
      <c r="A146" s="1930" t="str">
        <f>A45</f>
        <v>Инструкция по установке и настройке</v>
      </c>
      <c r="B146" s="1931"/>
      <c r="C146" s="1722"/>
      <c r="D146" s="1694" t="s">
        <v>66</v>
      </c>
      <c r="E146" s="1694" t="s">
        <v>65</v>
      </c>
      <c r="F146" s="1694" t="s">
        <v>64</v>
      </c>
    </row>
    <row r="147" spans="1:7" x14ac:dyDescent="0.25">
      <c r="A147" s="132" t="s">
        <v>1729</v>
      </c>
      <c r="B147" s="905" t="s">
        <v>33</v>
      </c>
      <c r="C147" s="1722"/>
      <c r="D147" s="1381"/>
      <c r="E147" s="814" t="s">
        <v>1794</v>
      </c>
      <c r="F147" s="814" t="s">
        <v>1789</v>
      </c>
    </row>
    <row r="148" spans="1:7" x14ac:dyDescent="0.25">
      <c r="A148" s="132" t="s">
        <v>1730</v>
      </c>
      <c r="B148" s="905" t="s">
        <v>34</v>
      </c>
      <c r="C148" s="1722"/>
      <c r="D148" s="1381"/>
      <c r="E148" s="814" t="s">
        <v>1794</v>
      </c>
      <c r="F148" s="814" t="s">
        <v>1795</v>
      </c>
    </row>
    <row r="149" spans="1:7" ht="15.75" x14ac:dyDescent="0.25">
      <c r="A149" s="1930" t="str">
        <f>A48</f>
        <v>Схема соединений внешних проводок</v>
      </c>
      <c r="B149" s="1931"/>
      <c r="C149" s="1722"/>
      <c r="D149" s="1694" t="s">
        <v>66</v>
      </c>
      <c r="E149" s="1694" t="s">
        <v>65</v>
      </c>
      <c r="F149" s="1694" t="s">
        <v>64</v>
      </c>
    </row>
    <row r="150" spans="1:7" x14ac:dyDescent="0.25">
      <c r="A150" s="132" t="s">
        <v>1731</v>
      </c>
      <c r="B150" s="905" t="s">
        <v>33</v>
      </c>
      <c r="C150" s="1722"/>
      <c r="D150" s="814" t="s">
        <v>1797</v>
      </c>
      <c r="E150" s="1381"/>
      <c r="F150" s="814" t="s">
        <v>1799</v>
      </c>
      <c r="G150" s="1748" t="s">
        <v>1798</v>
      </c>
    </row>
    <row r="151" spans="1:7" x14ac:dyDescent="0.25">
      <c r="A151" s="132" t="s">
        <v>1732</v>
      </c>
      <c r="B151" s="905" t="s">
        <v>34</v>
      </c>
      <c r="C151" s="1722"/>
      <c r="D151" s="814" t="s">
        <v>1797</v>
      </c>
      <c r="E151" s="1381"/>
      <c r="F151" s="814" t="s">
        <v>1799</v>
      </c>
    </row>
    <row r="152" spans="1:7" ht="15.75" x14ac:dyDescent="0.25">
      <c r="A152" s="1930" t="str">
        <f>A51</f>
        <v>Таблица соединений и подключений</v>
      </c>
      <c r="B152" s="1931"/>
      <c r="C152" s="1722"/>
      <c r="D152" s="1694" t="s">
        <v>66</v>
      </c>
      <c r="E152" s="1694" t="s">
        <v>65</v>
      </c>
      <c r="F152" s="1694" t="s">
        <v>64</v>
      </c>
    </row>
    <row r="153" spans="1:7" x14ac:dyDescent="0.25">
      <c r="A153" s="132" t="s">
        <v>1733</v>
      </c>
      <c r="B153" s="905" t="s">
        <v>33</v>
      </c>
      <c r="C153" s="1722"/>
      <c r="D153" s="814" t="s">
        <v>1797</v>
      </c>
      <c r="E153" s="1381"/>
      <c r="F153" s="814" t="s">
        <v>1799</v>
      </c>
      <c r="G153" s="1748" t="s">
        <v>1798</v>
      </c>
    </row>
    <row r="154" spans="1:7" x14ac:dyDescent="0.25">
      <c r="A154" s="132" t="s">
        <v>1734</v>
      </c>
      <c r="B154" s="905" t="s">
        <v>34</v>
      </c>
      <c r="C154" s="1722"/>
      <c r="D154" s="814" t="s">
        <v>1797</v>
      </c>
      <c r="E154" s="1381"/>
      <c r="F154" s="814" t="s">
        <v>1799</v>
      </c>
    </row>
    <row r="155" spans="1:7" ht="15.75" x14ac:dyDescent="0.25">
      <c r="A155" s="1930" t="str">
        <f>A54</f>
        <v>План расположения</v>
      </c>
      <c r="B155" s="1931"/>
      <c r="C155" s="1722"/>
      <c r="D155" s="1694" t="s">
        <v>66</v>
      </c>
      <c r="E155" s="1694" t="s">
        <v>65</v>
      </c>
      <c r="F155" s="1694" t="s">
        <v>64</v>
      </c>
    </row>
    <row r="156" spans="1:7" x14ac:dyDescent="0.25">
      <c r="A156" s="132" t="s">
        <v>1735</v>
      </c>
      <c r="B156" s="905" t="s">
        <v>33</v>
      </c>
      <c r="C156" s="1722"/>
      <c r="D156" s="814" t="s">
        <v>1797</v>
      </c>
      <c r="E156" s="1381"/>
      <c r="F156" s="814" t="s">
        <v>1799</v>
      </c>
      <c r="G156" t="s">
        <v>1798</v>
      </c>
    </row>
    <row r="157" spans="1:7" x14ac:dyDescent="0.25">
      <c r="A157" s="132" t="s">
        <v>1736</v>
      </c>
      <c r="B157" s="905" t="s">
        <v>34</v>
      </c>
      <c r="C157" s="1722"/>
      <c r="D157" s="814" t="s">
        <v>1797</v>
      </c>
      <c r="E157" s="1381"/>
      <c r="F157" s="814" t="s">
        <v>1799</v>
      </c>
    </row>
    <row r="158" spans="1:7" ht="15.75" x14ac:dyDescent="0.25">
      <c r="A158" s="1930" t="str">
        <f>A57</f>
        <v>Паспорт</v>
      </c>
      <c r="B158" s="1931"/>
      <c r="C158" s="1722"/>
      <c r="D158" s="1694" t="s">
        <v>66</v>
      </c>
      <c r="E158" s="1694" t="s">
        <v>65</v>
      </c>
      <c r="F158" s="1694" t="s">
        <v>64</v>
      </c>
    </row>
    <row r="159" spans="1:7" x14ac:dyDescent="0.25">
      <c r="A159" s="132" t="s">
        <v>1744</v>
      </c>
      <c r="B159" s="905" t="s">
        <v>33</v>
      </c>
      <c r="C159" s="1722"/>
      <c r="D159" s="1381"/>
      <c r="E159" s="814" t="s">
        <v>1794</v>
      </c>
      <c r="F159" s="814" t="s">
        <v>1801</v>
      </c>
    </row>
    <row r="160" spans="1:7" x14ac:dyDescent="0.25">
      <c r="A160" s="132" t="s">
        <v>1743</v>
      </c>
      <c r="B160" s="905" t="s">
        <v>34</v>
      </c>
      <c r="C160" s="1722"/>
      <c r="D160" s="1381"/>
      <c r="E160" s="814" t="s">
        <v>1794</v>
      </c>
      <c r="F160" s="814" t="s">
        <v>1802</v>
      </c>
    </row>
    <row r="161" spans="1:6" ht="15.75" x14ac:dyDescent="0.25">
      <c r="A161" s="1930" t="str">
        <f>A60</f>
        <v>ПиМИ</v>
      </c>
      <c r="B161" s="1931"/>
      <c r="C161" s="1722"/>
      <c r="D161" s="1694" t="s">
        <v>66</v>
      </c>
      <c r="E161" s="1694" t="s">
        <v>65</v>
      </c>
      <c r="F161" s="1694" t="s">
        <v>64</v>
      </c>
    </row>
    <row r="162" spans="1:6" x14ac:dyDescent="0.25">
      <c r="A162" s="132" t="s">
        <v>1742</v>
      </c>
      <c r="B162" s="905" t="s">
        <v>33</v>
      </c>
      <c r="C162" s="1722"/>
      <c r="D162" s="1381"/>
      <c r="E162" s="814" t="s">
        <v>1803</v>
      </c>
      <c r="F162" s="814" t="s">
        <v>1804</v>
      </c>
    </row>
    <row r="163" spans="1:6" x14ac:dyDescent="0.25">
      <c r="A163" s="132" t="s">
        <v>1741</v>
      </c>
      <c r="B163" s="905" t="s">
        <v>34</v>
      </c>
      <c r="C163" s="1722"/>
      <c r="D163" s="1381"/>
      <c r="E163" s="814" t="s">
        <v>1803</v>
      </c>
      <c r="F163" s="814" t="s">
        <v>1805</v>
      </c>
    </row>
    <row r="164" spans="1:6" ht="15.75" x14ac:dyDescent="0.25">
      <c r="A164" s="1930" t="str">
        <f>A63</f>
        <v>Технические условия для монтажа оборудования</v>
      </c>
      <c r="B164" s="1931"/>
      <c r="C164" s="1722"/>
      <c r="D164" s="1694" t="s">
        <v>66</v>
      </c>
      <c r="E164" s="1694" t="s">
        <v>65</v>
      </c>
      <c r="F164" s="1694" t="s">
        <v>64</v>
      </c>
    </row>
    <row r="165" spans="1:6" x14ac:dyDescent="0.25">
      <c r="A165" s="132" t="s">
        <v>1740</v>
      </c>
      <c r="B165" s="905" t="s">
        <v>33</v>
      </c>
      <c r="C165" s="1722"/>
      <c r="D165" s="1381"/>
      <c r="E165" s="1381"/>
      <c r="F165" s="1381"/>
    </row>
    <row r="166" spans="1:6" x14ac:dyDescent="0.25">
      <c r="A166" s="132" t="s">
        <v>1739</v>
      </c>
      <c r="B166" s="905" t="s">
        <v>34</v>
      </c>
      <c r="C166" s="1722"/>
      <c r="D166" s="1381"/>
      <c r="E166" s="1381"/>
      <c r="F166" s="1381"/>
    </row>
    <row r="167" spans="1:6" ht="15.75" x14ac:dyDescent="0.25">
      <c r="A167" s="1930" t="str">
        <f>A66</f>
        <v>Эскизная схема расположения оборудования</v>
      </c>
      <c r="B167" s="1931"/>
      <c r="C167" s="1722"/>
      <c r="D167" s="1694" t="s">
        <v>66</v>
      </c>
      <c r="E167" s="1694" t="s">
        <v>65</v>
      </c>
      <c r="F167" s="1694" t="s">
        <v>64</v>
      </c>
    </row>
    <row r="168" spans="1:6" x14ac:dyDescent="0.25">
      <c r="A168" s="132" t="s">
        <v>1737</v>
      </c>
      <c r="B168" s="905" t="s">
        <v>33</v>
      </c>
      <c r="C168" s="1722"/>
      <c r="D168" s="814" t="s">
        <v>1808</v>
      </c>
      <c r="E168" s="1381"/>
      <c r="F168" s="814" t="s">
        <v>1799</v>
      </c>
    </row>
    <row r="169" spans="1:6" x14ac:dyDescent="0.25">
      <c r="A169" s="132" t="s">
        <v>1738</v>
      </c>
      <c r="B169" s="905" t="s">
        <v>34</v>
      </c>
      <c r="C169" s="1722"/>
      <c r="D169" s="814" t="s">
        <v>1808</v>
      </c>
      <c r="E169" s="1381"/>
      <c r="F169" s="814" t="s">
        <v>1799</v>
      </c>
    </row>
    <row r="170" spans="1:6" ht="15.75" x14ac:dyDescent="0.25">
      <c r="A170" s="1930" t="str">
        <f>A69</f>
        <v>Сетевая схема L2</v>
      </c>
      <c r="B170" s="1931"/>
      <c r="C170" s="1722"/>
      <c r="D170" s="1694" t="s">
        <v>66</v>
      </c>
      <c r="E170" s="1694" t="s">
        <v>65</v>
      </c>
      <c r="F170" s="1694" t="s">
        <v>64</v>
      </c>
    </row>
    <row r="171" spans="1:6" x14ac:dyDescent="0.25">
      <c r="A171" s="132" t="s">
        <v>1745</v>
      </c>
      <c r="B171" s="905" t="s">
        <v>33</v>
      </c>
      <c r="C171" s="1722"/>
      <c r="D171" s="1381"/>
      <c r="E171" s="1381"/>
      <c r="F171" s="1381"/>
    </row>
    <row r="172" spans="1:6" x14ac:dyDescent="0.25">
      <c r="A172" s="132" t="s">
        <v>1746</v>
      </c>
      <c r="B172" s="905" t="s">
        <v>34</v>
      </c>
      <c r="C172" s="1722"/>
      <c r="D172" s="1381"/>
      <c r="E172" s="1381"/>
      <c r="F172" s="1381"/>
    </row>
    <row r="173" spans="1:6" ht="15.75" x14ac:dyDescent="0.25">
      <c r="A173" s="1930" t="str">
        <f>A72</f>
        <v>Сетевая схема L3</v>
      </c>
      <c r="B173" s="1931"/>
      <c r="C173" s="1722"/>
      <c r="D173" s="1694" t="s">
        <v>66</v>
      </c>
      <c r="E173" s="1694" t="s">
        <v>65</v>
      </c>
      <c r="F173" s="1694" t="s">
        <v>64</v>
      </c>
    </row>
    <row r="174" spans="1:6" x14ac:dyDescent="0.25">
      <c r="A174" s="132" t="s">
        <v>1747</v>
      </c>
      <c r="B174" s="905" t="s">
        <v>33</v>
      </c>
      <c r="C174" s="1722"/>
      <c r="D174" s="1381"/>
      <c r="E174" s="1381"/>
      <c r="F174" s="1381"/>
    </row>
    <row r="175" spans="1:6" x14ac:dyDescent="0.25">
      <c r="A175" s="132" t="s">
        <v>1748</v>
      </c>
      <c r="B175" s="905" t="s">
        <v>34</v>
      </c>
      <c r="C175" s="1722"/>
      <c r="D175" s="1381"/>
      <c r="E175" s="1381"/>
      <c r="F175" s="1381"/>
    </row>
    <row r="176" spans="1:6" ht="15.75" x14ac:dyDescent="0.25">
      <c r="A176" s="1930" t="str">
        <f>A78</f>
        <v>Принципиальная схема электропитания оборудования (СБ)</v>
      </c>
      <c r="B176" s="1931"/>
      <c r="C176" s="1722"/>
      <c r="D176" s="1694" t="s">
        <v>66</v>
      </c>
      <c r="E176" s="1694" t="s">
        <v>65</v>
      </c>
      <c r="F176" s="1694" t="s">
        <v>64</v>
      </c>
    </row>
    <row r="177" spans="1:6" x14ac:dyDescent="0.25">
      <c r="A177" s="132" t="s">
        <v>1749</v>
      </c>
      <c r="B177" s="905" t="s">
        <v>33</v>
      </c>
      <c r="C177" s="1722"/>
      <c r="D177" s="814" t="s">
        <v>1797</v>
      </c>
      <c r="E177" s="1381"/>
      <c r="F177" s="814" t="s">
        <v>1799</v>
      </c>
    </row>
    <row r="178" spans="1:6" x14ac:dyDescent="0.25">
      <c r="A178" s="132" t="s">
        <v>1750</v>
      </c>
      <c r="B178" s="905" t="s">
        <v>34</v>
      </c>
      <c r="C178" s="1722"/>
      <c r="D178" s="814" t="s">
        <v>1797</v>
      </c>
      <c r="E178" s="1381"/>
      <c r="F178" s="814" t="s">
        <v>1799</v>
      </c>
    </row>
    <row r="179" spans="1:6" ht="15.75" x14ac:dyDescent="0.25">
      <c r="A179" s="1930" t="str">
        <f>A81</f>
        <v>Схема подключения внешних проводок (С5)</v>
      </c>
      <c r="B179" s="1931"/>
      <c r="C179" s="1722"/>
      <c r="D179" s="1694" t="s">
        <v>66</v>
      </c>
      <c r="E179" s="1694" t="s">
        <v>65</v>
      </c>
      <c r="F179" s="1694" t="s">
        <v>64</v>
      </c>
    </row>
    <row r="180" spans="1:6" x14ac:dyDescent="0.25">
      <c r="A180" s="132" t="s">
        <v>1751</v>
      </c>
      <c r="B180" s="905" t="s">
        <v>33</v>
      </c>
      <c r="C180" s="1722"/>
      <c r="D180" s="814" t="s">
        <v>1797</v>
      </c>
      <c r="E180" s="1381"/>
      <c r="F180" s="814" t="s">
        <v>1799</v>
      </c>
    </row>
    <row r="181" spans="1:6" x14ac:dyDescent="0.25">
      <c r="A181" s="132" t="s">
        <v>1752</v>
      </c>
      <c r="B181" s="905" t="s">
        <v>34</v>
      </c>
      <c r="C181" s="1722"/>
      <c r="D181" s="814" t="s">
        <v>1797</v>
      </c>
      <c r="E181" s="1381"/>
      <c r="F181" s="814" t="s">
        <v>1799</v>
      </c>
    </row>
    <row r="182" spans="1:6" ht="15.75" x14ac:dyDescent="0.25">
      <c r="A182" s="1930" t="str">
        <f>A84</f>
        <v>Чертеж установки технических средств (СА)</v>
      </c>
      <c r="B182" s="1931"/>
      <c r="C182" s="1722"/>
      <c r="D182" s="1694" t="s">
        <v>66</v>
      </c>
      <c r="E182" s="1694" t="s">
        <v>65</v>
      </c>
      <c r="F182" s="1694" t="s">
        <v>64</v>
      </c>
    </row>
    <row r="183" spans="1:6" x14ac:dyDescent="0.25">
      <c r="A183" s="132" t="s">
        <v>1753</v>
      </c>
      <c r="B183" s="905" t="s">
        <v>33</v>
      </c>
      <c r="C183" s="1722"/>
      <c r="D183" s="814" t="s">
        <v>1808</v>
      </c>
      <c r="E183" s="1381"/>
      <c r="F183" s="814" t="s">
        <v>1799</v>
      </c>
    </row>
    <row r="184" spans="1:6" x14ac:dyDescent="0.25">
      <c r="A184" s="132" t="s">
        <v>1754</v>
      </c>
      <c r="B184" s="905" t="s">
        <v>34</v>
      </c>
      <c r="C184" s="1722"/>
      <c r="D184" s="814" t="s">
        <v>1808</v>
      </c>
      <c r="E184" s="1381"/>
      <c r="F184" s="814" t="s">
        <v>1799</v>
      </c>
    </row>
    <row r="185" spans="1:6" ht="15.75" x14ac:dyDescent="0.25">
      <c r="A185" s="1930" t="str">
        <f>A88</f>
        <v xml:space="preserve">Ведомость эксплуатационных документов </v>
      </c>
      <c r="B185" s="1931"/>
      <c r="C185" s="1722"/>
      <c r="D185" s="1694" t="s">
        <v>66</v>
      </c>
      <c r="E185" s="1694" t="s">
        <v>65</v>
      </c>
      <c r="F185" s="1694" t="s">
        <v>64</v>
      </c>
    </row>
    <row r="186" spans="1:6" x14ac:dyDescent="0.25">
      <c r="A186" s="132" t="s">
        <v>1755</v>
      </c>
      <c r="B186" s="905" t="s">
        <v>33</v>
      </c>
      <c r="C186" s="1722"/>
      <c r="D186" s="1381"/>
      <c r="E186" s="1381"/>
      <c r="F186" s="1381"/>
    </row>
    <row r="187" spans="1:6" x14ac:dyDescent="0.25">
      <c r="A187" s="132" t="s">
        <v>1756</v>
      </c>
      <c r="B187" s="905" t="s">
        <v>34</v>
      </c>
      <c r="C187" s="1722"/>
      <c r="D187" s="1381"/>
      <c r="E187" s="1381"/>
      <c r="F187" s="1381"/>
    </row>
    <row r="188" spans="1:6" ht="15.75" x14ac:dyDescent="0.25">
      <c r="A188" s="1930" t="str">
        <f>A91</f>
        <v>Руководство администратора</v>
      </c>
      <c r="B188" s="1931"/>
      <c r="C188" s="1722"/>
      <c r="D188" s="1694" t="s">
        <v>66</v>
      </c>
      <c r="E188" s="1694" t="s">
        <v>65</v>
      </c>
      <c r="F188" s="1694" t="s">
        <v>64</v>
      </c>
    </row>
    <row r="189" spans="1:6" x14ac:dyDescent="0.25">
      <c r="A189" s="132" t="s">
        <v>1757</v>
      </c>
      <c r="B189" s="905" t="s">
        <v>33</v>
      </c>
      <c r="C189" s="1722"/>
      <c r="D189" s="1381"/>
      <c r="E189" s="814" t="s">
        <v>1794</v>
      </c>
      <c r="F189" s="814" t="s">
        <v>1809</v>
      </c>
    </row>
    <row r="190" spans="1:6" x14ac:dyDescent="0.25">
      <c r="A190" s="132" t="s">
        <v>1758</v>
      </c>
      <c r="B190" s="905" t="s">
        <v>34</v>
      </c>
      <c r="C190" s="1722"/>
      <c r="D190" s="1381"/>
      <c r="E190" s="814" t="s">
        <v>1794</v>
      </c>
      <c r="F190" s="814" t="s">
        <v>1810</v>
      </c>
    </row>
    <row r="191" spans="1:6" ht="15.75" x14ac:dyDescent="0.25">
      <c r="A191" s="1930" t="str">
        <f>A94</f>
        <v xml:space="preserve">Руководство пользователя </v>
      </c>
      <c r="B191" s="1931"/>
      <c r="C191" s="1722"/>
      <c r="D191" s="1694" t="s">
        <v>66</v>
      </c>
      <c r="E191" s="1694" t="s">
        <v>65</v>
      </c>
      <c r="F191" s="1694" t="s">
        <v>64</v>
      </c>
    </row>
    <row r="192" spans="1:6" x14ac:dyDescent="0.25">
      <c r="A192" s="132" t="s">
        <v>1759</v>
      </c>
      <c r="B192" s="905" t="s">
        <v>33</v>
      </c>
      <c r="C192" s="1722"/>
      <c r="D192" s="1381"/>
      <c r="E192" s="1381"/>
      <c r="F192" s="814" t="s">
        <v>1805</v>
      </c>
    </row>
    <row r="193" spans="1:6" x14ac:dyDescent="0.25">
      <c r="A193" s="132" t="s">
        <v>1760</v>
      </c>
      <c r="B193" s="905" t="s">
        <v>34</v>
      </c>
      <c r="C193" s="1722"/>
      <c r="D193" s="1381"/>
      <c r="E193" s="1381"/>
      <c r="F193" s="814" t="s">
        <v>1811</v>
      </c>
    </row>
    <row r="194" spans="1:6" ht="15.75" x14ac:dyDescent="0.25">
      <c r="A194" s="1930" t="str">
        <f>A97</f>
        <v>Руководство по мониторингу</v>
      </c>
      <c r="B194" s="1931"/>
      <c r="C194" s="1722"/>
      <c r="D194" s="1694" t="s">
        <v>66</v>
      </c>
      <c r="E194" s="1694" t="s">
        <v>65</v>
      </c>
      <c r="F194" s="1694" t="s">
        <v>64</v>
      </c>
    </row>
    <row r="195" spans="1:6" x14ac:dyDescent="0.25">
      <c r="A195" s="132" t="s">
        <v>1761</v>
      </c>
      <c r="B195" s="905" t="s">
        <v>33</v>
      </c>
      <c r="C195" s="1722"/>
      <c r="D195" s="814" t="s">
        <v>1812</v>
      </c>
      <c r="E195" s="1381"/>
      <c r="F195" s="814" t="s">
        <v>1809</v>
      </c>
    </row>
    <row r="196" spans="1:6" x14ac:dyDescent="0.25">
      <c r="A196" s="132" t="s">
        <v>1762</v>
      </c>
      <c r="B196" s="905" t="s">
        <v>34</v>
      </c>
      <c r="C196" s="1722"/>
      <c r="D196" s="814" t="s">
        <v>1813</v>
      </c>
      <c r="E196" s="1381"/>
      <c r="F196" s="814" t="s">
        <v>1810</v>
      </c>
    </row>
    <row r="197" spans="1:6" ht="15.75" x14ac:dyDescent="0.25">
      <c r="A197" s="1930" t="str">
        <f>A100</f>
        <v>План резервного копирования</v>
      </c>
      <c r="B197" s="1931"/>
      <c r="C197" s="1722"/>
      <c r="D197" s="1694" t="s">
        <v>66</v>
      </c>
      <c r="E197" s="1694" t="s">
        <v>65</v>
      </c>
      <c r="F197" s="1694" t="s">
        <v>64</v>
      </c>
    </row>
    <row r="198" spans="1:6" x14ac:dyDescent="0.25">
      <c r="A198" s="132" t="s">
        <v>1763</v>
      </c>
      <c r="B198" s="905" t="s">
        <v>33</v>
      </c>
      <c r="C198" s="1722"/>
      <c r="D198" s="814" t="s">
        <v>1812</v>
      </c>
      <c r="E198" s="1381"/>
      <c r="F198" s="814" t="s">
        <v>1809</v>
      </c>
    </row>
    <row r="199" spans="1:6" x14ac:dyDescent="0.25">
      <c r="A199" s="132" t="s">
        <v>1764</v>
      </c>
      <c r="B199" s="905" t="s">
        <v>34</v>
      </c>
      <c r="C199" s="1722"/>
      <c r="D199" s="814" t="s">
        <v>1813</v>
      </c>
      <c r="E199" s="1381"/>
      <c r="F199" s="814" t="s">
        <v>1810</v>
      </c>
    </row>
    <row r="200" spans="1:6" ht="15.75" x14ac:dyDescent="0.25">
      <c r="A200" s="1930" t="str">
        <f>A103</f>
        <v>План опытной эксплуатации</v>
      </c>
      <c r="B200" s="1931"/>
      <c r="C200" s="1722"/>
      <c r="D200" s="1694" t="s">
        <v>66</v>
      </c>
      <c r="E200" s="1694" t="s">
        <v>65</v>
      </c>
      <c r="F200" s="1694" t="s">
        <v>64</v>
      </c>
    </row>
    <row r="201" spans="1:6" x14ac:dyDescent="0.25">
      <c r="A201" s="132" t="s">
        <v>1765</v>
      </c>
      <c r="B201" s="905" t="s">
        <v>33</v>
      </c>
      <c r="C201" s="1722"/>
      <c r="D201" s="1381"/>
      <c r="E201" s="1381"/>
      <c r="F201" s="814" t="s">
        <v>1809</v>
      </c>
    </row>
    <row r="202" spans="1:6" x14ac:dyDescent="0.25">
      <c r="A202" s="132" t="s">
        <v>1766</v>
      </c>
      <c r="B202" s="905" t="s">
        <v>34</v>
      </c>
      <c r="C202" s="1722"/>
      <c r="D202" s="1381"/>
      <c r="E202" s="1381"/>
      <c r="F202" s="814" t="s">
        <v>1810</v>
      </c>
    </row>
  </sheetData>
  <autoFilter ref="A2:K105" xr:uid="{00000000-0001-0000-4B00-000000000000}"/>
  <customSheetViews>
    <customSheetView guid="{B91A3F61-3B23-46E3-9B55-19B17EB6638A}" state="hidden" topLeftCell="D1">
      <selection activeCell="D2" sqref="D2"/>
      <pageMargins left="0.7" right="0.7" top="0.75" bottom="0.75" header="0.3" footer="0.3"/>
    </customSheetView>
    <customSheetView guid="{F5CB9414-DBF4-48FF-9213-FFE745451535}" state="hidden" topLeftCell="D1">
      <selection activeCell="D2" sqref="D2"/>
      <pageMargins left="0.7" right="0.7" top="0.75" bottom="0.75" header="0.3" footer="0.3"/>
    </customSheetView>
    <customSheetView guid="{A1A876F1-3EAA-4E5F-BD51-8B131AB8854B}" state="hidden" topLeftCell="D1">
      <selection activeCell="D2" sqref="D2"/>
      <pageMargins left="0.7" right="0.7" top="0.75" bottom="0.75" header="0.3" footer="0.3"/>
    </customSheetView>
    <customSheetView guid="{18A094BB-EA3E-4938-9069-21F549B37E23}" state="hidden" topLeftCell="D1">
      <selection activeCell="D2" sqref="D2"/>
      <pageMargins left="0.7" right="0.7" top="0.75" bottom="0.75" header="0.3" footer="0.3"/>
    </customSheetView>
  </customSheetViews>
  <mergeCells count="67">
    <mergeCell ref="H1:K1"/>
    <mergeCell ref="K2:K3"/>
    <mergeCell ref="A78:A80"/>
    <mergeCell ref="A81:A83"/>
    <mergeCell ref="A84:A86"/>
    <mergeCell ref="A38:A40"/>
    <mergeCell ref="A42:A44"/>
    <mergeCell ref="A45:A47"/>
    <mergeCell ref="A48:A50"/>
    <mergeCell ref="A51:A53"/>
    <mergeCell ref="A54:A56"/>
    <mergeCell ref="A19:A21"/>
    <mergeCell ref="A22:A24"/>
    <mergeCell ref="A25:A27"/>
    <mergeCell ref="A28:A30"/>
    <mergeCell ref="A31:A33"/>
    <mergeCell ref="A97:A99"/>
    <mergeCell ref="A100:A102"/>
    <mergeCell ref="A103:A105"/>
    <mergeCell ref="A57:A59"/>
    <mergeCell ref="A60:A62"/>
    <mergeCell ref="A75:A77"/>
    <mergeCell ref="A88:A90"/>
    <mergeCell ref="A91:A93"/>
    <mergeCell ref="A94:A96"/>
    <mergeCell ref="A63:A65"/>
    <mergeCell ref="A66:A68"/>
    <mergeCell ref="A69:A71"/>
    <mergeCell ref="A72:A74"/>
    <mergeCell ref="A34:A36"/>
    <mergeCell ref="A16:A18"/>
    <mergeCell ref="D1:G1"/>
    <mergeCell ref="C2:C3"/>
    <mergeCell ref="G2:G3"/>
    <mergeCell ref="A8:A10"/>
    <mergeCell ref="A12:A14"/>
    <mergeCell ref="A5:A7"/>
    <mergeCell ref="A113:B113"/>
    <mergeCell ref="A116:B116"/>
    <mergeCell ref="A119:B119"/>
    <mergeCell ref="A122:B122"/>
    <mergeCell ref="A125:B125"/>
    <mergeCell ref="A128:B128"/>
    <mergeCell ref="A131:B131"/>
    <mergeCell ref="A134:B134"/>
    <mergeCell ref="A137:B137"/>
    <mergeCell ref="A140:B140"/>
    <mergeCell ref="A143:B143"/>
    <mergeCell ref="A146:B146"/>
    <mergeCell ref="A149:B149"/>
    <mergeCell ref="A152:B152"/>
    <mergeCell ref="A155:B155"/>
    <mergeCell ref="A158:B158"/>
    <mergeCell ref="A161:B161"/>
    <mergeCell ref="A164:B164"/>
    <mergeCell ref="A167:B167"/>
    <mergeCell ref="A170:B170"/>
    <mergeCell ref="A173:B173"/>
    <mergeCell ref="A176:B176"/>
    <mergeCell ref="A179:B179"/>
    <mergeCell ref="A182:B182"/>
    <mergeCell ref="A185:B185"/>
    <mergeCell ref="A188:B188"/>
    <mergeCell ref="A191:B191"/>
    <mergeCell ref="A194:B194"/>
    <mergeCell ref="A197:B197"/>
    <mergeCell ref="A200:B200"/>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Лист28"/>
  <dimension ref="A1:S108"/>
  <sheetViews>
    <sheetView topLeftCell="A55" zoomScale="70" zoomScaleNormal="70" workbookViewId="0">
      <selection activeCell="D12" sqref="D12:D14"/>
    </sheetView>
  </sheetViews>
  <sheetFormatPr defaultRowHeight="15" x14ac:dyDescent="0.25"/>
  <cols>
    <col min="1" max="1" width="61.140625" bestFit="1" customWidth="1"/>
    <col min="2" max="2" width="23.5703125" bestFit="1" customWidth="1"/>
    <col min="4" max="4" width="31.28515625" bestFit="1" customWidth="1"/>
    <col min="5" max="5" width="32.28515625" bestFit="1" customWidth="1"/>
    <col min="6" max="6" width="33.140625" bestFit="1" customWidth="1"/>
    <col min="7" max="7" width="7.5703125" bestFit="1" customWidth="1"/>
    <col min="8" max="8" width="31.28515625" bestFit="1" customWidth="1"/>
    <col min="9" max="9" width="32.28515625" bestFit="1" customWidth="1"/>
    <col min="10" max="10" width="33.140625" bestFit="1" customWidth="1"/>
    <col min="11" max="11" width="7.5703125" bestFit="1" customWidth="1"/>
    <col min="12" max="12" width="31.28515625" bestFit="1" customWidth="1"/>
    <col min="13" max="13" width="32.28515625" bestFit="1" customWidth="1"/>
    <col min="14" max="14" width="33.140625" bestFit="1" customWidth="1"/>
    <col min="15" max="15" width="7.5703125" bestFit="1" customWidth="1"/>
    <col min="16" max="16" width="31.28515625" bestFit="1" customWidth="1"/>
    <col min="17" max="17" width="32.28515625" bestFit="1" customWidth="1"/>
    <col min="18" max="18" width="33.140625" bestFit="1" customWidth="1"/>
    <col min="19" max="19" width="7.5703125" bestFit="1" customWidth="1"/>
  </cols>
  <sheetData>
    <row r="1" spans="1:19" ht="15.75" x14ac:dyDescent="0.25">
      <c r="A1" s="465" t="s">
        <v>91</v>
      </c>
      <c r="B1" s="35"/>
      <c r="C1" s="43"/>
      <c r="D1" s="1980" t="s">
        <v>380</v>
      </c>
      <c r="E1" s="1947"/>
      <c r="F1" s="1947"/>
      <c r="G1" s="1947"/>
      <c r="H1" s="1980" t="s">
        <v>381</v>
      </c>
      <c r="I1" s="1947"/>
      <c r="J1" s="1947"/>
      <c r="K1" s="1947"/>
      <c r="L1" s="1980" t="s">
        <v>384</v>
      </c>
      <c r="M1" s="2315"/>
      <c r="N1" s="2315"/>
      <c r="O1" s="294"/>
      <c r="P1" s="1980" t="s">
        <v>382</v>
      </c>
      <c r="Q1" s="1947"/>
      <c r="R1" s="1947"/>
      <c r="S1" s="1947"/>
    </row>
    <row r="2" spans="1:19" s="118" customFormat="1" ht="47.25" x14ac:dyDescent="0.25">
      <c r="B2" s="119" t="s">
        <v>37</v>
      </c>
      <c r="C2" s="120" t="s">
        <v>35</v>
      </c>
      <c r="D2" s="547" t="s">
        <v>586</v>
      </c>
      <c r="E2" s="548" t="s">
        <v>585</v>
      </c>
      <c r="F2" s="548" t="s">
        <v>536</v>
      </c>
      <c r="G2" s="121" t="s">
        <v>38</v>
      </c>
      <c r="H2" s="547" t="s">
        <v>586</v>
      </c>
      <c r="I2" s="548" t="s">
        <v>585</v>
      </c>
      <c r="J2" s="548" t="s">
        <v>536</v>
      </c>
      <c r="K2" s="121" t="s">
        <v>38</v>
      </c>
      <c r="L2" s="547" t="s">
        <v>586</v>
      </c>
      <c r="M2" s="548" t="s">
        <v>585</v>
      </c>
      <c r="N2" s="548" t="s">
        <v>536</v>
      </c>
      <c r="O2" s="121" t="s">
        <v>38</v>
      </c>
      <c r="P2" s="547" t="s">
        <v>586</v>
      </c>
      <c r="Q2" s="548" t="s">
        <v>585</v>
      </c>
      <c r="R2" s="548" t="s">
        <v>536</v>
      </c>
      <c r="S2" s="121" t="s">
        <v>38</v>
      </c>
    </row>
    <row r="3" spans="1:19" ht="16.5" thickBot="1" x14ac:dyDescent="0.3">
      <c r="A3" s="12" t="s">
        <v>36</v>
      </c>
      <c r="B3" s="42">
        <f>ТрЗ_ОП!F5</f>
        <v>1</v>
      </c>
      <c r="D3" s="37">
        <f>INDEX(ТрЗ_ОП!$P$11:$P$102,MATCH(D2,ТрЗ_ОП!$O$11:$O$102,0))</f>
        <v>0</v>
      </c>
      <c r="E3" s="37">
        <f>INDEX(ТрЗ_ОП!$P$11:$P$102,MATCH(E2,ТрЗ_ОП!$O$11:$O$102,0))</f>
        <v>0</v>
      </c>
      <c r="F3" s="37">
        <f>INDEX(ТрЗ_ОП!$P$11:$P$102,MATCH(F2,ТрЗ_ОП!$O$11:$O$102,0))</f>
        <v>0</v>
      </c>
      <c r="H3" s="37">
        <f>INDEX(ТрЗ_ОП!$P$11:$P$102,MATCH(H2,ТрЗ_ОП!$O$11:$O$102,0))</f>
        <v>0</v>
      </c>
      <c r="I3" s="37">
        <f>INDEX(ТрЗ_ОП!$P$11:$P$102,MATCH(I2,ТрЗ_ОП!$O$11:$O$102,0))</f>
        <v>0</v>
      </c>
      <c r="J3" s="37">
        <f>INDEX(ТрЗ_ОП!$P$11:$P$102,MATCH(J2,ТрЗ_ОП!$O$11:$O$102,0))</f>
        <v>0</v>
      </c>
      <c r="L3" s="37">
        <f>INDEX(ТрЗ_ОП!$P$11:$P$102,MATCH(L2,ТрЗ_ОП!$O$11:$O$102,0))</f>
        <v>0</v>
      </c>
      <c r="M3" s="37">
        <f>INDEX(ТрЗ_ОП!$P$11:$P$102,MATCH(M2,ТрЗ_ОП!$O$11:$O$102,0))</f>
        <v>0</v>
      </c>
      <c r="N3" s="37">
        <f>INDEX(ТрЗ_ОП!$P$11:$P$102,MATCH(N2,ТрЗ_ОП!$O$11:$O$102,0))</f>
        <v>0</v>
      </c>
      <c r="P3" s="37">
        <f>INDEX(ТрЗ_ОП!$P$11:$P$102,MATCH(P2,ТрЗ_ОП!$O$11:$O$102,0))</f>
        <v>0</v>
      </c>
      <c r="Q3" s="37">
        <f>INDEX(ТрЗ_ОП!$P$11:$P$102,MATCH(Q2,ТрЗ_ОП!$O$11:$O$102,0))</f>
        <v>0</v>
      </c>
      <c r="R3" s="37">
        <f>INDEX(ТрЗ_ОП!$P$11:$P$102,MATCH(R2,ТрЗ_ОП!$O$11:$O$102,0))</f>
        <v>0</v>
      </c>
    </row>
    <row r="4" spans="1:19" ht="16.5" thickBot="1" x14ac:dyDescent="0.3">
      <c r="A4" s="326" t="s">
        <v>448</v>
      </c>
      <c r="B4" s="327"/>
      <c r="C4" s="327"/>
      <c r="D4" s="327"/>
      <c r="E4" s="327"/>
      <c r="F4" s="327"/>
      <c r="G4" s="327"/>
      <c r="H4" s="327"/>
      <c r="I4" s="327"/>
      <c r="J4" s="327"/>
      <c r="K4" s="327"/>
      <c r="L4" s="327"/>
      <c r="M4" s="327"/>
      <c r="N4" s="327"/>
      <c r="O4" s="327"/>
      <c r="P4" s="327"/>
      <c r="Q4" s="327"/>
      <c r="R4" s="327"/>
      <c r="S4" s="396"/>
    </row>
    <row r="5" spans="1:19" ht="15.6" customHeight="1" x14ac:dyDescent="0.25">
      <c r="A5" s="2316" t="s">
        <v>0</v>
      </c>
      <c r="B5" s="404" t="s">
        <v>32</v>
      </c>
      <c r="C5" s="324"/>
      <c r="D5" s="405">
        <v>2</v>
      </c>
      <c r="E5" s="425">
        <f t="shared" ref="E5:E10" si="0">0.5*E$3</f>
        <v>0</v>
      </c>
      <c r="F5" s="405">
        <v>0</v>
      </c>
      <c r="G5" s="230">
        <f xml:space="preserve"> SUM(D5:F5) + $C5</f>
        <v>2</v>
      </c>
      <c r="H5" s="661">
        <v>2</v>
      </c>
      <c r="I5" s="676">
        <f t="shared" ref="I5:I10" si="1">0.5*I$3</f>
        <v>0</v>
      </c>
      <c r="J5" s="661">
        <v>0</v>
      </c>
      <c r="K5" s="230">
        <f t="shared" ref="K5:K10" si="2" xml:space="preserve"> SUM(H5:J5) + $C5</f>
        <v>2</v>
      </c>
      <c r="L5" s="661">
        <v>2</v>
      </c>
      <c r="M5" s="676">
        <f t="shared" ref="M5:M10" si="3">0.5*M$3</f>
        <v>0</v>
      </c>
      <c r="N5" s="661">
        <v>0</v>
      </c>
      <c r="O5" s="230">
        <f t="shared" ref="O5:O10" si="4" xml:space="preserve"> SUM(L5:N5) + $C5</f>
        <v>2</v>
      </c>
      <c r="P5" s="661">
        <v>2</v>
      </c>
      <c r="Q5" s="676">
        <f t="shared" ref="Q5:Q10" si="5">0.5*Q$3</f>
        <v>0</v>
      </c>
      <c r="R5" s="661">
        <v>0</v>
      </c>
      <c r="S5" s="230">
        <f t="shared" ref="S5:S10" si="6" xml:space="preserve"> SUM(P5:R5) + $C5</f>
        <v>2</v>
      </c>
    </row>
    <row r="6" spans="1:19" x14ac:dyDescent="0.25">
      <c r="A6" s="2313"/>
      <c r="B6" s="19" t="s">
        <v>33</v>
      </c>
      <c r="C6" s="22"/>
      <c r="D6" s="11">
        <v>4</v>
      </c>
      <c r="E6" s="122">
        <f t="shared" si="0"/>
        <v>0</v>
      </c>
      <c r="F6" s="11">
        <v>0</v>
      </c>
      <c r="G6" s="21">
        <f xml:space="preserve"> SUM(D6:F6) + $C6</f>
        <v>4</v>
      </c>
      <c r="H6" s="615">
        <v>4</v>
      </c>
      <c r="I6" s="628">
        <f t="shared" si="1"/>
        <v>0</v>
      </c>
      <c r="J6" s="615">
        <v>0</v>
      </c>
      <c r="K6" s="21">
        <f t="shared" si="2"/>
        <v>4</v>
      </c>
      <c r="L6" s="615">
        <v>4</v>
      </c>
      <c r="M6" s="628">
        <f t="shared" si="3"/>
        <v>0</v>
      </c>
      <c r="N6" s="615">
        <v>0</v>
      </c>
      <c r="O6" s="21">
        <f t="shared" si="4"/>
        <v>4</v>
      </c>
      <c r="P6" s="615">
        <v>4</v>
      </c>
      <c r="Q6" s="628">
        <f t="shared" si="5"/>
        <v>0</v>
      </c>
      <c r="R6" s="615">
        <v>0</v>
      </c>
      <c r="S6" s="21">
        <f t="shared" si="6"/>
        <v>4</v>
      </c>
    </row>
    <row r="7" spans="1:19" x14ac:dyDescent="0.25">
      <c r="A7" s="2317"/>
      <c r="B7" s="19" t="s">
        <v>34</v>
      </c>
      <c r="C7" s="22"/>
      <c r="D7" s="11">
        <v>8</v>
      </c>
      <c r="E7" s="122">
        <f t="shared" si="0"/>
        <v>0</v>
      </c>
      <c r="F7" s="11">
        <v>0</v>
      </c>
      <c r="G7" s="21">
        <f xml:space="preserve"> SUM(D7:F7) + $C7</f>
        <v>8</v>
      </c>
      <c r="H7" s="615">
        <v>8</v>
      </c>
      <c r="I7" s="628">
        <f t="shared" si="1"/>
        <v>0</v>
      </c>
      <c r="J7" s="615">
        <v>0</v>
      </c>
      <c r="K7" s="21">
        <f t="shared" si="2"/>
        <v>8</v>
      </c>
      <c r="L7" s="615">
        <v>8</v>
      </c>
      <c r="M7" s="628">
        <f t="shared" si="3"/>
        <v>0</v>
      </c>
      <c r="N7" s="615">
        <v>0</v>
      </c>
      <c r="O7" s="21">
        <f t="shared" si="4"/>
        <v>8</v>
      </c>
      <c r="P7" s="615">
        <v>8</v>
      </c>
      <c r="Q7" s="628">
        <f t="shared" si="5"/>
        <v>0</v>
      </c>
      <c r="R7" s="615">
        <v>0</v>
      </c>
      <c r="S7" s="77">
        <f t="shared" si="6"/>
        <v>8</v>
      </c>
    </row>
    <row r="8" spans="1:19" ht="15.6" customHeight="1" x14ac:dyDescent="0.25">
      <c r="A8" s="2313" t="s">
        <v>449</v>
      </c>
      <c r="B8" s="404" t="s">
        <v>32</v>
      </c>
      <c r="C8" s="324"/>
      <c r="D8" s="661">
        <v>2</v>
      </c>
      <c r="E8" s="425">
        <f t="shared" si="0"/>
        <v>0</v>
      </c>
      <c r="F8" s="405">
        <v>0</v>
      </c>
      <c r="G8" s="230">
        <f xml:space="preserve"> SUM(D8:F8) + $C8</f>
        <v>2</v>
      </c>
      <c r="H8" s="661">
        <v>2</v>
      </c>
      <c r="I8" s="676">
        <f t="shared" si="1"/>
        <v>0</v>
      </c>
      <c r="J8" s="661">
        <v>0</v>
      </c>
      <c r="K8" s="230">
        <f t="shared" si="2"/>
        <v>2</v>
      </c>
      <c r="L8" s="661">
        <v>2</v>
      </c>
      <c r="M8" s="676">
        <f t="shared" si="3"/>
        <v>0</v>
      </c>
      <c r="N8" s="661">
        <v>0</v>
      </c>
      <c r="O8" s="230">
        <f t="shared" si="4"/>
        <v>2</v>
      </c>
      <c r="P8" s="661">
        <v>2</v>
      </c>
      <c r="Q8" s="676">
        <f t="shared" si="5"/>
        <v>0</v>
      </c>
      <c r="R8" s="661">
        <v>0</v>
      </c>
      <c r="S8" s="230">
        <f t="shared" si="6"/>
        <v>2</v>
      </c>
    </row>
    <row r="9" spans="1:19" x14ac:dyDescent="0.25">
      <c r="A9" s="2313"/>
      <c r="B9" s="19" t="s">
        <v>33</v>
      </c>
      <c r="C9" s="22"/>
      <c r="D9" s="615">
        <v>4</v>
      </c>
      <c r="E9" s="122">
        <f t="shared" si="0"/>
        <v>0</v>
      </c>
      <c r="F9" s="11">
        <v>0</v>
      </c>
      <c r="G9" s="21">
        <f t="shared" ref="G9:G93" si="7" xml:space="preserve"> SUM(D9:F9) + $C9</f>
        <v>4</v>
      </c>
      <c r="H9" s="615">
        <v>4</v>
      </c>
      <c r="I9" s="628">
        <f t="shared" si="1"/>
        <v>0</v>
      </c>
      <c r="J9" s="615">
        <v>0</v>
      </c>
      <c r="K9" s="21">
        <f t="shared" si="2"/>
        <v>4</v>
      </c>
      <c r="L9" s="615">
        <v>4</v>
      </c>
      <c r="M9" s="628">
        <f t="shared" si="3"/>
        <v>0</v>
      </c>
      <c r="N9" s="615">
        <v>0</v>
      </c>
      <c r="O9" s="21">
        <f t="shared" si="4"/>
        <v>4</v>
      </c>
      <c r="P9" s="615">
        <v>4</v>
      </c>
      <c r="Q9" s="628">
        <f t="shared" si="5"/>
        <v>0</v>
      </c>
      <c r="R9" s="615">
        <v>0</v>
      </c>
      <c r="S9" s="21">
        <f t="shared" si="6"/>
        <v>4</v>
      </c>
    </row>
    <row r="10" spans="1:19" ht="15.75" thickBot="1" x14ac:dyDescent="0.3">
      <c r="A10" s="2314"/>
      <c r="B10" s="13" t="s">
        <v>34</v>
      </c>
      <c r="C10" s="34"/>
      <c r="D10" s="615">
        <v>8</v>
      </c>
      <c r="E10" s="426">
        <f t="shared" si="0"/>
        <v>0</v>
      </c>
      <c r="F10" s="422">
        <v>0</v>
      </c>
      <c r="G10" s="77">
        <f t="shared" si="7"/>
        <v>8</v>
      </c>
      <c r="H10" s="615">
        <v>8</v>
      </c>
      <c r="I10" s="677">
        <f t="shared" si="1"/>
        <v>0</v>
      </c>
      <c r="J10" s="673">
        <v>0</v>
      </c>
      <c r="K10" s="77">
        <f t="shared" si="2"/>
        <v>8</v>
      </c>
      <c r="L10" s="615">
        <v>8</v>
      </c>
      <c r="M10" s="677">
        <f t="shared" si="3"/>
        <v>0</v>
      </c>
      <c r="N10" s="673">
        <v>0</v>
      </c>
      <c r="O10" s="77">
        <f t="shared" si="4"/>
        <v>8</v>
      </c>
      <c r="P10" s="615">
        <v>8</v>
      </c>
      <c r="Q10" s="677">
        <f t="shared" si="5"/>
        <v>0</v>
      </c>
      <c r="R10" s="673">
        <v>0</v>
      </c>
      <c r="S10" s="77">
        <f t="shared" si="6"/>
        <v>8</v>
      </c>
    </row>
    <row r="11" spans="1:19" ht="16.5" thickBot="1" x14ac:dyDescent="0.3">
      <c r="A11" s="326" t="s">
        <v>1</v>
      </c>
      <c r="B11" s="327"/>
      <c r="C11" s="327"/>
      <c r="D11" s="327"/>
      <c r="E11" s="327"/>
      <c r="F11" s="327"/>
      <c r="G11" s="329"/>
      <c r="H11" s="327"/>
      <c r="I11" s="327"/>
      <c r="J11" s="327"/>
      <c r="K11" s="329"/>
      <c r="L11" s="327"/>
      <c r="M11" s="327"/>
      <c r="N11" s="327"/>
      <c r="O11" s="329"/>
      <c r="P11" s="327"/>
      <c r="Q11" s="327"/>
      <c r="R11" s="327"/>
      <c r="S11" s="328"/>
    </row>
    <row r="12" spans="1:19" ht="15.6" customHeight="1" x14ac:dyDescent="0.25">
      <c r="A12" s="2316" t="s">
        <v>2</v>
      </c>
      <c r="B12" s="404" t="s">
        <v>32</v>
      </c>
      <c r="C12" s="324"/>
      <c r="D12" s="405">
        <v>24</v>
      </c>
      <c r="E12" s="423">
        <f>4*E$3</f>
        <v>0</v>
      </c>
      <c r="F12" s="405">
        <v>0</v>
      </c>
      <c r="G12" s="230">
        <f t="shared" si="7"/>
        <v>24</v>
      </c>
      <c r="H12" s="661">
        <v>24</v>
      </c>
      <c r="I12" s="674">
        <f>4*I$3</f>
        <v>0</v>
      </c>
      <c r="J12" s="661">
        <v>0</v>
      </c>
      <c r="K12" s="230">
        <f xml:space="preserve"> SUM(H12:J12) + $C12</f>
        <v>24</v>
      </c>
      <c r="L12" s="661">
        <v>24</v>
      </c>
      <c r="M12" s="674">
        <f>4*M$3</f>
        <v>0</v>
      </c>
      <c r="N12" s="661">
        <v>0</v>
      </c>
      <c r="O12" s="230">
        <f xml:space="preserve"> SUM(L12:N12) + $C12</f>
        <v>24</v>
      </c>
      <c r="P12" s="661">
        <v>24</v>
      </c>
      <c r="Q12" s="674">
        <f>4*Q$3</f>
        <v>0</v>
      </c>
      <c r="R12" s="661">
        <v>0</v>
      </c>
      <c r="S12" s="230">
        <f xml:space="preserve"> SUM(P12:R12) + $C12</f>
        <v>24</v>
      </c>
    </row>
    <row r="13" spans="1:19" x14ac:dyDescent="0.25">
      <c r="A13" s="2313"/>
      <c r="B13" s="19" t="s">
        <v>33</v>
      </c>
      <c r="C13" s="22"/>
      <c r="D13" s="11">
        <v>32</v>
      </c>
      <c r="E13" s="674">
        <f>4*E$3</f>
        <v>0</v>
      </c>
      <c r="F13" s="11">
        <v>0</v>
      </c>
      <c r="G13" s="21">
        <f t="shared" si="7"/>
        <v>32</v>
      </c>
      <c r="H13" s="615">
        <v>32</v>
      </c>
      <c r="I13" s="674">
        <f>4*I$3</f>
        <v>0</v>
      </c>
      <c r="J13" s="615">
        <v>0</v>
      </c>
      <c r="K13" s="21">
        <f xml:space="preserve"> SUM(H13:J13) + $C13</f>
        <v>32</v>
      </c>
      <c r="L13" s="615">
        <v>32</v>
      </c>
      <c r="M13" s="674">
        <f>4*M$3</f>
        <v>0</v>
      </c>
      <c r="N13" s="615">
        <v>0</v>
      </c>
      <c r="O13" s="21">
        <f xml:space="preserve"> SUM(L13:N13) + $C13</f>
        <v>32</v>
      </c>
      <c r="P13" s="615">
        <v>32</v>
      </c>
      <c r="Q13" s="674">
        <f>4*Q$3</f>
        <v>0</v>
      </c>
      <c r="R13" s="615">
        <v>0</v>
      </c>
      <c r="S13" s="21">
        <f xml:space="preserve"> SUM(P13:R13) + $C13</f>
        <v>32</v>
      </c>
    </row>
    <row r="14" spans="1:19" ht="15.75" thickBot="1" x14ac:dyDescent="0.3">
      <c r="A14" s="2314"/>
      <c r="B14" s="13" t="s">
        <v>34</v>
      </c>
      <c r="C14" s="34"/>
      <c r="D14" s="422">
        <v>40</v>
      </c>
      <c r="E14" s="674">
        <f>4*E$3</f>
        <v>0</v>
      </c>
      <c r="F14" s="422">
        <v>0</v>
      </c>
      <c r="G14" s="77">
        <f t="shared" si="7"/>
        <v>40</v>
      </c>
      <c r="H14" s="673">
        <v>40</v>
      </c>
      <c r="I14" s="674">
        <f>4*I$3</f>
        <v>0</v>
      </c>
      <c r="J14" s="673">
        <v>0</v>
      </c>
      <c r="K14" s="77">
        <f xml:space="preserve"> SUM(H14:J14) + $C14</f>
        <v>40</v>
      </c>
      <c r="L14" s="673">
        <v>40</v>
      </c>
      <c r="M14" s="674">
        <f>4*M$3</f>
        <v>0</v>
      </c>
      <c r="N14" s="673">
        <v>0</v>
      </c>
      <c r="O14" s="77">
        <f xml:space="preserve"> SUM(L14:N14) + $C14</f>
        <v>40</v>
      </c>
      <c r="P14" s="673">
        <v>40</v>
      </c>
      <c r="Q14" s="674">
        <f>4*Q$3</f>
        <v>0</v>
      </c>
      <c r="R14" s="673">
        <v>0</v>
      </c>
      <c r="S14" s="77">
        <f xml:space="preserve"> SUM(P14:R14) + $C14</f>
        <v>40</v>
      </c>
    </row>
    <row r="15" spans="1:19" ht="16.5" thickBot="1" x14ac:dyDescent="0.3">
      <c r="A15" s="330" t="s">
        <v>3</v>
      </c>
      <c r="B15" s="329"/>
      <c r="C15" s="329"/>
      <c r="D15" s="329"/>
      <c r="E15" s="329"/>
      <c r="F15" s="329"/>
      <c r="G15" s="329"/>
      <c r="H15" s="329"/>
      <c r="I15" s="329"/>
      <c r="J15" s="329"/>
      <c r="K15" s="329"/>
      <c r="L15" s="329"/>
      <c r="M15" s="329"/>
      <c r="N15" s="329"/>
      <c r="O15" s="329"/>
      <c r="P15" s="329"/>
      <c r="Q15" s="329"/>
      <c r="R15" s="329"/>
      <c r="S15" s="328"/>
    </row>
    <row r="16" spans="1:19" ht="15.6" customHeight="1" x14ac:dyDescent="0.25">
      <c r="A16" s="2316" t="s">
        <v>4</v>
      </c>
      <c r="B16" s="325" t="s">
        <v>32</v>
      </c>
      <c r="C16" s="324"/>
      <c r="D16" s="427">
        <v>0.25</v>
      </c>
      <c r="E16" s="400">
        <v>0</v>
      </c>
      <c r="F16" s="428">
        <v>0</v>
      </c>
      <c r="G16" s="230">
        <f t="shared" si="7"/>
        <v>0.25</v>
      </c>
      <c r="H16" s="678">
        <v>0.25</v>
      </c>
      <c r="I16" s="710">
        <v>0</v>
      </c>
      <c r="J16" s="679">
        <v>0</v>
      </c>
      <c r="K16" s="230">
        <f t="shared" ref="K16:K36" si="8" xml:space="preserve"> SUM(H16:J16) + $C16</f>
        <v>0.25</v>
      </c>
      <c r="L16" s="678">
        <v>0.25</v>
      </c>
      <c r="M16" s="710">
        <v>0</v>
      </c>
      <c r="N16" s="679">
        <v>0</v>
      </c>
      <c r="O16" s="230">
        <f t="shared" ref="O16:O36" si="9" xml:space="preserve"> SUM(L16:N16) + $C16</f>
        <v>0.25</v>
      </c>
      <c r="P16" s="678">
        <v>0.25</v>
      </c>
      <c r="Q16" s="710">
        <v>0</v>
      </c>
      <c r="R16" s="679">
        <v>0</v>
      </c>
      <c r="S16" s="230">
        <f t="shared" ref="S16:S36" si="10" xml:space="preserve"> SUM(P16:R16) + $C16</f>
        <v>0.25</v>
      </c>
    </row>
    <row r="17" spans="1:19" x14ac:dyDescent="0.25">
      <c r="A17" s="2313"/>
      <c r="B17" s="18" t="s">
        <v>33</v>
      </c>
      <c r="C17" s="22"/>
      <c r="D17" s="38">
        <v>0.25</v>
      </c>
      <c r="E17" s="15">
        <v>0</v>
      </c>
      <c r="F17" s="33">
        <v>0</v>
      </c>
      <c r="G17" s="21">
        <f t="shared" si="7"/>
        <v>0.25</v>
      </c>
      <c r="H17" s="625">
        <v>0.25</v>
      </c>
      <c r="I17" s="616">
        <v>0</v>
      </c>
      <c r="J17" s="623">
        <v>0</v>
      </c>
      <c r="K17" s="21">
        <f t="shared" si="8"/>
        <v>0.25</v>
      </c>
      <c r="L17" s="625">
        <v>0.25</v>
      </c>
      <c r="M17" s="616">
        <v>0</v>
      </c>
      <c r="N17" s="623">
        <v>0</v>
      </c>
      <c r="O17" s="21">
        <f t="shared" si="9"/>
        <v>0.25</v>
      </c>
      <c r="P17" s="625">
        <v>0.25</v>
      </c>
      <c r="Q17" s="616">
        <v>0</v>
      </c>
      <c r="R17" s="623">
        <v>0</v>
      </c>
      <c r="S17" s="21">
        <f t="shared" si="10"/>
        <v>0.25</v>
      </c>
    </row>
    <row r="18" spans="1:19" x14ac:dyDescent="0.25">
      <c r="A18" s="2317"/>
      <c r="B18" s="18" t="s">
        <v>34</v>
      </c>
      <c r="C18" s="22"/>
      <c r="D18" s="38">
        <v>0.25</v>
      </c>
      <c r="E18" s="15">
        <v>0</v>
      </c>
      <c r="F18" s="33">
        <v>0</v>
      </c>
      <c r="G18" s="21">
        <f t="shared" si="7"/>
        <v>0.25</v>
      </c>
      <c r="H18" s="625">
        <v>0.25</v>
      </c>
      <c r="I18" s="616">
        <v>0</v>
      </c>
      <c r="J18" s="623">
        <v>0</v>
      </c>
      <c r="K18" s="21">
        <f t="shared" si="8"/>
        <v>0.25</v>
      </c>
      <c r="L18" s="625">
        <v>0.25</v>
      </c>
      <c r="M18" s="616">
        <v>0</v>
      </c>
      <c r="N18" s="623">
        <v>0</v>
      </c>
      <c r="O18" s="21">
        <f t="shared" si="9"/>
        <v>0.25</v>
      </c>
      <c r="P18" s="625">
        <v>0.25</v>
      </c>
      <c r="Q18" s="616">
        <v>0</v>
      </c>
      <c r="R18" s="623">
        <v>0</v>
      </c>
      <c r="S18" s="21">
        <f t="shared" si="10"/>
        <v>0.25</v>
      </c>
    </row>
    <row r="19" spans="1:19" ht="15.6" customHeight="1" x14ac:dyDescent="0.25">
      <c r="A19" s="2318" t="s">
        <v>5</v>
      </c>
      <c r="B19" s="19" t="s">
        <v>32</v>
      </c>
      <c r="C19" s="22"/>
      <c r="D19" s="625">
        <v>1</v>
      </c>
      <c r="E19" s="616">
        <v>0</v>
      </c>
      <c r="F19" s="623">
        <v>0</v>
      </c>
      <c r="G19" s="21">
        <f t="shared" si="7"/>
        <v>1</v>
      </c>
      <c r="H19" s="625">
        <v>1</v>
      </c>
      <c r="I19" s="616">
        <v>0</v>
      </c>
      <c r="J19" s="623">
        <v>0</v>
      </c>
      <c r="K19" s="21">
        <f t="shared" si="8"/>
        <v>1</v>
      </c>
      <c r="L19" s="625">
        <v>1</v>
      </c>
      <c r="M19" s="616">
        <v>0</v>
      </c>
      <c r="N19" s="623">
        <v>0</v>
      </c>
      <c r="O19" s="21">
        <f t="shared" si="9"/>
        <v>1</v>
      </c>
      <c r="P19" s="625">
        <v>1</v>
      </c>
      <c r="Q19" s="616">
        <v>0</v>
      </c>
      <c r="R19" s="623">
        <v>0</v>
      </c>
      <c r="S19" s="21">
        <f t="shared" si="10"/>
        <v>1</v>
      </c>
    </row>
    <row r="20" spans="1:19" x14ac:dyDescent="0.25">
      <c r="A20" s="2313"/>
      <c r="B20" s="19" t="s">
        <v>33</v>
      </c>
      <c r="C20" s="22"/>
      <c r="D20" s="625">
        <v>2</v>
      </c>
      <c r="E20" s="616">
        <v>0</v>
      </c>
      <c r="F20" s="623">
        <v>0</v>
      </c>
      <c r="G20" s="21">
        <f t="shared" si="7"/>
        <v>2</v>
      </c>
      <c r="H20" s="625">
        <v>2</v>
      </c>
      <c r="I20" s="616">
        <v>0</v>
      </c>
      <c r="J20" s="623">
        <v>0</v>
      </c>
      <c r="K20" s="21">
        <f t="shared" si="8"/>
        <v>2</v>
      </c>
      <c r="L20" s="625">
        <v>2</v>
      </c>
      <c r="M20" s="616">
        <v>0</v>
      </c>
      <c r="N20" s="623">
        <v>0</v>
      </c>
      <c r="O20" s="21">
        <f t="shared" si="9"/>
        <v>2</v>
      </c>
      <c r="P20" s="625">
        <v>2</v>
      </c>
      <c r="Q20" s="616">
        <v>0</v>
      </c>
      <c r="R20" s="623">
        <v>0</v>
      </c>
      <c r="S20" s="21">
        <f t="shared" si="10"/>
        <v>2</v>
      </c>
    </row>
    <row r="21" spans="1:19" x14ac:dyDescent="0.25">
      <c r="A21" s="2317"/>
      <c r="B21" s="19" t="s">
        <v>34</v>
      </c>
      <c r="C21" s="22"/>
      <c r="D21" s="625">
        <v>3</v>
      </c>
      <c r="E21" s="616">
        <v>0</v>
      </c>
      <c r="F21" s="623">
        <v>0</v>
      </c>
      <c r="G21" s="21">
        <f t="shared" si="7"/>
        <v>3</v>
      </c>
      <c r="H21" s="625">
        <v>3</v>
      </c>
      <c r="I21" s="616">
        <v>0</v>
      </c>
      <c r="J21" s="623">
        <v>0</v>
      </c>
      <c r="K21" s="21">
        <f t="shared" si="8"/>
        <v>3</v>
      </c>
      <c r="L21" s="625">
        <v>3</v>
      </c>
      <c r="M21" s="616">
        <v>0</v>
      </c>
      <c r="N21" s="623">
        <v>0</v>
      </c>
      <c r="O21" s="21">
        <f t="shared" si="9"/>
        <v>3</v>
      </c>
      <c r="P21" s="625">
        <v>3</v>
      </c>
      <c r="Q21" s="616">
        <v>0</v>
      </c>
      <c r="R21" s="623">
        <v>0</v>
      </c>
      <c r="S21" s="21">
        <f t="shared" si="10"/>
        <v>3</v>
      </c>
    </row>
    <row r="22" spans="1:19" ht="15.6" customHeight="1" x14ac:dyDescent="0.25">
      <c r="A22" s="2318" t="s">
        <v>6</v>
      </c>
      <c r="B22" s="19" t="s">
        <v>32</v>
      </c>
      <c r="C22" s="22"/>
      <c r="D22" s="615">
        <v>32</v>
      </c>
      <c r="E22" s="630">
        <f>8*E$3</f>
        <v>0</v>
      </c>
      <c r="F22" s="615">
        <v>0</v>
      </c>
      <c r="G22" s="21">
        <f t="shared" si="7"/>
        <v>32</v>
      </c>
      <c r="H22" s="615">
        <v>32</v>
      </c>
      <c r="I22" s="630">
        <f>8*I$3</f>
        <v>0</v>
      </c>
      <c r="J22" s="615">
        <v>0</v>
      </c>
      <c r="K22" s="21">
        <f t="shared" si="8"/>
        <v>32</v>
      </c>
      <c r="L22" s="615">
        <v>32</v>
      </c>
      <c r="M22" s="630">
        <f>8*M$3</f>
        <v>0</v>
      </c>
      <c r="N22" s="615">
        <v>0</v>
      </c>
      <c r="O22" s="21">
        <f t="shared" si="9"/>
        <v>32</v>
      </c>
      <c r="P22" s="615">
        <v>32</v>
      </c>
      <c r="Q22" s="630">
        <f>8*Q$3</f>
        <v>0</v>
      </c>
      <c r="R22" s="615">
        <v>0</v>
      </c>
      <c r="S22" s="21">
        <f t="shared" si="10"/>
        <v>32</v>
      </c>
    </row>
    <row r="23" spans="1:19" x14ac:dyDescent="0.25">
      <c r="A23" s="2313"/>
      <c r="B23" s="19" t="s">
        <v>33</v>
      </c>
      <c r="C23" s="22"/>
      <c r="D23" s="615">
        <v>40</v>
      </c>
      <c r="E23" s="630">
        <f>8*E$3</f>
        <v>0</v>
      </c>
      <c r="F23" s="615">
        <v>0</v>
      </c>
      <c r="G23" s="21">
        <f t="shared" si="7"/>
        <v>40</v>
      </c>
      <c r="H23" s="615">
        <v>40</v>
      </c>
      <c r="I23" s="630">
        <f>8*I$3</f>
        <v>0</v>
      </c>
      <c r="J23" s="615">
        <v>0</v>
      </c>
      <c r="K23" s="21">
        <f t="shared" si="8"/>
        <v>40</v>
      </c>
      <c r="L23" s="615">
        <v>40</v>
      </c>
      <c r="M23" s="630">
        <f>8*M$3</f>
        <v>0</v>
      </c>
      <c r="N23" s="615">
        <v>0</v>
      </c>
      <c r="O23" s="21">
        <f t="shared" si="9"/>
        <v>40</v>
      </c>
      <c r="P23" s="615">
        <v>40</v>
      </c>
      <c r="Q23" s="630">
        <f>8*Q$3</f>
        <v>0</v>
      </c>
      <c r="R23" s="615">
        <v>0</v>
      </c>
      <c r="S23" s="21">
        <f t="shared" si="10"/>
        <v>40</v>
      </c>
    </row>
    <row r="24" spans="1:19" x14ac:dyDescent="0.25">
      <c r="A24" s="2317"/>
      <c r="B24" s="19" t="s">
        <v>34</v>
      </c>
      <c r="C24" s="22"/>
      <c r="D24" s="615">
        <v>60</v>
      </c>
      <c r="E24" s="630">
        <f>8*E$3</f>
        <v>0</v>
      </c>
      <c r="F24" s="615">
        <v>0</v>
      </c>
      <c r="G24" s="21">
        <f t="shared" si="7"/>
        <v>60</v>
      </c>
      <c r="H24" s="615">
        <v>60</v>
      </c>
      <c r="I24" s="630">
        <f>8*I$3</f>
        <v>0</v>
      </c>
      <c r="J24" s="615">
        <v>0</v>
      </c>
      <c r="K24" s="21">
        <f t="shared" si="8"/>
        <v>60</v>
      </c>
      <c r="L24" s="615">
        <v>60</v>
      </c>
      <c r="M24" s="630">
        <f>8*M$3</f>
        <v>0</v>
      </c>
      <c r="N24" s="615">
        <v>0</v>
      </c>
      <c r="O24" s="21">
        <f t="shared" si="9"/>
        <v>60</v>
      </c>
      <c r="P24" s="615">
        <v>60</v>
      </c>
      <c r="Q24" s="630">
        <f>8*Q$3</f>
        <v>0</v>
      </c>
      <c r="R24" s="615">
        <v>0</v>
      </c>
      <c r="S24" s="21">
        <f t="shared" si="10"/>
        <v>60</v>
      </c>
    </row>
    <row r="25" spans="1:19" ht="15.6" customHeight="1" x14ac:dyDescent="0.25">
      <c r="A25" s="2318" t="s">
        <v>7</v>
      </c>
      <c r="B25" s="19" t="s">
        <v>32</v>
      </c>
      <c r="C25" s="22"/>
      <c r="D25" s="625">
        <v>8</v>
      </c>
      <c r="E25" s="616">
        <v>0</v>
      </c>
      <c r="F25" s="615">
        <v>0</v>
      </c>
      <c r="G25" s="21">
        <f t="shared" si="7"/>
        <v>8</v>
      </c>
      <c r="H25" s="625">
        <v>8</v>
      </c>
      <c r="I25" s="616">
        <v>0</v>
      </c>
      <c r="J25" s="615">
        <v>0</v>
      </c>
      <c r="K25" s="21">
        <f t="shared" si="8"/>
        <v>8</v>
      </c>
      <c r="L25" s="625">
        <v>8</v>
      </c>
      <c r="M25" s="616">
        <v>0</v>
      </c>
      <c r="N25" s="615">
        <v>0</v>
      </c>
      <c r="O25" s="21">
        <f t="shared" si="9"/>
        <v>8</v>
      </c>
      <c r="P25" s="625">
        <v>8</v>
      </c>
      <c r="Q25" s="616">
        <v>0</v>
      </c>
      <c r="R25" s="615">
        <v>0</v>
      </c>
      <c r="S25" s="21">
        <f t="shared" si="10"/>
        <v>8</v>
      </c>
    </row>
    <row r="26" spans="1:19" x14ac:dyDescent="0.25">
      <c r="A26" s="2313"/>
      <c r="B26" s="19" t="s">
        <v>33</v>
      </c>
      <c r="C26" s="22"/>
      <c r="D26" s="625">
        <v>8</v>
      </c>
      <c r="E26" s="616">
        <v>0</v>
      </c>
      <c r="F26" s="615">
        <v>0</v>
      </c>
      <c r="G26" s="21">
        <f t="shared" si="7"/>
        <v>8</v>
      </c>
      <c r="H26" s="625">
        <v>8</v>
      </c>
      <c r="I26" s="616">
        <v>0</v>
      </c>
      <c r="J26" s="615">
        <v>0</v>
      </c>
      <c r="K26" s="21">
        <f t="shared" si="8"/>
        <v>8</v>
      </c>
      <c r="L26" s="625">
        <v>8</v>
      </c>
      <c r="M26" s="616">
        <v>0</v>
      </c>
      <c r="N26" s="615">
        <v>0</v>
      </c>
      <c r="O26" s="21">
        <f t="shared" si="9"/>
        <v>8</v>
      </c>
      <c r="P26" s="625">
        <v>8</v>
      </c>
      <c r="Q26" s="616">
        <v>0</v>
      </c>
      <c r="R26" s="615">
        <v>0</v>
      </c>
      <c r="S26" s="21">
        <f t="shared" si="10"/>
        <v>8</v>
      </c>
    </row>
    <row r="27" spans="1:19" x14ac:dyDescent="0.25">
      <c r="A27" s="2317"/>
      <c r="B27" s="19" t="s">
        <v>34</v>
      </c>
      <c r="C27" s="22"/>
      <c r="D27" s="623">
        <v>12</v>
      </c>
      <c r="E27" s="616">
        <v>0</v>
      </c>
      <c r="F27" s="615">
        <v>0</v>
      </c>
      <c r="G27" s="21">
        <f t="shared" si="7"/>
        <v>12</v>
      </c>
      <c r="H27" s="623">
        <v>12</v>
      </c>
      <c r="I27" s="616">
        <v>0</v>
      </c>
      <c r="J27" s="615">
        <v>0</v>
      </c>
      <c r="K27" s="21">
        <f t="shared" si="8"/>
        <v>12</v>
      </c>
      <c r="L27" s="623">
        <v>12</v>
      </c>
      <c r="M27" s="616">
        <v>0</v>
      </c>
      <c r="N27" s="615">
        <v>0</v>
      </c>
      <c r="O27" s="21">
        <f t="shared" si="9"/>
        <v>12</v>
      </c>
      <c r="P27" s="623">
        <v>12</v>
      </c>
      <c r="Q27" s="616">
        <v>0</v>
      </c>
      <c r="R27" s="615">
        <v>0</v>
      </c>
      <c r="S27" s="21">
        <f t="shared" si="10"/>
        <v>12</v>
      </c>
    </row>
    <row r="28" spans="1:19" ht="15.6" customHeight="1" x14ac:dyDescent="0.25">
      <c r="A28" s="2318" t="s">
        <v>8</v>
      </c>
      <c r="B28" s="19" t="s">
        <v>32</v>
      </c>
      <c r="C28" s="22"/>
      <c r="D28" s="625">
        <v>8</v>
      </c>
      <c r="E28" s="616">
        <v>0</v>
      </c>
      <c r="F28" s="623">
        <v>0</v>
      </c>
      <c r="G28" s="21">
        <f t="shared" si="7"/>
        <v>8</v>
      </c>
      <c r="H28" s="625">
        <v>8</v>
      </c>
      <c r="I28" s="616">
        <v>0</v>
      </c>
      <c r="J28" s="623">
        <v>0</v>
      </c>
      <c r="K28" s="21">
        <f t="shared" si="8"/>
        <v>8</v>
      </c>
      <c r="L28" s="625">
        <v>8</v>
      </c>
      <c r="M28" s="616">
        <v>0</v>
      </c>
      <c r="N28" s="623">
        <v>0</v>
      </c>
      <c r="O28" s="21">
        <f t="shared" si="9"/>
        <v>8</v>
      </c>
      <c r="P28" s="625">
        <v>8</v>
      </c>
      <c r="Q28" s="616">
        <v>0</v>
      </c>
      <c r="R28" s="623">
        <v>0</v>
      </c>
      <c r="S28" s="21">
        <f t="shared" si="10"/>
        <v>8</v>
      </c>
    </row>
    <row r="29" spans="1:19" x14ac:dyDescent="0.25">
      <c r="A29" s="2313"/>
      <c r="B29" s="19" t="s">
        <v>33</v>
      </c>
      <c r="C29" s="22"/>
      <c r="D29" s="625">
        <v>8</v>
      </c>
      <c r="E29" s="616">
        <v>0</v>
      </c>
      <c r="F29" s="623">
        <v>0</v>
      </c>
      <c r="G29" s="21">
        <f t="shared" si="7"/>
        <v>8</v>
      </c>
      <c r="H29" s="625">
        <v>8</v>
      </c>
      <c r="I29" s="616">
        <v>0</v>
      </c>
      <c r="J29" s="623">
        <v>0</v>
      </c>
      <c r="K29" s="21">
        <f t="shared" si="8"/>
        <v>8</v>
      </c>
      <c r="L29" s="625">
        <v>8</v>
      </c>
      <c r="M29" s="616">
        <v>0</v>
      </c>
      <c r="N29" s="623">
        <v>0</v>
      </c>
      <c r="O29" s="21">
        <f t="shared" si="9"/>
        <v>8</v>
      </c>
      <c r="P29" s="625">
        <v>8</v>
      </c>
      <c r="Q29" s="616">
        <v>0</v>
      </c>
      <c r="R29" s="623">
        <v>0</v>
      </c>
      <c r="S29" s="21">
        <f t="shared" si="10"/>
        <v>8</v>
      </c>
    </row>
    <row r="30" spans="1:19" x14ac:dyDescent="0.25">
      <c r="A30" s="2317"/>
      <c r="B30" s="19" t="s">
        <v>34</v>
      </c>
      <c r="C30" s="22"/>
      <c r="D30" s="623">
        <v>12</v>
      </c>
      <c r="E30" s="616">
        <v>0</v>
      </c>
      <c r="F30" s="623">
        <v>0</v>
      </c>
      <c r="G30" s="21">
        <f t="shared" si="7"/>
        <v>12</v>
      </c>
      <c r="H30" s="623">
        <v>12</v>
      </c>
      <c r="I30" s="616">
        <v>0</v>
      </c>
      <c r="J30" s="623">
        <v>0</v>
      </c>
      <c r="K30" s="21">
        <f t="shared" si="8"/>
        <v>12</v>
      </c>
      <c r="L30" s="623">
        <v>12</v>
      </c>
      <c r="M30" s="616">
        <v>0</v>
      </c>
      <c r="N30" s="623">
        <v>0</v>
      </c>
      <c r="O30" s="21">
        <f t="shared" si="9"/>
        <v>12</v>
      </c>
      <c r="P30" s="623">
        <v>12</v>
      </c>
      <c r="Q30" s="616">
        <v>0</v>
      </c>
      <c r="R30" s="623">
        <v>0</v>
      </c>
      <c r="S30" s="21">
        <f t="shared" si="10"/>
        <v>12</v>
      </c>
    </row>
    <row r="31" spans="1:19" ht="15.6" customHeight="1" x14ac:dyDescent="0.25">
      <c r="A31" s="2318" t="s">
        <v>9</v>
      </c>
      <c r="B31" s="19" t="s">
        <v>32</v>
      </c>
      <c r="C31" s="22"/>
      <c r="D31" s="631">
        <f>2+(0.5*D$3)</f>
        <v>2</v>
      </c>
      <c r="E31" s="631">
        <f>1*E$3</f>
        <v>0</v>
      </c>
      <c r="F31" s="623">
        <v>0</v>
      </c>
      <c r="G31" s="21">
        <f t="shared" si="7"/>
        <v>2</v>
      </c>
      <c r="H31" s="631">
        <f>2+(0.5*H$3)</f>
        <v>2</v>
      </c>
      <c r="I31" s="631">
        <f>1*I$3</f>
        <v>0</v>
      </c>
      <c r="J31" s="623">
        <v>0</v>
      </c>
      <c r="K31" s="21">
        <f t="shared" si="8"/>
        <v>2</v>
      </c>
      <c r="L31" s="631">
        <f>2+(0.5*L$3)</f>
        <v>2</v>
      </c>
      <c r="M31" s="631">
        <f>1*M$3</f>
        <v>0</v>
      </c>
      <c r="N31" s="623">
        <v>0</v>
      </c>
      <c r="O31" s="21">
        <f t="shared" si="9"/>
        <v>2</v>
      </c>
      <c r="P31" s="631">
        <f>2+(0.5*P$3)</f>
        <v>2</v>
      </c>
      <c r="Q31" s="631">
        <f>1*Q$3</f>
        <v>0</v>
      </c>
      <c r="R31" s="623">
        <v>0</v>
      </c>
      <c r="S31" s="21">
        <f t="shared" si="10"/>
        <v>2</v>
      </c>
    </row>
    <row r="32" spans="1:19" x14ac:dyDescent="0.25">
      <c r="A32" s="2313"/>
      <c r="B32" s="19" t="s">
        <v>33</v>
      </c>
      <c r="C32" s="22"/>
      <c r="D32" s="631">
        <f>4+(0.5*D$3)</f>
        <v>4</v>
      </c>
      <c r="E32" s="631">
        <f>1*E$3</f>
        <v>0</v>
      </c>
      <c r="F32" s="623">
        <v>0</v>
      </c>
      <c r="G32" s="21">
        <f t="shared" si="7"/>
        <v>4</v>
      </c>
      <c r="H32" s="631">
        <f>4+(0.5*H$3)</f>
        <v>4</v>
      </c>
      <c r="I32" s="631">
        <f>1*I$3</f>
        <v>0</v>
      </c>
      <c r="J32" s="623">
        <v>0</v>
      </c>
      <c r="K32" s="21">
        <f t="shared" si="8"/>
        <v>4</v>
      </c>
      <c r="L32" s="631">
        <f>4+(0.5*L$3)</f>
        <v>4</v>
      </c>
      <c r="M32" s="631">
        <f>1*M$3</f>
        <v>0</v>
      </c>
      <c r="N32" s="623">
        <v>0</v>
      </c>
      <c r="O32" s="21">
        <f t="shared" si="9"/>
        <v>4</v>
      </c>
      <c r="P32" s="631">
        <f>4+(0.5*P$3)</f>
        <v>4</v>
      </c>
      <c r="Q32" s="631">
        <f>1*Q$3</f>
        <v>0</v>
      </c>
      <c r="R32" s="623">
        <v>0</v>
      </c>
      <c r="S32" s="21">
        <f t="shared" si="10"/>
        <v>4</v>
      </c>
    </row>
    <row r="33" spans="1:19" x14ac:dyDescent="0.25">
      <c r="A33" s="2317"/>
      <c r="B33" s="19" t="s">
        <v>34</v>
      </c>
      <c r="C33" s="22"/>
      <c r="D33" s="631">
        <f>6+(0.5*D$3)</f>
        <v>6</v>
      </c>
      <c r="E33" s="631">
        <f>1*E$3</f>
        <v>0</v>
      </c>
      <c r="F33" s="623">
        <v>0</v>
      </c>
      <c r="G33" s="21">
        <f t="shared" si="7"/>
        <v>6</v>
      </c>
      <c r="H33" s="631">
        <f>6+(0.5*H$3)</f>
        <v>6</v>
      </c>
      <c r="I33" s="631">
        <f>1*I$3</f>
        <v>0</v>
      </c>
      <c r="J33" s="623">
        <v>0</v>
      </c>
      <c r="K33" s="21">
        <f t="shared" si="8"/>
        <v>6</v>
      </c>
      <c r="L33" s="631">
        <f>6+(0.5*L$3)</f>
        <v>6</v>
      </c>
      <c r="M33" s="631">
        <f>1*M$3</f>
        <v>0</v>
      </c>
      <c r="N33" s="623">
        <v>0</v>
      </c>
      <c r="O33" s="21">
        <f t="shared" si="9"/>
        <v>6</v>
      </c>
      <c r="P33" s="631">
        <f>6+(0.5*P$3)</f>
        <v>6</v>
      </c>
      <c r="Q33" s="631">
        <f>1*Q$3</f>
        <v>0</v>
      </c>
      <c r="R33" s="623">
        <v>0</v>
      </c>
      <c r="S33" s="21">
        <f t="shared" si="10"/>
        <v>6</v>
      </c>
    </row>
    <row r="34" spans="1:19" ht="15.6" customHeight="1" x14ac:dyDescent="0.25">
      <c r="A34" s="2318" t="s">
        <v>10</v>
      </c>
      <c r="B34" s="19" t="s">
        <v>32</v>
      </c>
      <c r="C34" s="22"/>
      <c r="D34" s="625">
        <v>2</v>
      </c>
      <c r="E34" s="631">
        <f>0.5*E$3</f>
        <v>0</v>
      </c>
      <c r="F34" s="623">
        <v>0</v>
      </c>
      <c r="G34" s="21">
        <f t="shared" si="7"/>
        <v>2</v>
      </c>
      <c r="H34" s="625">
        <v>2</v>
      </c>
      <c r="I34" s="631">
        <f>0.5*I$3</f>
        <v>0</v>
      </c>
      <c r="J34" s="623">
        <v>0</v>
      </c>
      <c r="K34" s="21">
        <f t="shared" si="8"/>
        <v>2</v>
      </c>
      <c r="L34" s="625">
        <v>2</v>
      </c>
      <c r="M34" s="631">
        <f>0.5*M$3</f>
        <v>0</v>
      </c>
      <c r="N34" s="623">
        <v>0</v>
      </c>
      <c r="O34" s="21">
        <f t="shared" si="9"/>
        <v>2</v>
      </c>
      <c r="P34" s="625">
        <v>2</v>
      </c>
      <c r="Q34" s="631">
        <f>0.5*Q$3</f>
        <v>0</v>
      </c>
      <c r="R34" s="623">
        <v>0</v>
      </c>
      <c r="S34" s="21">
        <f t="shared" si="10"/>
        <v>2</v>
      </c>
    </row>
    <row r="35" spans="1:19" x14ac:dyDescent="0.25">
      <c r="A35" s="2313"/>
      <c r="B35" s="19" t="s">
        <v>33</v>
      </c>
      <c r="C35" s="22"/>
      <c r="D35" s="625">
        <v>4</v>
      </c>
      <c r="E35" s="631">
        <f>0.5*E$3</f>
        <v>0</v>
      </c>
      <c r="F35" s="623">
        <v>0</v>
      </c>
      <c r="G35" s="21">
        <f t="shared" si="7"/>
        <v>4</v>
      </c>
      <c r="H35" s="625">
        <v>4</v>
      </c>
      <c r="I35" s="631">
        <f>0.5*I$3</f>
        <v>0</v>
      </c>
      <c r="J35" s="623">
        <v>0</v>
      </c>
      <c r="K35" s="21">
        <f t="shared" si="8"/>
        <v>4</v>
      </c>
      <c r="L35" s="625">
        <v>4</v>
      </c>
      <c r="M35" s="631">
        <f>0.5*M$3</f>
        <v>0</v>
      </c>
      <c r="N35" s="623">
        <v>0</v>
      </c>
      <c r="O35" s="21">
        <f t="shared" si="9"/>
        <v>4</v>
      </c>
      <c r="P35" s="625">
        <v>4</v>
      </c>
      <c r="Q35" s="631">
        <f>0.5*Q$3</f>
        <v>0</v>
      </c>
      <c r="R35" s="623">
        <v>0</v>
      </c>
      <c r="S35" s="21">
        <f t="shared" si="10"/>
        <v>4</v>
      </c>
    </row>
    <row r="36" spans="1:19" ht="15.75" thickBot="1" x14ac:dyDescent="0.3">
      <c r="A36" s="2313"/>
      <c r="B36" s="13" t="s">
        <v>34</v>
      </c>
      <c r="C36" s="34"/>
      <c r="D36" s="626">
        <v>6</v>
      </c>
      <c r="E36" s="682">
        <f>0.5*E$3</f>
        <v>0</v>
      </c>
      <c r="F36" s="432">
        <v>0</v>
      </c>
      <c r="G36" s="77">
        <f t="shared" si="7"/>
        <v>6</v>
      </c>
      <c r="H36" s="626">
        <v>6</v>
      </c>
      <c r="I36" s="682">
        <f>0.5*I$3</f>
        <v>0</v>
      </c>
      <c r="J36" s="432">
        <v>0</v>
      </c>
      <c r="K36" s="77">
        <f t="shared" si="8"/>
        <v>6</v>
      </c>
      <c r="L36" s="626">
        <v>6</v>
      </c>
      <c r="M36" s="682">
        <f>0.5*M$3</f>
        <v>0</v>
      </c>
      <c r="N36" s="432">
        <v>0</v>
      </c>
      <c r="O36" s="77">
        <f t="shared" si="9"/>
        <v>6</v>
      </c>
      <c r="P36" s="626">
        <v>6</v>
      </c>
      <c r="Q36" s="682">
        <f>0.5*Q$3</f>
        <v>0</v>
      </c>
      <c r="R36" s="432">
        <v>0</v>
      </c>
      <c r="S36" s="77">
        <f t="shared" si="10"/>
        <v>6</v>
      </c>
    </row>
    <row r="37" spans="1:19" ht="16.5" thickBot="1" x14ac:dyDescent="0.3">
      <c r="A37" s="330" t="s">
        <v>11</v>
      </c>
      <c r="B37" s="329"/>
      <c r="C37" s="329"/>
      <c r="D37" s="329"/>
      <c r="E37" s="329"/>
      <c r="F37" s="329"/>
      <c r="G37" s="329"/>
      <c r="H37" s="329"/>
      <c r="I37" s="329"/>
      <c r="J37" s="329"/>
      <c r="K37" s="329"/>
      <c r="L37" s="329"/>
      <c r="M37" s="329"/>
      <c r="N37" s="329"/>
      <c r="O37" s="329"/>
      <c r="P37" s="329"/>
      <c r="Q37" s="329"/>
      <c r="R37" s="329"/>
      <c r="S37" s="328"/>
    </row>
    <row r="38" spans="1:19" ht="15.6" customHeight="1" x14ac:dyDescent="0.25">
      <c r="A38" s="2313" t="s">
        <v>12</v>
      </c>
      <c r="B38" s="404" t="s">
        <v>32</v>
      </c>
      <c r="C38" s="324"/>
      <c r="D38" s="405">
        <v>32</v>
      </c>
      <c r="E38" s="423">
        <f>8*E$3</f>
        <v>0</v>
      </c>
      <c r="F38" s="405">
        <v>0</v>
      </c>
      <c r="G38" s="230">
        <f t="shared" si="7"/>
        <v>32</v>
      </c>
      <c r="H38" s="661">
        <v>32</v>
      </c>
      <c r="I38" s="674">
        <f>8*I$3</f>
        <v>0</v>
      </c>
      <c r="J38" s="661">
        <v>0</v>
      </c>
      <c r="K38" s="230">
        <f xml:space="preserve"> SUM(H38:J38) + $C38</f>
        <v>32</v>
      </c>
      <c r="L38" s="661">
        <v>32</v>
      </c>
      <c r="M38" s="674">
        <f>8*M$3</f>
        <v>0</v>
      </c>
      <c r="N38" s="661">
        <v>0</v>
      </c>
      <c r="O38" s="230">
        <f xml:space="preserve"> SUM(L38:N38) + $C38</f>
        <v>32</v>
      </c>
      <c r="P38" s="661">
        <v>32</v>
      </c>
      <c r="Q38" s="674">
        <f>8*Q$3</f>
        <v>0</v>
      </c>
      <c r="R38" s="661">
        <v>0</v>
      </c>
      <c r="S38" s="230">
        <f xml:space="preserve"> SUM(P38:R38) + $C38</f>
        <v>32</v>
      </c>
    </row>
    <row r="39" spans="1:19" x14ac:dyDescent="0.25">
      <c r="A39" s="2313"/>
      <c r="B39" s="19" t="s">
        <v>33</v>
      </c>
      <c r="C39" s="22"/>
      <c r="D39" s="11">
        <v>40</v>
      </c>
      <c r="E39" s="123">
        <f>8*E$3</f>
        <v>0</v>
      </c>
      <c r="F39" s="11">
        <v>0</v>
      </c>
      <c r="G39" s="21">
        <f t="shared" si="7"/>
        <v>40</v>
      </c>
      <c r="H39" s="615">
        <v>40</v>
      </c>
      <c r="I39" s="630">
        <f>8*I$3</f>
        <v>0</v>
      </c>
      <c r="J39" s="615">
        <v>0</v>
      </c>
      <c r="K39" s="21">
        <f xml:space="preserve"> SUM(H39:J39) + $C39</f>
        <v>40</v>
      </c>
      <c r="L39" s="615">
        <v>40</v>
      </c>
      <c r="M39" s="630">
        <f>8*M$3</f>
        <v>0</v>
      </c>
      <c r="N39" s="615">
        <v>0</v>
      </c>
      <c r="O39" s="21">
        <f xml:space="preserve"> SUM(L39:N39) + $C39</f>
        <v>40</v>
      </c>
      <c r="P39" s="615">
        <v>40</v>
      </c>
      <c r="Q39" s="630">
        <f>8*Q$3</f>
        <v>0</v>
      </c>
      <c r="R39" s="615">
        <v>0</v>
      </c>
      <c r="S39" s="21">
        <f xml:space="preserve"> SUM(P39:R39) + $C39</f>
        <v>40</v>
      </c>
    </row>
    <row r="40" spans="1:19" ht="15.75" thickBot="1" x14ac:dyDescent="0.3">
      <c r="A40" s="2313"/>
      <c r="B40" s="13" t="s">
        <v>34</v>
      </c>
      <c r="C40" s="34"/>
      <c r="D40" s="422">
        <v>60</v>
      </c>
      <c r="E40" s="424">
        <f>8*E$3</f>
        <v>0</v>
      </c>
      <c r="F40" s="422">
        <v>0</v>
      </c>
      <c r="G40" s="77">
        <f t="shared" si="7"/>
        <v>60</v>
      </c>
      <c r="H40" s="673">
        <v>60</v>
      </c>
      <c r="I40" s="675">
        <f>8*I$3</f>
        <v>0</v>
      </c>
      <c r="J40" s="673">
        <v>0</v>
      </c>
      <c r="K40" s="77">
        <f xml:space="preserve"> SUM(H40:J40) + $C40</f>
        <v>60</v>
      </c>
      <c r="L40" s="673">
        <v>60</v>
      </c>
      <c r="M40" s="675">
        <f>8*M$3</f>
        <v>0</v>
      </c>
      <c r="N40" s="673">
        <v>0</v>
      </c>
      <c r="O40" s="77">
        <f xml:space="preserve"> SUM(L40:N40) + $C40</f>
        <v>60</v>
      </c>
      <c r="P40" s="673">
        <v>60</v>
      </c>
      <c r="Q40" s="675">
        <f>8*Q$3</f>
        <v>0</v>
      </c>
      <c r="R40" s="673">
        <v>0</v>
      </c>
      <c r="S40" s="77">
        <f xml:space="preserve"> SUM(P40:R40) + $C40</f>
        <v>60</v>
      </c>
    </row>
    <row r="41" spans="1:19" ht="16.5" thickBot="1" x14ac:dyDescent="0.3">
      <c r="A41" s="330" t="s">
        <v>13</v>
      </c>
      <c r="B41" s="329"/>
      <c r="C41" s="329"/>
      <c r="D41" s="329"/>
      <c r="E41" s="329"/>
      <c r="F41" s="329"/>
      <c r="G41" s="329"/>
      <c r="H41" s="329"/>
      <c r="I41" s="329"/>
      <c r="J41" s="329"/>
      <c r="K41" s="329"/>
      <c r="L41" s="329"/>
      <c r="M41" s="329"/>
      <c r="N41" s="329"/>
      <c r="O41" s="329"/>
      <c r="P41" s="329"/>
      <c r="Q41" s="329"/>
      <c r="R41" s="329"/>
      <c r="S41" s="328"/>
    </row>
    <row r="42" spans="1:19" ht="15.6" customHeight="1" x14ac:dyDescent="0.25">
      <c r="A42" s="2313" t="s">
        <v>14</v>
      </c>
      <c r="B42" s="404" t="s">
        <v>32</v>
      </c>
      <c r="C42" s="324"/>
      <c r="D42" s="625">
        <v>1</v>
      </c>
      <c r="E42" s="616">
        <v>0</v>
      </c>
      <c r="F42" s="623">
        <v>0</v>
      </c>
      <c r="G42" s="230">
        <f t="shared" si="7"/>
        <v>1</v>
      </c>
      <c r="H42" s="625">
        <v>1</v>
      </c>
      <c r="I42" s="616">
        <v>0</v>
      </c>
      <c r="J42" s="623">
        <v>0</v>
      </c>
      <c r="K42" s="230">
        <f t="shared" ref="K42:K86" si="11" xml:space="preserve"> SUM(H42:J42) + $C42</f>
        <v>1</v>
      </c>
      <c r="L42" s="625">
        <v>1</v>
      </c>
      <c r="M42" s="616">
        <v>0</v>
      </c>
      <c r="N42" s="623">
        <v>0</v>
      </c>
      <c r="O42" s="230">
        <f t="shared" ref="O42:O86" si="12" xml:space="preserve"> SUM(L42:N42) + $C42</f>
        <v>1</v>
      </c>
      <c r="P42" s="625">
        <v>1</v>
      </c>
      <c r="Q42" s="616">
        <v>0</v>
      </c>
      <c r="R42" s="623">
        <v>0</v>
      </c>
      <c r="S42" s="230">
        <f t="shared" ref="S42:S86" si="13" xml:space="preserve"> SUM(P42:R42) + $C42</f>
        <v>1</v>
      </c>
    </row>
    <row r="43" spans="1:19" x14ac:dyDescent="0.25">
      <c r="A43" s="2313"/>
      <c r="B43" s="19" t="s">
        <v>33</v>
      </c>
      <c r="C43" s="22"/>
      <c r="D43" s="625">
        <v>2</v>
      </c>
      <c r="E43" s="616">
        <v>0</v>
      </c>
      <c r="F43" s="623">
        <v>0</v>
      </c>
      <c r="G43" s="21">
        <f t="shared" si="7"/>
        <v>2</v>
      </c>
      <c r="H43" s="625">
        <v>2</v>
      </c>
      <c r="I43" s="616">
        <v>0</v>
      </c>
      <c r="J43" s="623">
        <v>0</v>
      </c>
      <c r="K43" s="21">
        <f t="shared" si="11"/>
        <v>2</v>
      </c>
      <c r="L43" s="625">
        <v>2</v>
      </c>
      <c r="M43" s="616">
        <v>0</v>
      </c>
      <c r="N43" s="623">
        <v>0</v>
      </c>
      <c r="O43" s="21">
        <f t="shared" si="12"/>
        <v>2</v>
      </c>
      <c r="P43" s="625">
        <v>2</v>
      </c>
      <c r="Q43" s="616">
        <v>0</v>
      </c>
      <c r="R43" s="623">
        <v>0</v>
      </c>
      <c r="S43" s="21">
        <f t="shared" si="13"/>
        <v>2</v>
      </c>
    </row>
    <row r="44" spans="1:19" x14ac:dyDescent="0.25">
      <c r="A44" s="2313"/>
      <c r="B44" s="19" t="s">
        <v>34</v>
      </c>
      <c r="C44" s="22"/>
      <c r="D44" s="625">
        <v>3</v>
      </c>
      <c r="E44" s="616">
        <v>0</v>
      </c>
      <c r="F44" s="623">
        <v>0</v>
      </c>
      <c r="G44" s="21">
        <f t="shared" si="7"/>
        <v>3</v>
      </c>
      <c r="H44" s="625">
        <v>3</v>
      </c>
      <c r="I44" s="616">
        <v>0</v>
      </c>
      <c r="J44" s="623">
        <v>0</v>
      </c>
      <c r="K44" s="21">
        <f t="shared" si="11"/>
        <v>3</v>
      </c>
      <c r="L44" s="625">
        <v>3</v>
      </c>
      <c r="M44" s="616">
        <v>0</v>
      </c>
      <c r="N44" s="623">
        <v>0</v>
      </c>
      <c r="O44" s="21">
        <f t="shared" si="12"/>
        <v>3</v>
      </c>
      <c r="P44" s="625">
        <v>3</v>
      </c>
      <c r="Q44" s="616">
        <v>0</v>
      </c>
      <c r="R44" s="623">
        <v>0</v>
      </c>
      <c r="S44" s="21">
        <f t="shared" si="13"/>
        <v>3</v>
      </c>
    </row>
    <row r="45" spans="1:19" ht="15.6" customHeight="1" x14ac:dyDescent="0.25">
      <c r="A45" s="1933" t="s">
        <v>15</v>
      </c>
      <c r="B45" s="19" t="s">
        <v>32</v>
      </c>
      <c r="C45" s="22"/>
      <c r="D45" s="625">
        <v>8</v>
      </c>
      <c r="E45" s="616">
        <v>0</v>
      </c>
      <c r="F45" s="616">
        <v>0</v>
      </c>
      <c r="G45" s="21">
        <f t="shared" si="7"/>
        <v>8</v>
      </c>
      <c r="H45" s="625">
        <v>8</v>
      </c>
      <c r="I45" s="616">
        <v>0</v>
      </c>
      <c r="J45" s="616">
        <v>0</v>
      </c>
      <c r="K45" s="21">
        <f t="shared" si="11"/>
        <v>8</v>
      </c>
      <c r="L45" s="625">
        <v>8</v>
      </c>
      <c r="M45" s="616">
        <v>0</v>
      </c>
      <c r="N45" s="616">
        <v>0</v>
      </c>
      <c r="O45" s="21">
        <f t="shared" si="12"/>
        <v>8</v>
      </c>
      <c r="P45" s="625">
        <v>8</v>
      </c>
      <c r="Q45" s="616">
        <v>0</v>
      </c>
      <c r="R45" s="616">
        <v>0</v>
      </c>
      <c r="S45" s="21">
        <f t="shared" si="13"/>
        <v>8</v>
      </c>
    </row>
    <row r="46" spans="1:19" x14ac:dyDescent="0.25">
      <c r="A46" s="1933"/>
      <c r="B46" s="19" t="s">
        <v>33</v>
      </c>
      <c r="C46" s="22"/>
      <c r="D46" s="625">
        <v>16</v>
      </c>
      <c r="E46" s="616">
        <v>0</v>
      </c>
      <c r="F46" s="616">
        <v>0</v>
      </c>
      <c r="G46" s="21">
        <f t="shared" si="7"/>
        <v>16</v>
      </c>
      <c r="H46" s="625">
        <v>16</v>
      </c>
      <c r="I46" s="616">
        <v>0</v>
      </c>
      <c r="J46" s="616">
        <v>0</v>
      </c>
      <c r="K46" s="21">
        <f t="shared" si="11"/>
        <v>16</v>
      </c>
      <c r="L46" s="625">
        <v>16</v>
      </c>
      <c r="M46" s="616">
        <v>0</v>
      </c>
      <c r="N46" s="616">
        <v>0</v>
      </c>
      <c r="O46" s="21">
        <f t="shared" si="12"/>
        <v>16</v>
      </c>
      <c r="P46" s="625">
        <v>16</v>
      </c>
      <c r="Q46" s="616">
        <v>0</v>
      </c>
      <c r="R46" s="616">
        <v>0</v>
      </c>
      <c r="S46" s="21">
        <f t="shared" si="13"/>
        <v>16</v>
      </c>
    </row>
    <row r="47" spans="1:19" x14ac:dyDescent="0.25">
      <c r="A47" s="1933"/>
      <c r="B47" s="19" t="s">
        <v>34</v>
      </c>
      <c r="C47" s="22"/>
      <c r="D47" s="625">
        <v>32</v>
      </c>
      <c r="E47" s="616">
        <v>0</v>
      </c>
      <c r="F47" s="616">
        <v>0</v>
      </c>
      <c r="G47" s="21">
        <f t="shared" si="7"/>
        <v>32</v>
      </c>
      <c r="H47" s="625">
        <v>32</v>
      </c>
      <c r="I47" s="616">
        <v>0</v>
      </c>
      <c r="J47" s="616">
        <v>0</v>
      </c>
      <c r="K47" s="21">
        <f t="shared" si="11"/>
        <v>32</v>
      </c>
      <c r="L47" s="625">
        <v>32</v>
      </c>
      <c r="M47" s="616">
        <v>0</v>
      </c>
      <c r="N47" s="616">
        <v>0</v>
      </c>
      <c r="O47" s="21">
        <f t="shared" si="12"/>
        <v>32</v>
      </c>
      <c r="P47" s="625">
        <v>32</v>
      </c>
      <c r="Q47" s="616">
        <v>0</v>
      </c>
      <c r="R47" s="616">
        <v>0</v>
      </c>
      <c r="S47" s="21">
        <f t="shared" si="13"/>
        <v>32</v>
      </c>
    </row>
    <row r="48" spans="1:19" ht="15.6" customHeight="1" x14ac:dyDescent="0.25">
      <c r="A48" s="1933" t="s">
        <v>16</v>
      </c>
      <c r="B48" s="19" t="s">
        <v>32</v>
      </c>
      <c r="C48" s="22"/>
      <c r="D48" s="616">
        <v>0</v>
      </c>
      <c r="E48" s="616">
        <v>0</v>
      </c>
      <c r="F48" s="623">
        <v>0</v>
      </c>
      <c r="G48" s="21">
        <f t="shared" si="7"/>
        <v>0</v>
      </c>
      <c r="H48" s="616">
        <v>0</v>
      </c>
      <c r="I48" s="616">
        <v>0</v>
      </c>
      <c r="J48" s="623">
        <v>0</v>
      </c>
      <c r="K48" s="21">
        <f t="shared" si="11"/>
        <v>0</v>
      </c>
      <c r="L48" s="616">
        <v>0</v>
      </c>
      <c r="M48" s="616">
        <v>0</v>
      </c>
      <c r="N48" s="623">
        <v>0</v>
      </c>
      <c r="O48" s="21">
        <f t="shared" si="12"/>
        <v>0</v>
      </c>
      <c r="P48" s="616">
        <v>0</v>
      </c>
      <c r="Q48" s="616">
        <v>0</v>
      </c>
      <c r="R48" s="623">
        <v>0</v>
      </c>
      <c r="S48" s="21">
        <f t="shared" si="13"/>
        <v>0</v>
      </c>
    </row>
    <row r="49" spans="1:19" x14ac:dyDescent="0.25">
      <c r="A49" s="1933"/>
      <c r="B49" s="19" t="s">
        <v>33</v>
      </c>
      <c r="C49" s="22"/>
      <c r="D49" s="616">
        <v>0</v>
      </c>
      <c r="E49" s="616">
        <v>0</v>
      </c>
      <c r="F49" s="623">
        <v>0</v>
      </c>
      <c r="G49" s="21">
        <f t="shared" si="7"/>
        <v>0</v>
      </c>
      <c r="H49" s="616">
        <v>0</v>
      </c>
      <c r="I49" s="616">
        <v>0</v>
      </c>
      <c r="J49" s="623">
        <v>0</v>
      </c>
      <c r="K49" s="21">
        <f t="shared" si="11"/>
        <v>0</v>
      </c>
      <c r="L49" s="616">
        <v>0</v>
      </c>
      <c r="M49" s="616">
        <v>0</v>
      </c>
      <c r="N49" s="623">
        <v>0</v>
      </c>
      <c r="O49" s="21">
        <f t="shared" si="12"/>
        <v>0</v>
      </c>
      <c r="P49" s="616">
        <v>0</v>
      </c>
      <c r="Q49" s="616">
        <v>0</v>
      </c>
      <c r="R49" s="623">
        <v>0</v>
      </c>
      <c r="S49" s="21">
        <f t="shared" si="13"/>
        <v>0</v>
      </c>
    </row>
    <row r="50" spans="1:19" x14ac:dyDescent="0.25">
      <c r="A50" s="1933"/>
      <c r="B50" s="19" t="s">
        <v>34</v>
      </c>
      <c r="C50" s="22"/>
      <c r="D50" s="616">
        <v>0</v>
      </c>
      <c r="E50" s="616">
        <v>0</v>
      </c>
      <c r="F50" s="623">
        <v>0</v>
      </c>
      <c r="G50" s="21">
        <f t="shared" si="7"/>
        <v>0</v>
      </c>
      <c r="H50" s="616">
        <v>0</v>
      </c>
      <c r="I50" s="616">
        <v>0</v>
      </c>
      <c r="J50" s="623">
        <v>0</v>
      </c>
      <c r="K50" s="21">
        <f t="shared" si="11"/>
        <v>0</v>
      </c>
      <c r="L50" s="616">
        <v>0</v>
      </c>
      <c r="M50" s="616">
        <v>0</v>
      </c>
      <c r="N50" s="623">
        <v>0</v>
      </c>
      <c r="O50" s="21">
        <f t="shared" si="12"/>
        <v>0</v>
      </c>
      <c r="P50" s="616">
        <v>0</v>
      </c>
      <c r="Q50" s="616">
        <v>0</v>
      </c>
      <c r="R50" s="623">
        <v>0</v>
      </c>
      <c r="S50" s="21">
        <f t="shared" si="13"/>
        <v>0</v>
      </c>
    </row>
    <row r="51" spans="1:19" ht="15.6" customHeight="1" x14ac:dyDescent="0.25">
      <c r="A51" s="1933" t="s">
        <v>17</v>
      </c>
      <c r="B51" s="19" t="s">
        <v>32</v>
      </c>
      <c r="C51" s="22"/>
      <c r="D51" s="616">
        <v>0</v>
      </c>
      <c r="E51" s="616">
        <v>0</v>
      </c>
      <c r="F51" s="616">
        <v>0</v>
      </c>
      <c r="G51" s="21">
        <f t="shared" si="7"/>
        <v>0</v>
      </c>
      <c r="H51" s="616">
        <v>0</v>
      </c>
      <c r="I51" s="616">
        <v>0</v>
      </c>
      <c r="J51" s="616">
        <v>0</v>
      </c>
      <c r="K51" s="21">
        <f t="shared" si="11"/>
        <v>0</v>
      </c>
      <c r="L51" s="616">
        <v>0</v>
      </c>
      <c r="M51" s="616">
        <v>0</v>
      </c>
      <c r="N51" s="616">
        <v>0</v>
      </c>
      <c r="O51" s="21">
        <f t="shared" si="12"/>
        <v>0</v>
      </c>
      <c r="P51" s="616">
        <v>0</v>
      </c>
      <c r="Q51" s="616">
        <v>0</v>
      </c>
      <c r="R51" s="616">
        <v>0</v>
      </c>
      <c r="S51" s="21">
        <f t="shared" si="13"/>
        <v>0</v>
      </c>
    </row>
    <row r="52" spans="1:19" x14ac:dyDescent="0.25">
      <c r="A52" s="1933"/>
      <c r="B52" s="19" t="s">
        <v>33</v>
      </c>
      <c r="C52" s="22"/>
      <c r="D52" s="616">
        <v>0</v>
      </c>
      <c r="E52" s="616">
        <v>0</v>
      </c>
      <c r="F52" s="616">
        <v>0</v>
      </c>
      <c r="G52" s="21">
        <f t="shared" si="7"/>
        <v>0</v>
      </c>
      <c r="H52" s="616">
        <v>0</v>
      </c>
      <c r="I52" s="616">
        <v>0</v>
      </c>
      <c r="J52" s="616">
        <v>0</v>
      </c>
      <c r="K52" s="21">
        <f t="shared" si="11"/>
        <v>0</v>
      </c>
      <c r="L52" s="616">
        <v>0</v>
      </c>
      <c r="M52" s="616">
        <v>0</v>
      </c>
      <c r="N52" s="616">
        <v>0</v>
      </c>
      <c r="O52" s="21">
        <f t="shared" si="12"/>
        <v>0</v>
      </c>
      <c r="P52" s="616">
        <v>0</v>
      </c>
      <c r="Q52" s="616">
        <v>0</v>
      </c>
      <c r="R52" s="616">
        <v>0</v>
      </c>
      <c r="S52" s="21">
        <f t="shared" si="13"/>
        <v>0</v>
      </c>
    </row>
    <row r="53" spans="1:19" x14ac:dyDescent="0.25">
      <c r="A53" s="1933"/>
      <c r="B53" s="19" t="s">
        <v>34</v>
      </c>
      <c r="C53" s="22"/>
      <c r="D53" s="616">
        <v>0</v>
      </c>
      <c r="E53" s="616">
        <v>0</v>
      </c>
      <c r="F53" s="616">
        <v>0</v>
      </c>
      <c r="G53" s="21">
        <f t="shared" si="7"/>
        <v>0</v>
      </c>
      <c r="H53" s="616">
        <v>0</v>
      </c>
      <c r="I53" s="616">
        <v>0</v>
      </c>
      <c r="J53" s="616">
        <v>0</v>
      </c>
      <c r="K53" s="21">
        <f t="shared" si="11"/>
        <v>0</v>
      </c>
      <c r="L53" s="616">
        <v>0</v>
      </c>
      <c r="M53" s="616">
        <v>0</v>
      </c>
      <c r="N53" s="616">
        <v>0</v>
      </c>
      <c r="O53" s="21">
        <f t="shared" si="12"/>
        <v>0</v>
      </c>
      <c r="P53" s="616">
        <v>0</v>
      </c>
      <c r="Q53" s="616">
        <v>0</v>
      </c>
      <c r="R53" s="616">
        <v>0</v>
      </c>
      <c r="S53" s="21">
        <f t="shared" si="13"/>
        <v>0</v>
      </c>
    </row>
    <row r="54" spans="1:19" ht="15.6" customHeight="1" x14ac:dyDescent="0.25">
      <c r="A54" s="1933" t="s">
        <v>18</v>
      </c>
      <c r="B54" s="19" t="s">
        <v>32</v>
      </c>
      <c r="C54" s="22"/>
      <c r="D54" s="616">
        <v>0</v>
      </c>
      <c r="E54" s="616">
        <v>0</v>
      </c>
      <c r="F54" s="616">
        <v>0</v>
      </c>
      <c r="G54" s="21">
        <f t="shared" si="7"/>
        <v>0</v>
      </c>
      <c r="H54" s="616">
        <v>0</v>
      </c>
      <c r="I54" s="616">
        <v>0</v>
      </c>
      <c r="J54" s="616">
        <v>0</v>
      </c>
      <c r="K54" s="21">
        <f t="shared" si="11"/>
        <v>0</v>
      </c>
      <c r="L54" s="616">
        <v>0</v>
      </c>
      <c r="M54" s="616">
        <v>0</v>
      </c>
      <c r="N54" s="616">
        <v>0</v>
      </c>
      <c r="O54" s="21">
        <f t="shared" si="12"/>
        <v>0</v>
      </c>
      <c r="P54" s="616">
        <v>0</v>
      </c>
      <c r="Q54" s="616">
        <v>0</v>
      </c>
      <c r="R54" s="616">
        <v>0</v>
      </c>
      <c r="S54" s="21">
        <f t="shared" si="13"/>
        <v>0</v>
      </c>
    </row>
    <row r="55" spans="1:19" x14ac:dyDescent="0.25">
      <c r="A55" s="1933"/>
      <c r="B55" s="19" t="s">
        <v>33</v>
      </c>
      <c r="C55" s="22"/>
      <c r="D55" s="616">
        <v>0</v>
      </c>
      <c r="E55" s="616">
        <v>0</v>
      </c>
      <c r="F55" s="616">
        <v>0</v>
      </c>
      <c r="G55" s="21">
        <f t="shared" si="7"/>
        <v>0</v>
      </c>
      <c r="H55" s="616">
        <v>0</v>
      </c>
      <c r="I55" s="616">
        <v>0</v>
      </c>
      <c r="J55" s="616">
        <v>0</v>
      </c>
      <c r="K55" s="21">
        <f t="shared" si="11"/>
        <v>0</v>
      </c>
      <c r="L55" s="616">
        <v>0</v>
      </c>
      <c r="M55" s="616">
        <v>0</v>
      </c>
      <c r="N55" s="616">
        <v>0</v>
      </c>
      <c r="O55" s="21">
        <f t="shared" si="12"/>
        <v>0</v>
      </c>
      <c r="P55" s="616">
        <v>0</v>
      </c>
      <c r="Q55" s="616">
        <v>0</v>
      </c>
      <c r="R55" s="616">
        <v>0</v>
      </c>
      <c r="S55" s="21">
        <f t="shared" si="13"/>
        <v>0</v>
      </c>
    </row>
    <row r="56" spans="1:19" x14ac:dyDescent="0.25">
      <c r="A56" s="1933"/>
      <c r="B56" s="19" t="s">
        <v>34</v>
      </c>
      <c r="C56" s="22"/>
      <c r="D56" s="616">
        <v>0</v>
      </c>
      <c r="E56" s="616">
        <v>0</v>
      </c>
      <c r="F56" s="616">
        <v>0</v>
      </c>
      <c r="G56" s="21">
        <f t="shared" si="7"/>
        <v>0</v>
      </c>
      <c r="H56" s="616">
        <v>0</v>
      </c>
      <c r="I56" s="616">
        <v>0</v>
      </c>
      <c r="J56" s="616">
        <v>0</v>
      </c>
      <c r="K56" s="21">
        <f t="shared" si="11"/>
        <v>0</v>
      </c>
      <c r="L56" s="616">
        <v>0</v>
      </c>
      <c r="M56" s="616">
        <v>0</v>
      </c>
      <c r="N56" s="616">
        <v>0</v>
      </c>
      <c r="O56" s="21">
        <f t="shared" si="12"/>
        <v>0</v>
      </c>
      <c r="P56" s="616">
        <v>0</v>
      </c>
      <c r="Q56" s="616">
        <v>0</v>
      </c>
      <c r="R56" s="616">
        <v>0</v>
      </c>
      <c r="S56" s="21">
        <f t="shared" si="13"/>
        <v>0</v>
      </c>
    </row>
    <row r="57" spans="1:19" ht="15.6" customHeight="1" x14ac:dyDescent="0.25">
      <c r="A57" s="1933" t="s">
        <v>19</v>
      </c>
      <c r="B57" s="19" t="s">
        <v>32</v>
      </c>
      <c r="C57" s="22"/>
      <c r="D57" s="625">
        <v>2</v>
      </c>
      <c r="E57" s="616">
        <v>0</v>
      </c>
      <c r="F57" s="616">
        <v>0</v>
      </c>
      <c r="G57" s="21">
        <f t="shared" si="7"/>
        <v>2</v>
      </c>
      <c r="H57" s="625">
        <v>2</v>
      </c>
      <c r="I57" s="616">
        <v>0</v>
      </c>
      <c r="J57" s="616">
        <v>0</v>
      </c>
      <c r="K57" s="21">
        <f t="shared" si="11"/>
        <v>2</v>
      </c>
      <c r="L57" s="625">
        <v>2</v>
      </c>
      <c r="M57" s="616">
        <v>0</v>
      </c>
      <c r="N57" s="616">
        <v>0</v>
      </c>
      <c r="O57" s="21">
        <f t="shared" si="12"/>
        <v>2</v>
      </c>
      <c r="P57" s="625">
        <v>2</v>
      </c>
      <c r="Q57" s="616">
        <v>0</v>
      </c>
      <c r="R57" s="616">
        <v>0</v>
      </c>
      <c r="S57" s="21">
        <f t="shared" si="13"/>
        <v>2</v>
      </c>
    </row>
    <row r="58" spans="1:19" x14ac:dyDescent="0.25">
      <c r="A58" s="1933"/>
      <c r="B58" s="19" t="s">
        <v>33</v>
      </c>
      <c r="C58" s="22"/>
      <c r="D58" s="625">
        <v>4</v>
      </c>
      <c r="E58" s="616">
        <v>0</v>
      </c>
      <c r="F58" s="616">
        <v>0</v>
      </c>
      <c r="G58" s="21">
        <f t="shared" si="7"/>
        <v>4</v>
      </c>
      <c r="H58" s="625">
        <v>4</v>
      </c>
      <c r="I58" s="616">
        <v>0</v>
      </c>
      <c r="J58" s="616">
        <v>0</v>
      </c>
      <c r="K58" s="21">
        <f t="shared" si="11"/>
        <v>4</v>
      </c>
      <c r="L58" s="625">
        <v>4</v>
      </c>
      <c r="M58" s="616">
        <v>0</v>
      </c>
      <c r="N58" s="616">
        <v>0</v>
      </c>
      <c r="O58" s="21">
        <f t="shared" si="12"/>
        <v>4</v>
      </c>
      <c r="P58" s="625">
        <v>4</v>
      </c>
      <c r="Q58" s="616">
        <v>0</v>
      </c>
      <c r="R58" s="616">
        <v>0</v>
      </c>
      <c r="S58" s="21">
        <f t="shared" si="13"/>
        <v>4</v>
      </c>
    </row>
    <row r="59" spans="1:19" x14ac:dyDescent="0.25">
      <c r="A59" s="1933"/>
      <c r="B59" s="19" t="s">
        <v>34</v>
      </c>
      <c r="C59" s="22"/>
      <c r="D59" s="625">
        <v>6</v>
      </c>
      <c r="E59" s="616">
        <v>0</v>
      </c>
      <c r="F59" s="616">
        <v>0</v>
      </c>
      <c r="G59" s="21">
        <f t="shared" si="7"/>
        <v>6</v>
      </c>
      <c r="H59" s="625">
        <v>6</v>
      </c>
      <c r="I59" s="616">
        <v>0</v>
      </c>
      <c r="J59" s="616">
        <v>0</v>
      </c>
      <c r="K59" s="21">
        <f t="shared" si="11"/>
        <v>6</v>
      </c>
      <c r="L59" s="625">
        <v>6</v>
      </c>
      <c r="M59" s="616">
        <v>0</v>
      </c>
      <c r="N59" s="616">
        <v>0</v>
      </c>
      <c r="O59" s="21">
        <f t="shared" si="12"/>
        <v>6</v>
      </c>
      <c r="P59" s="625">
        <v>6</v>
      </c>
      <c r="Q59" s="616">
        <v>0</v>
      </c>
      <c r="R59" s="616">
        <v>0</v>
      </c>
      <c r="S59" s="21">
        <f t="shared" si="13"/>
        <v>6</v>
      </c>
    </row>
    <row r="60" spans="1:19" ht="15.6" customHeight="1" x14ac:dyDescent="0.25">
      <c r="A60" s="1933" t="s">
        <v>20</v>
      </c>
      <c r="B60" s="19" t="s">
        <v>32</v>
      </c>
      <c r="C60" s="22"/>
      <c r="D60" s="625">
        <v>8</v>
      </c>
      <c r="E60" s="630">
        <f>1*E$3</f>
        <v>0</v>
      </c>
      <c r="F60" s="616">
        <v>0</v>
      </c>
      <c r="G60" s="21">
        <f t="shared" si="7"/>
        <v>8</v>
      </c>
      <c r="H60" s="625">
        <v>8</v>
      </c>
      <c r="I60" s="630">
        <f>1*I$3</f>
        <v>0</v>
      </c>
      <c r="J60" s="616">
        <v>0</v>
      </c>
      <c r="K60" s="21">
        <f t="shared" si="11"/>
        <v>8</v>
      </c>
      <c r="L60" s="625">
        <v>8</v>
      </c>
      <c r="M60" s="630">
        <f>1*M$3</f>
        <v>0</v>
      </c>
      <c r="N60" s="616">
        <v>0</v>
      </c>
      <c r="O60" s="21">
        <f t="shared" si="12"/>
        <v>8</v>
      </c>
      <c r="P60" s="625">
        <v>8</v>
      </c>
      <c r="Q60" s="630">
        <f>1*Q$3</f>
        <v>0</v>
      </c>
      <c r="R60" s="616">
        <v>0</v>
      </c>
      <c r="S60" s="21">
        <f t="shared" si="13"/>
        <v>8</v>
      </c>
    </row>
    <row r="61" spans="1:19" x14ac:dyDescent="0.25">
      <c r="A61" s="1933"/>
      <c r="B61" s="19" t="s">
        <v>33</v>
      </c>
      <c r="C61" s="22"/>
      <c r="D61" s="625">
        <v>16</v>
      </c>
      <c r="E61" s="630">
        <f>1*E$3</f>
        <v>0</v>
      </c>
      <c r="F61" s="616">
        <v>0</v>
      </c>
      <c r="G61" s="21">
        <f t="shared" si="7"/>
        <v>16</v>
      </c>
      <c r="H61" s="625">
        <v>16</v>
      </c>
      <c r="I61" s="630">
        <f>1*I$3</f>
        <v>0</v>
      </c>
      <c r="J61" s="616">
        <v>0</v>
      </c>
      <c r="K61" s="21">
        <f t="shared" si="11"/>
        <v>16</v>
      </c>
      <c r="L61" s="625">
        <v>16</v>
      </c>
      <c r="M61" s="630">
        <f>1*M$3</f>
        <v>0</v>
      </c>
      <c r="N61" s="616">
        <v>0</v>
      </c>
      <c r="O61" s="21">
        <f t="shared" si="12"/>
        <v>16</v>
      </c>
      <c r="P61" s="625">
        <v>16</v>
      </c>
      <c r="Q61" s="630">
        <f>1*Q$3</f>
        <v>0</v>
      </c>
      <c r="R61" s="616">
        <v>0</v>
      </c>
      <c r="S61" s="21">
        <f t="shared" si="13"/>
        <v>16</v>
      </c>
    </row>
    <row r="62" spans="1:19" x14ac:dyDescent="0.25">
      <c r="A62" s="1933"/>
      <c r="B62" s="19" t="s">
        <v>34</v>
      </c>
      <c r="C62" s="22"/>
      <c r="D62" s="625">
        <v>32</v>
      </c>
      <c r="E62" s="630">
        <f>1*E$3</f>
        <v>0</v>
      </c>
      <c r="F62" s="616">
        <v>0</v>
      </c>
      <c r="G62" s="21">
        <f t="shared" si="7"/>
        <v>32</v>
      </c>
      <c r="H62" s="625">
        <v>32</v>
      </c>
      <c r="I62" s="630">
        <f>1*I$3</f>
        <v>0</v>
      </c>
      <c r="J62" s="616">
        <v>0</v>
      </c>
      <c r="K62" s="21">
        <f t="shared" si="11"/>
        <v>32</v>
      </c>
      <c r="L62" s="625">
        <v>32</v>
      </c>
      <c r="M62" s="630">
        <f>1*M$3</f>
        <v>0</v>
      </c>
      <c r="N62" s="616">
        <v>0</v>
      </c>
      <c r="O62" s="21">
        <f t="shared" si="12"/>
        <v>32</v>
      </c>
      <c r="P62" s="625">
        <v>32</v>
      </c>
      <c r="Q62" s="630">
        <f>1*Q$3</f>
        <v>0</v>
      </c>
      <c r="R62" s="616">
        <v>0</v>
      </c>
      <c r="S62" s="21">
        <f t="shared" si="13"/>
        <v>32</v>
      </c>
    </row>
    <row r="63" spans="1:19" x14ac:dyDescent="0.25">
      <c r="A63" s="1933" t="s">
        <v>451</v>
      </c>
      <c r="B63" s="19" t="s">
        <v>32</v>
      </c>
      <c r="C63" s="22"/>
      <c r="D63" s="482">
        <v>0.25</v>
      </c>
      <c r="E63" s="691">
        <v>0</v>
      </c>
      <c r="F63" s="495">
        <v>0</v>
      </c>
      <c r="G63" s="21">
        <f t="shared" si="7"/>
        <v>0.25</v>
      </c>
      <c r="H63" s="482">
        <v>0.25</v>
      </c>
      <c r="I63" s="691">
        <v>0</v>
      </c>
      <c r="J63" s="495">
        <v>0</v>
      </c>
      <c r="K63" s="21">
        <f t="shared" si="11"/>
        <v>0.25</v>
      </c>
      <c r="L63" s="482">
        <v>0.25</v>
      </c>
      <c r="M63" s="691">
        <v>0</v>
      </c>
      <c r="N63" s="495">
        <v>0</v>
      </c>
      <c r="O63" s="21">
        <f t="shared" si="12"/>
        <v>0.25</v>
      </c>
      <c r="P63" s="482">
        <v>0.25</v>
      </c>
      <c r="Q63" s="691">
        <v>0</v>
      </c>
      <c r="R63" s="495">
        <v>0</v>
      </c>
      <c r="S63" s="21">
        <f t="shared" si="13"/>
        <v>0.25</v>
      </c>
    </row>
    <row r="64" spans="1:19" x14ac:dyDescent="0.25">
      <c r="A64" s="1933"/>
      <c r="B64" s="19" t="s">
        <v>33</v>
      </c>
      <c r="C64" s="22"/>
      <c r="D64" s="625">
        <v>0.5</v>
      </c>
      <c r="E64" s="691">
        <v>0</v>
      </c>
      <c r="F64" s="495">
        <v>0</v>
      </c>
      <c r="G64" s="21">
        <f t="shared" si="7"/>
        <v>0.5</v>
      </c>
      <c r="H64" s="625">
        <v>0.5</v>
      </c>
      <c r="I64" s="691">
        <v>0</v>
      </c>
      <c r="J64" s="495">
        <v>0</v>
      </c>
      <c r="K64" s="21">
        <f t="shared" si="11"/>
        <v>0.5</v>
      </c>
      <c r="L64" s="625">
        <v>0.5</v>
      </c>
      <c r="M64" s="691">
        <v>0</v>
      </c>
      <c r="N64" s="495">
        <v>0</v>
      </c>
      <c r="O64" s="21">
        <f t="shared" si="12"/>
        <v>0.5</v>
      </c>
      <c r="P64" s="625">
        <v>0.5</v>
      </c>
      <c r="Q64" s="691">
        <v>0</v>
      </c>
      <c r="R64" s="495">
        <v>0</v>
      </c>
      <c r="S64" s="21">
        <f t="shared" si="13"/>
        <v>0.5</v>
      </c>
    </row>
    <row r="65" spans="1:19" x14ac:dyDescent="0.25">
      <c r="A65" s="1933"/>
      <c r="B65" s="19" t="s">
        <v>34</v>
      </c>
      <c r="C65" s="22"/>
      <c r="D65" s="625">
        <v>1</v>
      </c>
      <c r="E65" s="691">
        <v>0</v>
      </c>
      <c r="F65" s="495">
        <v>0</v>
      </c>
      <c r="G65" s="21">
        <f t="shared" si="7"/>
        <v>1</v>
      </c>
      <c r="H65" s="625">
        <v>1</v>
      </c>
      <c r="I65" s="691">
        <v>0</v>
      </c>
      <c r="J65" s="495">
        <v>0</v>
      </c>
      <c r="K65" s="21">
        <f t="shared" si="11"/>
        <v>1</v>
      </c>
      <c r="L65" s="625">
        <v>1</v>
      </c>
      <c r="M65" s="691">
        <v>0</v>
      </c>
      <c r="N65" s="495">
        <v>0</v>
      </c>
      <c r="O65" s="21">
        <f t="shared" si="12"/>
        <v>1</v>
      </c>
      <c r="P65" s="625">
        <v>1</v>
      </c>
      <c r="Q65" s="691">
        <v>0</v>
      </c>
      <c r="R65" s="495">
        <v>0</v>
      </c>
      <c r="S65" s="21">
        <f t="shared" si="13"/>
        <v>1</v>
      </c>
    </row>
    <row r="66" spans="1:19" x14ac:dyDescent="0.25">
      <c r="A66" s="1933" t="s">
        <v>452</v>
      </c>
      <c r="B66" s="19" t="s">
        <v>32</v>
      </c>
      <c r="C66" s="22"/>
      <c r="D66" s="482">
        <v>0.25</v>
      </c>
      <c r="E66" s="691">
        <v>0</v>
      </c>
      <c r="F66" s="495">
        <v>0</v>
      </c>
      <c r="G66" s="21">
        <f t="shared" si="7"/>
        <v>0.25</v>
      </c>
      <c r="H66" s="482">
        <v>0.25</v>
      </c>
      <c r="I66" s="691">
        <v>0</v>
      </c>
      <c r="J66" s="495">
        <v>0</v>
      </c>
      <c r="K66" s="21">
        <f t="shared" si="11"/>
        <v>0.25</v>
      </c>
      <c r="L66" s="482">
        <v>0.25</v>
      </c>
      <c r="M66" s="691">
        <v>0</v>
      </c>
      <c r="N66" s="495">
        <v>0</v>
      </c>
      <c r="O66" s="21">
        <f t="shared" si="12"/>
        <v>0.25</v>
      </c>
      <c r="P66" s="482">
        <v>0.25</v>
      </c>
      <c r="Q66" s="691">
        <v>0</v>
      </c>
      <c r="R66" s="495">
        <v>0</v>
      </c>
      <c r="S66" s="21">
        <f t="shared" si="13"/>
        <v>0.25</v>
      </c>
    </row>
    <row r="67" spans="1:19" x14ac:dyDescent="0.25">
      <c r="A67" s="1933"/>
      <c r="B67" s="19" t="s">
        <v>33</v>
      </c>
      <c r="C67" s="22"/>
      <c r="D67" s="625">
        <v>0.5</v>
      </c>
      <c r="E67" s="691">
        <v>0</v>
      </c>
      <c r="F67" s="495">
        <v>0</v>
      </c>
      <c r="G67" s="21">
        <f t="shared" si="7"/>
        <v>0.5</v>
      </c>
      <c r="H67" s="625">
        <v>0.5</v>
      </c>
      <c r="I67" s="691">
        <v>0</v>
      </c>
      <c r="J67" s="495">
        <v>0</v>
      </c>
      <c r="K67" s="21">
        <f t="shared" si="11"/>
        <v>0.5</v>
      </c>
      <c r="L67" s="625">
        <v>0.5</v>
      </c>
      <c r="M67" s="691">
        <v>0</v>
      </c>
      <c r="N67" s="495">
        <v>0</v>
      </c>
      <c r="O67" s="21">
        <f t="shared" si="12"/>
        <v>0.5</v>
      </c>
      <c r="P67" s="625">
        <v>0.5</v>
      </c>
      <c r="Q67" s="691">
        <v>0</v>
      </c>
      <c r="R67" s="495">
        <v>0</v>
      </c>
      <c r="S67" s="21">
        <f t="shared" si="13"/>
        <v>0.5</v>
      </c>
    </row>
    <row r="68" spans="1:19" x14ac:dyDescent="0.25">
      <c r="A68" s="1933"/>
      <c r="B68" s="19" t="s">
        <v>34</v>
      </c>
      <c r="C68" s="22"/>
      <c r="D68" s="625">
        <v>1</v>
      </c>
      <c r="E68" s="691">
        <v>0</v>
      </c>
      <c r="F68" s="495">
        <v>0</v>
      </c>
      <c r="G68" s="21">
        <f t="shared" si="7"/>
        <v>1</v>
      </c>
      <c r="H68" s="625">
        <v>1</v>
      </c>
      <c r="I68" s="691">
        <v>0</v>
      </c>
      <c r="J68" s="495">
        <v>0</v>
      </c>
      <c r="K68" s="21">
        <f t="shared" si="11"/>
        <v>1</v>
      </c>
      <c r="L68" s="625">
        <v>1</v>
      </c>
      <c r="M68" s="691">
        <v>0</v>
      </c>
      <c r="N68" s="495">
        <v>0</v>
      </c>
      <c r="O68" s="21">
        <f t="shared" si="12"/>
        <v>1</v>
      </c>
      <c r="P68" s="625">
        <v>1</v>
      </c>
      <c r="Q68" s="691">
        <v>0</v>
      </c>
      <c r="R68" s="495">
        <v>0</v>
      </c>
      <c r="S68" s="21">
        <f t="shared" si="13"/>
        <v>1</v>
      </c>
    </row>
    <row r="69" spans="1:19" x14ac:dyDescent="0.25">
      <c r="A69" s="1936" t="s">
        <v>533</v>
      </c>
      <c r="B69" s="19" t="s">
        <v>32</v>
      </c>
      <c r="C69" s="22"/>
      <c r="D69" s="625">
        <v>3</v>
      </c>
      <c r="E69" s="630">
        <f t="shared" ref="E69:E74" si="14">1*E$3</f>
        <v>0</v>
      </c>
      <c r="F69" s="616">
        <v>0</v>
      </c>
      <c r="G69" s="21">
        <f t="shared" si="7"/>
        <v>3</v>
      </c>
      <c r="H69" s="625">
        <v>3</v>
      </c>
      <c r="I69" s="630">
        <f t="shared" ref="I69:I74" si="15">1*I$3</f>
        <v>0</v>
      </c>
      <c r="J69" s="616">
        <v>0</v>
      </c>
      <c r="K69" s="21">
        <f t="shared" si="11"/>
        <v>3</v>
      </c>
      <c r="L69" s="625">
        <v>3</v>
      </c>
      <c r="M69" s="630">
        <f t="shared" ref="M69:M74" si="16">1*M$3</f>
        <v>0</v>
      </c>
      <c r="N69" s="616">
        <v>0</v>
      </c>
      <c r="O69" s="21">
        <f t="shared" si="12"/>
        <v>3</v>
      </c>
      <c r="P69" s="625">
        <v>3</v>
      </c>
      <c r="Q69" s="630">
        <f t="shared" ref="Q69:Q74" si="17">1*Q$3</f>
        <v>0</v>
      </c>
      <c r="R69" s="616">
        <v>0</v>
      </c>
      <c r="S69" s="21">
        <f t="shared" si="13"/>
        <v>3</v>
      </c>
    </row>
    <row r="70" spans="1:19" x14ac:dyDescent="0.25">
      <c r="A70" s="1936"/>
      <c r="B70" s="19" t="s">
        <v>33</v>
      </c>
      <c r="C70" s="22"/>
      <c r="D70" s="625">
        <v>4</v>
      </c>
      <c r="E70" s="630">
        <f t="shared" si="14"/>
        <v>0</v>
      </c>
      <c r="F70" s="616">
        <v>0</v>
      </c>
      <c r="G70" s="21">
        <f t="shared" si="7"/>
        <v>4</v>
      </c>
      <c r="H70" s="625">
        <v>4</v>
      </c>
      <c r="I70" s="630">
        <f t="shared" si="15"/>
        <v>0</v>
      </c>
      <c r="J70" s="616">
        <v>0</v>
      </c>
      <c r="K70" s="21">
        <f t="shared" si="11"/>
        <v>4</v>
      </c>
      <c r="L70" s="625">
        <v>4</v>
      </c>
      <c r="M70" s="630">
        <f t="shared" si="16"/>
        <v>0</v>
      </c>
      <c r="N70" s="616">
        <v>0</v>
      </c>
      <c r="O70" s="21">
        <f t="shared" si="12"/>
        <v>4</v>
      </c>
      <c r="P70" s="625">
        <v>4</v>
      </c>
      <c r="Q70" s="630">
        <f t="shared" si="17"/>
        <v>0</v>
      </c>
      <c r="R70" s="616">
        <v>0</v>
      </c>
      <c r="S70" s="21">
        <f t="shared" si="13"/>
        <v>4</v>
      </c>
    </row>
    <row r="71" spans="1:19" x14ac:dyDescent="0.25">
      <c r="A71" s="1936"/>
      <c r="B71" s="19" t="s">
        <v>34</v>
      </c>
      <c r="C71" s="22"/>
      <c r="D71" s="625">
        <v>6</v>
      </c>
      <c r="E71" s="630">
        <f t="shared" si="14"/>
        <v>0</v>
      </c>
      <c r="F71" s="616">
        <v>0</v>
      </c>
      <c r="G71" s="21">
        <f t="shared" si="7"/>
        <v>6</v>
      </c>
      <c r="H71" s="625">
        <v>6</v>
      </c>
      <c r="I71" s="630">
        <f t="shared" si="15"/>
        <v>0</v>
      </c>
      <c r="J71" s="616">
        <v>0</v>
      </c>
      <c r="K71" s="21">
        <f t="shared" si="11"/>
        <v>6</v>
      </c>
      <c r="L71" s="625">
        <v>6</v>
      </c>
      <c r="M71" s="630">
        <f t="shared" si="16"/>
        <v>0</v>
      </c>
      <c r="N71" s="616">
        <v>0</v>
      </c>
      <c r="O71" s="21">
        <f t="shared" si="12"/>
        <v>6</v>
      </c>
      <c r="P71" s="625">
        <v>6</v>
      </c>
      <c r="Q71" s="630">
        <f t="shared" si="17"/>
        <v>0</v>
      </c>
      <c r="R71" s="616">
        <v>0</v>
      </c>
      <c r="S71" s="21">
        <f t="shared" si="13"/>
        <v>6</v>
      </c>
    </row>
    <row r="72" spans="1:19" x14ac:dyDescent="0.25">
      <c r="A72" s="1933" t="s">
        <v>534</v>
      </c>
      <c r="B72" s="19" t="s">
        <v>32</v>
      </c>
      <c r="C72" s="22"/>
      <c r="D72" s="625">
        <v>4</v>
      </c>
      <c r="E72" s="630">
        <f t="shared" si="14"/>
        <v>0</v>
      </c>
      <c r="F72" s="616">
        <v>0</v>
      </c>
      <c r="G72" s="21">
        <f t="shared" si="7"/>
        <v>4</v>
      </c>
      <c r="H72" s="625">
        <v>4</v>
      </c>
      <c r="I72" s="630">
        <f t="shared" si="15"/>
        <v>0</v>
      </c>
      <c r="J72" s="616">
        <v>0</v>
      </c>
      <c r="K72" s="21">
        <f t="shared" si="11"/>
        <v>4</v>
      </c>
      <c r="L72" s="625">
        <v>4</v>
      </c>
      <c r="M72" s="630">
        <f t="shared" si="16"/>
        <v>0</v>
      </c>
      <c r="N72" s="616">
        <v>0</v>
      </c>
      <c r="O72" s="21">
        <f t="shared" si="12"/>
        <v>4</v>
      </c>
      <c r="P72" s="625">
        <v>4</v>
      </c>
      <c r="Q72" s="630">
        <f t="shared" si="17"/>
        <v>0</v>
      </c>
      <c r="R72" s="616">
        <v>0</v>
      </c>
      <c r="S72" s="21">
        <f t="shared" si="13"/>
        <v>4</v>
      </c>
    </row>
    <row r="73" spans="1:19" x14ac:dyDescent="0.25">
      <c r="A73" s="1933"/>
      <c r="B73" s="19" t="s">
        <v>33</v>
      </c>
      <c r="C73" s="22"/>
      <c r="D73" s="625">
        <v>6</v>
      </c>
      <c r="E73" s="630">
        <f t="shared" si="14"/>
        <v>0</v>
      </c>
      <c r="F73" s="616">
        <v>0</v>
      </c>
      <c r="G73" s="21">
        <f t="shared" si="7"/>
        <v>6</v>
      </c>
      <c r="H73" s="625">
        <v>6</v>
      </c>
      <c r="I73" s="630">
        <f t="shared" si="15"/>
        <v>0</v>
      </c>
      <c r="J73" s="616">
        <v>0</v>
      </c>
      <c r="K73" s="21">
        <f t="shared" si="11"/>
        <v>6</v>
      </c>
      <c r="L73" s="625">
        <v>6</v>
      </c>
      <c r="M73" s="630">
        <f t="shared" si="16"/>
        <v>0</v>
      </c>
      <c r="N73" s="616">
        <v>0</v>
      </c>
      <c r="O73" s="21">
        <f t="shared" si="12"/>
        <v>6</v>
      </c>
      <c r="P73" s="625">
        <v>6</v>
      </c>
      <c r="Q73" s="630">
        <f t="shared" si="17"/>
        <v>0</v>
      </c>
      <c r="R73" s="616">
        <v>0</v>
      </c>
      <c r="S73" s="21">
        <f t="shared" si="13"/>
        <v>6</v>
      </c>
    </row>
    <row r="74" spans="1:19" x14ac:dyDescent="0.25">
      <c r="A74" s="1933"/>
      <c r="B74" s="19" t="s">
        <v>34</v>
      </c>
      <c r="C74" s="22"/>
      <c r="D74" s="625">
        <v>8</v>
      </c>
      <c r="E74" s="630">
        <f t="shared" si="14"/>
        <v>0</v>
      </c>
      <c r="F74" s="616">
        <v>0</v>
      </c>
      <c r="G74" s="21">
        <f t="shared" si="7"/>
        <v>8</v>
      </c>
      <c r="H74" s="625">
        <v>8</v>
      </c>
      <c r="I74" s="630">
        <f t="shared" si="15"/>
        <v>0</v>
      </c>
      <c r="J74" s="616">
        <v>0</v>
      </c>
      <c r="K74" s="21">
        <f t="shared" si="11"/>
        <v>8</v>
      </c>
      <c r="L74" s="625">
        <v>8</v>
      </c>
      <c r="M74" s="630">
        <f t="shared" si="16"/>
        <v>0</v>
      </c>
      <c r="N74" s="616">
        <v>0</v>
      </c>
      <c r="O74" s="21">
        <f t="shared" si="12"/>
        <v>8</v>
      </c>
      <c r="P74" s="625">
        <v>8</v>
      </c>
      <c r="Q74" s="630">
        <f t="shared" si="17"/>
        <v>0</v>
      </c>
      <c r="R74" s="616">
        <v>0</v>
      </c>
      <c r="S74" s="21">
        <f t="shared" si="13"/>
        <v>8</v>
      </c>
    </row>
    <row r="75" spans="1:19" ht="15.6" customHeight="1" x14ac:dyDescent="0.25">
      <c r="A75" s="1933" t="s">
        <v>21</v>
      </c>
      <c r="B75" s="19" t="s">
        <v>32</v>
      </c>
      <c r="C75" s="22"/>
      <c r="D75" s="38" t="s">
        <v>90</v>
      </c>
      <c r="E75" s="38" t="s">
        <v>90</v>
      </c>
      <c r="F75" s="38" t="s">
        <v>90</v>
      </c>
      <c r="G75" s="21">
        <f t="shared" si="7"/>
        <v>0</v>
      </c>
      <c r="H75" s="38" t="s">
        <v>90</v>
      </c>
      <c r="I75" s="38" t="s">
        <v>90</v>
      </c>
      <c r="J75" s="38" t="s">
        <v>90</v>
      </c>
      <c r="K75" s="21">
        <f t="shared" si="11"/>
        <v>0</v>
      </c>
      <c r="L75" s="38" t="s">
        <v>90</v>
      </c>
      <c r="M75" s="38" t="s">
        <v>90</v>
      </c>
      <c r="N75" s="38" t="s">
        <v>90</v>
      </c>
      <c r="O75" s="21">
        <f t="shared" si="12"/>
        <v>0</v>
      </c>
      <c r="P75" s="38" t="s">
        <v>90</v>
      </c>
      <c r="Q75" s="38" t="s">
        <v>90</v>
      </c>
      <c r="R75" s="38" t="s">
        <v>90</v>
      </c>
      <c r="S75" s="21">
        <f t="shared" si="13"/>
        <v>0</v>
      </c>
    </row>
    <row r="76" spans="1:19" x14ac:dyDescent="0.25">
      <c r="A76" s="1933"/>
      <c r="B76" s="19" t="s">
        <v>33</v>
      </c>
      <c r="C76" s="22"/>
      <c r="D76" s="38" t="s">
        <v>90</v>
      </c>
      <c r="E76" s="38" t="s">
        <v>90</v>
      </c>
      <c r="F76" s="38" t="s">
        <v>90</v>
      </c>
      <c r="G76" s="21">
        <f t="shared" si="7"/>
        <v>0</v>
      </c>
      <c r="H76" s="38" t="s">
        <v>90</v>
      </c>
      <c r="I76" s="38" t="s">
        <v>90</v>
      </c>
      <c r="J76" s="38" t="s">
        <v>90</v>
      </c>
      <c r="K76" s="21">
        <f t="shared" si="11"/>
        <v>0</v>
      </c>
      <c r="L76" s="38" t="s">
        <v>90</v>
      </c>
      <c r="M76" s="38" t="s">
        <v>90</v>
      </c>
      <c r="N76" s="38" t="s">
        <v>90</v>
      </c>
      <c r="O76" s="21">
        <f t="shared" si="12"/>
        <v>0</v>
      </c>
      <c r="P76" s="38" t="s">
        <v>90</v>
      </c>
      <c r="Q76" s="38" t="s">
        <v>90</v>
      </c>
      <c r="R76" s="38" t="s">
        <v>90</v>
      </c>
      <c r="S76" s="21">
        <f t="shared" si="13"/>
        <v>0</v>
      </c>
    </row>
    <row r="77" spans="1:19" x14ac:dyDescent="0.25">
      <c r="A77" s="1933"/>
      <c r="B77" s="13" t="s">
        <v>34</v>
      </c>
      <c r="C77" s="34"/>
      <c r="D77" s="38" t="s">
        <v>90</v>
      </c>
      <c r="E77" s="38" t="s">
        <v>90</v>
      </c>
      <c r="F77" s="38" t="s">
        <v>90</v>
      </c>
      <c r="G77" s="21">
        <f t="shared" si="7"/>
        <v>0</v>
      </c>
      <c r="H77" s="38" t="s">
        <v>90</v>
      </c>
      <c r="I77" s="38" t="s">
        <v>90</v>
      </c>
      <c r="J77" s="38" t="s">
        <v>90</v>
      </c>
      <c r="K77" s="21">
        <f t="shared" si="11"/>
        <v>0</v>
      </c>
      <c r="L77" s="38" t="s">
        <v>90</v>
      </c>
      <c r="M77" s="38" t="s">
        <v>90</v>
      </c>
      <c r="N77" s="38" t="s">
        <v>90</v>
      </c>
      <c r="O77" s="21">
        <f t="shared" si="12"/>
        <v>0</v>
      </c>
      <c r="P77" s="38" t="s">
        <v>90</v>
      </c>
      <c r="Q77" s="38" t="s">
        <v>90</v>
      </c>
      <c r="R77" s="38" t="s">
        <v>90</v>
      </c>
      <c r="S77" s="21">
        <f t="shared" si="13"/>
        <v>0</v>
      </c>
    </row>
    <row r="78" spans="1:19" x14ac:dyDescent="0.25">
      <c r="A78" s="1933" t="s">
        <v>181</v>
      </c>
      <c r="B78" s="19" t="s">
        <v>32</v>
      </c>
      <c r="C78" s="198"/>
      <c r="D78" s="190">
        <v>0</v>
      </c>
      <c r="E78" s="15">
        <v>0</v>
      </c>
      <c r="F78" s="193">
        <v>0</v>
      </c>
      <c r="G78" s="21">
        <f t="shared" si="7"/>
        <v>0</v>
      </c>
      <c r="H78" s="190">
        <v>0</v>
      </c>
      <c r="I78" s="15">
        <v>0</v>
      </c>
      <c r="J78" s="193">
        <v>0</v>
      </c>
      <c r="K78" s="21">
        <f t="shared" si="11"/>
        <v>0</v>
      </c>
      <c r="L78" s="190">
        <v>0</v>
      </c>
      <c r="M78" s="15">
        <v>0</v>
      </c>
      <c r="N78" s="193">
        <v>0</v>
      </c>
      <c r="O78" s="21">
        <f t="shared" si="12"/>
        <v>0</v>
      </c>
      <c r="P78" s="190">
        <v>0</v>
      </c>
      <c r="Q78" s="15">
        <v>0</v>
      </c>
      <c r="R78" s="193">
        <v>0</v>
      </c>
      <c r="S78" s="21">
        <f t="shared" si="13"/>
        <v>0</v>
      </c>
    </row>
    <row r="79" spans="1:19" x14ac:dyDescent="0.25">
      <c r="A79" s="1933"/>
      <c r="B79" s="19" t="s">
        <v>33</v>
      </c>
      <c r="C79" s="198"/>
      <c r="D79" s="190">
        <v>0</v>
      </c>
      <c r="E79" s="15">
        <v>0</v>
      </c>
      <c r="F79" s="193">
        <v>0</v>
      </c>
      <c r="G79" s="21">
        <f t="shared" si="7"/>
        <v>0</v>
      </c>
      <c r="H79" s="190">
        <v>0</v>
      </c>
      <c r="I79" s="15">
        <v>0</v>
      </c>
      <c r="J79" s="193">
        <v>0</v>
      </c>
      <c r="K79" s="21">
        <f t="shared" si="11"/>
        <v>0</v>
      </c>
      <c r="L79" s="190">
        <v>0</v>
      </c>
      <c r="M79" s="15">
        <v>0</v>
      </c>
      <c r="N79" s="193">
        <v>0</v>
      </c>
      <c r="O79" s="21">
        <f t="shared" si="12"/>
        <v>0</v>
      </c>
      <c r="P79" s="190">
        <v>0</v>
      </c>
      <c r="Q79" s="15">
        <v>0</v>
      </c>
      <c r="R79" s="193">
        <v>0</v>
      </c>
      <c r="S79" s="21">
        <f t="shared" si="13"/>
        <v>0</v>
      </c>
    </row>
    <row r="80" spans="1:19" x14ac:dyDescent="0.25">
      <c r="A80" s="1933"/>
      <c r="B80" s="19" t="s">
        <v>34</v>
      </c>
      <c r="C80" s="198"/>
      <c r="D80" s="190">
        <v>0</v>
      </c>
      <c r="E80" s="15">
        <v>0</v>
      </c>
      <c r="F80" s="193">
        <v>0</v>
      </c>
      <c r="G80" s="21">
        <f t="shared" si="7"/>
        <v>0</v>
      </c>
      <c r="H80" s="190">
        <v>0</v>
      </c>
      <c r="I80" s="15">
        <v>0</v>
      </c>
      <c r="J80" s="193">
        <v>0</v>
      </c>
      <c r="K80" s="21">
        <f t="shared" si="11"/>
        <v>0</v>
      </c>
      <c r="L80" s="190">
        <v>0</v>
      </c>
      <c r="M80" s="15">
        <v>0</v>
      </c>
      <c r="N80" s="193">
        <v>0</v>
      </c>
      <c r="O80" s="21">
        <f t="shared" si="12"/>
        <v>0</v>
      </c>
      <c r="P80" s="190">
        <v>0</v>
      </c>
      <c r="Q80" s="15">
        <v>0</v>
      </c>
      <c r="R80" s="193">
        <v>0</v>
      </c>
      <c r="S80" s="21">
        <f t="shared" si="13"/>
        <v>0</v>
      </c>
    </row>
    <row r="81" spans="1:19" x14ac:dyDescent="0.25">
      <c r="A81" s="1933" t="s">
        <v>182</v>
      </c>
      <c r="B81" s="19" t="s">
        <v>32</v>
      </c>
      <c r="C81" s="198"/>
      <c r="D81" s="190">
        <v>0</v>
      </c>
      <c r="E81" s="15">
        <v>0</v>
      </c>
      <c r="F81" s="193">
        <v>0</v>
      </c>
      <c r="G81" s="21">
        <f t="shared" si="7"/>
        <v>0</v>
      </c>
      <c r="H81" s="190">
        <v>0</v>
      </c>
      <c r="I81" s="15">
        <v>0</v>
      </c>
      <c r="J81" s="193">
        <v>0</v>
      </c>
      <c r="K81" s="21">
        <f t="shared" si="11"/>
        <v>0</v>
      </c>
      <c r="L81" s="190">
        <v>0</v>
      </c>
      <c r="M81" s="15">
        <v>0</v>
      </c>
      <c r="N81" s="193">
        <v>0</v>
      </c>
      <c r="O81" s="21">
        <f t="shared" si="12"/>
        <v>0</v>
      </c>
      <c r="P81" s="190">
        <v>0</v>
      </c>
      <c r="Q81" s="15">
        <v>0</v>
      </c>
      <c r="R81" s="193">
        <v>0</v>
      </c>
      <c r="S81" s="21">
        <f t="shared" si="13"/>
        <v>0</v>
      </c>
    </row>
    <row r="82" spans="1:19" x14ac:dyDescent="0.25">
      <c r="A82" s="1933"/>
      <c r="B82" s="19" t="s">
        <v>33</v>
      </c>
      <c r="C82" s="198"/>
      <c r="D82" s="190">
        <v>0</v>
      </c>
      <c r="E82" s="15">
        <v>0</v>
      </c>
      <c r="F82" s="193">
        <v>0</v>
      </c>
      <c r="G82" s="21">
        <f t="shared" si="7"/>
        <v>0</v>
      </c>
      <c r="H82" s="190">
        <v>0</v>
      </c>
      <c r="I82" s="15">
        <v>0</v>
      </c>
      <c r="J82" s="193">
        <v>0</v>
      </c>
      <c r="K82" s="21">
        <f t="shared" si="11"/>
        <v>0</v>
      </c>
      <c r="L82" s="190">
        <v>0</v>
      </c>
      <c r="M82" s="15">
        <v>0</v>
      </c>
      <c r="N82" s="193">
        <v>0</v>
      </c>
      <c r="O82" s="21">
        <f t="shared" si="12"/>
        <v>0</v>
      </c>
      <c r="P82" s="190">
        <v>0</v>
      </c>
      <c r="Q82" s="15">
        <v>0</v>
      </c>
      <c r="R82" s="193">
        <v>0</v>
      </c>
      <c r="S82" s="21">
        <f t="shared" si="13"/>
        <v>0</v>
      </c>
    </row>
    <row r="83" spans="1:19" x14ac:dyDescent="0.25">
      <c r="A83" s="1933"/>
      <c r="B83" s="19" t="s">
        <v>34</v>
      </c>
      <c r="C83" s="198"/>
      <c r="D83" s="190">
        <v>0</v>
      </c>
      <c r="E83" s="15">
        <v>0</v>
      </c>
      <c r="F83" s="193">
        <v>0</v>
      </c>
      <c r="G83" s="21">
        <f t="shared" si="7"/>
        <v>0</v>
      </c>
      <c r="H83" s="190">
        <v>0</v>
      </c>
      <c r="I83" s="15">
        <v>0</v>
      </c>
      <c r="J83" s="193">
        <v>0</v>
      </c>
      <c r="K83" s="21">
        <f t="shared" si="11"/>
        <v>0</v>
      </c>
      <c r="L83" s="190">
        <v>0</v>
      </c>
      <c r="M83" s="15">
        <v>0</v>
      </c>
      <c r="N83" s="193">
        <v>0</v>
      </c>
      <c r="O83" s="21">
        <f t="shared" si="12"/>
        <v>0</v>
      </c>
      <c r="P83" s="190">
        <v>0</v>
      </c>
      <c r="Q83" s="15">
        <v>0</v>
      </c>
      <c r="R83" s="193">
        <v>0</v>
      </c>
      <c r="S83" s="21">
        <f t="shared" si="13"/>
        <v>0</v>
      </c>
    </row>
    <row r="84" spans="1:19" x14ac:dyDescent="0.25">
      <c r="A84" s="1935" t="s">
        <v>183</v>
      </c>
      <c r="B84" s="19" t="s">
        <v>32</v>
      </c>
      <c r="C84" s="198"/>
      <c r="D84" s="190">
        <v>0</v>
      </c>
      <c r="E84" s="15">
        <v>0</v>
      </c>
      <c r="F84" s="193">
        <v>0</v>
      </c>
      <c r="G84" s="21">
        <f t="shared" si="7"/>
        <v>0</v>
      </c>
      <c r="H84" s="190">
        <v>0</v>
      </c>
      <c r="I84" s="15">
        <v>0</v>
      </c>
      <c r="J84" s="193">
        <v>0</v>
      </c>
      <c r="K84" s="21">
        <f t="shared" si="11"/>
        <v>0</v>
      </c>
      <c r="L84" s="190">
        <v>0</v>
      </c>
      <c r="M84" s="15">
        <v>0</v>
      </c>
      <c r="N84" s="193">
        <v>0</v>
      </c>
      <c r="O84" s="21">
        <f t="shared" si="12"/>
        <v>0</v>
      </c>
      <c r="P84" s="190">
        <v>0</v>
      </c>
      <c r="Q84" s="15">
        <v>0</v>
      </c>
      <c r="R84" s="193">
        <v>0</v>
      </c>
      <c r="S84" s="21">
        <f t="shared" si="13"/>
        <v>0</v>
      </c>
    </row>
    <row r="85" spans="1:19" x14ac:dyDescent="0.25">
      <c r="A85" s="1935"/>
      <c r="B85" s="19" t="s">
        <v>33</v>
      </c>
      <c r="C85" s="198"/>
      <c r="D85" s="190">
        <v>0</v>
      </c>
      <c r="E85" s="15">
        <v>0</v>
      </c>
      <c r="F85" s="193">
        <v>0</v>
      </c>
      <c r="G85" s="21">
        <f t="shared" si="7"/>
        <v>0</v>
      </c>
      <c r="H85" s="190">
        <v>0</v>
      </c>
      <c r="I85" s="15">
        <v>0</v>
      </c>
      <c r="J85" s="193">
        <v>0</v>
      </c>
      <c r="K85" s="21">
        <f t="shared" si="11"/>
        <v>0</v>
      </c>
      <c r="L85" s="190">
        <v>0</v>
      </c>
      <c r="M85" s="15">
        <v>0</v>
      </c>
      <c r="N85" s="193">
        <v>0</v>
      </c>
      <c r="O85" s="21">
        <f t="shared" si="12"/>
        <v>0</v>
      </c>
      <c r="P85" s="190">
        <v>0</v>
      </c>
      <c r="Q85" s="15">
        <v>0</v>
      </c>
      <c r="R85" s="193">
        <v>0</v>
      </c>
      <c r="S85" s="21">
        <f t="shared" si="13"/>
        <v>0</v>
      </c>
    </row>
    <row r="86" spans="1:19" ht="15.75" thickBot="1" x14ac:dyDescent="0.3">
      <c r="A86" s="1935"/>
      <c r="B86" s="13" t="s">
        <v>34</v>
      </c>
      <c r="C86" s="220"/>
      <c r="D86" s="409">
        <v>0</v>
      </c>
      <c r="E86" s="399">
        <v>0</v>
      </c>
      <c r="F86" s="410">
        <v>0</v>
      </c>
      <c r="G86" s="77">
        <f t="shared" si="7"/>
        <v>0</v>
      </c>
      <c r="H86" s="409">
        <v>0</v>
      </c>
      <c r="I86" s="399">
        <v>0</v>
      </c>
      <c r="J86" s="410">
        <v>0</v>
      </c>
      <c r="K86" s="77">
        <f t="shared" si="11"/>
        <v>0</v>
      </c>
      <c r="L86" s="409">
        <v>0</v>
      </c>
      <c r="M86" s="399">
        <v>0</v>
      </c>
      <c r="N86" s="410">
        <v>0</v>
      </c>
      <c r="O86" s="77">
        <f t="shared" si="12"/>
        <v>0</v>
      </c>
      <c r="P86" s="409">
        <v>0</v>
      </c>
      <c r="Q86" s="399">
        <v>0</v>
      </c>
      <c r="R86" s="410">
        <v>0</v>
      </c>
      <c r="S86" s="77">
        <f t="shared" si="13"/>
        <v>0</v>
      </c>
    </row>
    <row r="87" spans="1:19" ht="16.5" thickBot="1" x14ac:dyDescent="0.3">
      <c r="A87" s="330" t="s">
        <v>22</v>
      </c>
      <c r="B87" s="329"/>
      <c r="C87" s="329"/>
      <c r="D87" s="329"/>
      <c r="E87" s="329"/>
      <c r="F87" s="329"/>
      <c r="G87" s="329"/>
      <c r="H87" s="329"/>
      <c r="I87" s="329"/>
      <c r="J87" s="329"/>
      <c r="K87" s="329"/>
      <c r="L87" s="329"/>
      <c r="M87" s="329"/>
      <c r="N87" s="329"/>
      <c r="O87" s="329"/>
      <c r="P87" s="329"/>
      <c r="Q87" s="329"/>
      <c r="R87" s="329"/>
      <c r="S87" s="328"/>
    </row>
    <row r="88" spans="1:19" ht="15.6" customHeight="1" x14ac:dyDescent="0.25">
      <c r="A88" s="2313" t="s">
        <v>23</v>
      </c>
      <c r="B88" s="404" t="s">
        <v>32</v>
      </c>
      <c r="C88" s="324"/>
      <c r="D88" s="678">
        <v>0.25</v>
      </c>
      <c r="E88" s="710">
        <v>0</v>
      </c>
      <c r="F88" s="679">
        <v>0</v>
      </c>
      <c r="G88" s="230">
        <f t="shared" si="7"/>
        <v>0.25</v>
      </c>
      <c r="H88" s="678">
        <v>0.25</v>
      </c>
      <c r="I88" s="710">
        <v>0</v>
      </c>
      <c r="J88" s="679">
        <v>0</v>
      </c>
      <c r="K88" s="230">
        <f t="shared" ref="K88:K93" si="18" xml:space="preserve"> SUM(H88:J88) + $C88</f>
        <v>0.25</v>
      </c>
      <c r="L88" s="678">
        <v>0.25</v>
      </c>
      <c r="M88" s="710">
        <v>0</v>
      </c>
      <c r="N88" s="679">
        <v>0</v>
      </c>
      <c r="O88" s="230">
        <f t="shared" ref="O88:O93" si="19" xml:space="preserve"> SUM(L88:N88) + $C88</f>
        <v>0.25</v>
      </c>
      <c r="P88" s="678">
        <v>0.25</v>
      </c>
      <c r="Q88" s="710">
        <v>0</v>
      </c>
      <c r="R88" s="679">
        <v>0</v>
      </c>
      <c r="S88" s="230">
        <f t="shared" ref="S88:S93" si="20" xml:space="preserve"> SUM(P88:R88) + $C88</f>
        <v>0.25</v>
      </c>
    </row>
    <row r="89" spans="1:19" x14ac:dyDescent="0.25">
      <c r="A89" s="2313"/>
      <c r="B89" s="19" t="s">
        <v>33</v>
      </c>
      <c r="C89" s="22"/>
      <c r="D89" s="625">
        <v>0.25</v>
      </c>
      <c r="E89" s="616">
        <v>0</v>
      </c>
      <c r="F89" s="623">
        <v>0</v>
      </c>
      <c r="G89" s="21">
        <f t="shared" si="7"/>
        <v>0.25</v>
      </c>
      <c r="H89" s="625">
        <v>0.25</v>
      </c>
      <c r="I89" s="616">
        <v>0</v>
      </c>
      <c r="J89" s="623">
        <v>0</v>
      </c>
      <c r="K89" s="21">
        <f t="shared" si="18"/>
        <v>0.25</v>
      </c>
      <c r="L89" s="625">
        <v>0.25</v>
      </c>
      <c r="M89" s="616">
        <v>0</v>
      </c>
      <c r="N89" s="623">
        <v>0</v>
      </c>
      <c r="O89" s="21">
        <f t="shared" si="19"/>
        <v>0.25</v>
      </c>
      <c r="P89" s="625">
        <v>0.25</v>
      </c>
      <c r="Q89" s="616">
        <v>0</v>
      </c>
      <c r="R89" s="623">
        <v>0</v>
      </c>
      <c r="S89" s="21">
        <f t="shared" si="20"/>
        <v>0.25</v>
      </c>
    </row>
    <row r="90" spans="1:19" x14ac:dyDescent="0.25">
      <c r="A90" s="2313"/>
      <c r="B90" s="19" t="s">
        <v>34</v>
      </c>
      <c r="C90" s="22"/>
      <c r="D90" s="625">
        <v>0.25</v>
      </c>
      <c r="E90" s="616">
        <v>0</v>
      </c>
      <c r="F90" s="623">
        <v>0</v>
      </c>
      <c r="G90" s="21">
        <f t="shared" si="7"/>
        <v>0.25</v>
      </c>
      <c r="H90" s="625">
        <v>0.25</v>
      </c>
      <c r="I90" s="616">
        <v>0</v>
      </c>
      <c r="J90" s="623">
        <v>0</v>
      </c>
      <c r="K90" s="21">
        <f t="shared" si="18"/>
        <v>0.25</v>
      </c>
      <c r="L90" s="625">
        <v>0.25</v>
      </c>
      <c r="M90" s="616">
        <v>0</v>
      </c>
      <c r="N90" s="623">
        <v>0</v>
      </c>
      <c r="O90" s="21">
        <f t="shared" si="19"/>
        <v>0.25</v>
      </c>
      <c r="P90" s="625">
        <v>0.25</v>
      </c>
      <c r="Q90" s="616">
        <v>0</v>
      </c>
      <c r="R90" s="623">
        <v>0</v>
      </c>
      <c r="S90" s="21">
        <f t="shared" si="20"/>
        <v>0.25</v>
      </c>
    </row>
    <row r="91" spans="1:19" ht="15.6" customHeight="1" x14ac:dyDescent="0.25">
      <c r="A91" s="1933" t="s">
        <v>24</v>
      </c>
      <c r="B91" s="19" t="s">
        <v>32</v>
      </c>
      <c r="C91" s="22"/>
      <c r="D91" s="625">
        <v>6</v>
      </c>
      <c r="E91" s="630">
        <f>4*E$3</f>
        <v>0</v>
      </c>
      <c r="F91" s="623">
        <v>0</v>
      </c>
      <c r="G91" s="21">
        <f t="shared" si="7"/>
        <v>6</v>
      </c>
      <c r="H91" s="625">
        <v>6</v>
      </c>
      <c r="I91" s="630">
        <f>4*I$3</f>
        <v>0</v>
      </c>
      <c r="J91" s="623">
        <v>0</v>
      </c>
      <c r="K91" s="21">
        <f t="shared" si="18"/>
        <v>6</v>
      </c>
      <c r="L91" s="625">
        <v>6</v>
      </c>
      <c r="M91" s="630">
        <f>4*M$3</f>
        <v>0</v>
      </c>
      <c r="N91" s="623">
        <v>0</v>
      </c>
      <c r="O91" s="21">
        <f t="shared" si="19"/>
        <v>6</v>
      </c>
      <c r="P91" s="625">
        <v>6</v>
      </c>
      <c r="Q91" s="630">
        <f>4*Q$3</f>
        <v>0</v>
      </c>
      <c r="R91" s="623">
        <v>0</v>
      </c>
      <c r="S91" s="21">
        <f t="shared" si="20"/>
        <v>6</v>
      </c>
    </row>
    <row r="92" spans="1:19" x14ac:dyDescent="0.25">
      <c r="A92" s="1933"/>
      <c r="B92" s="19" t="s">
        <v>33</v>
      </c>
      <c r="C92" s="22"/>
      <c r="D92" s="625">
        <v>8</v>
      </c>
      <c r="E92" s="630">
        <f>4*E$3</f>
        <v>0</v>
      </c>
      <c r="F92" s="623">
        <v>0</v>
      </c>
      <c r="G92" s="21">
        <f t="shared" si="7"/>
        <v>8</v>
      </c>
      <c r="H92" s="625">
        <v>8</v>
      </c>
      <c r="I92" s="630">
        <f>4*I$3</f>
        <v>0</v>
      </c>
      <c r="J92" s="623">
        <v>0</v>
      </c>
      <c r="K92" s="21">
        <f t="shared" si="18"/>
        <v>8</v>
      </c>
      <c r="L92" s="625">
        <v>8</v>
      </c>
      <c r="M92" s="630">
        <f>4*M$3</f>
        <v>0</v>
      </c>
      <c r="N92" s="623">
        <v>0</v>
      </c>
      <c r="O92" s="21">
        <f t="shared" si="19"/>
        <v>8</v>
      </c>
      <c r="P92" s="625">
        <v>8</v>
      </c>
      <c r="Q92" s="630">
        <f>4*Q$3</f>
        <v>0</v>
      </c>
      <c r="R92" s="623">
        <v>0</v>
      </c>
      <c r="S92" s="21">
        <f t="shared" si="20"/>
        <v>8</v>
      </c>
    </row>
    <row r="93" spans="1:19" x14ac:dyDescent="0.25">
      <c r="A93" s="1933"/>
      <c r="B93" s="19" t="s">
        <v>34</v>
      </c>
      <c r="C93" s="22"/>
      <c r="D93" s="625">
        <v>12</v>
      </c>
      <c r="E93" s="630">
        <f>4*E$3</f>
        <v>0</v>
      </c>
      <c r="F93" s="623">
        <v>0</v>
      </c>
      <c r="G93" s="21">
        <f t="shared" si="7"/>
        <v>12</v>
      </c>
      <c r="H93" s="625">
        <v>12</v>
      </c>
      <c r="I93" s="630">
        <f>4*I$3</f>
        <v>0</v>
      </c>
      <c r="J93" s="623">
        <v>0</v>
      </c>
      <c r="K93" s="21">
        <f t="shared" si="18"/>
        <v>12</v>
      </c>
      <c r="L93" s="625">
        <v>12</v>
      </c>
      <c r="M93" s="630">
        <f>4*M$3</f>
        <v>0</v>
      </c>
      <c r="N93" s="623">
        <v>0</v>
      </c>
      <c r="O93" s="21">
        <f t="shared" si="19"/>
        <v>12</v>
      </c>
      <c r="P93" s="625">
        <v>12</v>
      </c>
      <c r="Q93" s="630">
        <f>4*Q$3</f>
        <v>0</v>
      </c>
      <c r="R93" s="623">
        <v>0</v>
      </c>
      <c r="S93" s="21">
        <f t="shared" si="20"/>
        <v>12</v>
      </c>
    </row>
    <row r="94" spans="1:19" ht="15.6" customHeight="1" x14ac:dyDescent="0.25">
      <c r="A94" s="1933" t="s">
        <v>25</v>
      </c>
      <c r="B94" s="19" t="s">
        <v>32</v>
      </c>
      <c r="C94" s="22"/>
      <c r="D94" s="625">
        <v>6</v>
      </c>
      <c r="E94" s="630">
        <f>0.5*E$3</f>
        <v>0</v>
      </c>
      <c r="F94" s="623">
        <v>0</v>
      </c>
      <c r="G94" s="21">
        <f t="shared" ref="G94:G105" si="21" xml:space="preserve"> SUM(D94:F94) + $C94</f>
        <v>6</v>
      </c>
      <c r="H94" s="625">
        <v>6</v>
      </c>
      <c r="I94" s="630">
        <f>0.5*I$3</f>
        <v>0</v>
      </c>
      <c r="J94" s="623">
        <v>0</v>
      </c>
      <c r="K94" s="21">
        <f t="shared" ref="K94:K105" si="22" xml:space="preserve"> SUM(H94:J94) + $C94</f>
        <v>6</v>
      </c>
      <c r="L94" s="625">
        <v>6</v>
      </c>
      <c r="M94" s="630">
        <f>0.5*M$3</f>
        <v>0</v>
      </c>
      <c r="N94" s="623">
        <v>0</v>
      </c>
      <c r="O94" s="21">
        <f t="shared" ref="O94:O105" si="23" xml:space="preserve"> SUM(L94:N94) + $C94</f>
        <v>6</v>
      </c>
      <c r="P94" s="625">
        <v>6</v>
      </c>
      <c r="Q94" s="630">
        <f>0.5*Q$3</f>
        <v>0</v>
      </c>
      <c r="R94" s="623">
        <v>0</v>
      </c>
      <c r="S94" s="21">
        <f t="shared" ref="S94:S105" si="24" xml:space="preserve"> SUM(P94:R94) + $C94</f>
        <v>6</v>
      </c>
    </row>
    <row r="95" spans="1:19" x14ac:dyDescent="0.25">
      <c r="A95" s="1933"/>
      <c r="B95" s="19" t="s">
        <v>33</v>
      </c>
      <c r="C95" s="22"/>
      <c r="D95" s="625">
        <v>6</v>
      </c>
      <c r="E95" s="630">
        <f>0.5*E$3</f>
        <v>0</v>
      </c>
      <c r="F95" s="623">
        <v>0</v>
      </c>
      <c r="G95" s="21">
        <f t="shared" si="21"/>
        <v>6</v>
      </c>
      <c r="H95" s="625">
        <v>6</v>
      </c>
      <c r="I95" s="630">
        <f>0.5*I$3</f>
        <v>0</v>
      </c>
      <c r="J95" s="623">
        <v>0</v>
      </c>
      <c r="K95" s="21">
        <f t="shared" si="22"/>
        <v>6</v>
      </c>
      <c r="L95" s="625">
        <v>6</v>
      </c>
      <c r="M95" s="630">
        <f>0.5*M$3</f>
        <v>0</v>
      </c>
      <c r="N95" s="623">
        <v>0</v>
      </c>
      <c r="O95" s="21">
        <f t="shared" si="23"/>
        <v>6</v>
      </c>
      <c r="P95" s="625">
        <v>6</v>
      </c>
      <c r="Q95" s="630">
        <f>0.5*Q$3</f>
        <v>0</v>
      </c>
      <c r="R95" s="623">
        <v>0</v>
      </c>
      <c r="S95" s="21">
        <f t="shared" si="24"/>
        <v>6</v>
      </c>
    </row>
    <row r="96" spans="1:19" x14ac:dyDescent="0.25">
      <c r="A96" s="1933"/>
      <c r="B96" s="19" t="s">
        <v>34</v>
      </c>
      <c r="C96" s="22"/>
      <c r="D96" s="625">
        <v>6</v>
      </c>
      <c r="E96" s="630">
        <f>0.5*E$3</f>
        <v>0</v>
      </c>
      <c r="F96" s="623">
        <v>0</v>
      </c>
      <c r="G96" s="21">
        <f t="shared" si="21"/>
        <v>6</v>
      </c>
      <c r="H96" s="625">
        <v>6</v>
      </c>
      <c r="I96" s="630">
        <f>0.5*I$3</f>
        <v>0</v>
      </c>
      <c r="J96" s="623">
        <v>0</v>
      </c>
      <c r="K96" s="21">
        <f t="shared" si="22"/>
        <v>6</v>
      </c>
      <c r="L96" s="625">
        <v>6</v>
      </c>
      <c r="M96" s="630">
        <f>0.5*M$3</f>
        <v>0</v>
      </c>
      <c r="N96" s="623">
        <v>0</v>
      </c>
      <c r="O96" s="21">
        <f t="shared" si="23"/>
        <v>6</v>
      </c>
      <c r="P96" s="625">
        <v>6</v>
      </c>
      <c r="Q96" s="630">
        <f>0.5*Q$3</f>
        <v>0</v>
      </c>
      <c r="R96" s="623">
        <v>0</v>
      </c>
      <c r="S96" s="21">
        <f t="shared" si="24"/>
        <v>6</v>
      </c>
    </row>
    <row r="97" spans="1:19" ht="15.6" customHeight="1" x14ac:dyDescent="0.25">
      <c r="A97" s="1933" t="s">
        <v>26</v>
      </c>
      <c r="B97" s="19" t="s">
        <v>32</v>
      </c>
      <c r="C97" s="22"/>
      <c r="D97" s="631">
        <f>8+(0.5*D$3)</f>
        <v>8</v>
      </c>
      <c r="E97" s="625">
        <v>0</v>
      </c>
      <c r="F97" s="623">
        <v>0</v>
      </c>
      <c r="G97" s="21">
        <f t="shared" si="21"/>
        <v>8</v>
      </c>
      <c r="H97" s="631">
        <f>8+(0.5*H$3)</f>
        <v>8</v>
      </c>
      <c r="I97" s="625">
        <v>0</v>
      </c>
      <c r="J97" s="623">
        <v>0</v>
      </c>
      <c r="K97" s="21">
        <f t="shared" si="22"/>
        <v>8</v>
      </c>
      <c r="L97" s="631">
        <f>8+(0.5*L$3)</f>
        <v>8</v>
      </c>
      <c r="M97" s="625">
        <v>0</v>
      </c>
      <c r="N97" s="623">
        <v>0</v>
      </c>
      <c r="O97" s="21">
        <f t="shared" si="23"/>
        <v>8</v>
      </c>
      <c r="P97" s="631">
        <f>8+(0.5*P$3)</f>
        <v>8</v>
      </c>
      <c r="Q97" s="625">
        <v>0</v>
      </c>
      <c r="R97" s="623">
        <v>0</v>
      </c>
      <c r="S97" s="21">
        <f t="shared" si="24"/>
        <v>8</v>
      </c>
    </row>
    <row r="98" spans="1:19" x14ac:dyDescent="0.25">
      <c r="A98" s="1933"/>
      <c r="B98" s="19" t="s">
        <v>33</v>
      </c>
      <c r="C98" s="22"/>
      <c r="D98" s="631">
        <f>8+(0.5*D$3)</f>
        <v>8</v>
      </c>
      <c r="E98" s="625">
        <v>0</v>
      </c>
      <c r="F98" s="623">
        <v>0</v>
      </c>
      <c r="G98" s="21">
        <f t="shared" si="21"/>
        <v>8</v>
      </c>
      <c r="H98" s="631">
        <f>8+(0.5*H$3)</f>
        <v>8</v>
      </c>
      <c r="I98" s="625">
        <v>0</v>
      </c>
      <c r="J98" s="623">
        <v>0</v>
      </c>
      <c r="K98" s="21">
        <f t="shared" si="22"/>
        <v>8</v>
      </c>
      <c r="L98" s="631">
        <f>8+(0.5*L$3)</f>
        <v>8</v>
      </c>
      <c r="M98" s="625">
        <v>0</v>
      </c>
      <c r="N98" s="623">
        <v>0</v>
      </c>
      <c r="O98" s="21">
        <f t="shared" si="23"/>
        <v>8</v>
      </c>
      <c r="P98" s="631">
        <f>8+(0.5*P$3)</f>
        <v>8</v>
      </c>
      <c r="Q98" s="625">
        <v>0</v>
      </c>
      <c r="R98" s="623">
        <v>0</v>
      </c>
      <c r="S98" s="21">
        <f t="shared" si="24"/>
        <v>8</v>
      </c>
    </row>
    <row r="99" spans="1:19" x14ac:dyDescent="0.25">
      <c r="A99" s="1933"/>
      <c r="B99" s="19" t="s">
        <v>34</v>
      </c>
      <c r="C99" s="22"/>
      <c r="D99" s="631">
        <f>8+(0.5*D$3)</f>
        <v>8</v>
      </c>
      <c r="E99" s="625">
        <v>0</v>
      </c>
      <c r="F99" s="623">
        <v>0</v>
      </c>
      <c r="G99" s="21">
        <f t="shared" si="21"/>
        <v>8</v>
      </c>
      <c r="H99" s="631">
        <f>8+(0.5*H$3)</f>
        <v>8</v>
      </c>
      <c r="I99" s="625">
        <v>0</v>
      </c>
      <c r="J99" s="623">
        <v>0</v>
      </c>
      <c r="K99" s="21">
        <f t="shared" si="22"/>
        <v>8</v>
      </c>
      <c r="L99" s="631">
        <f>8+(0.5*L$3)</f>
        <v>8</v>
      </c>
      <c r="M99" s="625">
        <v>0</v>
      </c>
      <c r="N99" s="623">
        <v>0</v>
      </c>
      <c r="O99" s="21">
        <f t="shared" si="23"/>
        <v>8</v>
      </c>
      <c r="P99" s="631">
        <f>8+(0.5*P$3)</f>
        <v>8</v>
      </c>
      <c r="Q99" s="625">
        <v>0</v>
      </c>
      <c r="R99" s="623">
        <v>0</v>
      </c>
      <c r="S99" s="21">
        <f t="shared" si="24"/>
        <v>8</v>
      </c>
    </row>
    <row r="100" spans="1:19" ht="15.6" customHeight="1" x14ac:dyDescent="0.25">
      <c r="A100" s="1933" t="s">
        <v>27</v>
      </c>
      <c r="B100" s="19" t="s">
        <v>32</v>
      </c>
      <c r="C100" s="22"/>
      <c r="D100" s="631">
        <f>2+(0.5*D$3)</f>
        <v>2</v>
      </c>
      <c r="E100" s="625">
        <v>0</v>
      </c>
      <c r="F100" s="623">
        <v>0</v>
      </c>
      <c r="G100" s="21">
        <f t="shared" si="21"/>
        <v>2</v>
      </c>
      <c r="H100" s="631">
        <f>2+(0.5*H$3)</f>
        <v>2</v>
      </c>
      <c r="I100" s="625">
        <v>0</v>
      </c>
      <c r="J100" s="623">
        <v>0</v>
      </c>
      <c r="K100" s="21">
        <f t="shared" si="22"/>
        <v>2</v>
      </c>
      <c r="L100" s="631">
        <f>2+(0.5*L$3)</f>
        <v>2</v>
      </c>
      <c r="M100" s="625">
        <v>0</v>
      </c>
      <c r="N100" s="623">
        <v>0</v>
      </c>
      <c r="O100" s="21">
        <f t="shared" si="23"/>
        <v>2</v>
      </c>
      <c r="P100" s="631">
        <f>2+(0.5*P$3)</f>
        <v>2</v>
      </c>
      <c r="Q100" s="625">
        <v>0</v>
      </c>
      <c r="R100" s="623">
        <v>0</v>
      </c>
      <c r="S100" s="21">
        <f t="shared" si="24"/>
        <v>2</v>
      </c>
    </row>
    <row r="101" spans="1:19" x14ac:dyDescent="0.25">
      <c r="A101" s="1933"/>
      <c r="B101" s="19" t="s">
        <v>33</v>
      </c>
      <c r="C101" s="22"/>
      <c r="D101" s="631">
        <f>3+(0.5*D$3)</f>
        <v>3</v>
      </c>
      <c r="E101" s="625">
        <v>0</v>
      </c>
      <c r="F101" s="623">
        <v>0</v>
      </c>
      <c r="G101" s="21">
        <f t="shared" si="21"/>
        <v>3</v>
      </c>
      <c r="H101" s="631">
        <f>3+(0.5*H$3)</f>
        <v>3</v>
      </c>
      <c r="I101" s="625">
        <v>0</v>
      </c>
      <c r="J101" s="623">
        <v>0</v>
      </c>
      <c r="K101" s="21">
        <f t="shared" si="22"/>
        <v>3</v>
      </c>
      <c r="L101" s="631">
        <f>3+(0.5*L$3)</f>
        <v>3</v>
      </c>
      <c r="M101" s="625">
        <v>0</v>
      </c>
      <c r="N101" s="623">
        <v>0</v>
      </c>
      <c r="O101" s="21">
        <f t="shared" si="23"/>
        <v>3</v>
      </c>
      <c r="P101" s="631">
        <f>3+(0.5*P$3)</f>
        <v>3</v>
      </c>
      <c r="Q101" s="625">
        <v>0</v>
      </c>
      <c r="R101" s="623">
        <v>0</v>
      </c>
      <c r="S101" s="21">
        <f t="shared" si="24"/>
        <v>3</v>
      </c>
    </row>
    <row r="102" spans="1:19" x14ac:dyDescent="0.25">
      <c r="A102" s="1933"/>
      <c r="B102" s="19" t="s">
        <v>34</v>
      </c>
      <c r="C102" s="22"/>
      <c r="D102" s="631">
        <f>5+(0.5*D$3)</f>
        <v>5</v>
      </c>
      <c r="E102" s="625">
        <v>0</v>
      </c>
      <c r="F102" s="623">
        <v>0</v>
      </c>
      <c r="G102" s="21">
        <f t="shared" si="21"/>
        <v>5</v>
      </c>
      <c r="H102" s="631">
        <f>5+(0.5*H$3)</f>
        <v>5</v>
      </c>
      <c r="I102" s="625">
        <v>0</v>
      </c>
      <c r="J102" s="623">
        <v>0</v>
      </c>
      <c r="K102" s="21">
        <f t="shared" si="22"/>
        <v>5</v>
      </c>
      <c r="L102" s="631">
        <f>5+(0.5*L$3)</f>
        <v>5</v>
      </c>
      <c r="M102" s="625">
        <v>0</v>
      </c>
      <c r="N102" s="623">
        <v>0</v>
      </c>
      <c r="O102" s="21">
        <f t="shared" si="23"/>
        <v>5</v>
      </c>
      <c r="P102" s="631">
        <f>5+(0.5*P$3)</f>
        <v>5</v>
      </c>
      <c r="Q102" s="625">
        <v>0</v>
      </c>
      <c r="R102" s="623">
        <v>0</v>
      </c>
      <c r="S102" s="21">
        <f t="shared" si="24"/>
        <v>5</v>
      </c>
    </row>
    <row r="103" spans="1:19" ht="15.6" customHeight="1" x14ac:dyDescent="0.25">
      <c r="A103" s="2313" t="s">
        <v>28</v>
      </c>
      <c r="B103" s="19" t="s">
        <v>32</v>
      </c>
      <c r="C103" s="22"/>
      <c r="D103" s="625">
        <v>2</v>
      </c>
      <c r="E103" s="628">
        <f>2*E$3</f>
        <v>0</v>
      </c>
      <c r="F103" s="623">
        <v>0</v>
      </c>
      <c r="G103" s="21">
        <f t="shared" si="21"/>
        <v>2</v>
      </c>
      <c r="H103" s="625">
        <v>2</v>
      </c>
      <c r="I103" s="628">
        <f>2*I$3</f>
        <v>0</v>
      </c>
      <c r="J103" s="623">
        <v>0</v>
      </c>
      <c r="K103" s="21">
        <f t="shared" si="22"/>
        <v>2</v>
      </c>
      <c r="L103" s="625">
        <v>2</v>
      </c>
      <c r="M103" s="628">
        <f>2*M$3</f>
        <v>0</v>
      </c>
      <c r="N103" s="623">
        <v>0</v>
      </c>
      <c r="O103" s="21">
        <f t="shared" si="23"/>
        <v>2</v>
      </c>
      <c r="P103" s="625">
        <v>2</v>
      </c>
      <c r="Q103" s="628">
        <f>2*Q$3</f>
        <v>0</v>
      </c>
      <c r="R103" s="623">
        <v>0</v>
      </c>
      <c r="S103" s="21">
        <f t="shared" si="24"/>
        <v>2</v>
      </c>
    </row>
    <row r="104" spans="1:19" x14ac:dyDescent="0.25">
      <c r="A104" s="2313"/>
      <c r="B104" s="19" t="s">
        <v>33</v>
      </c>
      <c r="C104" s="22"/>
      <c r="D104" s="625">
        <v>3</v>
      </c>
      <c r="E104" s="628">
        <f>2*E$3</f>
        <v>0</v>
      </c>
      <c r="F104" s="623">
        <v>0</v>
      </c>
      <c r="G104" s="21">
        <f t="shared" si="21"/>
        <v>3</v>
      </c>
      <c r="H104" s="625">
        <v>3</v>
      </c>
      <c r="I104" s="628">
        <f>2*I$3</f>
        <v>0</v>
      </c>
      <c r="J104" s="623">
        <v>0</v>
      </c>
      <c r="K104" s="21">
        <f t="shared" si="22"/>
        <v>3</v>
      </c>
      <c r="L104" s="625">
        <v>3</v>
      </c>
      <c r="M104" s="628">
        <f>2*M$3</f>
        <v>0</v>
      </c>
      <c r="N104" s="623">
        <v>0</v>
      </c>
      <c r="O104" s="21">
        <f t="shared" si="23"/>
        <v>3</v>
      </c>
      <c r="P104" s="625">
        <v>3</v>
      </c>
      <c r="Q104" s="628">
        <f>2*Q$3</f>
        <v>0</v>
      </c>
      <c r="R104" s="623">
        <v>0</v>
      </c>
      <c r="S104" s="21">
        <f t="shared" si="24"/>
        <v>3</v>
      </c>
    </row>
    <row r="105" spans="1:19" ht="15.75" thickBot="1" x14ac:dyDescent="0.3">
      <c r="A105" s="2314"/>
      <c r="B105" s="20" t="s">
        <v>34</v>
      </c>
      <c r="C105" s="23"/>
      <c r="D105" s="408">
        <v>4</v>
      </c>
      <c r="E105" s="657">
        <f>2*E$3</f>
        <v>0</v>
      </c>
      <c r="F105" s="266">
        <v>0</v>
      </c>
      <c r="G105" s="24">
        <f t="shared" si="21"/>
        <v>4</v>
      </c>
      <c r="H105" s="408">
        <v>4</v>
      </c>
      <c r="I105" s="657">
        <f>2*I$3</f>
        <v>0</v>
      </c>
      <c r="J105" s="266">
        <v>0</v>
      </c>
      <c r="K105" s="24">
        <f t="shared" si="22"/>
        <v>4</v>
      </c>
      <c r="L105" s="408">
        <v>4</v>
      </c>
      <c r="M105" s="657">
        <f>2*M$3</f>
        <v>0</v>
      </c>
      <c r="N105" s="266">
        <v>0</v>
      </c>
      <c r="O105" s="24">
        <f t="shared" si="23"/>
        <v>4</v>
      </c>
      <c r="P105" s="408">
        <v>4</v>
      </c>
      <c r="Q105" s="657">
        <f>2*Q$3</f>
        <v>0</v>
      </c>
      <c r="R105" s="266">
        <v>0</v>
      </c>
      <c r="S105" s="24">
        <f t="shared" si="24"/>
        <v>4</v>
      </c>
    </row>
    <row r="106" spans="1:19" x14ac:dyDescent="0.25">
      <c r="G106" s="83"/>
      <c r="K106" s="83"/>
      <c r="O106" s="83"/>
      <c r="S106" s="83"/>
    </row>
    <row r="107" spans="1:19" x14ac:dyDescent="0.25">
      <c r="A107" s="125" t="s">
        <v>89</v>
      </c>
      <c r="G107" s="83"/>
      <c r="K107" s="83"/>
      <c r="O107" s="83"/>
      <c r="S107" s="83"/>
    </row>
    <row r="108" spans="1:19" x14ac:dyDescent="0.25">
      <c r="G108" s="83"/>
      <c r="K108" s="83"/>
      <c r="O108" s="83"/>
      <c r="S108" s="83"/>
    </row>
  </sheetData>
  <mergeCells count="36">
    <mergeCell ref="H1:K1"/>
    <mergeCell ref="P1:S1"/>
    <mergeCell ref="L1:N1"/>
    <mergeCell ref="D1:G1"/>
    <mergeCell ref="A78:A80"/>
    <mergeCell ref="A5:A7"/>
    <mergeCell ref="A8:A10"/>
    <mergeCell ref="A16:A18"/>
    <mergeCell ref="A19:A21"/>
    <mergeCell ref="A22:A24"/>
    <mergeCell ref="A25:A27"/>
    <mergeCell ref="A28:A30"/>
    <mergeCell ref="A31:A33"/>
    <mergeCell ref="A34:A36"/>
    <mergeCell ref="A75:A77"/>
    <mergeCell ref="A12:A14"/>
    <mergeCell ref="A88:A90"/>
    <mergeCell ref="A38:A40"/>
    <mergeCell ref="A42:A44"/>
    <mergeCell ref="A45:A47"/>
    <mergeCell ref="A48:A50"/>
    <mergeCell ref="A51:A53"/>
    <mergeCell ref="A84:A86"/>
    <mergeCell ref="A81:A83"/>
    <mergeCell ref="A63:A65"/>
    <mergeCell ref="A66:A68"/>
    <mergeCell ref="A69:A71"/>
    <mergeCell ref="A72:A74"/>
    <mergeCell ref="A54:A56"/>
    <mergeCell ref="A57:A59"/>
    <mergeCell ref="A60:A62"/>
    <mergeCell ref="A91:A93"/>
    <mergeCell ref="A94:A96"/>
    <mergeCell ref="A97:A99"/>
    <mergeCell ref="A100:A102"/>
    <mergeCell ref="A103:A10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Лист29"/>
  <dimension ref="A1:S222"/>
  <sheetViews>
    <sheetView zoomScale="85" zoomScaleNormal="85" workbookViewId="0">
      <selection activeCell="A12" sqref="A12:A14"/>
    </sheetView>
  </sheetViews>
  <sheetFormatPr defaultRowHeight="15" x14ac:dyDescent="0.25"/>
  <cols>
    <col min="1" max="1" width="53.42578125" bestFit="1" customWidth="1"/>
    <col min="2" max="2" width="23.5703125" bestFit="1" customWidth="1"/>
    <col min="4" max="5" width="31.28515625" bestFit="1" customWidth="1"/>
    <col min="6" max="6" width="31.28515625" style="268" bestFit="1" customWidth="1"/>
    <col min="7" max="7" width="7.5703125" bestFit="1" customWidth="1"/>
    <col min="8" max="10" width="31.28515625" bestFit="1" customWidth="1"/>
    <col min="11" max="11" width="7.5703125" customWidth="1"/>
    <col min="12" max="14" width="31.28515625" bestFit="1" customWidth="1"/>
    <col min="16" max="18" width="31.28515625" bestFit="1" customWidth="1"/>
  </cols>
  <sheetData>
    <row r="1" spans="1:19" ht="15.75" x14ac:dyDescent="0.25">
      <c r="A1" s="465" t="s">
        <v>91</v>
      </c>
      <c r="B1" s="35"/>
      <c r="C1" s="43"/>
      <c r="D1" s="1980" t="s">
        <v>383</v>
      </c>
      <c r="E1" s="1947"/>
      <c r="F1" s="1947"/>
      <c r="G1" s="1947"/>
      <c r="H1" s="2319" t="s">
        <v>285</v>
      </c>
      <c r="I1" s="1947"/>
      <c r="J1" s="1947"/>
      <c r="K1" s="1947"/>
      <c r="L1" s="1980" t="s">
        <v>286</v>
      </c>
      <c r="M1" s="1947"/>
      <c r="N1" s="1947"/>
      <c r="O1" s="1947"/>
      <c r="P1" s="1980" t="s">
        <v>287</v>
      </c>
      <c r="Q1" s="1947"/>
      <c r="R1" s="1947"/>
      <c r="S1" s="1947"/>
    </row>
    <row r="2" spans="1:19" s="118" customFormat="1" ht="48" customHeight="1" x14ac:dyDescent="0.25">
      <c r="B2" s="119" t="s">
        <v>37</v>
      </c>
      <c r="C2" s="449" t="s">
        <v>35</v>
      </c>
      <c r="D2" s="451" t="s">
        <v>552</v>
      </c>
      <c r="E2" s="451" t="s">
        <v>550</v>
      </c>
      <c r="F2" s="445" t="s">
        <v>551</v>
      </c>
      <c r="G2" s="267" t="s">
        <v>38</v>
      </c>
      <c r="H2" s="451" t="s">
        <v>552</v>
      </c>
      <c r="I2" s="451" t="s">
        <v>550</v>
      </c>
      <c r="J2" s="445" t="s">
        <v>551</v>
      </c>
      <c r="K2" s="267" t="s">
        <v>38</v>
      </c>
      <c r="L2" s="451" t="s">
        <v>552</v>
      </c>
      <c r="M2" s="451" t="s">
        <v>550</v>
      </c>
      <c r="N2" s="445" t="s">
        <v>551</v>
      </c>
      <c r="O2" s="267" t="s">
        <v>38</v>
      </c>
      <c r="P2" s="451" t="s">
        <v>552</v>
      </c>
      <c r="Q2" s="451" t="s">
        <v>550</v>
      </c>
      <c r="R2" s="445" t="s">
        <v>551</v>
      </c>
      <c r="S2" s="267" t="s">
        <v>38</v>
      </c>
    </row>
    <row r="3" spans="1:19" ht="16.5" thickBot="1" x14ac:dyDescent="0.3">
      <c r="A3" s="12" t="s">
        <v>36</v>
      </c>
      <c r="B3" s="185">
        <f>ТрЗ_ОП!F5</f>
        <v>1</v>
      </c>
      <c r="C3" s="444"/>
      <c r="D3" s="37">
        <f>INDEX(ТрЗ_ОП!$P$11:$P$102,MATCH(D2,ТрЗ_ОП!$O$11:$O$102,0))</f>
        <v>0</v>
      </c>
      <c r="E3" s="264">
        <f>INDEX(ТрЗ_ОП!$P$11:$P$102,MATCH(E2,ТрЗ_ОП!$O$11:$O$102,0))</f>
        <v>0</v>
      </c>
      <c r="F3" s="415">
        <f>INDEX(ТрЗ_ОП!$P$11:$P$102,MATCH(F2,ТрЗ_ОП!$O$11:$O$102,0))</f>
        <v>0</v>
      </c>
      <c r="G3" s="444"/>
      <c r="H3" s="37">
        <f>INDEX(ТрЗ_ОП!$P$11:$P$102,MATCH(H2,ТрЗ_ОП!$O$11:$O$102,0))</f>
        <v>0</v>
      </c>
      <c r="I3" s="264">
        <f>INDEX(ТрЗ_ОП!$P$11:$P$102,MATCH(I2,ТрЗ_ОП!$O$11:$O$102,0))</f>
        <v>0</v>
      </c>
      <c r="J3" s="415">
        <f>INDEX(ТрЗ_ОП!$P$11:$P$102,MATCH(J2,ТрЗ_ОП!$O$11:$O$102,0))</f>
        <v>0</v>
      </c>
      <c r="K3" s="444"/>
      <c r="L3" s="37">
        <f>INDEX(ТрЗ_ОП!$P$11:$P$102,MATCH(L2,ТрЗ_ОП!$O$11:$O$102,0))</f>
        <v>0</v>
      </c>
      <c r="M3" s="264">
        <f>INDEX(ТрЗ_ОП!$P$11:$P$102,MATCH(M2,ТрЗ_ОП!$O$11:$O$102,0))</f>
        <v>0</v>
      </c>
      <c r="N3" s="415">
        <f>INDEX(ТрЗ_ОП!$P$11:$P$102,MATCH(N2,ТрЗ_ОП!$O$11:$O$102,0))</f>
        <v>0</v>
      </c>
      <c r="O3" s="444"/>
      <c r="P3" s="37">
        <f>INDEX(ТрЗ_ОП!$P$11:$P$102,MATCH(P2,ТрЗ_ОП!$O$11:$O$102,0))</f>
        <v>0</v>
      </c>
      <c r="Q3" s="264">
        <f>INDEX(ТрЗ_ОП!$P$11:$P$102,MATCH(Q2,ТрЗ_ОП!$O$11:$O$102,0))</f>
        <v>0</v>
      </c>
      <c r="R3" s="415">
        <f>INDEX(ТрЗ_ОП!$P$11:$P$102,MATCH(R2,ТрЗ_ОП!$O$11:$O$102,0))</f>
        <v>0</v>
      </c>
      <c r="S3" s="444"/>
    </row>
    <row r="4" spans="1:19" ht="16.5" thickBot="1" x14ac:dyDescent="0.3">
      <c r="A4" s="326" t="s">
        <v>448</v>
      </c>
      <c r="B4" s="327"/>
      <c r="C4" s="327"/>
      <c r="D4" s="327"/>
      <c r="E4" s="327"/>
      <c r="F4" s="327"/>
      <c r="G4" s="327"/>
      <c r="H4" s="327"/>
      <c r="I4" s="327"/>
      <c r="J4" s="327"/>
      <c r="K4" s="327"/>
      <c r="L4" s="327"/>
      <c r="M4" s="327"/>
      <c r="N4" s="327"/>
      <c r="O4" s="327"/>
      <c r="P4" s="327"/>
      <c r="Q4" s="327"/>
      <c r="R4" s="327"/>
      <c r="S4" s="396"/>
    </row>
    <row r="5" spans="1:19" ht="15.6" customHeight="1" x14ac:dyDescent="0.25">
      <c r="A5" s="2313" t="s">
        <v>0</v>
      </c>
      <c r="B5" s="404" t="s">
        <v>32</v>
      </c>
      <c r="C5" s="324"/>
      <c r="D5" s="485">
        <v>0.5</v>
      </c>
      <c r="E5" s="486">
        <v>0</v>
      </c>
      <c r="F5" s="477">
        <f t="shared" ref="F5:F10" si="0">$F$3*0.25</f>
        <v>0</v>
      </c>
      <c r="G5" s="433">
        <f xml:space="preserve"> SUM(D5:F5) + $C5</f>
        <v>0.5</v>
      </c>
      <c r="H5" s="485">
        <v>0.5</v>
      </c>
      <c r="I5" s="486">
        <v>0</v>
      </c>
      <c r="J5" s="477">
        <f t="shared" ref="J5:J10" si="1">$J$3*0.25</f>
        <v>0</v>
      </c>
      <c r="K5" s="433">
        <f t="shared" ref="K5:K10" si="2" xml:space="preserve"> SUM(H5:J5) + $C5</f>
        <v>0.5</v>
      </c>
      <c r="L5" s="485">
        <v>0.5</v>
      </c>
      <c r="M5" s="486">
        <v>0</v>
      </c>
      <c r="N5" s="477">
        <f t="shared" ref="N5:N10" si="3">$N$3*0.25</f>
        <v>0</v>
      </c>
      <c r="O5" s="433">
        <f t="shared" ref="O5:O10" si="4" xml:space="preserve"> SUM(L5:N5) + $C5</f>
        <v>0.5</v>
      </c>
      <c r="P5" s="485">
        <v>0.5</v>
      </c>
      <c r="Q5" s="486">
        <v>0</v>
      </c>
      <c r="R5" s="477">
        <f t="shared" ref="R5:R10" si="5">$R$3*0.25</f>
        <v>0</v>
      </c>
      <c r="S5" s="433">
        <f t="shared" ref="S5:S10" si="6" xml:space="preserve"> SUM(P5:R5) + $C5</f>
        <v>0.5</v>
      </c>
    </row>
    <row r="6" spans="1:19" x14ac:dyDescent="0.25">
      <c r="A6" s="2313"/>
      <c r="B6" s="19" t="s">
        <v>33</v>
      </c>
      <c r="C6" s="22"/>
      <c r="D6" s="485">
        <v>0.5</v>
      </c>
      <c r="E6" s="486">
        <v>0</v>
      </c>
      <c r="F6" s="477">
        <f t="shared" si="0"/>
        <v>0</v>
      </c>
      <c r="G6" s="21">
        <f xml:space="preserve"> SUM(D6:F6) + $C6</f>
        <v>0.5</v>
      </c>
      <c r="H6" s="485">
        <v>0.5</v>
      </c>
      <c r="I6" s="486">
        <v>0</v>
      </c>
      <c r="J6" s="477">
        <f t="shared" si="1"/>
        <v>0</v>
      </c>
      <c r="K6" s="21">
        <f t="shared" si="2"/>
        <v>0.5</v>
      </c>
      <c r="L6" s="485">
        <v>0.5</v>
      </c>
      <c r="M6" s="486">
        <v>0</v>
      </c>
      <c r="N6" s="477">
        <f t="shared" si="3"/>
        <v>0</v>
      </c>
      <c r="O6" s="21">
        <f t="shared" si="4"/>
        <v>0.5</v>
      </c>
      <c r="P6" s="485">
        <v>0.5</v>
      </c>
      <c r="Q6" s="486">
        <v>0</v>
      </c>
      <c r="R6" s="477">
        <f t="shared" si="5"/>
        <v>0</v>
      </c>
      <c r="S6" s="21">
        <f t="shared" si="6"/>
        <v>0.5</v>
      </c>
    </row>
    <row r="7" spans="1:19" x14ac:dyDescent="0.25">
      <c r="A7" s="2317"/>
      <c r="B7" s="19" t="s">
        <v>34</v>
      </c>
      <c r="C7" s="22"/>
      <c r="D7" s="485">
        <v>0.5</v>
      </c>
      <c r="E7" s="486">
        <v>0</v>
      </c>
      <c r="F7" s="477">
        <f t="shared" si="0"/>
        <v>0</v>
      </c>
      <c r="G7" s="21">
        <f xml:space="preserve"> SUM(D7:F7) + $C7</f>
        <v>0.5</v>
      </c>
      <c r="H7" s="485">
        <v>0.5</v>
      </c>
      <c r="I7" s="486">
        <v>0</v>
      </c>
      <c r="J7" s="477">
        <f t="shared" si="1"/>
        <v>0</v>
      </c>
      <c r="K7" s="21">
        <f t="shared" si="2"/>
        <v>0.5</v>
      </c>
      <c r="L7" s="485">
        <v>0.5</v>
      </c>
      <c r="M7" s="486">
        <v>0</v>
      </c>
      <c r="N7" s="477">
        <f t="shared" si="3"/>
        <v>0</v>
      </c>
      <c r="O7" s="21">
        <f t="shared" si="4"/>
        <v>0.5</v>
      </c>
      <c r="P7" s="485">
        <v>0.5</v>
      </c>
      <c r="Q7" s="486">
        <v>0</v>
      </c>
      <c r="R7" s="477">
        <f t="shared" si="5"/>
        <v>0</v>
      </c>
      <c r="S7" s="21">
        <f t="shared" si="6"/>
        <v>0.5</v>
      </c>
    </row>
    <row r="8" spans="1:19" ht="15.6" customHeight="1" x14ac:dyDescent="0.25">
      <c r="A8" s="2318" t="s">
        <v>449</v>
      </c>
      <c r="B8" s="404" t="s">
        <v>32</v>
      </c>
      <c r="C8" s="324"/>
      <c r="D8" s="485">
        <v>0.5</v>
      </c>
      <c r="E8" s="486">
        <v>0</v>
      </c>
      <c r="F8" s="477">
        <f t="shared" si="0"/>
        <v>0</v>
      </c>
      <c r="G8" s="21">
        <f xml:space="preserve"> SUM(D8:F8) + $C8</f>
        <v>0.5</v>
      </c>
      <c r="H8" s="485">
        <v>0.5</v>
      </c>
      <c r="I8" s="486">
        <v>0</v>
      </c>
      <c r="J8" s="477">
        <f t="shared" si="1"/>
        <v>0</v>
      </c>
      <c r="K8" s="21">
        <f t="shared" si="2"/>
        <v>0.5</v>
      </c>
      <c r="L8" s="485">
        <v>0.5</v>
      </c>
      <c r="M8" s="486">
        <v>0</v>
      </c>
      <c r="N8" s="477">
        <f t="shared" si="3"/>
        <v>0</v>
      </c>
      <c r="O8" s="21">
        <f t="shared" si="4"/>
        <v>0.5</v>
      </c>
      <c r="P8" s="485">
        <v>0.5</v>
      </c>
      <c r="Q8" s="486">
        <v>0</v>
      </c>
      <c r="R8" s="477">
        <f t="shared" si="5"/>
        <v>0</v>
      </c>
      <c r="S8" s="21">
        <f t="shared" si="6"/>
        <v>0.5</v>
      </c>
    </row>
    <row r="9" spans="1:19" x14ac:dyDescent="0.25">
      <c r="A9" s="2313"/>
      <c r="B9" s="19" t="s">
        <v>33</v>
      </c>
      <c r="C9" s="22"/>
      <c r="D9" s="485">
        <v>0.5</v>
      </c>
      <c r="E9" s="486">
        <v>0</v>
      </c>
      <c r="F9" s="477">
        <f t="shared" si="0"/>
        <v>0</v>
      </c>
      <c r="G9" s="21">
        <f t="shared" ref="G9:G93" si="7" xml:space="preserve"> SUM(D9:F9) + $C9</f>
        <v>0.5</v>
      </c>
      <c r="H9" s="485">
        <v>0.5</v>
      </c>
      <c r="I9" s="486">
        <v>0</v>
      </c>
      <c r="J9" s="477">
        <f t="shared" si="1"/>
        <v>0</v>
      </c>
      <c r="K9" s="21">
        <f t="shared" si="2"/>
        <v>0.5</v>
      </c>
      <c r="L9" s="485">
        <v>0.5</v>
      </c>
      <c r="M9" s="486">
        <v>0</v>
      </c>
      <c r="N9" s="477">
        <f t="shared" si="3"/>
        <v>0</v>
      </c>
      <c r="O9" s="21">
        <f t="shared" si="4"/>
        <v>0.5</v>
      </c>
      <c r="P9" s="485">
        <v>0.5</v>
      </c>
      <c r="Q9" s="486">
        <v>0</v>
      </c>
      <c r="R9" s="477">
        <f t="shared" si="5"/>
        <v>0</v>
      </c>
      <c r="S9" s="21">
        <f t="shared" si="6"/>
        <v>0.5</v>
      </c>
    </row>
    <row r="10" spans="1:19" ht="15.75" thickBot="1" x14ac:dyDescent="0.3">
      <c r="A10" s="2313"/>
      <c r="B10" s="13" t="s">
        <v>34</v>
      </c>
      <c r="C10" s="34"/>
      <c r="D10" s="485">
        <v>0.5</v>
      </c>
      <c r="E10" s="486">
        <v>0</v>
      </c>
      <c r="F10" s="477">
        <f t="shared" si="0"/>
        <v>0</v>
      </c>
      <c r="G10" s="24">
        <f t="shared" si="7"/>
        <v>0.5</v>
      </c>
      <c r="H10" s="485">
        <v>0.5</v>
      </c>
      <c r="I10" s="486">
        <v>0</v>
      </c>
      <c r="J10" s="477">
        <f t="shared" si="1"/>
        <v>0</v>
      </c>
      <c r="K10" s="24">
        <f t="shared" si="2"/>
        <v>0.5</v>
      </c>
      <c r="L10" s="485">
        <v>0.5</v>
      </c>
      <c r="M10" s="486">
        <v>0</v>
      </c>
      <c r="N10" s="477">
        <f t="shared" si="3"/>
        <v>0</v>
      </c>
      <c r="O10" s="24">
        <f t="shared" si="4"/>
        <v>0.5</v>
      </c>
      <c r="P10" s="485">
        <v>0.5</v>
      </c>
      <c r="Q10" s="486">
        <v>0</v>
      </c>
      <c r="R10" s="477">
        <f t="shared" si="5"/>
        <v>0</v>
      </c>
      <c r="S10" s="24">
        <f t="shared" si="6"/>
        <v>0.5</v>
      </c>
    </row>
    <row r="11" spans="1:19" ht="16.5" thickBot="1" x14ac:dyDescent="0.3">
      <c r="A11" s="326" t="s">
        <v>1</v>
      </c>
      <c r="B11" s="327"/>
      <c r="C11" s="327"/>
      <c r="D11" s="327"/>
      <c r="E11" s="327"/>
      <c r="F11" s="327"/>
      <c r="G11" s="329"/>
      <c r="H11" s="327"/>
      <c r="I11" s="327"/>
      <c r="J11" s="327"/>
      <c r="K11" s="329"/>
      <c r="L11" s="327"/>
      <c r="M11" s="327"/>
      <c r="N11" s="327"/>
      <c r="O11" s="329"/>
      <c r="P11" s="327"/>
      <c r="Q11" s="327"/>
      <c r="R11" s="327"/>
      <c r="S11" s="328"/>
    </row>
    <row r="12" spans="1:19" ht="15.6" customHeight="1" x14ac:dyDescent="0.25">
      <c r="A12" s="2316" t="s">
        <v>2</v>
      </c>
      <c r="B12" s="404" t="s">
        <v>32</v>
      </c>
      <c r="C12" s="324"/>
      <c r="D12" s="476">
        <f>0.5+D31+D34</f>
        <v>2.5</v>
      </c>
      <c r="E12" s="486">
        <v>0</v>
      </c>
      <c r="F12" s="477">
        <f>1*$F$3</f>
        <v>0</v>
      </c>
      <c r="G12" s="433">
        <f t="shared" si="7"/>
        <v>2.5</v>
      </c>
      <c r="H12" s="476">
        <f>0.5+H31+H34</f>
        <v>2.5</v>
      </c>
      <c r="I12" s="486">
        <v>0</v>
      </c>
      <c r="J12" s="477">
        <f>1*$F$3</f>
        <v>0</v>
      </c>
      <c r="K12" s="433">
        <f xml:space="preserve"> SUM(H12:J12) + $C12</f>
        <v>2.5</v>
      </c>
      <c r="L12" s="476">
        <f>0.5+L31+L34</f>
        <v>2.5</v>
      </c>
      <c r="M12" s="486">
        <v>0</v>
      </c>
      <c r="N12" s="477">
        <f>1*$N$3</f>
        <v>0</v>
      </c>
      <c r="O12" s="433">
        <f xml:space="preserve"> SUM(L12:N12) + $C12</f>
        <v>2.5</v>
      </c>
      <c r="P12" s="508">
        <f>0.5+P31+P34</f>
        <v>2.5</v>
      </c>
      <c r="Q12" s="509">
        <v>0</v>
      </c>
      <c r="R12" s="510">
        <f>1*$R$3</f>
        <v>0</v>
      </c>
      <c r="S12" s="316">
        <f xml:space="preserve"> SUM(P12:R12) + $C12</f>
        <v>2.5</v>
      </c>
    </row>
    <row r="13" spans="1:19" x14ac:dyDescent="0.25">
      <c r="A13" s="2313"/>
      <c r="B13" s="19" t="s">
        <v>33</v>
      </c>
      <c r="C13" s="22"/>
      <c r="D13" s="476">
        <f>1+D32+D35</f>
        <v>5</v>
      </c>
      <c r="E13" s="486">
        <v>0</v>
      </c>
      <c r="F13" s="477">
        <f>1*$F$3</f>
        <v>0</v>
      </c>
      <c r="G13" s="21">
        <f t="shared" si="7"/>
        <v>5</v>
      </c>
      <c r="H13" s="476">
        <f>1+H32+H35</f>
        <v>5</v>
      </c>
      <c r="I13" s="486">
        <v>0</v>
      </c>
      <c r="J13" s="477">
        <f>1*$J$3</f>
        <v>0</v>
      </c>
      <c r="K13" s="21">
        <f xml:space="preserve"> SUM(H13:J13) + $C13</f>
        <v>5</v>
      </c>
      <c r="L13" s="476">
        <f>1+L32+L35</f>
        <v>5</v>
      </c>
      <c r="M13" s="486">
        <v>0</v>
      </c>
      <c r="N13" s="477">
        <f>1*$N$3</f>
        <v>0</v>
      </c>
      <c r="O13" s="21">
        <f xml:space="preserve"> SUM(L13:N13) + $C13</f>
        <v>5</v>
      </c>
      <c r="P13" s="511">
        <f>1+P32+P35</f>
        <v>5</v>
      </c>
      <c r="Q13" s="486">
        <v>0</v>
      </c>
      <c r="R13" s="512">
        <f>1*$R$3</f>
        <v>0</v>
      </c>
      <c r="S13" s="16">
        <f xml:space="preserve"> SUM(P13:R13) + $C13</f>
        <v>5</v>
      </c>
    </row>
    <row r="14" spans="1:19" ht="15.75" thickBot="1" x14ac:dyDescent="0.3">
      <c r="A14" s="2313"/>
      <c r="B14" s="13" t="s">
        <v>34</v>
      </c>
      <c r="C14" s="34"/>
      <c r="D14" s="476">
        <f>1.5+D33+D36</f>
        <v>9.5</v>
      </c>
      <c r="E14" s="486">
        <v>0</v>
      </c>
      <c r="F14" s="477">
        <f>1*$F$3</f>
        <v>0</v>
      </c>
      <c r="G14" s="24">
        <f t="shared" si="7"/>
        <v>9.5</v>
      </c>
      <c r="H14" s="476">
        <f>1.5+H33+H36</f>
        <v>9.5</v>
      </c>
      <c r="I14" s="486">
        <v>0</v>
      </c>
      <c r="J14" s="477">
        <f>1*$J$3</f>
        <v>0</v>
      </c>
      <c r="K14" s="24">
        <f xml:space="preserve"> SUM(H14:J14) + $C14</f>
        <v>9.5</v>
      </c>
      <c r="L14" s="476">
        <f>1.5+L33+L36</f>
        <v>9.5</v>
      </c>
      <c r="M14" s="486">
        <v>0</v>
      </c>
      <c r="N14" s="477">
        <f>1*$N$3</f>
        <v>0</v>
      </c>
      <c r="O14" s="24">
        <f xml:space="preserve"> SUM(L14:N14) + $C14</f>
        <v>9.5</v>
      </c>
      <c r="P14" s="513">
        <f>1.5+P33+P36</f>
        <v>9.5</v>
      </c>
      <c r="Q14" s="514">
        <v>0</v>
      </c>
      <c r="R14" s="515">
        <f>1*$R$3</f>
        <v>0</v>
      </c>
      <c r="S14" s="192">
        <f xml:space="preserve"> SUM(P14:R14) + $C14</f>
        <v>9.5</v>
      </c>
    </row>
    <row r="15" spans="1:19" ht="16.5" thickBot="1" x14ac:dyDescent="0.3">
      <c r="A15" s="330" t="s">
        <v>3</v>
      </c>
      <c r="B15" s="329"/>
      <c r="C15" s="329"/>
      <c r="D15" s="329"/>
      <c r="E15" s="329"/>
      <c r="F15" s="329"/>
      <c r="G15" s="329"/>
      <c r="H15" s="329"/>
      <c r="I15" s="329"/>
      <c r="J15" s="329"/>
      <c r="K15" s="329"/>
      <c r="L15" s="329"/>
      <c r="M15" s="329"/>
      <c r="N15" s="329"/>
      <c r="O15" s="329"/>
      <c r="P15" s="329"/>
      <c r="Q15" s="329"/>
      <c r="R15" s="329"/>
      <c r="S15" s="328"/>
    </row>
    <row r="16" spans="1:19" ht="15.6" customHeight="1" x14ac:dyDescent="0.25">
      <c r="A16" s="2320" t="s">
        <v>4</v>
      </c>
      <c r="B16" s="517" t="s">
        <v>32</v>
      </c>
      <c r="C16" s="324"/>
      <c r="D16" s="481">
        <v>0</v>
      </c>
      <c r="E16" s="496">
        <v>0</v>
      </c>
      <c r="F16" s="497">
        <v>0</v>
      </c>
      <c r="G16" s="433">
        <f t="shared" si="7"/>
        <v>0</v>
      </c>
      <c r="H16" s="481">
        <v>0</v>
      </c>
      <c r="I16" s="496">
        <v>0</v>
      </c>
      <c r="J16" s="497">
        <v>0</v>
      </c>
      <c r="K16" s="433">
        <f t="shared" ref="K16:K26" si="8" xml:space="preserve"> SUM(H16:J16) + $C16</f>
        <v>0</v>
      </c>
      <c r="L16" s="481">
        <v>0</v>
      </c>
      <c r="M16" s="496">
        <v>0</v>
      </c>
      <c r="N16" s="497">
        <v>0</v>
      </c>
      <c r="O16" s="433">
        <f t="shared" ref="O16:O26" si="9" xml:space="preserve"> SUM(L16:N16) + $C16</f>
        <v>0</v>
      </c>
      <c r="P16" s="481">
        <v>0</v>
      </c>
      <c r="Q16" s="496">
        <v>0</v>
      </c>
      <c r="R16" s="497">
        <v>0</v>
      </c>
      <c r="S16" s="433">
        <f t="shared" ref="S16:S26" si="10" xml:space="preserve"> SUM(P16:R16) + $C16</f>
        <v>0</v>
      </c>
    </row>
    <row r="17" spans="1:19" x14ac:dyDescent="0.25">
      <c r="A17" s="2320"/>
      <c r="B17" s="403" t="s">
        <v>33</v>
      </c>
      <c r="C17" s="22"/>
      <c r="D17" s="482">
        <v>0</v>
      </c>
      <c r="E17" s="489">
        <v>0</v>
      </c>
      <c r="F17" s="488">
        <v>0</v>
      </c>
      <c r="G17" s="21">
        <f t="shared" si="7"/>
        <v>0</v>
      </c>
      <c r="H17" s="482">
        <v>0</v>
      </c>
      <c r="I17" s="489">
        <v>0</v>
      </c>
      <c r="J17" s="488">
        <v>0</v>
      </c>
      <c r="K17" s="21">
        <f t="shared" si="8"/>
        <v>0</v>
      </c>
      <c r="L17" s="482">
        <v>0</v>
      </c>
      <c r="M17" s="489">
        <v>0</v>
      </c>
      <c r="N17" s="488">
        <v>0</v>
      </c>
      <c r="O17" s="21">
        <f t="shared" si="9"/>
        <v>0</v>
      </c>
      <c r="P17" s="482">
        <v>0</v>
      </c>
      <c r="Q17" s="489">
        <v>0</v>
      </c>
      <c r="R17" s="488">
        <v>0</v>
      </c>
      <c r="S17" s="21">
        <f t="shared" si="10"/>
        <v>0</v>
      </c>
    </row>
    <row r="18" spans="1:19" x14ac:dyDescent="0.25">
      <c r="A18" s="2321"/>
      <c r="B18" s="403" t="s">
        <v>34</v>
      </c>
      <c r="C18" s="22"/>
      <c r="D18" s="483">
        <v>0</v>
      </c>
      <c r="E18" s="489">
        <v>0</v>
      </c>
      <c r="F18" s="488">
        <v>0</v>
      </c>
      <c r="G18" s="21">
        <f t="shared" si="7"/>
        <v>0</v>
      </c>
      <c r="H18" s="483">
        <v>0</v>
      </c>
      <c r="I18" s="489">
        <v>0</v>
      </c>
      <c r="J18" s="488">
        <v>0</v>
      </c>
      <c r="K18" s="21">
        <f t="shared" si="8"/>
        <v>0</v>
      </c>
      <c r="L18" s="483">
        <v>0</v>
      </c>
      <c r="M18" s="489">
        <v>0</v>
      </c>
      <c r="N18" s="488">
        <v>0</v>
      </c>
      <c r="O18" s="21">
        <f t="shared" si="9"/>
        <v>0</v>
      </c>
      <c r="P18" s="483">
        <v>0</v>
      </c>
      <c r="Q18" s="489">
        <v>0</v>
      </c>
      <c r="R18" s="488">
        <v>0</v>
      </c>
      <c r="S18" s="21">
        <f t="shared" si="10"/>
        <v>0</v>
      </c>
    </row>
    <row r="19" spans="1:19" ht="15.6" customHeight="1" x14ac:dyDescent="0.25">
      <c r="A19" s="2318" t="s">
        <v>5</v>
      </c>
      <c r="B19" s="19" t="s">
        <v>32</v>
      </c>
      <c r="C19" s="22"/>
      <c r="D19" s="493">
        <f>1+(D$3-1)</f>
        <v>0</v>
      </c>
      <c r="E19" s="516">
        <v>0</v>
      </c>
      <c r="F19" s="490">
        <f>F$3*0.25</f>
        <v>0</v>
      </c>
      <c r="G19" s="21">
        <f t="shared" si="7"/>
        <v>0</v>
      </c>
      <c r="H19" s="493">
        <f>1+(H$3-1)</f>
        <v>0</v>
      </c>
      <c r="I19" s="516">
        <v>0</v>
      </c>
      <c r="J19" s="490">
        <f>J$3*0.25</f>
        <v>0</v>
      </c>
      <c r="K19" s="21">
        <f t="shared" si="8"/>
        <v>0</v>
      </c>
      <c r="L19" s="493">
        <f>1+(L$3-1)</f>
        <v>0</v>
      </c>
      <c r="M19" s="516">
        <v>0</v>
      </c>
      <c r="N19" s="490">
        <f>N$3*0.25</f>
        <v>0</v>
      </c>
      <c r="O19" s="21">
        <f t="shared" si="9"/>
        <v>0</v>
      </c>
      <c r="P19" s="493">
        <f>1+(P$3-1)</f>
        <v>0</v>
      </c>
      <c r="Q19" s="516">
        <v>0</v>
      </c>
      <c r="R19" s="490">
        <f>R$3*0.25</f>
        <v>0</v>
      </c>
      <c r="S19" s="21">
        <f t="shared" si="10"/>
        <v>0</v>
      </c>
    </row>
    <row r="20" spans="1:19" x14ac:dyDescent="0.25">
      <c r="A20" s="2313"/>
      <c r="B20" s="19" t="s">
        <v>33</v>
      </c>
      <c r="C20" s="22"/>
      <c r="D20" s="493">
        <f>2+(D$3-1)</f>
        <v>1</v>
      </c>
      <c r="E20" s="516">
        <v>0</v>
      </c>
      <c r="F20" s="490">
        <f>F$3*0.25</f>
        <v>0</v>
      </c>
      <c r="G20" s="21">
        <f t="shared" si="7"/>
        <v>1</v>
      </c>
      <c r="H20" s="493">
        <f>2+(H$3-1)</f>
        <v>1</v>
      </c>
      <c r="I20" s="516">
        <v>0</v>
      </c>
      <c r="J20" s="490">
        <f>J$3*0.25</f>
        <v>0</v>
      </c>
      <c r="K20" s="21">
        <f t="shared" si="8"/>
        <v>1</v>
      </c>
      <c r="L20" s="493">
        <f>2+(L$3-1)</f>
        <v>1</v>
      </c>
      <c r="M20" s="516">
        <v>0</v>
      </c>
      <c r="N20" s="490">
        <f>N$3*0.25</f>
        <v>0</v>
      </c>
      <c r="O20" s="21">
        <f t="shared" si="9"/>
        <v>1</v>
      </c>
      <c r="P20" s="493">
        <f>2+(P$3-1)</f>
        <v>1</v>
      </c>
      <c r="Q20" s="516">
        <v>0</v>
      </c>
      <c r="R20" s="490">
        <f>R$3*0.25</f>
        <v>0</v>
      </c>
      <c r="S20" s="21">
        <f t="shared" si="10"/>
        <v>1</v>
      </c>
    </row>
    <row r="21" spans="1:19" x14ac:dyDescent="0.25">
      <c r="A21" s="2317"/>
      <c r="B21" s="19" t="s">
        <v>34</v>
      </c>
      <c r="C21" s="22"/>
      <c r="D21" s="493">
        <f>4+(D$3-1)</f>
        <v>3</v>
      </c>
      <c r="E21" s="516">
        <v>0</v>
      </c>
      <c r="F21" s="490">
        <f>F$3*0.25</f>
        <v>0</v>
      </c>
      <c r="G21" s="21">
        <f t="shared" si="7"/>
        <v>3</v>
      </c>
      <c r="H21" s="493">
        <f>4+(H$3-1)</f>
        <v>3</v>
      </c>
      <c r="I21" s="516">
        <v>0</v>
      </c>
      <c r="J21" s="490">
        <f>J$3*0.25</f>
        <v>0</v>
      </c>
      <c r="K21" s="21">
        <f t="shared" si="8"/>
        <v>3</v>
      </c>
      <c r="L21" s="493">
        <f>4+(L$3-1)</f>
        <v>3</v>
      </c>
      <c r="M21" s="516">
        <v>0</v>
      </c>
      <c r="N21" s="490">
        <f>N$3*0.25</f>
        <v>0</v>
      </c>
      <c r="O21" s="21">
        <f t="shared" si="9"/>
        <v>3</v>
      </c>
      <c r="P21" s="493">
        <f>4+(P$3-1)</f>
        <v>3</v>
      </c>
      <c r="Q21" s="516">
        <v>0</v>
      </c>
      <c r="R21" s="490">
        <f>R$3*0.25</f>
        <v>0</v>
      </c>
      <c r="S21" s="21">
        <f t="shared" si="10"/>
        <v>3</v>
      </c>
    </row>
    <row r="22" spans="1:19" ht="15.6" customHeight="1" x14ac:dyDescent="0.25">
      <c r="A22" s="2318" t="s">
        <v>6</v>
      </c>
      <c r="B22" s="19" t="s">
        <v>32</v>
      </c>
      <c r="C22" s="22"/>
      <c r="D22" s="485">
        <v>1</v>
      </c>
      <c r="E22" s="516">
        <v>0</v>
      </c>
      <c r="F22" s="477">
        <f>1*F$3</f>
        <v>0</v>
      </c>
      <c r="G22" s="21">
        <f t="shared" si="7"/>
        <v>1</v>
      </c>
      <c r="H22" s="485">
        <v>1</v>
      </c>
      <c r="I22" s="516">
        <v>0</v>
      </c>
      <c r="J22" s="477">
        <f>1*J$3</f>
        <v>0</v>
      </c>
      <c r="K22" s="21">
        <f t="shared" si="8"/>
        <v>1</v>
      </c>
      <c r="L22" s="485">
        <v>1</v>
      </c>
      <c r="M22" s="516">
        <v>0</v>
      </c>
      <c r="N22" s="477">
        <f>1*N$3</f>
        <v>0</v>
      </c>
      <c r="O22" s="21">
        <f t="shared" si="9"/>
        <v>1</v>
      </c>
      <c r="P22" s="485">
        <v>1</v>
      </c>
      <c r="Q22" s="516">
        <v>0</v>
      </c>
      <c r="R22" s="477">
        <f>1*R$3</f>
        <v>0</v>
      </c>
      <c r="S22" s="21">
        <f t="shared" si="10"/>
        <v>1</v>
      </c>
    </row>
    <row r="23" spans="1:19" x14ac:dyDescent="0.25">
      <c r="A23" s="2313"/>
      <c r="B23" s="19" t="s">
        <v>33</v>
      </c>
      <c r="C23" s="22"/>
      <c r="D23" s="485">
        <v>2</v>
      </c>
      <c r="E23" s="516">
        <v>0</v>
      </c>
      <c r="F23" s="477">
        <f>1*F$3</f>
        <v>0</v>
      </c>
      <c r="G23" s="21">
        <f t="shared" si="7"/>
        <v>2</v>
      </c>
      <c r="H23" s="485">
        <v>2</v>
      </c>
      <c r="I23" s="516">
        <v>0</v>
      </c>
      <c r="J23" s="477">
        <f>1*J$3</f>
        <v>0</v>
      </c>
      <c r="K23" s="21">
        <f t="shared" si="8"/>
        <v>2</v>
      </c>
      <c r="L23" s="485">
        <v>2</v>
      </c>
      <c r="M23" s="516">
        <v>0</v>
      </c>
      <c r="N23" s="477">
        <f>1*N$3</f>
        <v>0</v>
      </c>
      <c r="O23" s="21">
        <f t="shared" si="9"/>
        <v>2</v>
      </c>
      <c r="P23" s="485">
        <v>2</v>
      </c>
      <c r="Q23" s="516">
        <v>0</v>
      </c>
      <c r="R23" s="477">
        <f>1*R$3</f>
        <v>0</v>
      </c>
      <c r="S23" s="21">
        <f t="shared" si="10"/>
        <v>2</v>
      </c>
    </row>
    <row r="24" spans="1:19" x14ac:dyDescent="0.25">
      <c r="A24" s="2317"/>
      <c r="B24" s="19" t="s">
        <v>34</v>
      </c>
      <c r="C24" s="22"/>
      <c r="D24" s="485">
        <v>4</v>
      </c>
      <c r="E24" s="516">
        <v>0</v>
      </c>
      <c r="F24" s="477">
        <f>1*F$3</f>
        <v>0</v>
      </c>
      <c r="G24" s="21">
        <f t="shared" si="7"/>
        <v>4</v>
      </c>
      <c r="H24" s="485">
        <v>4</v>
      </c>
      <c r="I24" s="516">
        <v>0</v>
      </c>
      <c r="J24" s="477">
        <f>1*J$3</f>
        <v>0</v>
      </c>
      <c r="K24" s="21">
        <f t="shared" si="8"/>
        <v>4</v>
      </c>
      <c r="L24" s="485">
        <v>4</v>
      </c>
      <c r="M24" s="516">
        <v>0</v>
      </c>
      <c r="N24" s="477">
        <f>1*N$3</f>
        <v>0</v>
      </c>
      <c r="O24" s="21">
        <f t="shared" si="9"/>
        <v>4</v>
      </c>
      <c r="P24" s="485">
        <v>4</v>
      </c>
      <c r="Q24" s="516">
        <v>0</v>
      </c>
      <c r="R24" s="477">
        <f>1*R$3</f>
        <v>0</v>
      </c>
      <c r="S24" s="21">
        <f t="shared" si="10"/>
        <v>4</v>
      </c>
    </row>
    <row r="25" spans="1:19" ht="15.6" customHeight="1" x14ac:dyDescent="0.25">
      <c r="A25" s="2318" t="s">
        <v>7</v>
      </c>
      <c r="B25" s="19" t="s">
        <v>32</v>
      </c>
      <c r="C25" s="22"/>
      <c r="D25" s="485">
        <v>1</v>
      </c>
      <c r="E25" s="486">
        <v>0</v>
      </c>
      <c r="F25" s="487">
        <v>0</v>
      </c>
      <c r="G25" s="21">
        <f t="shared" si="7"/>
        <v>1</v>
      </c>
      <c r="H25" s="485">
        <v>1</v>
      </c>
      <c r="I25" s="486">
        <v>0</v>
      </c>
      <c r="J25" s="487">
        <v>0</v>
      </c>
      <c r="K25" s="21">
        <f t="shared" si="8"/>
        <v>1</v>
      </c>
      <c r="L25" s="485">
        <v>1</v>
      </c>
      <c r="M25" s="486">
        <v>0</v>
      </c>
      <c r="N25" s="487">
        <v>0</v>
      </c>
      <c r="O25" s="21">
        <f t="shared" si="9"/>
        <v>1</v>
      </c>
      <c r="P25" s="485">
        <v>1</v>
      </c>
      <c r="Q25" s="486">
        <v>0</v>
      </c>
      <c r="R25" s="487">
        <v>0</v>
      </c>
      <c r="S25" s="21">
        <f t="shared" si="10"/>
        <v>1</v>
      </c>
    </row>
    <row r="26" spans="1:19" x14ac:dyDescent="0.25">
      <c r="A26" s="2313"/>
      <c r="B26" s="19" t="s">
        <v>33</v>
      </c>
      <c r="C26" s="22"/>
      <c r="D26" s="485">
        <v>2</v>
      </c>
      <c r="E26" s="486">
        <v>0</v>
      </c>
      <c r="F26" s="487">
        <v>0</v>
      </c>
      <c r="G26" s="21">
        <f t="shared" si="7"/>
        <v>2</v>
      </c>
      <c r="H26" s="485">
        <v>2</v>
      </c>
      <c r="I26" s="486">
        <v>0</v>
      </c>
      <c r="J26" s="487">
        <v>0</v>
      </c>
      <c r="K26" s="21">
        <f t="shared" si="8"/>
        <v>2</v>
      </c>
      <c r="L26" s="485">
        <v>2</v>
      </c>
      <c r="M26" s="486">
        <v>0</v>
      </c>
      <c r="N26" s="487">
        <v>0</v>
      </c>
      <c r="O26" s="21">
        <f t="shared" si="9"/>
        <v>2</v>
      </c>
      <c r="P26" s="485">
        <v>2</v>
      </c>
      <c r="Q26" s="486">
        <v>0</v>
      </c>
      <c r="R26" s="487">
        <v>0</v>
      </c>
      <c r="S26" s="21">
        <f t="shared" si="10"/>
        <v>2</v>
      </c>
    </row>
    <row r="27" spans="1:19" x14ac:dyDescent="0.25">
      <c r="A27" s="2317"/>
      <c r="B27" s="19" t="s">
        <v>34</v>
      </c>
      <c r="C27" s="22"/>
      <c r="D27" s="485">
        <v>4</v>
      </c>
      <c r="E27" s="486">
        <v>0</v>
      </c>
      <c r="F27" s="487">
        <v>0</v>
      </c>
      <c r="G27" s="21">
        <f xml:space="preserve"> SUM(D27:E27) + $C27</f>
        <v>4</v>
      </c>
      <c r="H27" s="485">
        <v>4</v>
      </c>
      <c r="I27" s="486">
        <v>0</v>
      </c>
      <c r="J27" s="487">
        <v>0</v>
      </c>
      <c r="K27" s="21">
        <f xml:space="preserve"> SUM(H27:I27) + $C27</f>
        <v>4</v>
      </c>
      <c r="L27" s="485">
        <v>4</v>
      </c>
      <c r="M27" s="486">
        <v>0</v>
      </c>
      <c r="N27" s="487">
        <v>0</v>
      </c>
      <c r="O27" s="21">
        <f xml:space="preserve"> SUM(L27:M27) + $C27</f>
        <v>4</v>
      </c>
      <c r="P27" s="485">
        <v>4</v>
      </c>
      <c r="Q27" s="486">
        <v>0</v>
      </c>
      <c r="R27" s="487">
        <v>0</v>
      </c>
      <c r="S27" s="21">
        <f xml:space="preserve"> SUM(P27:Q27) + $C27</f>
        <v>4</v>
      </c>
    </row>
    <row r="28" spans="1:19" ht="15.6" customHeight="1" x14ac:dyDescent="0.25">
      <c r="A28" s="2318" t="s">
        <v>8</v>
      </c>
      <c r="B28" s="19" t="s">
        <v>32</v>
      </c>
      <c r="C28" s="22"/>
      <c r="D28" s="501">
        <v>0</v>
      </c>
      <c r="E28" s="516">
        <v>0</v>
      </c>
      <c r="F28" s="484">
        <v>0</v>
      </c>
      <c r="G28" s="21">
        <f t="shared" si="7"/>
        <v>0</v>
      </c>
      <c r="H28" s="501">
        <v>0</v>
      </c>
      <c r="I28" s="516">
        <v>0</v>
      </c>
      <c r="J28" s="484">
        <v>0</v>
      </c>
      <c r="K28" s="21">
        <f t="shared" ref="K28:K36" si="11" xml:space="preserve"> SUM(H28:J28) + $C28</f>
        <v>0</v>
      </c>
      <c r="L28" s="501">
        <v>0</v>
      </c>
      <c r="M28" s="516">
        <v>0</v>
      </c>
      <c r="N28" s="484">
        <v>0</v>
      </c>
      <c r="O28" s="21">
        <f t="shared" ref="O28:O36" si="12" xml:space="preserve"> SUM(L28:N28) + $C28</f>
        <v>0</v>
      </c>
      <c r="P28" s="501">
        <v>0</v>
      </c>
      <c r="Q28" s="516">
        <v>0</v>
      </c>
      <c r="R28" s="484">
        <v>0</v>
      </c>
      <c r="S28" s="21">
        <f t="shared" ref="S28:S36" si="13" xml:space="preserve"> SUM(P28:R28) + $C28</f>
        <v>0</v>
      </c>
    </row>
    <row r="29" spans="1:19" x14ac:dyDescent="0.25">
      <c r="A29" s="2313"/>
      <c r="B29" s="19" t="s">
        <v>33</v>
      </c>
      <c r="C29" s="22"/>
      <c r="D29" s="501">
        <v>0</v>
      </c>
      <c r="E29" s="516">
        <v>0</v>
      </c>
      <c r="F29" s="484">
        <v>0</v>
      </c>
      <c r="G29" s="21">
        <f t="shared" si="7"/>
        <v>0</v>
      </c>
      <c r="H29" s="501">
        <v>0</v>
      </c>
      <c r="I29" s="516">
        <v>0</v>
      </c>
      <c r="J29" s="484">
        <v>0</v>
      </c>
      <c r="K29" s="21">
        <f t="shared" si="11"/>
        <v>0</v>
      </c>
      <c r="L29" s="501">
        <v>0</v>
      </c>
      <c r="M29" s="516">
        <v>0</v>
      </c>
      <c r="N29" s="484">
        <v>0</v>
      </c>
      <c r="O29" s="21">
        <f t="shared" si="12"/>
        <v>0</v>
      </c>
      <c r="P29" s="501">
        <v>0</v>
      </c>
      <c r="Q29" s="516">
        <v>0</v>
      </c>
      <c r="R29" s="484">
        <v>0</v>
      </c>
      <c r="S29" s="21">
        <f t="shared" si="13"/>
        <v>0</v>
      </c>
    </row>
    <row r="30" spans="1:19" x14ac:dyDescent="0.25">
      <c r="A30" s="2317"/>
      <c r="B30" s="19" t="s">
        <v>34</v>
      </c>
      <c r="C30" s="22"/>
      <c r="D30" s="501">
        <v>0</v>
      </c>
      <c r="E30" s="516">
        <v>0</v>
      </c>
      <c r="F30" s="484">
        <v>0</v>
      </c>
      <c r="G30" s="21">
        <f t="shared" si="7"/>
        <v>0</v>
      </c>
      <c r="H30" s="501">
        <v>0</v>
      </c>
      <c r="I30" s="516">
        <v>0</v>
      </c>
      <c r="J30" s="484">
        <v>0</v>
      </c>
      <c r="K30" s="21">
        <f t="shared" si="11"/>
        <v>0</v>
      </c>
      <c r="L30" s="501">
        <v>0</v>
      </c>
      <c r="M30" s="516">
        <v>0</v>
      </c>
      <c r="N30" s="484">
        <v>0</v>
      </c>
      <c r="O30" s="21">
        <f t="shared" si="12"/>
        <v>0</v>
      </c>
      <c r="P30" s="501">
        <v>0</v>
      </c>
      <c r="Q30" s="516">
        <v>0</v>
      </c>
      <c r="R30" s="484">
        <v>0</v>
      </c>
      <c r="S30" s="21">
        <f t="shared" si="13"/>
        <v>0</v>
      </c>
    </row>
    <row r="31" spans="1:19" ht="15.6" customHeight="1" x14ac:dyDescent="0.25">
      <c r="A31" s="2318" t="s">
        <v>9</v>
      </c>
      <c r="B31" s="19" t="s">
        <v>32</v>
      </c>
      <c r="C31" s="22"/>
      <c r="D31" s="493">
        <f>IF(D$3&gt;1,D$3*0.5+1,1)</f>
        <v>1</v>
      </c>
      <c r="E31" s="489">
        <v>0</v>
      </c>
      <c r="F31" s="477">
        <f t="shared" ref="F31:F36" si="14">F$3*0.25</f>
        <v>0</v>
      </c>
      <c r="G31" s="21">
        <f t="shared" si="7"/>
        <v>1</v>
      </c>
      <c r="H31" s="493">
        <f>IF(H$3&gt;1,H$3*0.5+1,1)</f>
        <v>1</v>
      </c>
      <c r="I31" s="489">
        <v>0</v>
      </c>
      <c r="J31" s="477">
        <f t="shared" ref="J31:J36" si="15">J$3*0.25</f>
        <v>0</v>
      </c>
      <c r="K31" s="21">
        <f t="shared" si="11"/>
        <v>1</v>
      </c>
      <c r="L31" s="493">
        <f>IF(L$3&gt;1,L$3*0.5+1,1)</f>
        <v>1</v>
      </c>
      <c r="M31" s="489">
        <v>0</v>
      </c>
      <c r="N31" s="477">
        <f t="shared" ref="N31:N36" si="16">N$3*0.25</f>
        <v>0</v>
      </c>
      <c r="O31" s="21">
        <f t="shared" si="12"/>
        <v>1</v>
      </c>
      <c r="P31" s="493">
        <f>IF(P$3&gt;1,P$3*0.5+1,1)</f>
        <v>1</v>
      </c>
      <c r="Q31" s="489">
        <v>0</v>
      </c>
      <c r="R31" s="477">
        <f t="shared" ref="R31:R36" si="17">R$3*0.25</f>
        <v>0</v>
      </c>
      <c r="S31" s="21">
        <f t="shared" si="13"/>
        <v>1</v>
      </c>
    </row>
    <row r="32" spans="1:19" x14ac:dyDescent="0.25">
      <c r="A32" s="2313"/>
      <c r="B32" s="19" t="s">
        <v>33</v>
      </c>
      <c r="C32" s="22"/>
      <c r="D32" s="493">
        <f>IF(D$3&gt;1,D$3*0.5+2,2)</f>
        <v>2</v>
      </c>
      <c r="E32" s="489">
        <v>0</v>
      </c>
      <c r="F32" s="477">
        <f t="shared" si="14"/>
        <v>0</v>
      </c>
      <c r="G32" s="21">
        <f t="shared" si="7"/>
        <v>2</v>
      </c>
      <c r="H32" s="493">
        <f>IF(H$3&gt;1,H$3*0.5+2,2)</f>
        <v>2</v>
      </c>
      <c r="I32" s="489">
        <v>0</v>
      </c>
      <c r="J32" s="477">
        <f t="shared" si="15"/>
        <v>0</v>
      </c>
      <c r="K32" s="21">
        <f t="shared" si="11"/>
        <v>2</v>
      </c>
      <c r="L32" s="493">
        <f>IF(L$3&gt;1,L$3*0.5+2,2)</f>
        <v>2</v>
      </c>
      <c r="M32" s="489">
        <v>0</v>
      </c>
      <c r="N32" s="477">
        <f t="shared" si="16"/>
        <v>0</v>
      </c>
      <c r="O32" s="21">
        <f t="shared" si="12"/>
        <v>2</v>
      </c>
      <c r="P32" s="493">
        <f>IF(P$3&gt;1,P$3*0.5+2,2)</f>
        <v>2</v>
      </c>
      <c r="Q32" s="489">
        <v>0</v>
      </c>
      <c r="R32" s="477">
        <f t="shared" si="17"/>
        <v>0</v>
      </c>
      <c r="S32" s="21">
        <f t="shared" si="13"/>
        <v>2</v>
      </c>
    </row>
    <row r="33" spans="1:19" x14ac:dyDescent="0.25">
      <c r="A33" s="2317"/>
      <c r="B33" s="19" t="s">
        <v>34</v>
      </c>
      <c r="C33" s="22"/>
      <c r="D33" s="493">
        <f>IF(D$3&gt;1,D$3*0.5+4,4)</f>
        <v>4</v>
      </c>
      <c r="E33" s="489">
        <v>0</v>
      </c>
      <c r="F33" s="477">
        <f t="shared" si="14"/>
        <v>0</v>
      </c>
      <c r="G33" s="21">
        <f t="shared" si="7"/>
        <v>4</v>
      </c>
      <c r="H33" s="493">
        <f>IF(H$3&gt;1,H$3*0.5+4,4)</f>
        <v>4</v>
      </c>
      <c r="I33" s="489">
        <v>0</v>
      </c>
      <c r="J33" s="477">
        <f t="shared" si="15"/>
        <v>0</v>
      </c>
      <c r="K33" s="21">
        <f t="shared" si="11"/>
        <v>4</v>
      </c>
      <c r="L33" s="493">
        <f>IF(L$3&gt;1,L$3*0.5+4,4)</f>
        <v>4</v>
      </c>
      <c r="M33" s="489">
        <v>0</v>
      </c>
      <c r="N33" s="477">
        <f t="shared" si="16"/>
        <v>0</v>
      </c>
      <c r="O33" s="21">
        <f t="shared" si="12"/>
        <v>4</v>
      </c>
      <c r="P33" s="493">
        <f>IF(P$3&gt;1,P$3*0.5+4,4)</f>
        <v>4</v>
      </c>
      <c r="Q33" s="489">
        <v>0</v>
      </c>
      <c r="R33" s="477">
        <f t="shared" si="17"/>
        <v>0</v>
      </c>
      <c r="S33" s="21">
        <f t="shared" si="13"/>
        <v>4</v>
      </c>
    </row>
    <row r="34" spans="1:19" ht="15.6" customHeight="1" x14ac:dyDescent="0.25">
      <c r="A34" s="2318" t="s">
        <v>10</v>
      </c>
      <c r="B34" s="19" t="s">
        <v>32</v>
      </c>
      <c r="C34" s="22"/>
      <c r="D34" s="482">
        <v>1</v>
      </c>
      <c r="E34" s="489">
        <v>0</v>
      </c>
      <c r="F34" s="477">
        <f t="shared" si="14"/>
        <v>0</v>
      </c>
      <c r="G34" s="21">
        <f t="shared" si="7"/>
        <v>1</v>
      </c>
      <c r="H34" s="482">
        <v>1</v>
      </c>
      <c r="I34" s="489">
        <v>0</v>
      </c>
      <c r="J34" s="477">
        <f t="shared" si="15"/>
        <v>0</v>
      </c>
      <c r="K34" s="21">
        <f t="shared" si="11"/>
        <v>1</v>
      </c>
      <c r="L34" s="482">
        <v>1</v>
      </c>
      <c r="M34" s="489">
        <v>0</v>
      </c>
      <c r="N34" s="477">
        <f t="shared" si="16"/>
        <v>0</v>
      </c>
      <c r="O34" s="21">
        <f t="shared" si="12"/>
        <v>1</v>
      </c>
      <c r="P34" s="482">
        <v>1</v>
      </c>
      <c r="Q34" s="489">
        <v>0</v>
      </c>
      <c r="R34" s="477">
        <f t="shared" si="17"/>
        <v>0</v>
      </c>
      <c r="S34" s="21">
        <f t="shared" si="13"/>
        <v>1</v>
      </c>
    </row>
    <row r="35" spans="1:19" x14ac:dyDescent="0.25">
      <c r="A35" s="2313"/>
      <c r="B35" s="19" t="s">
        <v>33</v>
      </c>
      <c r="C35" s="22"/>
      <c r="D35" s="482">
        <v>2</v>
      </c>
      <c r="E35" s="489">
        <v>0</v>
      </c>
      <c r="F35" s="477">
        <f t="shared" si="14"/>
        <v>0</v>
      </c>
      <c r="G35" s="21">
        <f t="shared" si="7"/>
        <v>2</v>
      </c>
      <c r="H35" s="482">
        <v>2</v>
      </c>
      <c r="I35" s="489">
        <v>0</v>
      </c>
      <c r="J35" s="477">
        <f t="shared" si="15"/>
        <v>0</v>
      </c>
      <c r="K35" s="21">
        <f t="shared" si="11"/>
        <v>2</v>
      </c>
      <c r="L35" s="482">
        <v>2</v>
      </c>
      <c r="M35" s="489">
        <v>0</v>
      </c>
      <c r="N35" s="477">
        <f t="shared" si="16"/>
        <v>0</v>
      </c>
      <c r="O35" s="21">
        <f t="shared" si="12"/>
        <v>2</v>
      </c>
      <c r="P35" s="482">
        <v>2</v>
      </c>
      <c r="Q35" s="489">
        <v>0</v>
      </c>
      <c r="R35" s="477">
        <f t="shared" si="17"/>
        <v>0</v>
      </c>
      <c r="S35" s="21">
        <f t="shared" si="13"/>
        <v>2</v>
      </c>
    </row>
    <row r="36" spans="1:19" ht="15.75" thickBot="1" x14ac:dyDescent="0.3">
      <c r="A36" s="2313"/>
      <c r="B36" s="13" t="s">
        <v>34</v>
      </c>
      <c r="C36" s="34"/>
      <c r="D36" s="491">
        <v>4</v>
      </c>
      <c r="E36" s="492">
        <v>0</v>
      </c>
      <c r="F36" s="477">
        <f t="shared" si="14"/>
        <v>0</v>
      </c>
      <c r="G36" s="24">
        <f t="shared" si="7"/>
        <v>4</v>
      </c>
      <c r="H36" s="491">
        <v>4</v>
      </c>
      <c r="I36" s="492">
        <v>0</v>
      </c>
      <c r="J36" s="477">
        <f t="shared" si="15"/>
        <v>0</v>
      </c>
      <c r="K36" s="24">
        <f t="shared" si="11"/>
        <v>4</v>
      </c>
      <c r="L36" s="491">
        <v>4</v>
      </c>
      <c r="M36" s="492">
        <v>0</v>
      </c>
      <c r="N36" s="477">
        <f t="shared" si="16"/>
        <v>0</v>
      </c>
      <c r="O36" s="24">
        <f t="shared" si="12"/>
        <v>4</v>
      </c>
      <c r="P36" s="491">
        <v>4</v>
      </c>
      <c r="Q36" s="492">
        <v>0</v>
      </c>
      <c r="R36" s="477">
        <f t="shared" si="17"/>
        <v>0</v>
      </c>
      <c r="S36" s="24">
        <f t="shared" si="13"/>
        <v>4</v>
      </c>
    </row>
    <row r="37" spans="1:19" ht="16.5" thickBot="1" x14ac:dyDescent="0.3">
      <c r="A37" s="330" t="s">
        <v>11</v>
      </c>
      <c r="B37" s="329"/>
      <c r="C37" s="329"/>
      <c r="D37" s="329"/>
      <c r="E37" s="329"/>
      <c r="F37" s="329"/>
      <c r="G37" s="329"/>
      <c r="H37" s="329"/>
      <c r="I37" s="329"/>
      <c r="J37" s="329"/>
      <c r="K37" s="329"/>
      <c r="L37" s="329"/>
      <c r="M37" s="329"/>
      <c r="N37" s="329"/>
      <c r="O37" s="329"/>
      <c r="P37" s="329"/>
      <c r="Q37" s="329"/>
      <c r="R37" s="329"/>
      <c r="S37" s="328"/>
    </row>
    <row r="38" spans="1:19" ht="15.6" customHeight="1" x14ac:dyDescent="0.25">
      <c r="A38" s="2316" t="s">
        <v>12</v>
      </c>
      <c r="B38" s="404" t="s">
        <v>32</v>
      </c>
      <c r="C38" s="324"/>
      <c r="D38" s="498">
        <v>2</v>
      </c>
      <c r="E38" s="518">
        <v>0</v>
      </c>
      <c r="F38" s="499">
        <f>1*F$3</f>
        <v>0</v>
      </c>
      <c r="G38" s="433">
        <f t="shared" si="7"/>
        <v>2</v>
      </c>
      <c r="H38" s="498">
        <v>2</v>
      </c>
      <c r="I38" s="518">
        <v>0</v>
      </c>
      <c r="J38" s="499">
        <f>1*J$3</f>
        <v>0</v>
      </c>
      <c r="K38" s="433">
        <f xml:space="preserve"> SUM(H38:J38) + $C38</f>
        <v>2</v>
      </c>
      <c r="L38" s="498">
        <v>2</v>
      </c>
      <c r="M38" s="518">
        <v>0</v>
      </c>
      <c r="N38" s="499">
        <f>1*N$3</f>
        <v>0</v>
      </c>
      <c r="O38" s="433">
        <f xml:space="preserve"> SUM(L38:N38) + $C38</f>
        <v>2</v>
      </c>
      <c r="P38" s="498">
        <v>2</v>
      </c>
      <c r="Q38" s="518">
        <v>0</v>
      </c>
      <c r="R38" s="499">
        <f>1*R$3</f>
        <v>0</v>
      </c>
      <c r="S38" s="433">
        <f xml:space="preserve"> SUM(P38:R38) + $C38</f>
        <v>2</v>
      </c>
    </row>
    <row r="39" spans="1:19" x14ac:dyDescent="0.25">
      <c r="A39" s="2313"/>
      <c r="B39" s="19" t="s">
        <v>33</v>
      </c>
      <c r="C39" s="22"/>
      <c r="D39" s="485">
        <v>4</v>
      </c>
      <c r="E39" s="486">
        <v>0</v>
      </c>
      <c r="F39" s="499">
        <f>1*F$3</f>
        <v>0</v>
      </c>
      <c r="G39" s="21">
        <f t="shared" si="7"/>
        <v>4</v>
      </c>
      <c r="H39" s="485">
        <v>4</v>
      </c>
      <c r="I39" s="486">
        <v>0</v>
      </c>
      <c r="J39" s="499">
        <f>1*J$3</f>
        <v>0</v>
      </c>
      <c r="K39" s="21">
        <f xml:space="preserve"> SUM(H39:J39) + $C39</f>
        <v>4</v>
      </c>
      <c r="L39" s="485">
        <v>4</v>
      </c>
      <c r="M39" s="486">
        <v>0</v>
      </c>
      <c r="N39" s="499">
        <f>1*N$3</f>
        <v>0</v>
      </c>
      <c r="O39" s="21">
        <f xml:space="preserve"> SUM(L39:N39) + $C39</f>
        <v>4</v>
      </c>
      <c r="P39" s="485">
        <v>4</v>
      </c>
      <c r="Q39" s="486">
        <v>0</v>
      </c>
      <c r="R39" s="499">
        <f>1*R$3</f>
        <v>0</v>
      </c>
      <c r="S39" s="21">
        <f xml:space="preserve"> SUM(P39:R39) + $C39</f>
        <v>4</v>
      </c>
    </row>
    <row r="40" spans="1:19" ht="15.75" thickBot="1" x14ac:dyDescent="0.3">
      <c r="A40" s="2314"/>
      <c r="B40" s="13" t="s">
        <v>34</v>
      </c>
      <c r="C40" s="34"/>
      <c r="D40" s="500">
        <v>6</v>
      </c>
      <c r="E40" s="519">
        <v>0</v>
      </c>
      <c r="F40" s="499">
        <f>1*F$3</f>
        <v>0</v>
      </c>
      <c r="G40" s="24">
        <f t="shared" si="7"/>
        <v>6</v>
      </c>
      <c r="H40" s="500">
        <v>6</v>
      </c>
      <c r="I40" s="519">
        <v>0</v>
      </c>
      <c r="J40" s="499">
        <f>1*J$3</f>
        <v>0</v>
      </c>
      <c r="K40" s="24">
        <f xml:space="preserve"> SUM(H40:J40) + $C40</f>
        <v>6</v>
      </c>
      <c r="L40" s="500">
        <v>6</v>
      </c>
      <c r="M40" s="519">
        <v>0</v>
      </c>
      <c r="N40" s="499">
        <f>1*N$3</f>
        <v>0</v>
      </c>
      <c r="O40" s="24">
        <f xml:space="preserve"> SUM(L40:N40) + $C40</f>
        <v>6</v>
      </c>
      <c r="P40" s="500">
        <v>6</v>
      </c>
      <c r="Q40" s="519">
        <v>0</v>
      </c>
      <c r="R40" s="499">
        <f>1*R$3</f>
        <v>0</v>
      </c>
      <c r="S40" s="24">
        <f xml:space="preserve"> SUM(P40:R40) + $C40</f>
        <v>6</v>
      </c>
    </row>
    <row r="41" spans="1:19" ht="16.5" thickBot="1" x14ac:dyDescent="0.3">
      <c r="A41" s="330" t="s">
        <v>13</v>
      </c>
      <c r="B41" s="329"/>
      <c r="C41" s="329"/>
      <c r="D41" s="329"/>
      <c r="E41" s="329"/>
      <c r="F41" s="329"/>
      <c r="G41" s="329"/>
      <c r="H41" s="329"/>
      <c r="I41" s="329"/>
      <c r="J41" s="329"/>
      <c r="K41" s="329"/>
      <c r="L41" s="329"/>
      <c r="M41" s="329"/>
      <c r="N41" s="329"/>
      <c r="O41" s="329"/>
      <c r="P41" s="329"/>
      <c r="Q41" s="329"/>
      <c r="R41" s="329"/>
      <c r="S41" s="328"/>
    </row>
    <row r="42" spans="1:19" ht="15.6" customHeight="1" x14ac:dyDescent="0.25">
      <c r="A42" s="2316" t="s">
        <v>14</v>
      </c>
      <c r="B42" s="404" t="s">
        <v>32</v>
      </c>
      <c r="C42" s="106"/>
      <c r="D42" s="493">
        <f>1+(D$3-1)</f>
        <v>0</v>
      </c>
      <c r="E42" s="516">
        <v>0</v>
      </c>
      <c r="F42" s="490">
        <f>F$3*0.25</f>
        <v>0</v>
      </c>
      <c r="G42" s="433">
        <f t="shared" si="7"/>
        <v>0</v>
      </c>
      <c r="H42" s="493">
        <f>1+(H$3-1)</f>
        <v>0</v>
      </c>
      <c r="I42" s="516">
        <v>0</v>
      </c>
      <c r="J42" s="490">
        <f>J$3*0.25</f>
        <v>0</v>
      </c>
      <c r="K42" s="433">
        <f t="shared" ref="K42:K86" si="18" xml:space="preserve"> SUM(H42:J42) + $C42</f>
        <v>0</v>
      </c>
      <c r="L42" s="493">
        <f>1+(L$3-1)</f>
        <v>0</v>
      </c>
      <c r="M42" s="516">
        <v>0</v>
      </c>
      <c r="N42" s="490">
        <f>N$3*0.25</f>
        <v>0</v>
      </c>
      <c r="O42" s="433">
        <f t="shared" ref="O42:O86" si="19" xml:space="preserve"> SUM(L42:N42) + $C42</f>
        <v>0</v>
      </c>
      <c r="P42" s="493">
        <f>1+(P$3-1)</f>
        <v>0</v>
      </c>
      <c r="Q42" s="516">
        <v>0</v>
      </c>
      <c r="R42" s="490">
        <f>R$3*0.25</f>
        <v>0</v>
      </c>
      <c r="S42" s="433">
        <f t="shared" ref="S42:S86" si="20" xml:space="preserve"> SUM(P42:R42) + $C42</f>
        <v>0</v>
      </c>
    </row>
    <row r="43" spans="1:19" x14ac:dyDescent="0.25">
      <c r="A43" s="2313"/>
      <c r="B43" s="19" t="s">
        <v>33</v>
      </c>
      <c r="C43" s="22"/>
      <c r="D43" s="493">
        <f>2+(D$3-1)</f>
        <v>1</v>
      </c>
      <c r="E43" s="516">
        <v>0</v>
      </c>
      <c r="F43" s="490">
        <f>F$3*0.25</f>
        <v>0</v>
      </c>
      <c r="G43" s="21">
        <f t="shared" si="7"/>
        <v>1</v>
      </c>
      <c r="H43" s="493">
        <f>2+(H$3-1)</f>
        <v>1</v>
      </c>
      <c r="I43" s="516">
        <v>0</v>
      </c>
      <c r="J43" s="490">
        <f>J$3*0.25</f>
        <v>0</v>
      </c>
      <c r="K43" s="21">
        <f t="shared" si="18"/>
        <v>1</v>
      </c>
      <c r="L43" s="493">
        <f>2+(L$3-1)</f>
        <v>1</v>
      </c>
      <c r="M43" s="516">
        <v>0</v>
      </c>
      <c r="N43" s="490">
        <f>N$3*0.25</f>
        <v>0</v>
      </c>
      <c r="O43" s="21">
        <f t="shared" si="19"/>
        <v>1</v>
      </c>
      <c r="P43" s="493">
        <f>2+(P$3-1)</f>
        <v>1</v>
      </c>
      <c r="Q43" s="516">
        <v>0</v>
      </c>
      <c r="R43" s="490">
        <f>R$3*0.25</f>
        <v>0</v>
      </c>
      <c r="S43" s="21">
        <f t="shared" si="20"/>
        <v>1</v>
      </c>
    </row>
    <row r="44" spans="1:19" x14ac:dyDescent="0.25">
      <c r="A44" s="2313"/>
      <c r="B44" s="19" t="s">
        <v>34</v>
      </c>
      <c r="C44" s="22"/>
      <c r="D44" s="493">
        <f>4+(D$3-1)</f>
        <v>3</v>
      </c>
      <c r="E44" s="516">
        <v>0</v>
      </c>
      <c r="F44" s="490">
        <f>F$3*0.25</f>
        <v>0</v>
      </c>
      <c r="G44" s="21">
        <f t="shared" si="7"/>
        <v>3</v>
      </c>
      <c r="H44" s="493">
        <f>4+(H$3-1)</f>
        <v>3</v>
      </c>
      <c r="I44" s="516">
        <v>0</v>
      </c>
      <c r="J44" s="490">
        <f>J$3*0.25</f>
        <v>0</v>
      </c>
      <c r="K44" s="21">
        <f t="shared" si="18"/>
        <v>3</v>
      </c>
      <c r="L44" s="493">
        <f>4+(L$3-1)</f>
        <v>3</v>
      </c>
      <c r="M44" s="516">
        <v>0</v>
      </c>
      <c r="N44" s="490">
        <f>N$3*0.25</f>
        <v>0</v>
      </c>
      <c r="O44" s="21">
        <f t="shared" si="19"/>
        <v>3</v>
      </c>
      <c r="P44" s="493">
        <f>4+(P$3-1)</f>
        <v>3</v>
      </c>
      <c r="Q44" s="516">
        <v>0</v>
      </c>
      <c r="R44" s="490">
        <f>R$3*0.25</f>
        <v>0</v>
      </c>
      <c r="S44" s="21">
        <f t="shared" si="20"/>
        <v>3</v>
      </c>
    </row>
    <row r="45" spans="1:19" ht="15.6" customHeight="1" x14ac:dyDescent="0.25">
      <c r="A45" s="1933" t="s">
        <v>15</v>
      </c>
      <c r="B45" s="19" t="s">
        <v>32</v>
      </c>
      <c r="C45" s="22"/>
      <c r="D45" s="501">
        <v>3</v>
      </c>
      <c r="E45" s="494">
        <f>IF(E$3&gt;1,E$3*2,2)</f>
        <v>2</v>
      </c>
      <c r="F45" s="490">
        <f t="shared" ref="F45:F53" si="21">0.5*F$3</f>
        <v>0</v>
      </c>
      <c r="G45" s="21">
        <f t="shared" si="7"/>
        <v>5</v>
      </c>
      <c r="H45" s="501">
        <v>3</v>
      </c>
      <c r="I45" s="494">
        <f>IF(I$3&gt;1,I$3*2,2)</f>
        <v>2</v>
      </c>
      <c r="J45" s="490">
        <f t="shared" ref="J45:J53" si="22">0.5*J$3</f>
        <v>0</v>
      </c>
      <c r="K45" s="21">
        <f t="shared" si="18"/>
        <v>5</v>
      </c>
      <c r="L45" s="501">
        <v>3</v>
      </c>
      <c r="M45" s="494">
        <f>IF(M$3&gt;1,M$3*2,2)</f>
        <v>2</v>
      </c>
      <c r="N45" s="490">
        <f t="shared" ref="N45:N53" si="23">0.5*N$3</f>
        <v>0</v>
      </c>
      <c r="O45" s="21">
        <f t="shared" si="19"/>
        <v>5</v>
      </c>
      <c r="P45" s="501">
        <v>3</v>
      </c>
      <c r="Q45" s="494">
        <f>IF(Q$3&gt;1,Q$3*2,2)</f>
        <v>2</v>
      </c>
      <c r="R45" s="490">
        <f t="shared" ref="R45:R53" si="24">0.5*R$3</f>
        <v>0</v>
      </c>
      <c r="S45" s="21">
        <f t="shared" si="20"/>
        <v>5</v>
      </c>
    </row>
    <row r="46" spans="1:19" x14ac:dyDescent="0.25">
      <c r="A46" s="1933"/>
      <c r="B46" s="19" t="s">
        <v>33</v>
      </c>
      <c r="C46" s="22"/>
      <c r="D46" s="501">
        <v>5</v>
      </c>
      <c r="E46" s="494">
        <f>IF(E$3&gt;1,E$3*2,2)</f>
        <v>2</v>
      </c>
      <c r="F46" s="490">
        <f t="shared" si="21"/>
        <v>0</v>
      </c>
      <c r="G46" s="21">
        <f t="shared" si="7"/>
        <v>7</v>
      </c>
      <c r="H46" s="501">
        <v>5</v>
      </c>
      <c r="I46" s="494">
        <f>IF(I$3&gt;1,I$3*2,2)</f>
        <v>2</v>
      </c>
      <c r="J46" s="490">
        <f t="shared" si="22"/>
        <v>0</v>
      </c>
      <c r="K46" s="21">
        <f t="shared" si="18"/>
        <v>7</v>
      </c>
      <c r="L46" s="501">
        <v>5</v>
      </c>
      <c r="M46" s="494">
        <f>IF(M$3&gt;1,M$3*2,2)</f>
        <v>2</v>
      </c>
      <c r="N46" s="490">
        <f t="shared" si="23"/>
        <v>0</v>
      </c>
      <c r="O46" s="21">
        <f t="shared" si="19"/>
        <v>7</v>
      </c>
      <c r="P46" s="501">
        <v>5</v>
      </c>
      <c r="Q46" s="494">
        <f>IF(Q$3&gt;1,Q$3*2,2)</f>
        <v>2</v>
      </c>
      <c r="R46" s="490">
        <f t="shared" si="24"/>
        <v>0</v>
      </c>
      <c r="S46" s="21">
        <f t="shared" si="20"/>
        <v>7</v>
      </c>
    </row>
    <row r="47" spans="1:19" x14ac:dyDescent="0.25">
      <c r="A47" s="1933"/>
      <c r="B47" s="19" t="s">
        <v>34</v>
      </c>
      <c r="C47" s="22"/>
      <c r="D47" s="501">
        <v>7</v>
      </c>
      <c r="E47" s="494">
        <f>IF(E$3&gt;1,E$3*2,2)</f>
        <v>2</v>
      </c>
      <c r="F47" s="490">
        <f t="shared" si="21"/>
        <v>0</v>
      </c>
      <c r="G47" s="21">
        <f t="shared" si="7"/>
        <v>9</v>
      </c>
      <c r="H47" s="501">
        <v>7</v>
      </c>
      <c r="I47" s="494">
        <f>IF(I$3&gt;1,I$3*2,2)</f>
        <v>2</v>
      </c>
      <c r="J47" s="490">
        <f t="shared" si="22"/>
        <v>0</v>
      </c>
      <c r="K47" s="21">
        <f t="shared" si="18"/>
        <v>9</v>
      </c>
      <c r="L47" s="501">
        <v>7</v>
      </c>
      <c r="M47" s="494">
        <f>IF(M$3&gt;1,M$3*2,2)</f>
        <v>2</v>
      </c>
      <c r="N47" s="490">
        <f t="shared" si="23"/>
        <v>0</v>
      </c>
      <c r="O47" s="21">
        <f t="shared" si="19"/>
        <v>9</v>
      </c>
      <c r="P47" s="501">
        <v>7</v>
      </c>
      <c r="Q47" s="494">
        <f>IF(Q$3&gt;1,Q$3*2,2)</f>
        <v>2</v>
      </c>
      <c r="R47" s="490">
        <f t="shared" si="24"/>
        <v>0</v>
      </c>
      <c r="S47" s="21">
        <f t="shared" si="20"/>
        <v>9</v>
      </c>
    </row>
    <row r="48" spans="1:19" ht="15.6" customHeight="1" x14ac:dyDescent="0.25">
      <c r="A48" s="1933" t="s">
        <v>16</v>
      </c>
      <c r="B48" s="19" t="s">
        <v>32</v>
      </c>
      <c r="C48" s="22"/>
      <c r="D48" s="493">
        <f t="shared" ref="D48:D53" si="25">D$3*0.75</f>
        <v>0</v>
      </c>
      <c r="E48" s="489">
        <v>0</v>
      </c>
      <c r="F48" s="490">
        <f t="shared" si="21"/>
        <v>0</v>
      </c>
      <c r="G48" s="21">
        <f t="shared" si="7"/>
        <v>0</v>
      </c>
      <c r="H48" s="493">
        <f t="shared" ref="H48:H53" si="26">H$3*0.75</f>
        <v>0</v>
      </c>
      <c r="I48" s="489">
        <v>0</v>
      </c>
      <c r="J48" s="490">
        <f t="shared" si="22"/>
        <v>0</v>
      </c>
      <c r="K48" s="21">
        <f t="shared" si="18"/>
        <v>0</v>
      </c>
      <c r="L48" s="493">
        <f t="shared" ref="L48:L53" si="27">L$3*0.75</f>
        <v>0</v>
      </c>
      <c r="M48" s="489">
        <v>0</v>
      </c>
      <c r="N48" s="490">
        <f t="shared" si="23"/>
        <v>0</v>
      </c>
      <c r="O48" s="21">
        <f t="shared" si="19"/>
        <v>0</v>
      </c>
      <c r="P48" s="493">
        <f t="shared" ref="P48:P53" si="28">P$3*0.75</f>
        <v>0</v>
      </c>
      <c r="Q48" s="489">
        <v>0</v>
      </c>
      <c r="R48" s="490">
        <f t="shared" si="24"/>
        <v>0</v>
      </c>
      <c r="S48" s="21">
        <f t="shared" si="20"/>
        <v>0</v>
      </c>
    </row>
    <row r="49" spans="1:19" x14ac:dyDescent="0.25">
      <c r="A49" s="1933"/>
      <c r="B49" s="19" t="s">
        <v>33</v>
      </c>
      <c r="C49" s="22"/>
      <c r="D49" s="493">
        <f t="shared" si="25"/>
        <v>0</v>
      </c>
      <c r="E49" s="489">
        <v>0</v>
      </c>
      <c r="F49" s="490">
        <f t="shared" si="21"/>
        <v>0</v>
      </c>
      <c r="G49" s="21">
        <f t="shared" si="7"/>
        <v>0</v>
      </c>
      <c r="H49" s="493">
        <f t="shared" si="26"/>
        <v>0</v>
      </c>
      <c r="I49" s="489">
        <v>0</v>
      </c>
      <c r="J49" s="490">
        <f t="shared" si="22"/>
        <v>0</v>
      </c>
      <c r="K49" s="21">
        <f t="shared" si="18"/>
        <v>0</v>
      </c>
      <c r="L49" s="493">
        <f t="shared" si="27"/>
        <v>0</v>
      </c>
      <c r="M49" s="489">
        <v>0</v>
      </c>
      <c r="N49" s="490">
        <f t="shared" si="23"/>
        <v>0</v>
      </c>
      <c r="O49" s="21">
        <f t="shared" si="19"/>
        <v>0</v>
      </c>
      <c r="P49" s="493">
        <f t="shared" si="28"/>
        <v>0</v>
      </c>
      <c r="Q49" s="489">
        <v>0</v>
      </c>
      <c r="R49" s="490">
        <f t="shared" si="24"/>
        <v>0</v>
      </c>
      <c r="S49" s="21">
        <f t="shared" si="20"/>
        <v>0</v>
      </c>
    </row>
    <row r="50" spans="1:19" x14ac:dyDescent="0.25">
      <c r="A50" s="1933"/>
      <c r="B50" s="19" t="s">
        <v>34</v>
      </c>
      <c r="C50" s="22"/>
      <c r="D50" s="493">
        <f t="shared" si="25"/>
        <v>0</v>
      </c>
      <c r="E50" s="489">
        <v>0</v>
      </c>
      <c r="F50" s="490">
        <f t="shared" si="21"/>
        <v>0</v>
      </c>
      <c r="G50" s="21">
        <f t="shared" si="7"/>
        <v>0</v>
      </c>
      <c r="H50" s="493">
        <f t="shared" si="26"/>
        <v>0</v>
      </c>
      <c r="I50" s="489">
        <v>0</v>
      </c>
      <c r="J50" s="490">
        <f t="shared" si="22"/>
        <v>0</v>
      </c>
      <c r="K50" s="21">
        <f t="shared" si="18"/>
        <v>0</v>
      </c>
      <c r="L50" s="493">
        <f t="shared" si="27"/>
        <v>0</v>
      </c>
      <c r="M50" s="489">
        <v>0</v>
      </c>
      <c r="N50" s="490">
        <f t="shared" si="23"/>
        <v>0</v>
      </c>
      <c r="O50" s="21">
        <f t="shared" si="19"/>
        <v>0</v>
      </c>
      <c r="P50" s="493">
        <f t="shared" si="28"/>
        <v>0</v>
      </c>
      <c r="Q50" s="489">
        <v>0</v>
      </c>
      <c r="R50" s="490">
        <f t="shared" si="24"/>
        <v>0</v>
      </c>
      <c r="S50" s="21">
        <f t="shared" si="20"/>
        <v>0</v>
      </c>
    </row>
    <row r="51" spans="1:19" ht="15.6" customHeight="1" x14ac:dyDescent="0.25">
      <c r="A51" s="1933" t="s">
        <v>17</v>
      </c>
      <c r="B51" s="19" t="s">
        <v>32</v>
      </c>
      <c r="C51" s="22"/>
      <c r="D51" s="493">
        <f t="shared" si="25"/>
        <v>0</v>
      </c>
      <c r="E51" s="489">
        <v>0</v>
      </c>
      <c r="F51" s="490">
        <f t="shared" si="21"/>
        <v>0</v>
      </c>
      <c r="G51" s="21">
        <f t="shared" si="7"/>
        <v>0</v>
      </c>
      <c r="H51" s="493">
        <f t="shared" si="26"/>
        <v>0</v>
      </c>
      <c r="I51" s="489">
        <v>0</v>
      </c>
      <c r="J51" s="490">
        <f t="shared" si="22"/>
        <v>0</v>
      </c>
      <c r="K51" s="21">
        <f t="shared" si="18"/>
        <v>0</v>
      </c>
      <c r="L51" s="493">
        <f t="shared" si="27"/>
        <v>0</v>
      </c>
      <c r="M51" s="489">
        <v>0</v>
      </c>
      <c r="N51" s="490">
        <f t="shared" si="23"/>
        <v>0</v>
      </c>
      <c r="O51" s="21">
        <f t="shared" si="19"/>
        <v>0</v>
      </c>
      <c r="P51" s="493">
        <f t="shared" si="28"/>
        <v>0</v>
      </c>
      <c r="Q51" s="489">
        <v>0</v>
      </c>
      <c r="R51" s="490">
        <f t="shared" si="24"/>
        <v>0</v>
      </c>
      <c r="S51" s="21">
        <f t="shared" si="20"/>
        <v>0</v>
      </c>
    </row>
    <row r="52" spans="1:19" x14ac:dyDescent="0.25">
      <c r="A52" s="1933"/>
      <c r="B52" s="19" t="s">
        <v>33</v>
      </c>
      <c r="C52" s="22"/>
      <c r="D52" s="493">
        <f t="shared" si="25"/>
        <v>0</v>
      </c>
      <c r="E52" s="489">
        <v>0</v>
      </c>
      <c r="F52" s="490">
        <f t="shared" si="21"/>
        <v>0</v>
      </c>
      <c r="G52" s="21">
        <f t="shared" si="7"/>
        <v>0</v>
      </c>
      <c r="H52" s="493">
        <f t="shared" si="26"/>
        <v>0</v>
      </c>
      <c r="I52" s="489">
        <v>0</v>
      </c>
      <c r="J52" s="490">
        <f t="shared" si="22"/>
        <v>0</v>
      </c>
      <c r="K52" s="21">
        <f t="shared" si="18"/>
        <v>0</v>
      </c>
      <c r="L52" s="493">
        <f t="shared" si="27"/>
        <v>0</v>
      </c>
      <c r="M52" s="489">
        <v>0</v>
      </c>
      <c r="N52" s="490">
        <f t="shared" si="23"/>
        <v>0</v>
      </c>
      <c r="O52" s="21">
        <f t="shared" si="19"/>
        <v>0</v>
      </c>
      <c r="P52" s="493">
        <f t="shared" si="28"/>
        <v>0</v>
      </c>
      <c r="Q52" s="489">
        <v>0</v>
      </c>
      <c r="R52" s="490">
        <f t="shared" si="24"/>
        <v>0</v>
      </c>
      <c r="S52" s="21">
        <f t="shared" si="20"/>
        <v>0</v>
      </c>
    </row>
    <row r="53" spans="1:19" x14ac:dyDescent="0.25">
      <c r="A53" s="1933"/>
      <c r="B53" s="19" t="s">
        <v>34</v>
      </c>
      <c r="C53" s="22"/>
      <c r="D53" s="493">
        <f t="shared" si="25"/>
        <v>0</v>
      </c>
      <c r="E53" s="489">
        <v>0</v>
      </c>
      <c r="F53" s="490">
        <f t="shared" si="21"/>
        <v>0</v>
      </c>
      <c r="G53" s="21">
        <f t="shared" si="7"/>
        <v>0</v>
      </c>
      <c r="H53" s="493">
        <f t="shared" si="26"/>
        <v>0</v>
      </c>
      <c r="I53" s="489">
        <v>0</v>
      </c>
      <c r="J53" s="490">
        <f t="shared" si="22"/>
        <v>0</v>
      </c>
      <c r="K53" s="21">
        <f t="shared" si="18"/>
        <v>0</v>
      </c>
      <c r="L53" s="493">
        <f t="shared" si="27"/>
        <v>0</v>
      </c>
      <c r="M53" s="489">
        <v>0</v>
      </c>
      <c r="N53" s="490">
        <f t="shared" si="23"/>
        <v>0</v>
      </c>
      <c r="O53" s="21">
        <f t="shared" si="19"/>
        <v>0</v>
      </c>
      <c r="P53" s="493">
        <f t="shared" si="28"/>
        <v>0</v>
      </c>
      <c r="Q53" s="489">
        <v>0</v>
      </c>
      <c r="R53" s="490">
        <f t="shared" si="24"/>
        <v>0</v>
      </c>
      <c r="S53" s="21">
        <f t="shared" si="20"/>
        <v>0</v>
      </c>
    </row>
    <row r="54" spans="1:19" ht="15.6" customHeight="1" x14ac:dyDescent="0.25">
      <c r="A54" s="1933" t="s">
        <v>18</v>
      </c>
      <c r="B54" s="19" t="s">
        <v>32</v>
      </c>
      <c r="C54" s="22"/>
      <c r="D54" s="502">
        <v>0.25</v>
      </c>
      <c r="E54" s="489">
        <v>0</v>
      </c>
      <c r="F54" s="484">
        <v>0</v>
      </c>
      <c r="G54" s="21">
        <f t="shared" si="7"/>
        <v>0.25</v>
      </c>
      <c r="H54" s="502">
        <v>0.25</v>
      </c>
      <c r="I54" s="489">
        <v>0</v>
      </c>
      <c r="J54" s="484">
        <v>0</v>
      </c>
      <c r="K54" s="21">
        <f t="shared" si="18"/>
        <v>0.25</v>
      </c>
      <c r="L54" s="502">
        <v>0.25</v>
      </c>
      <c r="M54" s="489">
        <v>0</v>
      </c>
      <c r="N54" s="484">
        <v>0</v>
      </c>
      <c r="O54" s="21">
        <f t="shared" si="19"/>
        <v>0.25</v>
      </c>
      <c r="P54" s="502">
        <v>0.25</v>
      </c>
      <c r="Q54" s="489">
        <v>0</v>
      </c>
      <c r="R54" s="484">
        <v>0</v>
      </c>
      <c r="S54" s="21">
        <f t="shared" si="20"/>
        <v>0.25</v>
      </c>
    </row>
    <row r="55" spans="1:19" x14ac:dyDescent="0.25">
      <c r="A55" s="1933"/>
      <c r="B55" s="19" t="s">
        <v>33</v>
      </c>
      <c r="C55" s="22"/>
      <c r="D55" s="502">
        <v>0.5</v>
      </c>
      <c r="E55" s="489">
        <v>0</v>
      </c>
      <c r="F55" s="484">
        <v>0</v>
      </c>
      <c r="G55" s="21">
        <f t="shared" si="7"/>
        <v>0.5</v>
      </c>
      <c r="H55" s="502">
        <v>0.5</v>
      </c>
      <c r="I55" s="489">
        <v>0</v>
      </c>
      <c r="J55" s="484">
        <v>0</v>
      </c>
      <c r="K55" s="21">
        <f t="shared" si="18"/>
        <v>0.5</v>
      </c>
      <c r="L55" s="502">
        <v>0.5</v>
      </c>
      <c r="M55" s="489">
        <v>0</v>
      </c>
      <c r="N55" s="484">
        <v>0</v>
      </c>
      <c r="O55" s="21">
        <f t="shared" si="19"/>
        <v>0.5</v>
      </c>
      <c r="P55" s="502">
        <v>0.5</v>
      </c>
      <c r="Q55" s="489">
        <v>0</v>
      </c>
      <c r="R55" s="484">
        <v>0</v>
      </c>
      <c r="S55" s="21">
        <f t="shared" si="20"/>
        <v>0.5</v>
      </c>
    </row>
    <row r="56" spans="1:19" x14ac:dyDescent="0.25">
      <c r="A56" s="1933"/>
      <c r="B56" s="19" t="s">
        <v>34</v>
      </c>
      <c r="C56" s="22"/>
      <c r="D56" s="502">
        <v>0.75</v>
      </c>
      <c r="E56" s="489">
        <v>0</v>
      </c>
      <c r="F56" s="484">
        <v>0</v>
      </c>
      <c r="G56" s="21">
        <f t="shared" si="7"/>
        <v>0.75</v>
      </c>
      <c r="H56" s="502">
        <v>0.75</v>
      </c>
      <c r="I56" s="489">
        <v>0</v>
      </c>
      <c r="J56" s="484">
        <v>0</v>
      </c>
      <c r="K56" s="21">
        <f t="shared" si="18"/>
        <v>0.75</v>
      </c>
      <c r="L56" s="502">
        <v>0.75</v>
      </c>
      <c r="M56" s="489">
        <v>0</v>
      </c>
      <c r="N56" s="484">
        <v>0</v>
      </c>
      <c r="O56" s="21">
        <f t="shared" si="19"/>
        <v>0.75</v>
      </c>
      <c r="P56" s="502">
        <v>0.75</v>
      </c>
      <c r="Q56" s="489">
        <v>0</v>
      </c>
      <c r="R56" s="484">
        <v>0</v>
      </c>
      <c r="S56" s="21">
        <f t="shared" si="20"/>
        <v>0.75</v>
      </c>
    </row>
    <row r="57" spans="1:19" ht="15.6" customHeight="1" x14ac:dyDescent="0.25">
      <c r="A57" s="1933" t="s">
        <v>19</v>
      </c>
      <c r="B57" s="19" t="s">
        <v>32</v>
      </c>
      <c r="C57" s="22"/>
      <c r="D57" s="493">
        <f>D$3*0.25</f>
        <v>0</v>
      </c>
      <c r="E57" s="489">
        <v>0</v>
      </c>
      <c r="F57" s="484">
        <v>0</v>
      </c>
      <c r="G57" s="21">
        <f t="shared" si="7"/>
        <v>0</v>
      </c>
      <c r="H57" s="493">
        <f>H$3*0.25</f>
        <v>0</v>
      </c>
      <c r="I57" s="489">
        <v>0</v>
      </c>
      <c r="J57" s="484">
        <v>0</v>
      </c>
      <c r="K57" s="21">
        <f t="shared" si="18"/>
        <v>0</v>
      </c>
      <c r="L57" s="493">
        <f>L$3*0.25</f>
        <v>0</v>
      </c>
      <c r="M57" s="489">
        <v>0</v>
      </c>
      <c r="N57" s="484">
        <v>0</v>
      </c>
      <c r="O57" s="21">
        <f t="shared" si="19"/>
        <v>0</v>
      </c>
      <c r="P57" s="493">
        <f>P$3*0.25</f>
        <v>0</v>
      </c>
      <c r="Q57" s="489">
        <v>0</v>
      </c>
      <c r="R57" s="484">
        <v>0</v>
      </c>
      <c r="S57" s="21">
        <f t="shared" si="20"/>
        <v>0</v>
      </c>
    </row>
    <row r="58" spans="1:19" x14ac:dyDescent="0.25">
      <c r="A58" s="1933"/>
      <c r="B58" s="19" t="s">
        <v>33</v>
      </c>
      <c r="C58" s="22"/>
      <c r="D58" s="493">
        <f>D$3*0.25</f>
        <v>0</v>
      </c>
      <c r="E58" s="489">
        <v>0</v>
      </c>
      <c r="F58" s="484">
        <v>0</v>
      </c>
      <c r="G58" s="21">
        <f t="shared" si="7"/>
        <v>0</v>
      </c>
      <c r="H58" s="493">
        <f>H$3*0.25</f>
        <v>0</v>
      </c>
      <c r="I58" s="489">
        <v>0</v>
      </c>
      <c r="J58" s="484">
        <v>0</v>
      </c>
      <c r="K58" s="21">
        <f t="shared" si="18"/>
        <v>0</v>
      </c>
      <c r="L58" s="493">
        <f>L$3*0.25</f>
        <v>0</v>
      </c>
      <c r="M58" s="489">
        <v>0</v>
      </c>
      <c r="N58" s="484">
        <v>0</v>
      </c>
      <c r="O58" s="21">
        <f t="shared" si="19"/>
        <v>0</v>
      </c>
      <c r="P58" s="493">
        <f>P$3*0.25</f>
        <v>0</v>
      </c>
      <c r="Q58" s="489">
        <v>0</v>
      </c>
      <c r="R58" s="484">
        <v>0</v>
      </c>
      <c r="S58" s="21">
        <f t="shared" si="20"/>
        <v>0</v>
      </c>
    </row>
    <row r="59" spans="1:19" x14ac:dyDescent="0.25">
      <c r="A59" s="1933"/>
      <c r="B59" s="19" t="s">
        <v>34</v>
      </c>
      <c r="C59" s="22"/>
      <c r="D59" s="493">
        <f>D$3*0.25</f>
        <v>0</v>
      </c>
      <c r="E59" s="489">
        <v>0</v>
      </c>
      <c r="F59" s="484">
        <v>0</v>
      </c>
      <c r="G59" s="21">
        <f t="shared" si="7"/>
        <v>0</v>
      </c>
      <c r="H59" s="493">
        <f>H$3*0.25</f>
        <v>0</v>
      </c>
      <c r="I59" s="489">
        <v>0</v>
      </c>
      <c r="J59" s="484">
        <v>0</v>
      </c>
      <c r="K59" s="21">
        <f t="shared" si="18"/>
        <v>0</v>
      </c>
      <c r="L59" s="493">
        <f>L$3*0.25</f>
        <v>0</v>
      </c>
      <c r="M59" s="489">
        <v>0</v>
      </c>
      <c r="N59" s="484">
        <v>0</v>
      </c>
      <c r="O59" s="21">
        <f t="shared" si="19"/>
        <v>0</v>
      </c>
      <c r="P59" s="493">
        <f>P$3*0.25</f>
        <v>0</v>
      </c>
      <c r="Q59" s="489">
        <v>0</v>
      </c>
      <c r="R59" s="484">
        <v>0</v>
      </c>
      <c r="S59" s="21">
        <f t="shared" si="20"/>
        <v>0</v>
      </c>
    </row>
    <row r="60" spans="1:19" ht="15.6" customHeight="1" x14ac:dyDescent="0.25">
      <c r="A60" s="1933" t="s">
        <v>20</v>
      </c>
      <c r="B60" s="19" t="s">
        <v>32</v>
      </c>
      <c r="C60" s="22"/>
      <c r="D60" s="482">
        <v>2</v>
      </c>
      <c r="E60" s="489">
        <v>0</v>
      </c>
      <c r="F60" s="490">
        <f>1*F$3</f>
        <v>0</v>
      </c>
      <c r="G60" s="21">
        <f t="shared" si="7"/>
        <v>2</v>
      </c>
      <c r="H60" s="482">
        <v>2</v>
      </c>
      <c r="I60" s="489">
        <v>0</v>
      </c>
      <c r="J60" s="490">
        <f>1*J$3</f>
        <v>0</v>
      </c>
      <c r="K60" s="21">
        <f t="shared" si="18"/>
        <v>2</v>
      </c>
      <c r="L60" s="482">
        <v>2</v>
      </c>
      <c r="M60" s="489">
        <v>0</v>
      </c>
      <c r="N60" s="490">
        <f>1*N$3</f>
        <v>0</v>
      </c>
      <c r="O60" s="21">
        <f t="shared" si="19"/>
        <v>2</v>
      </c>
      <c r="P60" s="482">
        <v>2</v>
      </c>
      <c r="Q60" s="489">
        <v>0</v>
      </c>
      <c r="R60" s="490">
        <f>1*R$3</f>
        <v>0</v>
      </c>
      <c r="S60" s="21">
        <f t="shared" si="20"/>
        <v>2</v>
      </c>
    </row>
    <row r="61" spans="1:19" x14ac:dyDescent="0.25">
      <c r="A61" s="1933"/>
      <c r="B61" s="19" t="s">
        <v>33</v>
      </c>
      <c r="C61" s="22"/>
      <c r="D61" s="482">
        <v>4</v>
      </c>
      <c r="E61" s="489">
        <v>0</v>
      </c>
      <c r="F61" s="490">
        <f>1*F$3</f>
        <v>0</v>
      </c>
      <c r="G61" s="21">
        <f t="shared" si="7"/>
        <v>4</v>
      </c>
      <c r="H61" s="482">
        <v>4</v>
      </c>
      <c r="I61" s="489">
        <v>0</v>
      </c>
      <c r="J61" s="490">
        <f>1*J$3</f>
        <v>0</v>
      </c>
      <c r="K61" s="21">
        <f t="shared" si="18"/>
        <v>4</v>
      </c>
      <c r="L61" s="482">
        <v>4</v>
      </c>
      <c r="M61" s="489">
        <v>0</v>
      </c>
      <c r="N61" s="490">
        <f>1*N$3</f>
        <v>0</v>
      </c>
      <c r="O61" s="21">
        <f t="shared" si="19"/>
        <v>4</v>
      </c>
      <c r="P61" s="482">
        <v>4</v>
      </c>
      <c r="Q61" s="489">
        <v>0</v>
      </c>
      <c r="R61" s="490">
        <f>1*R$3</f>
        <v>0</v>
      </c>
      <c r="S61" s="21">
        <f t="shared" si="20"/>
        <v>4</v>
      </c>
    </row>
    <row r="62" spans="1:19" x14ac:dyDescent="0.25">
      <c r="A62" s="1933"/>
      <c r="B62" s="19" t="s">
        <v>34</v>
      </c>
      <c r="C62" s="22"/>
      <c r="D62" s="482">
        <v>6</v>
      </c>
      <c r="E62" s="489">
        <v>0</v>
      </c>
      <c r="F62" s="490">
        <f>1*F$3</f>
        <v>0</v>
      </c>
      <c r="G62" s="21">
        <f t="shared" si="7"/>
        <v>6</v>
      </c>
      <c r="H62" s="482">
        <v>6</v>
      </c>
      <c r="I62" s="489">
        <v>0</v>
      </c>
      <c r="J62" s="490">
        <f>1*J$3</f>
        <v>0</v>
      </c>
      <c r="K62" s="21">
        <f t="shared" si="18"/>
        <v>6</v>
      </c>
      <c r="L62" s="482">
        <v>6</v>
      </c>
      <c r="M62" s="489">
        <v>0</v>
      </c>
      <c r="N62" s="490">
        <f>1*N$3</f>
        <v>0</v>
      </c>
      <c r="O62" s="21">
        <f t="shared" si="19"/>
        <v>6</v>
      </c>
      <c r="P62" s="482">
        <v>6</v>
      </c>
      <c r="Q62" s="489">
        <v>0</v>
      </c>
      <c r="R62" s="490">
        <f>1*R$3</f>
        <v>0</v>
      </c>
      <c r="S62" s="21">
        <f t="shared" si="20"/>
        <v>6</v>
      </c>
    </row>
    <row r="63" spans="1:19" x14ac:dyDescent="0.25">
      <c r="A63" s="1933" t="s">
        <v>451</v>
      </c>
      <c r="B63" s="19" t="s">
        <v>32</v>
      </c>
      <c r="C63" s="22"/>
      <c r="D63" s="482">
        <v>0.25</v>
      </c>
      <c r="E63" s="475">
        <v>0</v>
      </c>
      <c r="F63" s="495">
        <v>0</v>
      </c>
      <c r="G63" s="21">
        <f t="shared" si="7"/>
        <v>0.25</v>
      </c>
      <c r="H63" s="482">
        <v>0.25</v>
      </c>
      <c r="I63" s="475">
        <v>0</v>
      </c>
      <c r="J63" s="495">
        <v>0</v>
      </c>
      <c r="K63" s="21">
        <f t="shared" si="18"/>
        <v>0.25</v>
      </c>
      <c r="L63" s="482">
        <v>0.25</v>
      </c>
      <c r="M63" s="475">
        <v>0</v>
      </c>
      <c r="N63" s="495">
        <v>0</v>
      </c>
      <c r="O63" s="21">
        <f t="shared" si="19"/>
        <v>0.25</v>
      </c>
      <c r="P63" s="482">
        <v>0.25</v>
      </c>
      <c r="Q63" s="475">
        <v>0</v>
      </c>
      <c r="R63" s="495">
        <v>0</v>
      </c>
      <c r="S63" s="21">
        <f t="shared" si="20"/>
        <v>0.25</v>
      </c>
    </row>
    <row r="64" spans="1:19" x14ac:dyDescent="0.25">
      <c r="A64" s="1933"/>
      <c r="B64" s="19" t="s">
        <v>33</v>
      </c>
      <c r="C64" s="22"/>
      <c r="D64" s="38">
        <v>0.5</v>
      </c>
      <c r="E64" s="475">
        <v>0</v>
      </c>
      <c r="F64" s="495">
        <v>0</v>
      </c>
      <c r="G64" s="21">
        <f t="shared" si="7"/>
        <v>0.5</v>
      </c>
      <c r="H64" s="38">
        <v>0.5</v>
      </c>
      <c r="I64" s="475">
        <v>0</v>
      </c>
      <c r="J64" s="495">
        <v>0</v>
      </c>
      <c r="K64" s="21">
        <f t="shared" si="18"/>
        <v>0.5</v>
      </c>
      <c r="L64" s="38">
        <v>0.5</v>
      </c>
      <c r="M64" s="475">
        <v>0</v>
      </c>
      <c r="N64" s="495">
        <v>0</v>
      </c>
      <c r="O64" s="21">
        <f t="shared" si="19"/>
        <v>0.5</v>
      </c>
      <c r="P64" s="38">
        <v>0.5</v>
      </c>
      <c r="Q64" s="475">
        <v>0</v>
      </c>
      <c r="R64" s="495">
        <v>0</v>
      </c>
      <c r="S64" s="21">
        <f t="shared" si="20"/>
        <v>0.5</v>
      </c>
    </row>
    <row r="65" spans="1:19" x14ac:dyDescent="0.25">
      <c r="A65" s="1933"/>
      <c r="B65" s="19" t="s">
        <v>34</v>
      </c>
      <c r="C65" s="22"/>
      <c r="D65" s="38">
        <v>1</v>
      </c>
      <c r="E65" s="475">
        <v>0</v>
      </c>
      <c r="F65" s="495">
        <v>0</v>
      </c>
      <c r="G65" s="21">
        <f t="shared" si="7"/>
        <v>1</v>
      </c>
      <c r="H65" s="38">
        <v>1</v>
      </c>
      <c r="I65" s="475">
        <v>0</v>
      </c>
      <c r="J65" s="495">
        <v>0</v>
      </c>
      <c r="K65" s="21">
        <f t="shared" si="18"/>
        <v>1</v>
      </c>
      <c r="L65" s="38">
        <v>1</v>
      </c>
      <c r="M65" s="475">
        <v>0</v>
      </c>
      <c r="N65" s="495">
        <v>0</v>
      </c>
      <c r="O65" s="21">
        <f t="shared" si="19"/>
        <v>1</v>
      </c>
      <c r="P65" s="38">
        <v>1</v>
      </c>
      <c r="Q65" s="475">
        <v>0</v>
      </c>
      <c r="R65" s="495">
        <v>0</v>
      </c>
      <c r="S65" s="21">
        <f t="shared" si="20"/>
        <v>1</v>
      </c>
    </row>
    <row r="66" spans="1:19" x14ac:dyDescent="0.25">
      <c r="A66" s="1933" t="s">
        <v>452</v>
      </c>
      <c r="B66" s="19" t="s">
        <v>32</v>
      </c>
      <c r="C66" s="22"/>
      <c r="D66" s="482">
        <v>0.25</v>
      </c>
      <c r="E66" s="475">
        <v>0</v>
      </c>
      <c r="F66" s="495">
        <v>0</v>
      </c>
      <c r="G66" s="21">
        <f t="shared" si="7"/>
        <v>0.25</v>
      </c>
      <c r="H66" s="482">
        <v>0.25</v>
      </c>
      <c r="I66" s="475">
        <v>0</v>
      </c>
      <c r="J66" s="495">
        <v>0</v>
      </c>
      <c r="K66" s="21">
        <f t="shared" si="18"/>
        <v>0.25</v>
      </c>
      <c r="L66" s="482">
        <v>0.25</v>
      </c>
      <c r="M66" s="475">
        <v>0</v>
      </c>
      <c r="N66" s="495">
        <v>0</v>
      </c>
      <c r="O66" s="21">
        <f t="shared" si="19"/>
        <v>0.25</v>
      </c>
      <c r="P66" s="482">
        <v>0.25</v>
      </c>
      <c r="Q66" s="475">
        <v>0</v>
      </c>
      <c r="R66" s="495">
        <v>0</v>
      </c>
      <c r="S66" s="21">
        <f t="shared" si="20"/>
        <v>0.25</v>
      </c>
    </row>
    <row r="67" spans="1:19" x14ac:dyDescent="0.25">
      <c r="A67" s="1933"/>
      <c r="B67" s="19" t="s">
        <v>33</v>
      </c>
      <c r="C67" s="22"/>
      <c r="D67" s="38">
        <v>0.5</v>
      </c>
      <c r="E67" s="475">
        <v>0</v>
      </c>
      <c r="F67" s="495">
        <v>0</v>
      </c>
      <c r="G67" s="21">
        <f t="shared" si="7"/>
        <v>0.5</v>
      </c>
      <c r="H67" s="38">
        <v>0.5</v>
      </c>
      <c r="I67" s="475">
        <v>0</v>
      </c>
      <c r="J67" s="495">
        <v>0</v>
      </c>
      <c r="K67" s="21">
        <f t="shared" si="18"/>
        <v>0.5</v>
      </c>
      <c r="L67" s="38">
        <v>0.5</v>
      </c>
      <c r="M67" s="475">
        <v>0</v>
      </c>
      <c r="N67" s="495">
        <v>0</v>
      </c>
      <c r="O67" s="21">
        <f t="shared" si="19"/>
        <v>0.5</v>
      </c>
      <c r="P67" s="38">
        <v>0.5</v>
      </c>
      <c r="Q67" s="475">
        <v>0</v>
      </c>
      <c r="R67" s="495">
        <v>0</v>
      </c>
      <c r="S67" s="21">
        <f t="shared" si="20"/>
        <v>0.5</v>
      </c>
    </row>
    <row r="68" spans="1:19" x14ac:dyDescent="0.25">
      <c r="A68" s="1933"/>
      <c r="B68" s="19" t="s">
        <v>34</v>
      </c>
      <c r="C68" s="22"/>
      <c r="D68" s="38">
        <v>1</v>
      </c>
      <c r="E68" s="475">
        <v>0</v>
      </c>
      <c r="F68" s="495">
        <v>0</v>
      </c>
      <c r="G68" s="21">
        <f t="shared" si="7"/>
        <v>1</v>
      </c>
      <c r="H68" s="38">
        <v>1</v>
      </c>
      <c r="I68" s="475">
        <v>0</v>
      </c>
      <c r="J68" s="495">
        <v>0</v>
      </c>
      <c r="K68" s="21">
        <f t="shared" si="18"/>
        <v>1</v>
      </c>
      <c r="L68" s="38">
        <v>1</v>
      </c>
      <c r="M68" s="475">
        <v>0</v>
      </c>
      <c r="N68" s="495">
        <v>0</v>
      </c>
      <c r="O68" s="21">
        <f t="shared" si="19"/>
        <v>1</v>
      </c>
      <c r="P68" s="38">
        <v>1</v>
      </c>
      <c r="Q68" s="475">
        <v>0</v>
      </c>
      <c r="R68" s="495">
        <v>0</v>
      </c>
      <c r="S68" s="21">
        <f t="shared" si="20"/>
        <v>1</v>
      </c>
    </row>
    <row r="69" spans="1:19" x14ac:dyDescent="0.25">
      <c r="A69" s="1936" t="s">
        <v>533</v>
      </c>
      <c r="B69" s="19" t="s">
        <v>32</v>
      </c>
      <c r="C69" s="22"/>
      <c r="D69" s="493">
        <f>IF(D$3&gt;1,D$3*0.5+1,1)</f>
        <v>1</v>
      </c>
      <c r="E69" s="489">
        <v>0</v>
      </c>
      <c r="F69" s="477">
        <f t="shared" ref="F69:F74" si="29">F$3*0.25</f>
        <v>0</v>
      </c>
      <c r="G69" s="21">
        <f t="shared" si="7"/>
        <v>1</v>
      </c>
      <c r="H69" s="493">
        <f>IF(H$3&gt;1,H$3*0.5+1,1)</f>
        <v>1</v>
      </c>
      <c r="I69" s="489">
        <v>0</v>
      </c>
      <c r="J69" s="477">
        <f t="shared" ref="J69:J74" si="30">J$3*0.25</f>
        <v>0</v>
      </c>
      <c r="K69" s="21">
        <f t="shared" si="18"/>
        <v>1</v>
      </c>
      <c r="L69" s="493">
        <f>IF(L$3&gt;1,L$3*0.5+1,1)</f>
        <v>1</v>
      </c>
      <c r="M69" s="489">
        <v>0</v>
      </c>
      <c r="N69" s="477">
        <f t="shared" ref="N69:N74" si="31">N$3*0.25</f>
        <v>0</v>
      </c>
      <c r="O69" s="21">
        <f t="shared" si="19"/>
        <v>1</v>
      </c>
      <c r="P69" s="493">
        <f>IF(P$3&gt;1,P$3*0.5+1,1)</f>
        <v>1</v>
      </c>
      <c r="Q69" s="489">
        <v>0</v>
      </c>
      <c r="R69" s="477">
        <f t="shared" ref="R69:R74" si="32">R$3*0.25</f>
        <v>0</v>
      </c>
      <c r="S69" s="21">
        <f t="shared" si="20"/>
        <v>1</v>
      </c>
    </row>
    <row r="70" spans="1:19" x14ac:dyDescent="0.25">
      <c r="A70" s="1936"/>
      <c r="B70" s="19" t="s">
        <v>33</v>
      </c>
      <c r="C70" s="22"/>
      <c r="D70" s="493">
        <f>IF(D$3&gt;1,D$3*0.5+2,2)</f>
        <v>2</v>
      </c>
      <c r="E70" s="489">
        <v>0</v>
      </c>
      <c r="F70" s="477">
        <f t="shared" si="29"/>
        <v>0</v>
      </c>
      <c r="G70" s="21">
        <f t="shared" si="7"/>
        <v>2</v>
      </c>
      <c r="H70" s="493">
        <f>IF(H$3&gt;1,H$3*0.5+2,2)</f>
        <v>2</v>
      </c>
      <c r="I70" s="489">
        <v>0</v>
      </c>
      <c r="J70" s="477">
        <f t="shared" si="30"/>
        <v>0</v>
      </c>
      <c r="K70" s="21">
        <f t="shared" si="18"/>
        <v>2</v>
      </c>
      <c r="L70" s="493">
        <f>IF(L$3&gt;1,L$3*0.5+2,2)</f>
        <v>2</v>
      </c>
      <c r="M70" s="489">
        <v>0</v>
      </c>
      <c r="N70" s="477">
        <f t="shared" si="31"/>
        <v>0</v>
      </c>
      <c r="O70" s="21">
        <f t="shared" si="19"/>
        <v>2</v>
      </c>
      <c r="P70" s="493">
        <f>IF(P$3&gt;1,P$3*0.5+2,2)</f>
        <v>2</v>
      </c>
      <c r="Q70" s="489">
        <v>0</v>
      </c>
      <c r="R70" s="477">
        <f t="shared" si="32"/>
        <v>0</v>
      </c>
      <c r="S70" s="21">
        <f t="shared" si="20"/>
        <v>2</v>
      </c>
    </row>
    <row r="71" spans="1:19" x14ac:dyDescent="0.25">
      <c r="A71" s="1936"/>
      <c r="B71" s="19" t="s">
        <v>34</v>
      </c>
      <c r="C71" s="22"/>
      <c r="D71" s="493">
        <f>IF(D$3&gt;1,D$3*0.5+4,4)</f>
        <v>4</v>
      </c>
      <c r="E71" s="489">
        <v>0</v>
      </c>
      <c r="F71" s="477">
        <f t="shared" si="29"/>
        <v>0</v>
      </c>
      <c r="G71" s="21">
        <f t="shared" si="7"/>
        <v>4</v>
      </c>
      <c r="H71" s="493">
        <f>IF(H$3&gt;1,H$3*0.5+4,4)</f>
        <v>4</v>
      </c>
      <c r="I71" s="489">
        <v>0</v>
      </c>
      <c r="J71" s="477">
        <f t="shared" si="30"/>
        <v>0</v>
      </c>
      <c r="K71" s="21">
        <f t="shared" si="18"/>
        <v>4</v>
      </c>
      <c r="L71" s="493">
        <f>IF(L$3&gt;1,L$3*0.5+4,4)</f>
        <v>4</v>
      </c>
      <c r="M71" s="489">
        <v>0</v>
      </c>
      <c r="N71" s="477">
        <f t="shared" si="31"/>
        <v>0</v>
      </c>
      <c r="O71" s="21">
        <f t="shared" si="19"/>
        <v>4</v>
      </c>
      <c r="P71" s="493">
        <f>IF(P$3&gt;1,P$3*0.5+4,4)</f>
        <v>4</v>
      </c>
      <c r="Q71" s="489">
        <v>0</v>
      </c>
      <c r="R71" s="477">
        <f t="shared" si="32"/>
        <v>0</v>
      </c>
      <c r="S71" s="21">
        <f t="shared" si="20"/>
        <v>4</v>
      </c>
    </row>
    <row r="72" spans="1:19" x14ac:dyDescent="0.25">
      <c r="A72" s="1933" t="s">
        <v>534</v>
      </c>
      <c r="B72" s="19" t="s">
        <v>32</v>
      </c>
      <c r="C72" s="22"/>
      <c r="D72" s="493">
        <f>IF(D$3&gt;1,D$3*0.5+1,1)</f>
        <v>1</v>
      </c>
      <c r="E72" s="489">
        <v>0</v>
      </c>
      <c r="F72" s="477">
        <f t="shared" si="29"/>
        <v>0</v>
      </c>
      <c r="G72" s="21">
        <f t="shared" si="7"/>
        <v>1</v>
      </c>
      <c r="H72" s="493">
        <f>IF(H$3&gt;1,H$3*0.5+1,1)</f>
        <v>1</v>
      </c>
      <c r="I72" s="489">
        <v>0</v>
      </c>
      <c r="J72" s="477">
        <f t="shared" si="30"/>
        <v>0</v>
      </c>
      <c r="K72" s="21">
        <f t="shared" si="18"/>
        <v>1</v>
      </c>
      <c r="L72" s="493">
        <f>IF(L$3&gt;1,L$3*0.5+1,1)</f>
        <v>1</v>
      </c>
      <c r="M72" s="489">
        <v>0</v>
      </c>
      <c r="N72" s="477">
        <f t="shared" si="31"/>
        <v>0</v>
      </c>
      <c r="O72" s="21">
        <f t="shared" si="19"/>
        <v>1</v>
      </c>
      <c r="P72" s="493">
        <f>IF(P$3&gt;1,P$3*0.5+1,1)</f>
        <v>1</v>
      </c>
      <c r="Q72" s="489">
        <v>0</v>
      </c>
      <c r="R72" s="477">
        <f t="shared" si="32"/>
        <v>0</v>
      </c>
      <c r="S72" s="21">
        <f t="shared" si="20"/>
        <v>1</v>
      </c>
    </row>
    <row r="73" spans="1:19" x14ac:dyDescent="0.25">
      <c r="A73" s="1933"/>
      <c r="B73" s="19" t="s">
        <v>33</v>
      </c>
      <c r="C73" s="22"/>
      <c r="D73" s="493">
        <f>IF(D$3&gt;1,D$3*0.5+2,2)</f>
        <v>2</v>
      </c>
      <c r="E73" s="489">
        <v>0</v>
      </c>
      <c r="F73" s="477">
        <f t="shared" si="29"/>
        <v>0</v>
      </c>
      <c r="G73" s="21">
        <f t="shared" si="7"/>
        <v>2</v>
      </c>
      <c r="H73" s="493">
        <f>IF(H$3&gt;1,H$3*0.5+2,2)</f>
        <v>2</v>
      </c>
      <c r="I73" s="489">
        <v>0</v>
      </c>
      <c r="J73" s="477">
        <f t="shared" si="30"/>
        <v>0</v>
      </c>
      <c r="K73" s="21">
        <f t="shared" si="18"/>
        <v>2</v>
      </c>
      <c r="L73" s="493">
        <f>IF(L$3&gt;1,L$3*0.5+2,2)</f>
        <v>2</v>
      </c>
      <c r="M73" s="489">
        <v>0</v>
      </c>
      <c r="N73" s="477">
        <f t="shared" si="31"/>
        <v>0</v>
      </c>
      <c r="O73" s="21">
        <f t="shared" si="19"/>
        <v>2</v>
      </c>
      <c r="P73" s="493">
        <f>IF(P$3&gt;1,P$3*0.5+2,2)</f>
        <v>2</v>
      </c>
      <c r="Q73" s="489">
        <v>0</v>
      </c>
      <c r="R73" s="477">
        <f t="shared" si="32"/>
        <v>0</v>
      </c>
      <c r="S73" s="21">
        <f t="shared" si="20"/>
        <v>2</v>
      </c>
    </row>
    <row r="74" spans="1:19" x14ac:dyDescent="0.25">
      <c r="A74" s="1933"/>
      <c r="B74" s="19" t="s">
        <v>34</v>
      </c>
      <c r="C74" s="22"/>
      <c r="D74" s="493">
        <f>IF(D$3&gt;1,D$3*0.5+4,4)</f>
        <v>4</v>
      </c>
      <c r="E74" s="489">
        <v>0</v>
      </c>
      <c r="F74" s="477">
        <f t="shared" si="29"/>
        <v>0</v>
      </c>
      <c r="G74" s="21">
        <f t="shared" si="7"/>
        <v>4</v>
      </c>
      <c r="H74" s="493">
        <f>IF(H$3&gt;1,H$3*0.5+4,4)</f>
        <v>4</v>
      </c>
      <c r="I74" s="489">
        <v>0</v>
      </c>
      <c r="J74" s="477">
        <f t="shared" si="30"/>
        <v>0</v>
      </c>
      <c r="K74" s="21">
        <f t="shared" si="18"/>
        <v>4</v>
      </c>
      <c r="L74" s="493">
        <f>IF(L$3&gt;1,L$3*0.5+4,4)</f>
        <v>4</v>
      </c>
      <c r="M74" s="489">
        <v>0</v>
      </c>
      <c r="N74" s="477">
        <f t="shared" si="31"/>
        <v>0</v>
      </c>
      <c r="O74" s="21">
        <f t="shared" si="19"/>
        <v>4</v>
      </c>
      <c r="P74" s="493">
        <f>IF(P$3&gt;1,P$3*0.5+4,4)</f>
        <v>4</v>
      </c>
      <c r="Q74" s="489">
        <v>0</v>
      </c>
      <c r="R74" s="477">
        <f t="shared" si="32"/>
        <v>0</v>
      </c>
      <c r="S74" s="21">
        <f t="shared" si="20"/>
        <v>4</v>
      </c>
    </row>
    <row r="75" spans="1:19" ht="15.6" customHeight="1" x14ac:dyDescent="0.25">
      <c r="A75" s="1933" t="s">
        <v>21</v>
      </c>
      <c r="B75" s="19" t="s">
        <v>32</v>
      </c>
      <c r="C75" s="22"/>
      <c r="D75" s="38" t="s">
        <v>90</v>
      </c>
      <c r="E75" s="265" t="s">
        <v>90</v>
      </c>
      <c r="F75" s="217" t="s">
        <v>90</v>
      </c>
      <c r="G75" s="21">
        <f t="shared" si="7"/>
        <v>0</v>
      </c>
      <c r="H75" s="38" t="s">
        <v>90</v>
      </c>
      <c r="I75" s="265" t="s">
        <v>90</v>
      </c>
      <c r="J75" s="217" t="s">
        <v>90</v>
      </c>
      <c r="K75" s="21">
        <f t="shared" si="18"/>
        <v>0</v>
      </c>
      <c r="L75" s="38" t="s">
        <v>90</v>
      </c>
      <c r="M75" s="265" t="s">
        <v>90</v>
      </c>
      <c r="N75" s="217" t="s">
        <v>90</v>
      </c>
      <c r="O75" s="21">
        <f t="shared" si="19"/>
        <v>0</v>
      </c>
      <c r="P75" s="38" t="s">
        <v>90</v>
      </c>
      <c r="Q75" s="265" t="s">
        <v>90</v>
      </c>
      <c r="R75" s="217" t="s">
        <v>90</v>
      </c>
      <c r="S75" s="21">
        <f t="shared" si="20"/>
        <v>0</v>
      </c>
    </row>
    <row r="76" spans="1:19" x14ac:dyDescent="0.25">
      <c r="A76" s="1933"/>
      <c r="B76" s="19" t="s">
        <v>33</v>
      </c>
      <c r="C76" s="22"/>
      <c r="D76" s="38" t="s">
        <v>90</v>
      </c>
      <c r="E76" s="265" t="s">
        <v>90</v>
      </c>
      <c r="F76" s="217" t="s">
        <v>90</v>
      </c>
      <c r="G76" s="21">
        <f t="shared" si="7"/>
        <v>0</v>
      </c>
      <c r="H76" s="38" t="s">
        <v>90</v>
      </c>
      <c r="I76" s="265" t="s">
        <v>90</v>
      </c>
      <c r="J76" s="217" t="s">
        <v>90</v>
      </c>
      <c r="K76" s="21">
        <f t="shared" si="18"/>
        <v>0</v>
      </c>
      <c r="L76" s="38" t="s">
        <v>90</v>
      </c>
      <c r="M76" s="265" t="s">
        <v>90</v>
      </c>
      <c r="N76" s="217" t="s">
        <v>90</v>
      </c>
      <c r="O76" s="21">
        <f t="shared" si="19"/>
        <v>0</v>
      </c>
      <c r="P76" s="38" t="s">
        <v>90</v>
      </c>
      <c r="Q76" s="265" t="s">
        <v>90</v>
      </c>
      <c r="R76" s="217" t="s">
        <v>90</v>
      </c>
      <c r="S76" s="21">
        <f t="shared" si="20"/>
        <v>0</v>
      </c>
    </row>
    <row r="77" spans="1:19" x14ac:dyDescent="0.25">
      <c r="A77" s="1933"/>
      <c r="B77" s="13" t="s">
        <v>34</v>
      </c>
      <c r="C77" s="34"/>
      <c r="D77" s="38" t="s">
        <v>90</v>
      </c>
      <c r="E77" s="265" t="s">
        <v>90</v>
      </c>
      <c r="F77" s="217" t="s">
        <v>90</v>
      </c>
      <c r="G77" s="21">
        <f t="shared" si="7"/>
        <v>0</v>
      </c>
      <c r="H77" s="38" t="s">
        <v>90</v>
      </c>
      <c r="I77" s="265" t="s">
        <v>90</v>
      </c>
      <c r="J77" s="217" t="s">
        <v>90</v>
      </c>
      <c r="K77" s="21">
        <f t="shared" si="18"/>
        <v>0</v>
      </c>
      <c r="L77" s="38" t="s">
        <v>90</v>
      </c>
      <c r="M77" s="265" t="s">
        <v>90</v>
      </c>
      <c r="N77" s="217" t="s">
        <v>90</v>
      </c>
      <c r="O77" s="21">
        <f t="shared" si="19"/>
        <v>0</v>
      </c>
      <c r="P77" s="38" t="s">
        <v>90</v>
      </c>
      <c r="Q77" s="265" t="s">
        <v>90</v>
      </c>
      <c r="R77" s="217" t="s">
        <v>90</v>
      </c>
      <c r="S77" s="21">
        <f t="shared" si="20"/>
        <v>0</v>
      </c>
    </row>
    <row r="78" spans="1:19" x14ac:dyDescent="0.25">
      <c r="A78" s="1933" t="s">
        <v>181</v>
      </c>
      <c r="B78" s="19" t="s">
        <v>32</v>
      </c>
      <c r="C78" s="22"/>
      <c r="D78" s="493">
        <f>D$3*0.25</f>
        <v>0</v>
      </c>
      <c r="E78" s="489">
        <v>0</v>
      </c>
      <c r="F78" s="484">
        <v>0</v>
      </c>
      <c r="G78" s="21">
        <f t="shared" si="7"/>
        <v>0</v>
      </c>
      <c r="H78" s="493">
        <f>H$3*0.25</f>
        <v>0</v>
      </c>
      <c r="I78" s="489">
        <v>0</v>
      </c>
      <c r="J78" s="484">
        <v>0</v>
      </c>
      <c r="K78" s="21">
        <f t="shared" si="18"/>
        <v>0</v>
      </c>
      <c r="L78" s="493">
        <f>L$3*0.25</f>
        <v>0</v>
      </c>
      <c r="M78" s="489">
        <v>0</v>
      </c>
      <c r="N78" s="484">
        <v>0</v>
      </c>
      <c r="O78" s="21">
        <f t="shared" si="19"/>
        <v>0</v>
      </c>
      <c r="P78" s="493">
        <f>P$3*0.25</f>
        <v>0</v>
      </c>
      <c r="Q78" s="489">
        <v>0</v>
      </c>
      <c r="R78" s="484">
        <v>0</v>
      </c>
      <c r="S78" s="21">
        <f t="shared" si="20"/>
        <v>0</v>
      </c>
    </row>
    <row r="79" spans="1:19" x14ac:dyDescent="0.25">
      <c r="A79" s="1933"/>
      <c r="B79" s="19" t="s">
        <v>33</v>
      </c>
      <c r="C79" s="22"/>
      <c r="D79" s="493">
        <f>D$3*0.25</f>
        <v>0</v>
      </c>
      <c r="E79" s="489">
        <v>0</v>
      </c>
      <c r="F79" s="484">
        <v>0</v>
      </c>
      <c r="G79" s="21">
        <f t="shared" si="7"/>
        <v>0</v>
      </c>
      <c r="H79" s="493">
        <f>H$3*0.25</f>
        <v>0</v>
      </c>
      <c r="I79" s="489">
        <v>0</v>
      </c>
      <c r="J79" s="484">
        <v>0</v>
      </c>
      <c r="K79" s="21">
        <f t="shared" si="18"/>
        <v>0</v>
      </c>
      <c r="L79" s="493">
        <f>L$3*0.25</f>
        <v>0</v>
      </c>
      <c r="M79" s="489">
        <v>0</v>
      </c>
      <c r="N79" s="484">
        <v>0</v>
      </c>
      <c r="O79" s="21">
        <f t="shared" si="19"/>
        <v>0</v>
      </c>
      <c r="P79" s="493">
        <f>P$3*0.25</f>
        <v>0</v>
      </c>
      <c r="Q79" s="489">
        <v>0</v>
      </c>
      <c r="R79" s="484">
        <v>0</v>
      </c>
      <c r="S79" s="21">
        <f t="shared" si="20"/>
        <v>0</v>
      </c>
    </row>
    <row r="80" spans="1:19" x14ac:dyDescent="0.25">
      <c r="A80" s="1933"/>
      <c r="B80" s="19" t="s">
        <v>34</v>
      </c>
      <c r="C80" s="22"/>
      <c r="D80" s="493">
        <f>D$3*0.25</f>
        <v>0</v>
      </c>
      <c r="E80" s="489">
        <v>0</v>
      </c>
      <c r="F80" s="484">
        <v>0</v>
      </c>
      <c r="G80" s="21">
        <f t="shared" si="7"/>
        <v>0</v>
      </c>
      <c r="H80" s="493">
        <f>H$3*0.25</f>
        <v>0</v>
      </c>
      <c r="I80" s="489">
        <v>0</v>
      </c>
      <c r="J80" s="484">
        <v>0</v>
      </c>
      <c r="K80" s="21">
        <f t="shared" si="18"/>
        <v>0</v>
      </c>
      <c r="L80" s="493">
        <f>L$3*0.25</f>
        <v>0</v>
      </c>
      <c r="M80" s="489">
        <v>0</v>
      </c>
      <c r="N80" s="484">
        <v>0</v>
      </c>
      <c r="O80" s="21">
        <f t="shared" si="19"/>
        <v>0</v>
      </c>
      <c r="P80" s="493">
        <f>P$3*0.25</f>
        <v>0</v>
      </c>
      <c r="Q80" s="489">
        <v>0</v>
      </c>
      <c r="R80" s="484">
        <v>0</v>
      </c>
      <c r="S80" s="21">
        <f t="shared" si="20"/>
        <v>0</v>
      </c>
    </row>
    <row r="81" spans="1:19" x14ac:dyDescent="0.25">
      <c r="A81" s="1933" t="s">
        <v>182</v>
      </c>
      <c r="B81" s="19" t="s">
        <v>32</v>
      </c>
      <c r="C81" s="22"/>
      <c r="D81" s="493">
        <f>D$3*0.75</f>
        <v>0</v>
      </c>
      <c r="E81" s="489">
        <v>0</v>
      </c>
      <c r="F81" s="490">
        <f>0.5*F$3</f>
        <v>0</v>
      </c>
      <c r="G81" s="21">
        <f t="shared" si="7"/>
        <v>0</v>
      </c>
      <c r="H81" s="493">
        <f>H$3*0.75</f>
        <v>0</v>
      </c>
      <c r="I81" s="489">
        <v>0</v>
      </c>
      <c r="J81" s="490">
        <f>0.5*J$3</f>
        <v>0</v>
      </c>
      <c r="K81" s="21">
        <f t="shared" si="18"/>
        <v>0</v>
      </c>
      <c r="L81" s="493">
        <f>L$3*0.75</f>
        <v>0</v>
      </c>
      <c r="M81" s="489">
        <v>0</v>
      </c>
      <c r="N81" s="490">
        <f>0.5*N$3</f>
        <v>0</v>
      </c>
      <c r="O81" s="21">
        <f t="shared" si="19"/>
        <v>0</v>
      </c>
      <c r="P81" s="493">
        <f>P$3*0.75</f>
        <v>0</v>
      </c>
      <c r="Q81" s="489">
        <v>0</v>
      </c>
      <c r="R81" s="490">
        <f>0.5*R$3</f>
        <v>0</v>
      </c>
      <c r="S81" s="21">
        <f t="shared" si="20"/>
        <v>0</v>
      </c>
    </row>
    <row r="82" spans="1:19" x14ac:dyDescent="0.25">
      <c r="A82" s="1933"/>
      <c r="B82" s="19" t="s">
        <v>33</v>
      </c>
      <c r="C82" s="22"/>
      <c r="D82" s="493">
        <f>D$3*0.75</f>
        <v>0</v>
      </c>
      <c r="E82" s="489">
        <v>0</v>
      </c>
      <c r="F82" s="490">
        <f>0.5*F$3</f>
        <v>0</v>
      </c>
      <c r="G82" s="21">
        <f t="shared" si="7"/>
        <v>0</v>
      </c>
      <c r="H82" s="493">
        <f>H$3*0.75</f>
        <v>0</v>
      </c>
      <c r="I82" s="489">
        <v>0</v>
      </c>
      <c r="J82" s="490">
        <f>0.5*J$3</f>
        <v>0</v>
      </c>
      <c r="K82" s="21">
        <f t="shared" si="18"/>
        <v>0</v>
      </c>
      <c r="L82" s="493">
        <f>L$3*0.75</f>
        <v>0</v>
      </c>
      <c r="M82" s="489">
        <v>0</v>
      </c>
      <c r="N82" s="490">
        <f>0.5*N$3</f>
        <v>0</v>
      </c>
      <c r="O82" s="21">
        <f t="shared" si="19"/>
        <v>0</v>
      </c>
      <c r="P82" s="493">
        <f>P$3*0.75</f>
        <v>0</v>
      </c>
      <c r="Q82" s="489">
        <v>0</v>
      </c>
      <c r="R82" s="490">
        <f>0.5*R$3</f>
        <v>0</v>
      </c>
      <c r="S82" s="21">
        <f t="shared" si="20"/>
        <v>0</v>
      </c>
    </row>
    <row r="83" spans="1:19" x14ac:dyDescent="0.25">
      <c r="A83" s="1933"/>
      <c r="B83" s="19" t="s">
        <v>34</v>
      </c>
      <c r="C83" s="22"/>
      <c r="D83" s="493">
        <f>D$3*0.75</f>
        <v>0</v>
      </c>
      <c r="E83" s="489">
        <v>0</v>
      </c>
      <c r="F83" s="490">
        <f>0.5*F$3</f>
        <v>0</v>
      </c>
      <c r="G83" s="21">
        <f t="shared" si="7"/>
        <v>0</v>
      </c>
      <c r="H83" s="493">
        <f>H$3*0.75</f>
        <v>0</v>
      </c>
      <c r="I83" s="489">
        <v>0</v>
      </c>
      <c r="J83" s="490">
        <f>0.5*J$3</f>
        <v>0</v>
      </c>
      <c r="K83" s="21">
        <f t="shared" si="18"/>
        <v>0</v>
      </c>
      <c r="L83" s="493">
        <f>L$3*0.75</f>
        <v>0</v>
      </c>
      <c r="M83" s="489">
        <v>0</v>
      </c>
      <c r="N83" s="490">
        <f>0.5*N$3</f>
        <v>0</v>
      </c>
      <c r="O83" s="21">
        <f t="shared" si="19"/>
        <v>0</v>
      </c>
      <c r="P83" s="493">
        <f>P$3*0.75</f>
        <v>0</v>
      </c>
      <c r="Q83" s="489">
        <v>0</v>
      </c>
      <c r="R83" s="490">
        <f>0.5*R$3</f>
        <v>0</v>
      </c>
      <c r="S83" s="21">
        <f t="shared" si="20"/>
        <v>0</v>
      </c>
    </row>
    <row r="84" spans="1:19" x14ac:dyDescent="0.25">
      <c r="A84" s="1935" t="s">
        <v>183</v>
      </c>
      <c r="B84" s="19" t="s">
        <v>32</v>
      </c>
      <c r="C84" s="22"/>
      <c r="D84" s="493">
        <f t="shared" ref="D84:E86" si="33">D$3*0.25</f>
        <v>0</v>
      </c>
      <c r="E84" s="494">
        <f t="shared" si="33"/>
        <v>0</v>
      </c>
      <c r="F84" s="484">
        <v>0</v>
      </c>
      <c r="G84" s="21">
        <f t="shared" si="7"/>
        <v>0</v>
      </c>
      <c r="H84" s="493">
        <f t="shared" ref="H84:I86" si="34">H$3*0.25</f>
        <v>0</v>
      </c>
      <c r="I84" s="494">
        <f t="shared" si="34"/>
        <v>0</v>
      </c>
      <c r="J84" s="484">
        <v>0</v>
      </c>
      <c r="K84" s="21">
        <f t="shared" si="18"/>
        <v>0</v>
      </c>
      <c r="L84" s="493">
        <f t="shared" ref="L84:M86" si="35">L$3*0.25</f>
        <v>0</v>
      </c>
      <c r="M84" s="494">
        <f t="shared" si="35"/>
        <v>0</v>
      </c>
      <c r="N84" s="484">
        <v>0</v>
      </c>
      <c r="O84" s="21">
        <f t="shared" si="19"/>
        <v>0</v>
      </c>
      <c r="P84" s="493">
        <f t="shared" ref="P84:Q86" si="36">P$3*0.25</f>
        <v>0</v>
      </c>
      <c r="Q84" s="494">
        <f t="shared" si="36"/>
        <v>0</v>
      </c>
      <c r="R84" s="484">
        <v>0</v>
      </c>
      <c r="S84" s="21">
        <f t="shared" si="20"/>
        <v>0</v>
      </c>
    </row>
    <row r="85" spans="1:19" x14ac:dyDescent="0.25">
      <c r="A85" s="1935"/>
      <c r="B85" s="19" t="s">
        <v>33</v>
      </c>
      <c r="C85" s="22"/>
      <c r="D85" s="493">
        <f t="shared" si="33"/>
        <v>0</v>
      </c>
      <c r="E85" s="494">
        <f t="shared" si="33"/>
        <v>0</v>
      </c>
      <c r="F85" s="488">
        <v>0</v>
      </c>
      <c r="G85" s="21">
        <f t="shared" si="7"/>
        <v>0</v>
      </c>
      <c r="H85" s="493">
        <f t="shared" si="34"/>
        <v>0</v>
      </c>
      <c r="I85" s="494">
        <f t="shared" si="34"/>
        <v>0</v>
      </c>
      <c r="J85" s="488">
        <v>0</v>
      </c>
      <c r="K85" s="21">
        <f t="shared" si="18"/>
        <v>0</v>
      </c>
      <c r="L85" s="493">
        <f t="shared" si="35"/>
        <v>0</v>
      </c>
      <c r="M85" s="494">
        <f t="shared" si="35"/>
        <v>0</v>
      </c>
      <c r="N85" s="488">
        <v>0</v>
      </c>
      <c r="O85" s="21">
        <f t="shared" si="19"/>
        <v>0</v>
      </c>
      <c r="P85" s="493">
        <f t="shared" si="36"/>
        <v>0</v>
      </c>
      <c r="Q85" s="494">
        <f t="shared" si="36"/>
        <v>0</v>
      </c>
      <c r="R85" s="488">
        <v>0</v>
      </c>
      <c r="S85" s="21">
        <f t="shared" si="20"/>
        <v>0</v>
      </c>
    </row>
    <row r="86" spans="1:19" ht="15.75" thickBot="1" x14ac:dyDescent="0.3">
      <c r="A86" s="1935"/>
      <c r="B86" s="13" t="s">
        <v>34</v>
      </c>
      <c r="C86" s="23"/>
      <c r="D86" s="504">
        <f t="shared" si="33"/>
        <v>0</v>
      </c>
      <c r="E86" s="494">
        <f t="shared" si="33"/>
        <v>0</v>
      </c>
      <c r="F86" s="521">
        <v>0</v>
      </c>
      <c r="G86" s="24">
        <f t="shared" si="7"/>
        <v>0</v>
      </c>
      <c r="H86" s="504">
        <f t="shared" si="34"/>
        <v>0</v>
      </c>
      <c r="I86" s="494">
        <f t="shared" si="34"/>
        <v>0</v>
      </c>
      <c r="J86" s="521">
        <v>0</v>
      </c>
      <c r="K86" s="24">
        <f t="shared" si="18"/>
        <v>0</v>
      </c>
      <c r="L86" s="504">
        <f t="shared" si="35"/>
        <v>0</v>
      </c>
      <c r="M86" s="494">
        <f t="shared" si="35"/>
        <v>0</v>
      </c>
      <c r="N86" s="521">
        <v>0</v>
      </c>
      <c r="O86" s="24">
        <f t="shared" si="19"/>
        <v>0</v>
      </c>
      <c r="P86" s="504">
        <f t="shared" si="36"/>
        <v>0</v>
      </c>
      <c r="Q86" s="494">
        <f t="shared" si="36"/>
        <v>0</v>
      </c>
      <c r="R86" s="521">
        <v>0</v>
      </c>
      <c r="S86" s="24">
        <f t="shared" si="20"/>
        <v>0</v>
      </c>
    </row>
    <row r="87" spans="1:19" ht="16.5" thickBot="1" x14ac:dyDescent="0.3">
      <c r="A87" s="330" t="s">
        <v>22</v>
      </c>
      <c r="B87" s="329"/>
      <c r="C87" s="329"/>
      <c r="D87" s="329"/>
      <c r="E87" s="329"/>
      <c r="F87" s="329"/>
      <c r="G87" s="329"/>
      <c r="H87" s="329"/>
      <c r="I87" s="329"/>
      <c r="J87" s="329"/>
      <c r="K87" s="329"/>
      <c r="L87" s="329"/>
      <c r="M87" s="329"/>
      <c r="N87" s="329"/>
      <c r="O87" s="329"/>
      <c r="P87" s="329"/>
      <c r="Q87" s="329"/>
      <c r="R87" s="329"/>
      <c r="S87" s="328"/>
    </row>
    <row r="88" spans="1:19" ht="15.6" customHeight="1" x14ac:dyDescent="0.25">
      <c r="A88" s="2313" t="s">
        <v>23</v>
      </c>
      <c r="B88" s="404" t="s">
        <v>32</v>
      </c>
      <c r="C88" s="324"/>
      <c r="D88" s="505">
        <v>0</v>
      </c>
      <c r="E88" s="496">
        <v>0</v>
      </c>
      <c r="F88" s="497">
        <v>0</v>
      </c>
      <c r="G88" s="433">
        <f t="shared" si="7"/>
        <v>0</v>
      </c>
      <c r="H88" s="505">
        <v>0</v>
      </c>
      <c r="I88" s="496">
        <v>0</v>
      </c>
      <c r="J88" s="497">
        <v>0</v>
      </c>
      <c r="K88" s="433">
        <f t="shared" ref="K88:K93" si="37" xml:space="preserve"> SUM(H88:J88) + $C88</f>
        <v>0</v>
      </c>
      <c r="L88" s="505">
        <v>0</v>
      </c>
      <c r="M88" s="496">
        <v>0</v>
      </c>
      <c r="N88" s="497">
        <v>0</v>
      </c>
      <c r="O88" s="433">
        <f t="shared" ref="O88:O93" si="38" xml:space="preserve"> SUM(L88:N88) + $C88</f>
        <v>0</v>
      </c>
      <c r="P88" s="505">
        <v>0</v>
      </c>
      <c r="Q88" s="496">
        <v>0</v>
      </c>
      <c r="R88" s="497">
        <v>0</v>
      </c>
      <c r="S88" s="433">
        <f t="shared" ref="S88:S93" si="39" xml:space="preserve"> SUM(P88:R88) + $C88</f>
        <v>0</v>
      </c>
    </row>
    <row r="89" spans="1:19" x14ac:dyDescent="0.25">
      <c r="A89" s="2313"/>
      <c r="B89" s="19" t="s">
        <v>33</v>
      </c>
      <c r="C89" s="22"/>
      <c r="D89" s="482">
        <v>0</v>
      </c>
      <c r="E89" s="489">
        <v>0</v>
      </c>
      <c r="F89" s="488">
        <v>0</v>
      </c>
      <c r="G89" s="21">
        <f t="shared" si="7"/>
        <v>0</v>
      </c>
      <c r="H89" s="482">
        <v>0</v>
      </c>
      <c r="I89" s="489">
        <v>0</v>
      </c>
      <c r="J89" s="488">
        <v>0</v>
      </c>
      <c r="K89" s="21">
        <f t="shared" si="37"/>
        <v>0</v>
      </c>
      <c r="L89" s="482">
        <v>0</v>
      </c>
      <c r="M89" s="489">
        <v>0</v>
      </c>
      <c r="N89" s="488">
        <v>0</v>
      </c>
      <c r="O89" s="21">
        <f t="shared" si="38"/>
        <v>0</v>
      </c>
      <c r="P89" s="482">
        <v>0</v>
      </c>
      <c r="Q89" s="489">
        <v>0</v>
      </c>
      <c r="R89" s="488">
        <v>0</v>
      </c>
      <c r="S89" s="21">
        <f t="shared" si="39"/>
        <v>0</v>
      </c>
    </row>
    <row r="90" spans="1:19" x14ac:dyDescent="0.25">
      <c r="A90" s="2313"/>
      <c r="B90" s="19" t="s">
        <v>34</v>
      </c>
      <c r="C90" s="22"/>
      <c r="D90" s="482">
        <v>0</v>
      </c>
      <c r="E90" s="489">
        <v>0</v>
      </c>
      <c r="F90" s="488">
        <v>0</v>
      </c>
      <c r="G90" s="21">
        <f t="shared" si="7"/>
        <v>0</v>
      </c>
      <c r="H90" s="482">
        <v>0</v>
      </c>
      <c r="I90" s="489">
        <v>0</v>
      </c>
      <c r="J90" s="488">
        <v>0</v>
      </c>
      <c r="K90" s="21">
        <f t="shared" si="37"/>
        <v>0</v>
      </c>
      <c r="L90" s="482">
        <v>0</v>
      </c>
      <c r="M90" s="489">
        <v>0</v>
      </c>
      <c r="N90" s="488">
        <v>0</v>
      </c>
      <c r="O90" s="21">
        <f t="shared" si="38"/>
        <v>0</v>
      </c>
      <c r="P90" s="482">
        <v>0</v>
      </c>
      <c r="Q90" s="489">
        <v>0</v>
      </c>
      <c r="R90" s="488">
        <v>0</v>
      </c>
      <c r="S90" s="21">
        <f t="shared" si="39"/>
        <v>0</v>
      </c>
    </row>
    <row r="91" spans="1:19" ht="15.6" customHeight="1" x14ac:dyDescent="0.25">
      <c r="A91" s="1933" t="s">
        <v>24</v>
      </c>
      <c r="B91" s="19" t="s">
        <v>32</v>
      </c>
      <c r="C91" s="22"/>
      <c r="D91" s="482">
        <v>4</v>
      </c>
      <c r="E91" s="478">
        <f>E$3*2</f>
        <v>0</v>
      </c>
      <c r="F91" s="490">
        <f>1*F$3</f>
        <v>0</v>
      </c>
      <c r="G91" s="21">
        <f t="shared" si="7"/>
        <v>4</v>
      </c>
      <c r="H91" s="482">
        <v>4</v>
      </c>
      <c r="I91" s="478">
        <f>I$3*2</f>
        <v>0</v>
      </c>
      <c r="J91" s="490">
        <f>1*J$3</f>
        <v>0</v>
      </c>
      <c r="K91" s="21">
        <f t="shared" si="37"/>
        <v>4</v>
      </c>
      <c r="L91" s="482">
        <v>4</v>
      </c>
      <c r="M91" s="478">
        <f>M$3*2</f>
        <v>0</v>
      </c>
      <c r="N91" s="490">
        <f>1*N$3</f>
        <v>0</v>
      </c>
      <c r="O91" s="21">
        <f t="shared" si="38"/>
        <v>4</v>
      </c>
      <c r="P91" s="482">
        <v>4</v>
      </c>
      <c r="Q91" s="478">
        <f>Q$3*2</f>
        <v>0</v>
      </c>
      <c r="R91" s="490">
        <f>1*R$3</f>
        <v>0</v>
      </c>
      <c r="S91" s="21">
        <f t="shared" si="39"/>
        <v>4</v>
      </c>
    </row>
    <row r="92" spans="1:19" x14ac:dyDescent="0.25">
      <c r="A92" s="1933"/>
      <c r="B92" s="19" t="s">
        <v>33</v>
      </c>
      <c r="C92" s="22"/>
      <c r="D92" s="482">
        <v>4</v>
      </c>
      <c r="E92" s="478">
        <f>E$3*2</f>
        <v>0</v>
      </c>
      <c r="F92" s="490">
        <f>1*F$3</f>
        <v>0</v>
      </c>
      <c r="G92" s="21">
        <f t="shared" si="7"/>
        <v>4</v>
      </c>
      <c r="H92" s="482">
        <v>4</v>
      </c>
      <c r="I92" s="478">
        <f>I$3*2</f>
        <v>0</v>
      </c>
      <c r="J92" s="490">
        <f>1*J$3</f>
        <v>0</v>
      </c>
      <c r="K92" s="21">
        <f t="shared" si="37"/>
        <v>4</v>
      </c>
      <c r="L92" s="482">
        <v>4</v>
      </c>
      <c r="M92" s="478">
        <f>M$3*2</f>
        <v>0</v>
      </c>
      <c r="N92" s="490">
        <f>1*N$3</f>
        <v>0</v>
      </c>
      <c r="O92" s="21">
        <f t="shared" si="38"/>
        <v>4</v>
      </c>
      <c r="P92" s="482">
        <v>4</v>
      </c>
      <c r="Q92" s="478">
        <f>Q$3*2</f>
        <v>0</v>
      </c>
      <c r="R92" s="490">
        <f>1*R$3</f>
        <v>0</v>
      </c>
      <c r="S92" s="21">
        <f t="shared" si="39"/>
        <v>4</v>
      </c>
    </row>
    <row r="93" spans="1:19" x14ac:dyDescent="0.25">
      <c r="A93" s="1933"/>
      <c r="B93" s="19" t="s">
        <v>34</v>
      </c>
      <c r="C93" s="22"/>
      <c r="D93" s="482">
        <v>4</v>
      </c>
      <c r="E93" s="478">
        <f>E$3*2</f>
        <v>0</v>
      </c>
      <c r="F93" s="490">
        <f>1*F$3</f>
        <v>0</v>
      </c>
      <c r="G93" s="21">
        <f t="shared" si="7"/>
        <v>4</v>
      </c>
      <c r="H93" s="482">
        <v>4</v>
      </c>
      <c r="I93" s="478">
        <f>I$3*2</f>
        <v>0</v>
      </c>
      <c r="J93" s="490">
        <f>1*J$3</f>
        <v>0</v>
      </c>
      <c r="K93" s="21">
        <f t="shared" si="37"/>
        <v>4</v>
      </c>
      <c r="L93" s="482">
        <v>4</v>
      </c>
      <c r="M93" s="478">
        <f>M$3*2</f>
        <v>0</v>
      </c>
      <c r="N93" s="490">
        <f>1*N$3</f>
        <v>0</v>
      </c>
      <c r="O93" s="21">
        <f t="shared" si="38"/>
        <v>4</v>
      </c>
      <c r="P93" s="482">
        <v>4</v>
      </c>
      <c r="Q93" s="478">
        <f>Q$3*2</f>
        <v>0</v>
      </c>
      <c r="R93" s="490">
        <f>1*R$3</f>
        <v>0</v>
      </c>
      <c r="S93" s="21">
        <f t="shared" si="39"/>
        <v>4</v>
      </c>
    </row>
    <row r="94" spans="1:19" ht="15.6" customHeight="1" x14ac:dyDescent="0.25">
      <c r="A94" s="1933" t="s">
        <v>25</v>
      </c>
      <c r="B94" s="19" t="s">
        <v>32</v>
      </c>
      <c r="C94" s="22"/>
      <c r="D94" s="482">
        <v>0</v>
      </c>
      <c r="E94" s="486">
        <v>0</v>
      </c>
      <c r="F94" s="484">
        <v>0</v>
      </c>
      <c r="G94" s="21">
        <f t="shared" ref="G94:G105" si="40" xml:space="preserve"> SUM(D94:F94) + $C94</f>
        <v>0</v>
      </c>
      <c r="H94" s="482">
        <v>0</v>
      </c>
      <c r="I94" s="486">
        <v>0</v>
      </c>
      <c r="J94" s="484">
        <v>0</v>
      </c>
      <c r="K94" s="21">
        <f t="shared" ref="K94:K105" si="41" xml:space="preserve"> SUM(H94:J94) + $C94</f>
        <v>0</v>
      </c>
      <c r="L94" s="482">
        <v>0</v>
      </c>
      <c r="M94" s="486">
        <v>0</v>
      </c>
      <c r="N94" s="484">
        <v>0</v>
      </c>
      <c r="O94" s="21">
        <f t="shared" ref="O94:O105" si="42" xml:space="preserve"> SUM(L94:N94) + $C94</f>
        <v>0</v>
      </c>
      <c r="P94" s="482">
        <v>0</v>
      </c>
      <c r="Q94" s="486">
        <v>0</v>
      </c>
      <c r="R94" s="484">
        <v>0</v>
      </c>
      <c r="S94" s="21">
        <f t="shared" ref="S94:S105" si="43" xml:space="preserve"> SUM(P94:R94) + $C94</f>
        <v>0</v>
      </c>
    </row>
    <row r="95" spans="1:19" x14ac:dyDescent="0.25">
      <c r="A95" s="1933"/>
      <c r="B95" s="19" t="s">
        <v>33</v>
      </c>
      <c r="C95" s="22"/>
      <c r="D95" s="482">
        <v>0</v>
      </c>
      <c r="E95" s="486">
        <v>0</v>
      </c>
      <c r="F95" s="484">
        <v>0</v>
      </c>
      <c r="G95" s="21">
        <f t="shared" si="40"/>
        <v>0</v>
      </c>
      <c r="H95" s="482">
        <v>0</v>
      </c>
      <c r="I95" s="486">
        <v>0</v>
      </c>
      <c r="J95" s="484">
        <v>0</v>
      </c>
      <c r="K95" s="21">
        <f t="shared" si="41"/>
        <v>0</v>
      </c>
      <c r="L95" s="482">
        <v>0</v>
      </c>
      <c r="M95" s="486">
        <v>0</v>
      </c>
      <c r="N95" s="484">
        <v>0</v>
      </c>
      <c r="O95" s="21">
        <f t="shared" si="42"/>
        <v>0</v>
      </c>
      <c r="P95" s="482">
        <v>0</v>
      </c>
      <c r="Q95" s="486">
        <v>0</v>
      </c>
      <c r="R95" s="484">
        <v>0</v>
      </c>
      <c r="S95" s="21">
        <f t="shared" si="43"/>
        <v>0</v>
      </c>
    </row>
    <row r="96" spans="1:19" x14ac:dyDescent="0.25">
      <c r="A96" s="1933"/>
      <c r="B96" s="19" t="s">
        <v>34</v>
      </c>
      <c r="C96" s="22"/>
      <c r="D96" s="482">
        <v>0</v>
      </c>
      <c r="E96" s="486">
        <v>0</v>
      </c>
      <c r="F96" s="484">
        <v>0</v>
      </c>
      <c r="G96" s="21">
        <f t="shared" si="40"/>
        <v>0</v>
      </c>
      <c r="H96" s="482">
        <v>0</v>
      </c>
      <c r="I96" s="486">
        <v>0</v>
      </c>
      <c r="J96" s="484">
        <v>0</v>
      </c>
      <c r="K96" s="21">
        <f t="shared" si="41"/>
        <v>0</v>
      </c>
      <c r="L96" s="482">
        <v>0</v>
      </c>
      <c r="M96" s="486">
        <v>0</v>
      </c>
      <c r="N96" s="484">
        <v>0</v>
      </c>
      <c r="O96" s="21">
        <f t="shared" si="42"/>
        <v>0</v>
      </c>
      <c r="P96" s="482">
        <v>0</v>
      </c>
      <c r="Q96" s="486">
        <v>0</v>
      </c>
      <c r="R96" s="484">
        <v>0</v>
      </c>
      <c r="S96" s="21">
        <f t="shared" si="43"/>
        <v>0</v>
      </c>
    </row>
    <row r="97" spans="1:19" ht="15.6" customHeight="1" x14ac:dyDescent="0.25">
      <c r="A97" s="1933" t="s">
        <v>26</v>
      </c>
      <c r="B97" s="19" t="s">
        <v>32</v>
      </c>
      <c r="C97" s="22"/>
      <c r="D97" s="482">
        <v>4</v>
      </c>
      <c r="E97" s="486">
        <v>0</v>
      </c>
      <c r="F97" s="484">
        <v>0</v>
      </c>
      <c r="G97" s="21">
        <f t="shared" si="40"/>
        <v>4</v>
      </c>
      <c r="H97" s="482">
        <v>4</v>
      </c>
      <c r="I97" s="486">
        <v>0</v>
      </c>
      <c r="J97" s="484">
        <v>0</v>
      </c>
      <c r="K97" s="21">
        <f t="shared" si="41"/>
        <v>4</v>
      </c>
      <c r="L97" s="482">
        <v>4</v>
      </c>
      <c r="M97" s="486">
        <v>0</v>
      </c>
      <c r="N97" s="484">
        <v>0</v>
      </c>
      <c r="O97" s="21">
        <f t="shared" si="42"/>
        <v>4</v>
      </c>
      <c r="P97" s="482">
        <v>4</v>
      </c>
      <c r="Q97" s="486">
        <v>0</v>
      </c>
      <c r="R97" s="484">
        <v>0</v>
      </c>
      <c r="S97" s="21">
        <f t="shared" si="43"/>
        <v>4</v>
      </c>
    </row>
    <row r="98" spans="1:19" x14ac:dyDescent="0.25">
      <c r="A98" s="1933"/>
      <c r="B98" s="19" t="s">
        <v>33</v>
      </c>
      <c r="C98" s="22"/>
      <c r="D98" s="482">
        <v>6</v>
      </c>
      <c r="E98" s="486">
        <v>0</v>
      </c>
      <c r="F98" s="484">
        <v>0</v>
      </c>
      <c r="G98" s="21">
        <f t="shared" si="40"/>
        <v>6</v>
      </c>
      <c r="H98" s="482">
        <v>6</v>
      </c>
      <c r="I98" s="486">
        <v>0</v>
      </c>
      <c r="J98" s="484">
        <v>0</v>
      </c>
      <c r="K98" s="21">
        <f t="shared" si="41"/>
        <v>6</v>
      </c>
      <c r="L98" s="482">
        <v>6</v>
      </c>
      <c r="M98" s="486">
        <v>0</v>
      </c>
      <c r="N98" s="484">
        <v>0</v>
      </c>
      <c r="O98" s="21">
        <f t="shared" si="42"/>
        <v>6</v>
      </c>
      <c r="P98" s="482">
        <v>6</v>
      </c>
      <c r="Q98" s="486">
        <v>0</v>
      </c>
      <c r="R98" s="484">
        <v>0</v>
      </c>
      <c r="S98" s="21">
        <f t="shared" si="43"/>
        <v>6</v>
      </c>
    </row>
    <row r="99" spans="1:19" x14ac:dyDescent="0.25">
      <c r="A99" s="1933"/>
      <c r="B99" s="19" t="s">
        <v>34</v>
      </c>
      <c r="C99" s="22"/>
      <c r="D99" s="482">
        <v>8</v>
      </c>
      <c r="E99" s="486">
        <v>0</v>
      </c>
      <c r="F99" s="484">
        <v>0</v>
      </c>
      <c r="G99" s="21">
        <f t="shared" si="40"/>
        <v>8</v>
      </c>
      <c r="H99" s="482">
        <v>8</v>
      </c>
      <c r="I99" s="486">
        <v>0</v>
      </c>
      <c r="J99" s="484">
        <v>0</v>
      </c>
      <c r="K99" s="21">
        <f t="shared" si="41"/>
        <v>8</v>
      </c>
      <c r="L99" s="482">
        <v>8</v>
      </c>
      <c r="M99" s="486">
        <v>0</v>
      </c>
      <c r="N99" s="484">
        <v>0</v>
      </c>
      <c r="O99" s="21">
        <f t="shared" si="42"/>
        <v>8</v>
      </c>
      <c r="P99" s="482">
        <v>8</v>
      </c>
      <c r="Q99" s="486">
        <v>0</v>
      </c>
      <c r="R99" s="484">
        <v>0</v>
      </c>
      <c r="S99" s="21">
        <f t="shared" si="43"/>
        <v>8</v>
      </c>
    </row>
    <row r="100" spans="1:19" ht="15.6" customHeight="1" x14ac:dyDescent="0.25">
      <c r="A100" s="1933" t="s">
        <v>27</v>
      </c>
      <c r="B100" s="19" t="s">
        <v>32</v>
      </c>
      <c r="C100" s="22"/>
      <c r="D100" s="502">
        <v>0</v>
      </c>
      <c r="E100" s="502">
        <v>0</v>
      </c>
      <c r="F100" s="522">
        <v>0</v>
      </c>
      <c r="G100" s="21">
        <f t="shared" si="40"/>
        <v>0</v>
      </c>
      <c r="H100" s="502">
        <v>0</v>
      </c>
      <c r="I100" s="502">
        <v>0</v>
      </c>
      <c r="J100" s="522">
        <v>0</v>
      </c>
      <c r="K100" s="21">
        <f t="shared" si="41"/>
        <v>0</v>
      </c>
      <c r="L100" s="502">
        <v>0</v>
      </c>
      <c r="M100" s="502">
        <v>0</v>
      </c>
      <c r="N100" s="522">
        <v>0</v>
      </c>
      <c r="O100" s="21">
        <f t="shared" si="42"/>
        <v>0</v>
      </c>
      <c r="P100" s="502">
        <v>0</v>
      </c>
      <c r="Q100" s="502">
        <v>0</v>
      </c>
      <c r="R100" s="522">
        <v>0</v>
      </c>
      <c r="S100" s="21">
        <f t="shared" si="43"/>
        <v>0</v>
      </c>
    </row>
    <row r="101" spans="1:19" x14ac:dyDescent="0.25">
      <c r="A101" s="1933"/>
      <c r="B101" s="19" t="s">
        <v>33</v>
      </c>
      <c r="C101" s="22"/>
      <c r="D101" s="502">
        <v>0</v>
      </c>
      <c r="E101" s="502">
        <v>0</v>
      </c>
      <c r="F101" s="522">
        <v>0</v>
      </c>
      <c r="G101" s="21">
        <f t="shared" si="40"/>
        <v>0</v>
      </c>
      <c r="H101" s="502">
        <v>0</v>
      </c>
      <c r="I101" s="502">
        <v>0</v>
      </c>
      <c r="J101" s="522">
        <v>0</v>
      </c>
      <c r="K101" s="21">
        <f t="shared" si="41"/>
        <v>0</v>
      </c>
      <c r="L101" s="502">
        <v>0</v>
      </c>
      <c r="M101" s="502">
        <v>0</v>
      </c>
      <c r="N101" s="522">
        <v>0</v>
      </c>
      <c r="O101" s="21">
        <f t="shared" si="42"/>
        <v>0</v>
      </c>
      <c r="P101" s="502">
        <v>0</v>
      </c>
      <c r="Q101" s="502">
        <v>0</v>
      </c>
      <c r="R101" s="522">
        <v>0</v>
      </c>
      <c r="S101" s="21">
        <f t="shared" si="43"/>
        <v>0</v>
      </c>
    </row>
    <row r="102" spans="1:19" x14ac:dyDescent="0.25">
      <c r="A102" s="1933"/>
      <c r="B102" s="19" t="s">
        <v>34</v>
      </c>
      <c r="C102" s="22"/>
      <c r="D102" s="502">
        <v>0</v>
      </c>
      <c r="E102" s="502">
        <v>0</v>
      </c>
      <c r="F102" s="522">
        <v>0</v>
      </c>
      <c r="G102" s="21">
        <f t="shared" si="40"/>
        <v>0</v>
      </c>
      <c r="H102" s="502">
        <v>0</v>
      </c>
      <c r="I102" s="502">
        <v>0</v>
      </c>
      <c r="J102" s="522">
        <v>0</v>
      </c>
      <c r="K102" s="21">
        <f t="shared" si="41"/>
        <v>0</v>
      </c>
      <c r="L102" s="502">
        <v>0</v>
      </c>
      <c r="M102" s="502">
        <v>0</v>
      </c>
      <c r="N102" s="522">
        <v>0</v>
      </c>
      <c r="O102" s="21">
        <f t="shared" si="42"/>
        <v>0</v>
      </c>
      <c r="P102" s="502">
        <v>0</v>
      </c>
      <c r="Q102" s="502">
        <v>0</v>
      </c>
      <c r="R102" s="522">
        <v>0</v>
      </c>
      <c r="S102" s="21">
        <f t="shared" si="43"/>
        <v>0</v>
      </c>
    </row>
    <row r="103" spans="1:19" ht="15.6" customHeight="1" x14ac:dyDescent="0.25">
      <c r="A103" s="2313" t="s">
        <v>28</v>
      </c>
      <c r="B103" s="19" t="s">
        <v>32</v>
      </c>
      <c r="C103" s="22"/>
      <c r="D103" s="482">
        <v>2</v>
      </c>
      <c r="E103" s="486">
        <v>0</v>
      </c>
      <c r="F103" s="490">
        <f>0.25*F$3</f>
        <v>0</v>
      </c>
      <c r="G103" s="21">
        <f t="shared" si="40"/>
        <v>2</v>
      </c>
      <c r="H103" s="482">
        <v>2</v>
      </c>
      <c r="I103" s="486">
        <v>0</v>
      </c>
      <c r="J103" s="490">
        <f>0.25*J$3</f>
        <v>0</v>
      </c>
      <c r="K103" s="21">
        <f t="shared" si="41"/>
        <v>2</v>
      </c>
      <c r="L103" s="482">
        <v>2</v>
      </c>
      <c r="M103" s="486">
        <v>0</v>
      </c>
      <c r="N103" s="490">
        <f>0.25*N$3</f>
        <v>0</v>
      </c>
      <c r="O103" s="21">
        <f t="shared" si="42"/>
        <v>2</v>
      </c>
      <c r="P103" s="482">
        <v>2</v>
      </c>
      <c r="Q103" s="486">
        <v>0</v>
      </c>
      <c r="R103" s="490">
        <f>0.25*R$3</f>
        <v>0</v>
      </c>
      <c r="S103" s="21">
        <f t="shared" si="43"/>
        <v>2</v>
      </c>
    </row>
    <row r="104" spans="1:19" x14ac:dyDescent="0.25">
      <c r="A104" s="2313"/>
      <c r="B104" s="19" t="s">
        <v>33</v>
      </c>
      <c r="C104" s="22"/>
      <c r="D104" s="482">
        <v>3</v>
      </c>
      <c r="E104" s="486">
        <v>0</v>
      </c>
      <c r="F104" s="490">
        <f>0.25*F$3</f>
        <v>0</v>
      </c>
      <c r="G104" s="21">
        <f t="shared" si="40"/>
        <v>3</v>
      </c>
      <c r="H104" s="482">
        <v>3</v>
      </c>
      <c r="I104" s="486">
        <v>0</v>
      </c>
      <c r="J104" s="490">
        <f>0.25*J$3</f>
        <v>0</v>
      </c>
      <c r="K104" s="21">
        <f t="shared" si="41"/>
        <v>3</v>
      </c>
      <c r="L104" s="482">
        <v>3</v>
      </c>
      <c r="M104" s="486">
        <v>0</v>
      </c>
      <c r="N104" s="490">
        <f>0.25*N$3</f>
        <v>0</v>
      </c>
      <c r="O104" s="21">
        <f t="shared" si="42"/>
        <v>3</v>
      </c>
      <c r="P104" s="482">
        <v>3</v>
      </c>
      <c r="Q104" s="486">
        <v>0</v>
      </c>
      <c r="R104" s="490">
        <f>0.25*R$3</f>
        <v>0</v>
      </c>
      <c r="S104" s="21">
        <f t="shared" si="43"/>
        <v>3</v>
      </c>
    </row>
    <row r="105" spans="1:19" ht="15.75" thickBot="1" x14ac:dyDescent="0.3">
      <c r="A105" s="2314"/>
      <c r="B105" s="20" t="s">
        <v>34</v>
      </c>
      <c r="C105" s="23"/>
      <c r="D105" s="491">
        <v>4</v>
      </c>
      <c r="E105" s="514">
        <v>0</v>
      </c>
      <c r="F105" s="506">
        <f>0.25*F$3</f>
        <v>0</v>
      </c>
      <c r="G105" s="24">
        <f t="shared" si="40"/>
        <v>4</v>
      </c>
      <c r="H105" s="491">
        <v>4</v>
      </c>
      <c r="I105" s="514">
        <v>0</v>
      </c>
      <c r="J105" s="506">
        <f>0.25*J$3</f>
        <v>0</v>
      </c>
      <c r="K105" s="24">
        <f t="shared" si="41"/>
        <v>4</v>
      </c>
      <c r="L105" s="491">
        <v>4</v>
      </c>
      <c r="M105" s="514">
        <v>0</v>
      </c>
      <c r="N105" s="506">
        <f>0.25*N$3</f>
        <v>0</v>
      </c>
      <c r="O105" s="24">
        <f t="shared" si="42"/>
        <v>4</v>
      </c>
      <c r="P105" s="491">
        <v>4</v>
      </c>
      <c r="Q105" s="514">
        <v>0</v>
      </c>
      <c r="R105" s="506">
        <f>0.25*R$3</f>
        <v>0</v>
      </c>
      <c r="S105" s="24">
        <f t="shared" si="43"/>
        <v>4</v>
      </c>
    </row>
    <row r="106" spans="1:19" x14ac:dyDescent="0.25">
      <c r="F106"/>
    </row>
    <row r="107" spans="1:19" x14ac:dyDescent="0.25">
      <c r="A107" s="125" t="s">
        <v>89</v>
      </c>
      <c r="F107"/>
    </row>
    <row r="108" spans="1:19" x14ac:dyDescent="0.25">
      <c r="F108"/>
    </row>
    <row r="109" spans="1:19" x14ac:dyDescent="0.25">
      <c r="F109"/>
    </row>
    <row r="110" spans="1:19" x14ac:dyDescent="0.25">
      <c r="F110"/>
    </row>
    <row r="111" spans="1:19" x14ac:dyDescent="0.25">
      <c r="F111"/>
    </row>
    <row r="112" spans="1:19" x14ac:dyDescent="0.25">
      <c r="F112"/>
    </row>
    <row r="113" spans="6:6" x14ac:dyDescent="0.25">
      <c r="F113"/>
    </row>
    <row r="114" spans="6:6" x14ac:dyDescent="0.25">
      <c r="F114"/>
    </row>
    <row r="115" spans="6:6" x14ac:dyDescent="0.25">
      <c r="F115"/>
    </row>
    <row r="116" spans="6:6" x14ac:dyDescent="0.25">
      <c r="F116"/>
    </row>
    <row r="117" spans="6:6" x14ac:dyDescent="0.25">
      <c r="F117"/>
    </row>
    <row r="118" spans="6:6" x14ac:dyDescent="0.25">
      <c r="F118"/>
    </row>
    <row r="119" spans="6:6" x14ac:dyDescent="0.25">
      <c r="F119"/>
    </row>
    <row r="120" spans="6:6" x14ac:dyDescent="0.25">
      <c r="F120"/>
    </row>
    <row r="121" spans="6:6" x14ac:dyDescent="0.25">
      <c r="F121"/>
    </row>
    <row r="122" spans="6:6" x14ac:dyDescent="0.25">
      <c r="F122"/>
    </row>
    <row r="123" spans="6:6" x14ac:dyDescent="0.25">
      <c r="F123"/>
    </row>
    <row r="124" spans="6:6" x14ac:dyDescent="0.25">
      <c r="F124"/>
    </row>
    <row r="125" spans="6:6" x14ac:dyDescent="0.25">
      <c r="F125"/>
    </row>
    <row r="126" spans="6:6" x14ac:dyDescent="0.25">
      <c r="F126"/>
    </row>
    <row r="127" spans="6:6" x14ac:dyDescent="0.25">
      <c r="F127"/>
    </row>
    <row r="128" spans="6:6" x14ac:dyDescent="0.25">
      <c r="F128"/>
    </row>
    <row r="129" spans="6:6" x14ac:dyDescent="0.25">
      <c r="F129"/>
    </row>
    <row r="130" spans="6:6" x14ac:dyDescent="0.25">
      <c r="F130"/>
    </row>
    <row r="131" spans="6:6" x14ac:dyDescent="0.25">
      <c r="F131"/>
    </row>
    <row r="132" spans="6:6" x14ac:dyDescent="0.25">
      <c r="F132"/>
    </row>
    <row r="133" spans="6:6" x14ac:dyDescent="0.25">
      <c r="F133"/>
    </row>
    <row r="134" spans="6:6" x14ac:dyDescent="0.25">
      <c r="F134"/>
    </row>
    <row r="135" spans="6:6" x14ac:dyDescent="0.25">
      <c r="F135"/>
    </row>
    <row r="136" spans="6:6" x14ac:dyDescent="0.25">
      <c r="F136"/>
    </row>
    <row r="137" spans="6:6" x14ac:dyDescent="0.25">
      <c r="F137"/>
    </row>
    <row r="138" spans="6:6" x14ac:dyDescent="0.25">
      <c r="F138"/>
    </row>
    <row r="139" spans="6:6" x14ac:dyDescent="0.25">
      <c r="F139"/>
    </row>
    <row r="140" spans="6:6" x14ac:dyDescent="0.25">
      <c r="F140"/>
    </row>
    <row r="141" spans="6:6" x14ac:dyDescent="0.25">
      <c r="F141"/>
    </row>
    <row r="142" spans="6:6" x14ac:dyDescent="0.25">
      <c r="F142"/>
    </row>
    <row r="143" spans="6:6" x14ac:dyDescent="0.25">
      <c r="F143"/>
    </row>
    <row r="144" spans="6:6" x14ac:dyDescent="0.25">
      <c r="F144"/>
    </row>
    <row r="145" spans="6:6" x14ac:dyDescent="0.25">
      <c r="F145"/>
    </row>
    <row r="146" spans="6:6" x14ac:dyDescent="0.25">
      <c r="F146"/>
    </row>
    <row r="147" spans="6:6" x14ac:dyDescent="0.25">
      <c r="F147"/>
    </row>
    <row r="148" spans="6:6" x14ac:dyDescent="0.25">
      <c r="F148"/>
    </row>
    <row r="149" spans="6:6" x14ac:dyDescent="0.25">
      <c r="F149"/>
    </row>
    <row r="150" spans="6:6" x14ac:dyDescent="0.25">
      <c r="F150"/>
    </row>
    <row r="151" spans="6:6" x14ac:dyDescent="0.25">
      <c r="F151"/>
    </row>
    <row r="152" spans="6:6" x14ac:dyDescent="0.25">
      <c r="F152"/>
    </row>
    <row r="153" spans="6:6" x14ac:dyDescent="0.25">
      <c r="F153"/>
    </row>
    <row r="154" spans="6:6" x14ac:dyDescent="0.25">
      <c r="F154"/>
    </row>
    <row r="155" spans="6:6" x14ac:dyDescent="0.25">
      <c r="F155"/>
    </row>
    <row r="156" spans="6:6" x14ac:dyDescent="0.25">
      <c r="F156"/>
    </row>
    <row r="157" spans="6:6" x14ac:dyDescent="0.25">
      <c r="F157"/>
    </row>
    <row r="158" spans="6:6" x14ac:dyDescent="0.25">
      <c r="F158"/>
    </row>
    <row r="159" spans="6:6" x14ac:dyDescent="0.25">
      <c r="F159"/>
    </row>
    <row r="160" spans="6:6" x14ac:dyDescent="0.25">
      <c r="F160"/>
    </row>
    <row r="161" spans="6:6" x14ac:dyDescent="0.25">
      <c r="F161"/>
    </row>
    <row r="162" spans="6:6" x14ac:dyDescent="0.25">
      <c r="F162"/>
    </row>
    <row r="163" spans="6:6" x14ac:dyDescent="0.25">
      <c r="F163"/>
    </row>
    <row r="164" spans="6:6" x14ac:dyDescent="0.25">
      <c r="F164"/>
    </row>
    <row r="165" spans="6:6" x14ac:dyDescent="0.25">
      <c r="F165"/>
    </row>
    <row r="166" spans="6:6" x14ac:dyDescent="0.25">
      <c r="F166"/>
    </row>
    <row r="167" spans="6:6" x14ac:dyDescent="0.25">
      <c r="F167"/>
    </row>
    <row r="168" spans="6:6" x14ac:dyDescent="0.25">
      <c r="F168"/>
    </row>
    <row r="169" spans="6:6" x14ac:dyDescent="0.25">
      <c r="F169"/>
    </row>
    <row r="170" spans="6:6" x14ac:dyDescent="0.25">
      <c r="F170"/>
    </row>
    <row r="171" spans="6:6" x14ac:dyDescent="0.25">
      <c r="F171"/>
    </row>
    <row r="172" spans="6:6" x14ac:dyDescent="0.25">
      <c r="F172"/>
    </row>
    <row r="173" spans="6:6" x14ac:dyDescent="0.25">
      <c r="F173"/>
    </row>
    <row r="174" spans="6:6" x14ac:dyDescent="0.25">
      <c r="F174"/>
    </row>
    <row r="175" spans="6:6" x14ac:dyDescent="0.25">
      <c r="F175"/>
    </row>
    <row r="176" spans="6:6" x14ac:dyDescent="0.25">
      <c r="F176"/>
    </row>
    <row r="177" spans="6:6" x14ac:dyDescent="0.25">
      <c r="F177"/>
    </row>
    <row r="178" spans="6:6" x14ac:dyDescent="0.25">
      <c r="F178"/>
    </row>
    <row r="179" spans="6:6" x14ac:dyDescent="0.25">
      <c r="F179"/>
    </row>
    <row r="180" spans="6:6" x14ac:dyDescent="0.25">
      <c r="F180"/>
    </row>
    <row r="181" spans="6:6" x14ac:dyDescent="0.25">
      <c r="F181"/>
    </row>
    <row r="182" spans="6:6" x14ac:dyDescent="0.25">
      <c r="F182"/>
    </row>
    <row r="183" spans="6:6" x14ac:dyDescent="0.25">
      <c r="F183"/>
    </row>
    <row r="184" spans="6:6" x14ac:dyDescent="0.25">
      <c r="F184"/>
    </row>
    <row r="185" spans="6:6" x14ac:dyDescent="0.25">
      <c r="F185"/>
    </row>
    <row r="186" spans="6:6" x14ac:dyDescent="0.25">
      <c r="F186"/>
    </row>
    <row r="187" spans="6:6" x14ac:dyDescent="0.25">
      <c r="F187"/>
    </row>
    <row r="188" spans="6:6" x14ac:dyDescent="0.25">
      <c r="F188"/>
    </row>
    <row r="189" spans="6:6" x14ac:dyDescent="0.25">
      <c r="F189"/>
    </row>
    <row r="190" spans="6:6" x14ac:dyDescent="0.25">
      <c r="F190"/>
    </row>
    <row r="191" spans="6:6" x14ac:dyDescent="0.25">
      <c r="F191"/>
    </row>
    <row r="192" spans="6:6" x14ac:dyDescent="0.25">
      <c r="F192"/>
    </row>
    <row r="193" spans="6:6" x14ac:dyDescent="0.25">
      <c r="F193"/>
    </row>
    <row r="194" spans="6:6" x14ac:dyDescent="0.25">
      <c r="F194"/>
    </row>
    <row r="195" spans="6:6" x14ac:dyDescent="0.25">
      <c r="F195"/>
    </row>
    <row r="196" spans="6:6" x14ac:dyDescent="0.25">
      <c r="F196"/>
    </row>
    <row r="197" spans="6:6" x14ac:dyDescent="0.25">
      <c r="F197"/>
    </row>
    <row r="198" spans="6:6" x14ac:dyDescent="0.25">
      <c r="F198"/>
    </row>
    <row r="199" spans="6:6" x14ac:dyDescent="0.25">
      <c r="F199"/>
    </row>
    <row r="200" spans="6:6" x14ac:dyDescent="0.25">
      <c r="F200"/>
    </row>
    <row r="201" spans="6:6" x14ac:dyDescent="0.25">
      <c r="F201"/>
    </row>
    <row r="202" spans="6:6" x14ac:dyDescent="0.25">
      <c r="F202"/>
    </row>
    <row r="203" spans="6:6" x14ac:dyDescent="0.25">
      <c r="F203"/>
    </row>
    <row r="204" spans="6:6" x14ac:dyDescent="0.25">
      <c r="F204"/>
    </row>
    <row r="205" spans="6:6" x14ac:dyDescent="0.25">
      <c r="F205"/>
    </row>
    <row r="206" spans="6:6" x14ac:dyDescent="0.25">
      <c r="F206"/>
    </row>
    <row r="207" spans="6:6" x14ac:dyDescent="0.25">
      <c r="F207"/>
    </row>
    <row r="208" spans="6:6" x14ac:dyDescent="0.25">
      <c r="F208"/>
    </row>
    <row r="209" spans="6:6" x14ac:dyDescent="0.25">
      <c r="F209"/>
    </row>
    <row r="210" spans="6:6" x14ac:dyDescent="0.25">
      <c r="F210"/>
    </row>
    <row r="211" spans="6:6" x14ac:dyDescent="0.25">
      <c r="F211"/>
    </row>
    <row r="212" spans="6:6" x14ac:dyDescent="0.25">
      <c r="F212"/>
    </row>
    <row r="213" spans="6:6" x14ac:dyDescent="0.25">
      <c r="F213"/>
    </row>
    <row r="214" spans="6:6" x14ac:dyDescent="0.25">
      <c r="F214"/>
    </row>
    <row r="215" spans="6:6" x14ac:dyDescent="0.25">
      <c r="F215"/>
    </row>
    <row r="216" spans="6:6" x14ac:dyDescent="0.25">
      <c r="F216"/>
    </row>
    <row r="217" spans="6:6" x14ac:dyDescent="0.25">
      <c r="F217"/>
    </row>
    <row r="218" spans="6:6" x14ac:dyDescent="0.25">
      <c r="F218"/>
    </row>
    <row r="219" spans="6:6" x14ac:dyDescent="0.25">
      <c r="F219"/>
    </row>
    <row r="220" spans="6:6" x14ac:dyDescent="0.25">
      <c r="F220"/>
    </row>
    <row r="221" spans="6:6" x14ac:dyDescent="0.25">
      <c r="F221"/>
    </row>
    <row r="222" spans="6:6" x14ac:dyDescent="0.25">
      <c r="F222"/>
    </row>
  </sheetData>
  <mergeCells count="36">
    <mergeCell ref="H1:K1"/>
    <mergeCell ref="L1:O1"/>
    <mergeCell ref="P1:S1"/>
    <mergeCell ref="D1:G1"/>
    <mergeCell ref="A78:A80"/>
    <mergeCell ref="A5:A7"/>
    <mergeCell ref="A8:A10"/>
    <mergeCell ref="A12:A14"/>
    <mergeCell ref="A16:A18"/>
    <mergeCell ref="A19:A21"/>
    <mergeCell ref="A22:A24"/>
    <mergeCell ref="A25:A27"/>
    <mergeCell ref="A28:A30"/>
    <mergeCell ref="A31:A33"/>
    <mergeCell ref="A34:A36"/>
    <mergeCell ref="A38:A40"/>
    <mergeCell ref="A42:A44"/>
    <mergeCell ref="A45:A47"/>
    <mergeCell ref="A48:A50"/>
    <mergeCell ref="A51:A53"/>
    <mergeCell ref="A54:A56"/>
    <mergeCell ref="A57:A59"/>
    <mergeCell ref="A60:A62"/>
    <mergeCell ref="A75:A77"/>
    <mergeCell ref="A103:A105"/>
    <mergeCell ref="A63:A65"/>
    <mergeCell ref="A66:A68"/>
    <mergeCell ref="A69:A71"/>
    <mergeCell ref="A72:A74"/>
    <mergeCell ref="A88:A90"/>
    <mergeCell ref="A91:A93"/>
    <mergeCell ref="A94:A96"/>
    <mergeCell ref="A97:A99"/>
    <mergeCell ref="A100:A102"/>
    <mergeCell ref="A84:A86"/>
    <mergeCell ref="A81:A83"/>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Лист33"/>
  <dimension ref="A1:O107"/>
  <sheetViews>
    <sheetView zoomScale="70" zoomScaleNormal="70" workbookViewId="0">
      <pane ySplit="1" topLeftCell="A2" activePane="bottomLeft" state="frozen"/>
      <selection pane="bottomLeft" activeCell="L78" sqref="L78:L86"/>
    </sheetView>
  </sheetViews>
  <sheetFormatPr defaultRowHeight="15" x14ac:dyDescent="0.25"/>
  <cols>
    <col min="1" max="1" width="53.42578125" bestFit="1" customWidth="1"/>
    <col min="2" max="2" width="23.5703125" bestFit="1" customWidth="1"/>
    <col min="4" max="4" width="70.85546875" bestFit="1" customWidth="1"/>
    <col min="5" max="5" width="32.7109375" bestFit="1" customWidth="1"/>
    <col min="6" max="6" width="33.140625" bestFit="1" customWidth="1"/>
    <col min="7" max="7" width="10.28515625" bestFit="1" customWidth="1"/>
    <col min="8" max="8" width="70.85546875" bestFit="1" customWidth="1"/>
    <col min="9" max="9" width="32.7109375" bestFit="1" customWidth="1"/>
    <col min="10" max="10" width="33.140625" bestFit="1" customWidth="1"/>
    <col min="12" max="12" width="70.85546875" bestFit="1" customWidth="1"/>
    <col min="13" max="13" width="32.7109375" bestFit="1" customWidth="1"/>
    <col min="14" max="14" width="33.140625" bestFit="1" customWidth="1"/>
  </cols>
  <sheetData>
    <row r="1" spans="1:15" ht="15" customHeight="1" x14ac:dyDescent="0.25">
      <c r="A1" s="465" t="s">
        <v>91</v>
      </c>
      <c r="B1" s="35"/>
      <c r="C1" s="43"/>
      <c r="D1" s="1947" t="str">
        <f>'Служебный АСУТП'!Q2</f>
        <v>vGate</v>
      </c>
      <c r="E1" s="1947"/>
      <c r="F1" s="1947"/>
      <c r="G1" s="1947"/>
      <c r="H1" s="1947" t="str">
        <f>'Служебный АСУТП'!Q3</f>
        <v>Базис.Virtual Security</v>
      </c>
      <c r="I1" s="1947"/>
      <c r="J1" s="1947"/>
      <c r="K1" s="1947"/>
      <c r="L1" s="1947" t="str">
        <f>'Служебный АСУТП'!Q4</f>
        <v>СЗИ ВИ Dallas Lock</v>
      </c>
      <c r="M1" s="1947"/>
      <c r="N1" s="1947"/>
      <c r="O1" s="1947"/>
    </row>
    <row r="2" spans="1:15" ht="15.75" x14ac:dyDescent="0.25">
      <c r="B2" s="41" t="s">
        <v>37</v>
      </c>
      <c r="C2" s="1945" t="s">
        <v>35</v>
      </c>
      <c r="D2" s="684" t="s">
        <v>397</v>
      </c>
      <c r="E2" s="645" t="s">
        <v>576</v>
      </c>
      <c r="F2" s="645" t="s">
        <v>577</v>
      </c>
      <c r="G2" s="1942" t="s">
        <v>38</v>
      </c>
      <c r="H2" s="684" t="s">
        <v>397</v>
      </c>
      <c r="I2" s="645" t="s">
        <v>576</v>
      </c>
      <c r="J2" s="645" t="s">
        <v>577</v>
      </c>
      <c r="K2" s="1942" t="s">
        <v>38</v>
      </c>
      <c r="L2" s="684" t="s">
        <v>397</v>
      </c>
      <c r="M2" s="645" t="s">
        <v>576</v>
      </c>
      <c r="N2" s="645" t="s">
        <v>577</v>
      </c>
      <c r="O2" s="1942" t="s">
        <v>38</v>
      </c>
    </row>
    <row r="3" spans="1:15"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row>
    <row r="4" spans="1:15" ht="16.5" thickBot="1" x14ac:dyDescent="0.3">
      <c r="A4" s="326" t="s">
        <v>448</v>
      </c>
      <c r="B4" s="327"/>
      <c r="C4" s="327"/>
      <c r="D4" s="327"/>
      <c r="E4" s="327"/>
      <c r="F4" s="327"/>
      <c r="G4" s="327"/>
      <c r="H4" s="327"/>
      <c r="I4" s="327"/>
      <c r="J4" s="327"/>
      <c r="K4" s="327"/>
      <c r="L4" s="327"/>
      <c r="M4" s="327"/>
      <c r="N4" s="327"/>
      <c r="O4" s="396"/>
    </row>
    <row r="5" spans="1:15" x14ac:dyDescent="0.25">
      <c r="A5" s="1932" t="s">
        <v>0</v>
      </c>
      <c r="B5" s="404" t="s">
        <v>32</v>
      </c>
      <c r="C5" s="324"/>
      <c r="D5" s="661">
        <v>1</v>
      </c>
      <c r="E5" s="661">
        <v>0.5</v>
      </c>
      <c r="F5" s="661">
        <v>0</v>
      </c>
      <c r="G5" s="230">
        <f t="shared" ref="G5:G10" si="0" xml:space="preserve"> SUM(D5:F5) + $C5</f>
        <v>1.5</v>
      </c>
      <c r="H5" s="661">
        <v>1</v>
      </c>
      <c r="I5" s="661">
        <v>0.5</v>
      </c>
      <c r="J5" s="661">
        <v>0</v>
      </c>
      <c r="K5" s="230">
        <f t="shared" ref="K5:K10" si="1" xml:space="preserve"> SUM(H5:J5) + $C5</f>
        <v>1.5</v>
      </c>
      <c r="L5" s="661">
        <v>1</v>
      </c>
      <c r="M5" s="661">
        <v>0.5</v>
      </c>
      <c r="N5" s="661">
        <v>0</v>
      </c>
      <c r="O5" s="230">
        <f t="shared" ref="O5:O10" si="2" xml:space="preserve"> SUM(L5:N5) + $C5</f>
        <v>1.5</v>
      </c>
    </row>
    <row r="6" spans="1:15" x14ac:dyDescent="0.25">
      <c r="A6" s="1932"/>
      <c r="B6" s="19" t="s">
        <v>33</v>
      </c>
      <c r="C6" s="22"/>
      <c r="D6" s="615">
        <v>2</v>
      </c>
      <c r="E6" s="615">
        <v>1</v>
      </c>
      <c r="F6" s="615">
        <v>0</v>
      </c>
      <c r="G6" s="21">
        <f t="shared" si="0"/>
        <v>3</v>
      </c>
      <c r="H6" s="615">
        <v>2</v>
      </c>
      <c r="I6" s="615">
        <v>1</v>
      </c>
      <c r="J6" s="615">
        <v>0</v>
      </c>
      <c r="K6" s="21">
        <f t="shared" si="1"/>
        <v>3</v>
      </c>
      <c r="L6" s="615">
        <v>2</v>
      </c>
      <c r="M6" s="615">
        <v>1</v>
      </c>
      <c r="N6" s="615">
        <v>0</v>
      </c>
      <c r="O6" s="21">
        <f t="shared" si="2"/>
        <v>3</v>
      </c>
    </row>
    <row r="7" spans="1:15" x14ac:dyDescent="0.25">
      <c r="A7" s="1973"/>
      <c r="B7" s="19" t="s">
        <v>34</v>
      </c>
      <c r="C7" s="22"/>
      <c r="D7" s="615">
        <v>4</v>
      </c>
      <c r="E7" s="615">
        <v>2</v>
      </c>
      <c r="F7" s="615">
        <v>0</v>
      </c>
      <c r="G7" s="21">
        <f t="shared" si="0"/>
        <v>6</v>
      </c>
      <c r="H7" s="615">
        <v>4</v>
      </c>
      <c r="I7" s="615">
        <v>2</v>
      </c>
      <c r="J7" s="615">
        <v>0</v>
      </c>
      <c r="K7" s="21">
        <f t="shared" si="1"/>
        <v>6</v>
      </c>
      <c r="L7" s="615">
        <v>4</v>
      </c>
      <c r="M7" s="615">
        <v>2</v>
      </c>
      <c r="N7" s="615">
        <v>0</v>
      </c>
      <c r="O7" s="21">
        <f t="shared" si="2"/>
        <v>6</v>
      </c>
    </row>
    <row r="8" spans="1:15" x14ac:dyDescent="0.25">
      <c r="A8" s="1932" t="s">
        <v>449</v>
      </c>
      <c r="B8" s="404" t="s">
        <v>32</v>
      </c>
      <c r="C8" s="324"/>
      <c r="D8" s="661">
        <v>1</v>
      </c>
      <c r="E8" s="615">
        <v>0.5</v>
      </c>
      <c r="F8" s="615">
        <v>0</v>
      </c>
      <c r="G8" s="21">
        <f t="shared" si="0"/>
        <v>1.5</v>
      </c>
      <c r="H8" s="661">
        <v>1</v>
      </c>
      <c r="I8" s="615">
        <v>0.5</v>
      </c>
      <c r="J8" s="615">
        <v>0</v>
      </c>
      <c r="K8" s="21">
        <f t="shared" si="1"/>
        <v>1.5</v>
      </c>
      <c r="L8" s="661">
        <v>1</v>
      </c>
      <c r="M8" s="615">
        <v>0.5</v>
      </c>
      <c r="N8" s="615">
        <v>0</v>
      </c>
      <c r="O8" s="21">
        <f t="shared" si="2"/>
        <v>1.5</v>
      </c>
    </row>
    <row r="9" spans="1:15" x14ac:dyDescent="0.25">
      <c r="A9" s="1932"/>
      <c r="B9" s="19" t="s">
        <v>33</v>
      </c>
      <c r="C9" s="22"/>
      <c r="D9" s="615">
        <v>2</v>
      </c>
      <c r="E9" s="615">
        <v>1</v>
      </c>
      <c r="F9" s="615">
        <v>0</v>
      </c>
      <c r="G9" s="21">
        <f t="shared" si="0"/>
        <v>3</v>
      </c>
      <c r="H9" s="615">
        <v>2</v>
      </c>
      <c r="I9" s="615">
        <v>1</v>
      </c>
      <c r="J9" s="615">
        <v>0</v>
      </c>
      <c r="K9" s="21">
        <f t="shared" si="1"/>
        <v>3</v>
      </c>
      <c r="L9" s="615">
        <v>2</v>
      </c>
      <c r="M9" s="615">
        <v>1</v>
      </c>
      <c r="N9" s="615">
        <v>0</v>
      </c>
      <c r="O9" s="21">
        <f t="shared" si="2"/>
        <v>3</v>
      </c>
    </row>
    <row r="10" spans="1:15" ht="15.75" thickBot="1" x14ac:dyDescent="0.3">
      <c r="A10" s="1932"/>
      <c r="B10" s="13" t="s">
        <v>34</v>
      </c>
      <c r="C10" s="34"/>
      <c r="D10" s="615">
        <v>4</v>
      </c>
      <c r="E10" s="673">
        <v>2</v>
      </c>
      <c r="F10" s="673">
        <v>0</v>
      </c>
      <c r="G10" s="77">
        <f t="shared" si="0"/>
        <v>6</v>
      </c>
      <c r="H10" s="615">
        <v>4</v>
      </c>
      <c r="I10" s="673">
        <v>2</v>
      </c>
      <c r="J10" s="673">
        <v>0</v>
      </c>
      <c r="K10" s="77">
        <f t="shared" si="1"/>
        <v>6</v>
      </c>
      <c r="L10" s="615">
        <v>4</v>
      </c>
      <c r="M10" s="673">
        <v>2</v>
      </c>
      <c r="N10" s="673">
        <v>0</v>
      </c>
      <c r="O10" s="77">
        <f t="shared" si="2"/>
        <v>6</v>
      </c>
    </row>
    <row r="11" spans="1:15" ht="16.5" thickBot="1" x14ac:dyDescent="0.3">
      <c r="A11" s="326" t="s">
        <v>1</v>
      </c>
      <c r="B11" s="327"/>
      <c r="C11" s="327"/>
      <c r="D11" s="327"/>
      <c r="E11" s="327"/>
      <c r="F11" s="327"/>
      <c r="G11" s="327"/>
      <c r="H11" s="327"/>
      <c r="I11" s="327"/>
      <c r="J11" s="327"/>
      <c r="K11" s="327"/>
      <c r="L11" s="327"/>
      <c r="M11" s="327"/>
      <c r="N11" s="327"/>
      <c r="O11" s="396"/>
    </row>
    <row r="12" spans="1:15" x14ac:dyDescent="0.25">
      <c r="A12" s="1932" t="s">
        <v>2</v>
      </c>
      <c r="B12" s="404" t="s">
        <v>32</v>
      </c>
      <c r="C12" s="324"/>
      <c r="D12" s="661">
        <f>D22*0.7</f>
        <v>8.3999999999999986</v>
      </c>
      <c r="E12" s="674">
        <f>E$22*0.7</f>
        <v>0</v>
      </c>
      <c r="F12" s="674">
        <f>F$22*0.7</f>
        <v>0</v>
      </c>
      <c r="G12" s="702">
        <f xml:space="preserve"> SUM(D12:F12) + $C12</f>
        <v>8.3999999999999986</v>
      </c>
      <c r="H12" s="661">
        <f>H22*0.7</f>
        <v>9.7999999999999989</v>
      </c>
      <c r="I12" s="674">
        <f>I$22*0.7</f>
        <v>0</v>
      </c>
      <c r="J12" s="674">
        <f>J$22*0.7</f>
        <v>0</v>
      </c>
      <c r="K12" s="702">
        <f xml:space="preserve"> SUM(H12:J12) + $C12</f>
        <v>9.7999999999999989</v>
      </c>
      <c r="L12" s="661">
        <f>L22*0.7</f>
        <v>7</v>
      </c>
      <c r="M12" s="674">
        <f>M$22*0.7</f>
        <v>0</v>
      </c>
      <c r="N12" s="674">
        <f>N$22*0.7</f>
        <v>0</v>
      </c>
      <c r="O12" s="230">
        <f xml:space="preserve"> SUM(L12:N12) + $C12</f>
        <v>7</v>
      </c>
    </row>
    <row r="13" spans="1:15" x14ac:dyDescent="0.25">
      <c r="A13" s="1932"/>
      <c r="B13" s="19" t="s">
        <v>33</v>
      </c>
      <c r="C13" s="22"/>
      <c r="D13" s="615">
        <f>D23*0.7</f>
        <v>11.2</v>
      </c>
      <c r="E13" s="630">
        <f>E$23*0.7</f>
        <v>0</v>
      </c>
      <c r="F13" s="630">
        <f>F$23*0.7</f>
        <v>0</v>
      </c>
      <c r="G13" s="704">
        <f xml:space="preserve"> SUM(D13:F13) + $C13</f>
        <v>11.2</v>
      </c>
      <c r="H13" s="615">
        <f>H23*0.7</f>
        <v>12.6</v>
      </c>
      <c r="I13" s="630">
        <f>I$23*0.7</f>
        <v>0</v>
      </c>
      <c r="J13" s="630">
        <f>J$23*0.7</f>
        <v>0</v>
      </c>
      <c r="K13" s="704">
        <f xml:space="preserve"> SUM(H13:J13) + $C13</f>
        <v>12.6</v>
      </c>
      <c r="L13" s="615">
        <f>L23*0.7</f>
        <v>9.7999999999999989</v>
      </c>
      <c r="M13" s="630">
        <f>M$23*0.7</f>
        <v>0</v>
      </c>
      <c r="N13" s="630">
        <f>N$23*0.7</f>
        <v>0</v>
      </c>
      <c r="O13" s="21">
        <f xml:space="preserve"> SUM(L13:N13) + $C13</f>
        <v>9.7999999999999989</v>
      </c>
    </row>
    <row r="14" spans="1:15" ht="15.75" thickBot="1" x14ac:dyDescent="0.3">
      <c r="A14" s="1932"/>
      <c r="B14" s="13" t="s">
        <v>34</v>
      </c>
      <c r="C14" s="34"/>
      <c r="D14" s="673">
        <f>D24*0.7</f>
        <v>14</v>
      </c>
      <c r="E14" s="675">
        <f>E$24*0.7</f>
        <v>0</v>
      </c>
      <c r="F14" s="675">
        <f>F$24*0.7</f>
        <v>0</v>
      </c>
      <c r="G14" s="706">
        <f xml:space="preserve"> SUM(D14:F14) + $C14</f>
        <v>14</v>
      </c>
      <c r="H14" s="673">
        <f>H24*0.7</f>
        <v>15.399999999999999</v>
      </c>
      <c r="I14" s="675">
        <f>I$24*0.7</f>
        <v>0</v>
      </c>
      <c r="J14" s="675">
        <f>J$24*0.7</f>
        <v>0</v>
      </c>
      <c r="K14" s="706">
        <f xml:space="preserve"> SUM(H14:J14) + $C14</f>
        <v>15.399999999999999</v>
      </c>
      <c r="L14" s="673">
        <f>L24*0.7</f>
        <v>11.2</v>
      </c>
      <c r="M14" s="675">
        <f>M$24*0.7</f>
        <v>0</v>
      </c>
      <c r="N14" s="675">
        <f>N$24*0.7</f>
        <v>0</v>
      </c>
      <c r="O14" s="77">
        <f xml:space="preserve"> SUM(L14:N14) + $C14</f>
        <v>11.2</v>
      </c>
    </row>
    <row r="15" spans="1:15" ht="16.5" thickBot="1" x14ac:dyDescent="0.3">
      <c r="A15" s="330" t="s">
        <v>3</v>
      </c>
      <c r="B15" s="329"/>
      <c r="C15" s="329"/>
      <c r="D15" s="329"/>
      <c r="E15" s="329"/>
      <c r="F15" s="327"/>
      <c r="G15" s="327"/>
      <c r="H15" s="329"/>
      <c r="I15" s="329"/>
      <c r="J15" s="327"/>
      <c r="K15" s="327"/>
      <c r="L15" s="329"/>
      <c r="M15" s="329"/>
      <c r="N15" s="327"/>
      <c r="O15" s="396"/>
    </row>
    <row r="16" spans="1:15" x14ac:dyDescent="0.25">
      <c r="A16" s="1944" t="s">
        <v>4</v>
      </c>
      <c r="B16" s="325" t="s">
        <v>32</v>
      </c>
      <c r="C16" s="324"/>
      <c r="D16" s="678">
        <v>1</v>
      </c>
      <c r="E16" s="660">
        <v>0</v>
      </c>
      <c r="F16" s="679">
        <v>0</v>
      </c>
      <c r="G16" s="702">
        <f t="shared" ref="G16:G36" si="3" xml:space="preserve"> SUM(D16:F16) + $C16</f>
        <v>1</v>
      </c>
      <c r="H16" s="678">
        <v>1</v>
      </c>
      <c r="I16" s="660">
        <v>0</v>
      </c>
      <c r="J16" s="679">
        <v>0</v>
      </c>
      <c r="K16" s="230">
        <f t="shared" ref="K16:K36" si="4" xml:space="preserve"> SUM(H16:J16) + $C16</f>
        <v>1</v>
      </c>
      <c r="L16" s="678">
        <v>1</v>
      </c>
      <c r="M16" s="660">
        <v>0</v>
      </c>
      <c r="N16" s="679">
        <v>0</v>
      </c>
      <c r="O16" s="230">
        <f t="shared" ref="O16:O36" si="5" xml:space="preserve"> SUM(L16:N16) + $C16</f>
        <v>1</v>
      </c>
    </row>
    <row r="17" spans="1:15" x14ac:dyDescent="0.25">
      <c r="A17" s="1937"/>
      <c r="B17" s="18" t="s">
        <v>33</v>
      </c>
      <c r="C17" s="22"/>
      <c r="D17" s="625">
        <v>1</v>
      </c>
      <c r="E17" s="616">
        <v>0</v>
      </c>
      <c r="F17" s="623">
        <v>0</v>
      </c>
      <c r="G17" s="704">
        <f t="shared" si="3"/>
        <v>1</v>
      </c>
      <c r="H17" s="625">
        <v>1</v>
      </c>
      <c r="I17" s="616">
        <v>0</v>
      </c>
      <c r="J17" s="623">
        <v>0</v>
      </c>
      <c r="K17" s="619">
        <f t="shared" si="4"/>
        <v>1</v>
      </c>
      <c r="L17" s="625">
        <v>1</v>
      </c>
      <c r="M17" s="616">
        <v>0</v>
      </c>
      <c r="N17" s="623">
        <v>0</v>
      </c>
      <c r="O17" s="21">
        <f t="shared" si="5"/>
        <v>1</v>
      </c>
    </row>
    <row r="18" spans="1:15" x14ac:dyDescent="0.25">
      <c r="A18" s="1937"/>
      <c r="B18" s="18" t="s">
        <v>34</v>
      </c>
      <c r="C18" s="22"/>
      <c r="D18" s="625">
        <v>1</v>
      </c>
      <c r="E18" s="616">
        <v>0</v>
      </c>
      <c r="F18" s="623">
        <v>0</v>
      </c>
      <c r="G18" s="704">
        <f t="shared" si="3"/>
        <v>1</v>
      </c>
      <c r="H18" s="625">
        <v>1</v>
      </c>
      <c r="I18" s="616">
        <v>0</v>
      </c>
      <c r="J18" s="623">
        <v>0</v>
      </c>
      <c r="K18" s="619">
        <f t="shared" si="4"/>
        <v>1</v>
      </c>
      <c r="L18" s="625">
        <v>1</v>
      </c>
      <c r="M18" s="616">
        <v>0</v>
      </c>
      <c r="N18" s="623">
        <v>0</v>
      </c>
      <c r="O18" s="21">
        <f t="shared" si="5"/>
        <v>1</v>
      </c>
    </row>
    <row r="19" spans="1:15" x14ac:dyDescent="0.25">
      <c r="A19" s="1937" t="s">
        <v>5</v>
      </c>
      <c r="B19" s="19" t="s">
        <v>32</v>
      </c>
      <c r="C19" s="22"/>
      <c r="D19" s="625">
        <v>1</v>
      </c>
      <c r="E19" s="616">
        <v>0</v>
      </c>
      <c r="F19" s="623">
        <v>0</v>
      </c>
      <c r="G19" s="704">
        <f t="shared" si="3"/>
        <v>1</v>
      </c>
      <c r="H19" s="625">
        <v>1</v>
      </c>
      <c r="I19" s="616">
        <v>0</v>
      </c>
      <c r="J19" s="623">
        <v>0</v>
      </c>
      <c r="K19" s="619">
        <f t="shared" si="4"/>
        <v>1</v>
      </c>
      <c r="L19" s="625">
        <v>1</v>
      </c>
      <c r="M19" s="616">
        <v>0</v>
      </c>
      <c r="N19" s="623">
        <v>0</v>
      </c>
      <c r="O19" s="21">
        <f t="shared" si="5"/>
        <v>1</v>
      </c>
    </row>
    <row r="20" spans="1:15" x14ac:dyDescent="0.25">
      <c r="A20" s="1937"/>
      <c r="B20" s="19" t="s">
        <v>33</v>
      </c>
      <c r="C20" s="22"/>
      <c r="D20" s="625">
        <v>2</v>
      </c>
      <c r="E20" s="616">
        <v>0</v>
      </c>
      <c r="F20" s="623">
        <v>0</v>
      </c>
      <c r="G20" s="704">
        <f t="shared" si="3"/>
        <v>2</v>
      </c>
      <c r="H20" s="625">
        <v>2</v>
      </c>
      <c r="I20" s="616">
        <v>0</v>
      </c>
      <c r="J20" s="623">
        <v>0</v>
      </c>
      <c r="K20" s="619">
        <f t="shared" si="4"/>
        <v>2</v>
      </c>
      <c r="L20" s="625">
        <v>2</v>
      </c>
      <c r="M20" s="616">
        <v>0</v>
      </c>
      <c r="N20" s="623">
        <v>0</v>
      </c>
      <c r="O20" s="21">
        <f t="shared" si="5"/>
        <v>2</v>
      </c>
    </row>
    <row r="21" spans="1:15" x14ac:dyDescent="0.25">
      <c r="A21" s="1937"/>
      <c r="B21" s="19" t="s">
        <v>34</v>
      </c>
      <c r="C21" s="22"/>
      <c r="D21" s="625">
        <v>3</v>
      </c>
      <c r="E21" s="616">
        <v>0</v>
      </c>
      <c r="F21" s="623">
        <v>0</v>
      </c>
      <c r="G21" s="704">
        <f t="shared" si="3"/>
        <v>3</v>
      </c>
      <c r="H21" s="625">
        <v>3</v>
      </c>
      <c r="I21" s="616">
        <v>0</v>
      </c>
      <c r="J21" s="623">
        <v>0</v>
      </c>
      <c r="K21" s="619">
        <f t="shared" si="4"/>
        <v>3</v>
      </c>
      <c r="L21" s="625">
        <v>3</v>
      </c>
      <c r="M21" s="616">
        <v>0</v>
      </c>
      <c r="N21" s="623">
        <v>0</v>
      </c>
      <c r="O21" s="21">
        <f t="shared" si="5"/>
        <v>3</v>
      </c>
    </row>
    <row r="22" spans="1:15" x14ac:dyDescent="0.25">
      <c r="A22" s="1937" t="s">
        <v>6</v>
      </c>
      <c r="B22" s="19" t="s">
        <v>32</v>
      </c>
      <c r="C22" s="22"/>
      <c r="D22" s="615">
        <v>12</v>
      </c>
      <c r="E22" s="630">
        <f>2*E$3</f>
        <v>0</v>
      </c>
      <c r="F22" s="630">
        <f t="shared" ref="F22:F27" si="6">0.1*F$3</f>
        <v>0</v>
      </c>
      <c r="G22" s="704">
        <f t="shared" si="3"/>
        <v>12</v>
      </c>
      <c r="H22" s="615">
        <v>14</v>
      </c>
      <c r="I22" s="630">
        <f>2*I$3</f>
        <v>0</v>
      </c>
      <c r="J22" s="630">
        <f t="shared" ref="J22:J27" si="7">0.1*J$3</f>
        <v>0</v>
      </c>
      <c r="K22" s="704">
        <f t="shared" si="4"/>
        <v>14</v>
      </c>
      <c r="L22" s="615">
        <v>10</v>
      </c>
      <c r="M22" s="630">
        <f>2*M$3</f>
        <v>0</v>
      </c>
      <c r="N22" s="630">
        <f t="shared" ref="N22:N27" si="8">0.1*N$3</f>
        <v>0</v>
      </c>
      <c r="O22" s="21">
        <f t="shared" si="5"/>
        <v>10</v>
      </c>
    </row>
    <row r="23" spans="1:15" x14ac:dyDescent="0.25">
      <c r="A23" s="1937"/>
      <c r="B23" s="19" t="s">
        <v>33</v>
      </c>
      <c r="C23" s="22"/>
      <c r="D23" s="615">
        <v>16</v>
      </c>
      <c r="E23" s="630">
        <f>2.5*E$3</f>
        <v>0</v>
      </c>
      <c r="F23" s="630">
        <f t="shared" si="6"/>
        <v>0</v>
      </c>
      <c r="G23" s="704">
        <f t="shared" si="3"/>
        <v>16</v>
      </c>
      <c r="H23" s="615">
        <v>18</v>
      </c>
      <c r="I23" s="630">
        <f>2.5*I$3</f>
        <v>0</v>
      </c>
      <c r="J23" s="630">
        <f t="shared" si="7"/>
        <v>0</v>
      </c>
      <c r="K23" s="704">
        <f t="shared" si="4"/>
        <v>18</v>
      </c>
      <c r="L23" s="615">
        <v>14</v>
      </c>
      <c r="M23" s="630">
        <f>2.5*M$3</f>
        <v>0</v>
      </c>
      <c r="N23" s="630">
        <f t="shared" si="8"/>
        <v>0</v>
      </c>
      <c r="O23" s="21">
        <f t="shared" si="5"/>
        <v>14</v>
      </c>
    </row>
    <row r="24" spans="1:15" x14ac:dyDescent="0.25">
      <c r="A24" s="1937"/>
      <c r="B24" s="19" t="s">
        <v>34</v>
      </c>
      <c r="C24" s="22"/>
      <c r="D24" s="615">
        <v>20</v>
      </c>
      <c r="E24" s="630">
        <f>3*E$3</f>
        <v>0</v>
      </c>
      <c r="F24" s="630">
        <f t="shared" si="6"/>
        <v>0</v>
      </c>
      <c r="G24" s="704">
        <f t="shared" si="3"/>
        <v>20</v>
      </c>
      <c r="H24" s="615">
        <v>22</v>
      </c>
      <c r="I24" s="630">
        <f>3*I$3</f>
        <v>0</v>
      </c>
      <c r="J24" s="630">
        <f t="shared" si="7"/>
        <v>0</v>
      </c>
      <c r="K24" s="704">
        <f t="shared" si="4"/>
        <v>22</v>
      </c>
      <c r="L24" s="615">
        <v>16</v>
      </c>
      <c r="M24" s="630">
        <f>3*M$3</f>
        <v>0</v>
      </c>
      <c r="N24" s="630">
        <f t="shared" si="8"/>
        <v>0</v>
      </c>
      <c r="O24" s="21">
        <f t="shared" si="5"/>
        <v>16</v>
      </c>
    </row>
    <row r="25" spans="1:15" x14ac:dyDescent="0.25">
      <c r="A25" s="1937" t="s">
        <v>7</v>
      </c>
      <c r="B25" s="19" t="s">
        <v>32</v>
      </c>
      <c r="C25" s="22"/>
      <c r="D25" s="625">
        <v>6</v>
      </c>
      <c r="E25" s="616">
        <v>0</v>
      </c>
      <c r="F25" s="700">
        <f t="shared" si="6"/>
        <v>0</v>
      </c>
      <c r="G25" s="704">
        <f t="shared" si="3"/>
        <v>6</v>
      </c>
      <c r="H25" s="625">
        <v>6</v>
      </c>
      <c r="I25" s="740">
        <v>0</v>
      </c>
      <c r="J25" s="700">
        <f t="shared" si="7"/>
        <v>0</v>
      </c>
      <c r="K25" s="704">
        <f t="shared" si="4"/>
        <v>6</v>
      </c>
      <c r="L25" s="625">
        <v>4</v>
      </c>
      <c r="M25" s="740">
        <v>0</v>
      </c>
      <c r="N25" s="700">
        <f t="shared" si="8"/>
        <v>0</v>
      </c>
      <c r="O25" s="21">
        <f t="shared" si="5"/>
        <v>4</v>
      </c>
    </row>
    <row r="26" spans="1:15" x14ac:dyDescent="0.25">
      <c r="A26" s="1937"/>
      <c r="B26" s="19" t="s">
        <v>33</v>
      </c>
      <c r="C26" s="22"/>
      <c r="D26" s="625">
        <v>8</v>
      </c>
      <c r="E26" s="616">
        <v>0</v>
      </c>
      <c r="F26" s="700">
        <f t="shared" si="6"/>
        <v>0</v>
      </c>
      <c r="G26" s="704">
        <f t="shared" si="3"/>
        <v>8</v>
      </c>
      <c r="H26" s="625">
        <v>8</v>
      </c>
      <c r="I26" s="740">
        <v>0</v>
      </c>
      <c r="J26" s="700">
        <f t="shared" si="7"/>
        <v>0</v>
      </c>
      <c r="K26" s="704">
        <f t="shared" si="4"/>
        <v>8</v>
      </c>
      <c r="L26" s="625">
        <v>6</v>
      </c>
      <c r="M26" s="740">
        <v>0</v>
      </c>
      <c r="N26" s="700">
        <f t="shared" si="8"/>
        <v>0</v>
      </c>
      <c r="O26" s="21">
        <f t="shared" si="5"/>
        <v>6</v>
      </c>
    </row>
    <row r="27" spans="1:15" x14ac:dyDescent="0.25">
      <c r="A27" s="1937"/>
      <c r="B27" s="19" t="s">
        <v>34</v>
      </c>
      <c r="C27" s="22"/>
      <c r="D27" s="625">
        <v>10</v>
      </c>
      <c r="E27" s="616">
        <v>0</v>
      </c>
      <c r="F27" s="700">
        <f t="shared" si="6"/>
        <v>0</v>
      </c>
      <c r="G27" s="704">
        <f t="shared" si="3"/>
        <v>10</v>
      </c>
      <c r="H27" s="625">
        <v>10</v>
      </c>
      <c r="I27" s="740">
        <v>0</v>
      </c>
      <c r="J27" s="700">
        <f t="shared" si="7"/>
        <v>0</v>
      </c>
      <c r="K27" s="704">
        <f t="shared" si="4"/>
        <v>10</v>
      </c>
      <c r="L27" s="625">
        <v>8</v>
      </c>
      <c r="M27" s="740">
        <v>0</v>
      </c>
      <c r="N27" s="700">
        <f t="shared" si="8"/>
        <v>0</v>
      </c>
      <c r="O27" s="21">
        <f t="shared" si="5"/>
        <v>8</v>
      </c>
    </row>
    <row r="28" spans="1:15" x14ac:dyDescent="0.25">
      <c r="A28" s="1937" t="s">
        <v>8</v>
      </c>
      <c r="B28" s="19" t="s">
        <v>32</v>
      </c>
      <c r="C28" s="22"/>
      <c r="D28" s="625">
        <v>4</v>
      </c>
      <c r="E28" s="616">
        <v>0</v>
      </c>
      <c r="F28" s="623">
        <v>0</v>
      </c>
      <c r="G28" s="704">
        <f t="shared" si="3"/>
        <v>4</v>
      </c>
      <c r="H28" s="625">
        <v>4</v>
      </c>
      <c r="I28" s="740">
        <v>0</v>
      </c>
      <c r="J28" s="743">
        <v>0</v>
      </c>
      <c r="K28" s="619">
        <f t="shared" si="4"/>
        <v>4</v>
      </c>
      <c r="L28" s="625">
        <v>3</v>
      </c>
      <c r="M28" s="740">
        <v>0</v>
      </c>
      <c r="N28" s="743">
        <v>0</v>
      </c>
      <c r="O28" s="21">
        <f t="shared" si="5"/>
        <v>3</v>
      </c>
    </row>
    <row r="29" spans="1:15" x14ac:dyDescent="0.25">
      <c r="A29" s="1937"/>
      <c r="B29" s="19" t="s">
        <v>33</v>
      </c>
      <c r="C29" s="22"/>
      <c r="D29" s="625">
        <v>6</v>
      </c>
      <c r="E29" s="616">
        <v>0</v>
      </c>
      <c r="F29" s="623">
        <v>0</v>
      </c>
      <c r="G29" s="704">
        <f t="shared" si="3"/>
        <v>6</v>
      </c>
      <c r="H29" s="625">
        <v>6</v>
      </c>
      <c r="I29" s="740">
        <v>0</v>
      </c>
      <c r="J29" s="743">
        <v>0</v>
      </c>
      <c r="K29" s="619">
        <f t="shared" si="4"/>
        <v>6</v>
      </c>
      <c r="L29" s="625">
        <v>4</v>
      </c>
      <c r="M29" s="740">
        <v>0</v>
      </c>
      <c r="N29" s="743">
        <v>0</v>
      </c>
      <c r="O29" s="21">
        <f t="shared" si="5"/>
        <v>4</v>
      </c>
    </row>
    <row r="30" spans="1:15" x14ac:dyDescent="0.25">
      <c r="A30" s="1937"/>
      <c r="B30" s="19" t="s">
        <v>34</v>
      </c>
      <c r="C30" s="22"/>
      <c r="D30" s="625">
        <v>8</v>
      </c>
      <c r="E30" s="616">
        <v>0</v>
      </c>
      <c r="F30" s="623">
        <v>0</v>
      </c>
      <c r="G30" s="704">
        <f t="shared" si="3"/>
        <v>8</v>
      </c>
      <c r="H30" s="625">
        <v>8</v>
      </c>
      <c r="I30" s="740">
        <v>0</v>
      </c>
      <c r="J30" s="743">
        <v>0</v>
      </c>
      <c r="K30" s="619">
        <f t="shared" si="4"/>
        <v>8</v>
      </c>
      <c r="L30" s="625">
        <v>6</v>
      </c>
      <c r="M30" s="740">
        <v>0</v>
      </c>
      <c r="N30" s="743">
        <v>0</v>
      </c>
      <c r="O30" s="21">
        <f t="shared" si="5"/>
        <v>6</v>
      </c>
    </row>
    <row r="31" spans="1:15" x14ac:dyDescent="0.25">
      <c r="A31" s="1937" t="s">
        <v>9</v>
      </c>
      <c r="B31" s="19" t="s">
        <v>32</v>
      </c>
      <c r="C31" s="22"/>
      <c r="D31" s="631">
        <f>3+(0.5*D$3)</f>
        <v>3</v>
      </c>
      <c r="E31" s="616">
        <v>0</v>
      </c>
      <c r="F31" s="629">
        <f>0.1*F$3</f>
        <v>0</v>
      </c>
      <c r="G31" s="704">
        <f t="shared" si="3"/>
        <v>3</v>
      </c>
      <c r="H31" s="747">
        <f>3+(0.5*H$3)</f>
        <v>3</v>
      </c>
      <c r="I31" s="740">
        <v>0</v>
      </c>
      <c r="J31" s="629">
        <f>0.1*J$3</f>
        <v>0</v>
      </c>
      <c r="K31" s="619">
        <f t="shared" si="4"/>
        <v>3</v>
      </c>
      <c r="L31" s="747">
        <f>3+(0.5*L$3)</f>
        <v>3</v>
      </c>
      <c r="M31" s="740">
        <v>0</v>
      </c>
      <c r="N31" s="629">
        <f>0.1*N$3</f>
        <v>0</v>
      </c>
      <c r="O31" s="21">
        <f t="shared" si="5"/>
        <v>3</v>
      </c>
    </row>
    <row r="32" spans="1:15" x14ac:dyDescent="0.25">
      <c r="A32" s="1937"/>
      <c r="B32" s="19" t="s">
        <v>33</v>
      </c>
      <c r="C32" s="22"/>
      <c r="D32" s="631">
        <f>3+(0.5*D$3)</f>
        <v>3</v>
      </c>
      <c r="E32" s="616">
        <v>0</v>
      </c>
      <c r="F32" s="629">
        <f>0.1*F$3</f>
        <v>0</v>
      </c>
      <c r="G32" s="704">
        <f t="shared" si="3"/>
        <v>3</v>
      </c>
      <c r="H32" s="747">
        <f>3+(0.5*H$3)</f>
        <v>3</v>
      </c>
      <c r="I32" s="740">
        <v>0</v>
      </c>
      <c r="J32" s="629">
        <f>0.1*J$3</f>
        <v>0</v>
      </c>
      <c r="K32" s="619">
        <f t="shared" si="4"/>
        <v>3</v>
      </c>
      <c r="L32" s="747">
        <f>3+(0.5*L$3)</f>
        <v>3</v>
      </c>
      <c r="M32" s="740">
        <v>0</v>
      </c>
      <c r="N32" s="629">
        <f>0.1*N$3</f>
        <v>0</v>
      </c>
      <c r="O32" s="21">
        <f t="shared" si="5"/>
        <v>3</v>
      </c>
    </row>
    <row r="33" spans="1:15" x14ac:dyDescent="0.25">
      <c r="A33" s="1937"/>
      <c r="B33" s="19" t="s">
        <v>34</v>
      </c>
      <c r="C33" s="22"/>
      <c r="D33" s="631">
        <f>5+(0.5*D$3)</f>
        <v>5</v>
      </c>
      <c r="E33" s="616">
        <v>0</v>
      </c>
      <c r="F33" s="629">
        <f>0.1*F$3</f>
        <v>0</v>
      </c>
      <c r="G33" s="704">
        <f t="shared" si="3"/>
        <v>5</v>
      </c>
      <c r="H33" s="747">
        <f>5+(0.5*H$3)</f>
        <v>5</v>
      </c>
      <c r="I33" s="740">
        <v>0</v>
      </c>
      <c r="J33" s="629">
        <f>0.1*J$3</f>
        <v>0</v>
      </c>
      <c r="K33" s="619">
        <f t="shared" si="4"/>
        <v>5</v>
      </c>
      <c r="L33" s="747">
        <f>5+(0.5*L$3)</f>
        <v>5</v>
      </c>
      <c r="M33" s="740">
        <v>0</v>
      </c>
      <c r="N33" s="629">
        <f>0.1*N$3</f>
        <v>0</v>
      </c>
      <c r="O33" s="21">
        <f t="shared" si="5"/>
        <v>5</v>
      </c>
    </row>
    <row r="34" spans="1:15" x14ac:dyDescent="0.25">
      <c r="A34" s="1937" t="s">
        <v>10</v>
      </c>
      <c r="B34" s="19" t="s">
        <v>32</v>
      </c>
      <c r="C34" s="22"/>
      <c r="D34" s="625">
        <v>2</v>
      </c>
      <c r="E34" s="616">
        <v>0</v>
      </c>
      <c r="F34" s="616">
        <v>0</v>
      </c>
      <c r="G34" s="704">
        <f t="shared" si="3"/>
        <v>2</v>
      </c>
      <c r="H34" s="625">
        <v>2</v>
      </c>
      <c r="I34" s="740">
        <v>0</v>
      </c>
      <c r="J34" s="740">
        <v>0</v>
      </c>
      <c r="K34" s="619">
        <f t="shared" si="4"/>
        <v>2</v>
      </c>
      <c r="L34" s="625">
        <v>2</v>
      </c>
      <c r="M34" s="740">
        <v>0</v>
      </c>
      <c r="N34" s="740">
        <v>0</v>
      </c>
      <c r="O34" s="21">
        <f t="shared" si="5"/>
        <v>2</v>
      </c>
    </row>
    <row r="35" spans="1:15" x14ac:dyDescent="0.25">
      <c r="A35" s="1937"/>
      <c r="B35" s="19" t="s">
        <v>33</v>
      </c>
      <c r="C35" s="22"/>
      <c r="D35" s="625">
        <v>2</v>
      </c>
      <c r="E35" s="616">
        <v>0</v>
      </c>
      <c r="F35" s="616">
        <v>0</v>
      </c>
      <c r="G35" s="704">
        <f t="shared" si="3"/>
        <v>2</v>
      </c>
      <c r="H35" s="625">
        <v>2</v>
      </c>
      <c r="I35" s="740">
        <v>0</v>
      </c>
      <c r="J35" s="740">
        <v>0</v>
      </c>
      <c r="K35" s="619">
        <f t="shared" si="4"/>
        <v>2</v>
      </c>
      <c r="L35" s="625">
        <v>2</v>
      </c>
      <c r="M35" s="740">
        <v>0</v>
      </c>
      <c r="N35" s="740">
        <v>0</v>
      </c>
      <c r="O35" s="21">
        <f t="shared" si="5"/>
        <v>2</v>
      </c>
    </row>
    <row r="36" spans="1:15" ht="15.75" thickBot="1" x14ac:dyDescent="0.3">
      <c r="A36" s="1938"/>
      <c r="B36" s="13" t="s">
        <v>34</v>
      </c>
      <c r="C36" s="34"/>
      <c r="D36" s="626">
        <v>2</v>
      </c>
      <c r="E36" s="659">
        <v>0</v>
      </c>
      <c r="F36" s="659">
        <v>0</v>
      </c>
      <c r="G36" s="77">
        <f t="shared" si="3"/>
        <v>2</v>
      </c>
      <c r="H36" s="626">
        <v>2</v>
      </c>
      <c r="I36" s="766">
        <v>0</v>
      </c>
      <c r="J36" s="766">
        <v>0</v>
      </c>
      <c r="K36" s="77">
        <f t="shared" si="4"/>
        <v>2</v>
      </c>
      <c r="L36" s="626">
        <v>2</v>
      </c>
      <c r="M36" s="766">
        <v>0</v>
      </c>
      <c r="N36" s="766">
        <v>0</v>
      </c>
      <c r="O36" s="77">
        <f t="shared" si="5"/>
        <v>2</v>
      </c>
    </row>
    <row r="37" spans="1:15" ht="16.5" thickBot="1" x14ac:dyDescent="0.3">
      <c r="A37" s="330" t="s">
        <v>11</v>
      </c>
      <c r="B37" s="329"/>
      <c r="C37" s="329"/>
      <c r="D37" s="329"/>
      <c r="E37" s="329"/>
      <c r="F37" s="327"/>
      <c r="G37" s="327"/>
      <c r="H37" s="329"/>
      <c r="I37" s="329"/>
      <c r="J37" s="327"/>
      <c r="K37" s="327"/>
      <c r="L37" s="329"/>
      <c r="M37" s="329"/>
      <c r="N37" s="327"/>
      <c r="O37" s="396"/>
    </row>
    <row r="38" spans="1:15" x14ac:dyDescent="0.25">
      <c r="A38" s="1907" t="s">
        <v>12</v>
      </c>
      <c r="B38" s="404" t="s">
        <v>32</v>
      </c>
      <c r="C38" s="324"/>
      <c r="D38" s="661">
        <v>8</v>
      </c>
      <c r="E38" s="674">
        <f>1*E$3</f>
        <v>0</v>
      </c>
      <c r="F38" s="661">
        <v>0</v>
      </c>
      <c r="G38" s="230">
        <f xml:space="preserve"> SUM(D38:F38) + $C38</f>
        <v>8</v>
      </c>
      <c r="H38" s="661">
        <v>8</v>
      </c>
      <c r="I38" s="674">
        <f>1*I$3</f>
        <v>0</v>
      </c>
      <c r="J38" s="661">
        <v>0</v>
      </c>
      <c r="K38" s="230">
        <f xml:space="preserve"> SUM(H38:J38) + $C38</f>
        <v>8</v>
      </c>
      <c r="L38" s="661">
        <v>8</v>
      </c>
      <c r="M38" s="674">
        <f>1*M$3</f>
        <v>0</v>
      </c>
      <c r="N38" s="661">
        <v>0</v>
      </c>
      <c r="O38" s="230">
        <f xml:space="preserve"> SUM(L38:N38) + $C38</f>
        <v>8</v>
      </c>
    </row>
    <row r="39" spans="1:15" x14ac:dyDescent="0.25">
      <c r="A39" s="1907"/>
      <c r="B39" s="19" t="s">
        <v>33</v>
      </c>
      <c r="C39" s="22"/>
      <c r="D39" s="615">
        <v>12</v>
      </c>
      <c r="E39" s="630">
        <f>1*E$3</f>
        <v>0</v>
      </c>
      <c r="F39" s="615">
        <v>0</v>
      </c>
      <c r="G39" s="619">
        <f xml:space="preserve"> SUM(D39:F39) + $C39</f>
        <v>12</v>
      </c>
      <c r="H39" s="615">
        <v>12</v>
      </c>
      <c r="I39" s="630">
        <f>1*I$3</f>
        <v>0</v>
      </c>
      <c r="J39" s="615">
        <v>0</v>
      </c>
      <c r="K39" s="619">
        <f xml:space="preserve"> SUM(H39:J39) + $C39</f>
        <v>12</v>
      </c>
      <c r="L39" s="615">
        <v>12</v>
      </c>
      <c r="M39" s="630">
        <f>1*M$3</f>
        <v>0</v>
      </c>
      <c r="N39" s="615">
        <v>0</v>
      </c>
      <c r="O39" s="619">
        <f xml:space="preserve"> SUM(L39:N39) + $C39</f>
        <v>12</v>
      </c>
    </row>
    <row r="40" spans="1:15" ht="15.75" thickBot="1" x14ac:dyDescent="0.3">
      <c r="A40" s="1907"/>
      <c r="B40" s="13" t="s">
        <v>34</v>
      </c>
      <c r="C40" s="34"/>
      <c r="D40" s="673">
        <v>14</v>
      </c>
      <c r="E40" s="675">
        <f>1*E$3</f>
        <v>0</v>
      </c>
      <c r="F40" s="673">
        <v>0</v>
      </c>
      <c r="G40" s="77">
        <f xml:space="preserve"> SUM(D40:F40) + $C40</f>
        <v>14</v>
      </c>
      <c r="H40" s="673">
        <v>14</v>
      </c>
      <c r="I40" s="675">
        <f>1*I$3</f>
        <v>0</v>
      </c>
      <c r="J40" s="673">
        <v>0</v>
      </c>
      <c r="K40" s="77">
        <f xml:space="preserve"> SUM(H40:J40) + $C40</f>
        <v>14</v>
      </c>
      <c r="L40" s="673">
        <v>14</v>
      </c>
      <c r="M40" s="675">
        <f>1*M$3</f>
        <v>0</v>
      </c>
      <c r="N40" s="673">
        <v>0</v>
      </c>
      <c r="O40" s="77">
        <f xml:space="preserve"> SUM(L40:N40) + $C40</f>
        <v>14</v>
      </c>
    </row>
    <row r="41" spans="1:15" ht="16.5" thickBot="1" x14ac:dyDescent="0.3">
      <c r="A41" s="330" t="s">
        <v>13</v>
      </c>
      <c r="B41" s="329"/>
      <c r="C41" s="329"/>
      <c r="D41" s="329"/>
      <c r="E41" s="329"/>
      <c r="F41" s="327"/>
      <c r="G41" s="327"/>
      <c r="H41" s="329"/>
      <c r="I41" s="329"/>
      <c r="J41" s="327"/>
      <c r="K41" s="327"/>
      <c r="L41" s="329"/>
      <c r="M41" s="329"/>
      <c r="N41" s="327"/>
      <c r="O41" s="396"/>
    </row>
    <row r="42" spans="1:15" x14ac:dyDescent="0.25">
      <c r="A42" s="1932" t="s">
        <v>14</v>
      </c>
      <c r="B42" s="404" t="s">
        <v>32</v>
      </c>
      <c r="C42" s="627"/>
      <c r="D42" s="678">
        <v>2</v>
      </c>
      <c r="E42" s="660">
        <v>0</v>
      </c>
      <c r="F42" s="660">
        <v>0</v>
      </c>
      <c r="G42" s="230">
        <f t="shared" ref="G42:G74" si="9" xml:space="preserve"> SUM(D42:F42) + $C42</f>
        <v>2</v>
      </c>
      <c r="H42" s="678">
        <v>2</v>
      </c>
      <c r="I42" s="660">
        <v>0</v>
      </c>
      <c r="J42" s="660">
        <v>0</v>
      </c>
      <c r="K42" s="230">
        <f t="shared" ref="K42:K74" si="10" xml:space="preserve"> SUM(H42:J42) + $C42</f>
        <v>2</v>
      </c>
      <c r="L42" s="678">
        <v>2</v>
      </c>
      <c r="M42" s="660">
        <v>0</v>
      </c>
      <c r="N42" s="660">
        <v>0</v>
      </c>
      <c r="O42" s="230">
        <f t="shared" ref="O42:O86" si="11" xml:space="preserve"> SUM(L42:N42) + $C42</f>
        <v>2</v>
      </c>
    </row>
    <row r="43" spans="1:15" x14ac:dyDescent="0.25">
      <c r="A43" s="1932"/>
      <c r="B43" s="19" t="s">
        <v>33</v>
      </c>
      <c r="C43" s="620"/>
      <c r="D43" s="625">
        <v>2</v>
      </c>
      <c r="E43" s="616">
        <v>0</v>
      </c>
      <c r="F43" s="616">
        <v>0</v>
      </c>
      <c r="G43" s="619">
        <f t="shared" si="9"/>
        <v>2</v>
      </c>
      <c r="H43" s="625">
        <v>2</v>
      </c>
      <c r="I43" s="616">
        <v>0</v>
      </c>
      <c r="J43" s="616">
        <v>0</v>
      </c>
      <c r="K43" s="619">
        <f t="shared" si="10"/>
        <v>2</v>
      </c>
      <c r="L43" s="625">
        <v>2</v>
      </c>
      <c r="M43" s="616">
        <v>0</v>
      </c>
      <c r="N43" s="616">
        <v>0</v>
      </c>
      <c r="O43" s="21">
        <f t="shared" si="11"/>
        <v>2</v>
      </c>
    </row>
    <row r="44" spans="1:15" x14ac:dyDescent="0.25">
      <c r="A44" s="1932"/>
      <c r="B44" s="19" t="s">
        <v>34</v>
      </c>
      <c r="C44" s="620"/>
      <c r="D44" s="625">
        <v>4</v>
      </c>
      <c r="E44" s="616">
        <v>0</v>
      </c>
      <c r="F44" s="616">
        <v>0</v>
      </c>
      <c r="G44" s="619">
        <f t="shared" si="9"/>
        <v>4</v>
      </c>
      <c r="H44" s="625">
        <v>4</v>
      </c>
      <c r="I44" s="616">
        <v>0</v>
      </c>
      <c r="J44" s="616">
        <v>0</v>
      </c>
      <c r="K44" s="619">
        <f t="shared" si="10"/>
        <v>4</v>
      </c>
      <c r="L44" s="625">
        <v>4</v>
      </c>
      <c r="M44" s="616">
        <v>0</v>
      </c>
      <c r="N44" s="616">
        <v>0</v>
      </c>
      <c r="O44" s="21">
        <f t="shared" si="11"/>
        <v>4</v>
      </c>
    </row>
    <row r="45" spans="1:15" x14ac:dyDescent="0.25">
      <c r="A45" s="1974" t="s">
        <v>15</v>
      </c>
      <c r="B45" s="19" t="s">
        <v>32</v>
      </c>
      <c r="C45" s="620"/>
      <c r="D45" s="625">
        <v>8</v>
      </c>
      <c r="E45" s="616">
        <v>0</v>
      </c>
      <c r="F45" s="616">
        <v>0</v>
      </c>
      <c r="G45" s="619">
        <f t="shared" si="9"/>
        <v>8</v>
      </c>
      <c r="H45" s="625">
        <v>8</v>
      </c>
      <c r="I45" s="616">
        <v>0</v>
      </c>
      <c r="J45" s="616">
        <v>0</v>
      </c>
      <c r="K45" s="619">
        <f t="shared" si="10"/>
        <v>8</v>
      </c>
      <c r="L45" s="625">
        <v>8</v>
      </c>
      <c r="M45" s="616">
        <v>0</v>
      </c>
      <c r="N45" s="616">
        <v>0</v>
      </c>
      <c r="O45" s="21">
        <f t="shared" si="11"/>
        <v>8</v>
      </c>
    </row>
    <row r="46" spans="1:15" x14ac:dyDescent="0.25">
      <c r="A46" s="1974"/>
      <c r="B46" s="19" t="s">
        <v>33</v>
      </c>
      <c r="C46" s="620"/>
      <c r="D46" s="625">
        <v>16</v>
      </c>
      <c r="E46" s="616">
        <v>0</v>
      </c>
      <c r="F46" s="616">
        <v>0</v>
      </c>
      <c r="G46" s="619">
        <f t="shared" si="9"/>
        <v>16</v>
      </c>
      <c r="H46" s="625">
        <v>16</v>
      </c>
      <c r="I46" s="616">
        <v>0</v>
      </c>
      <c r="J46" s="616">
        <v>0</v>
      </c>
      <c r="K46" s="619">
        <f t="shared" si="10"/>
        <v>16</v>
      </c>
      <c r="L46" s="625">
        <v>16</v>
      </c>
      <c r="M46" s="616">
        <v>0</v>
      </c>
      <c r="N46" s="616">
        <v>0</v>
      </c>
      <c r="O46" s="21">
        <f t="shared" si="11"/>
        <v>16</v>
      </c>
    </row>
    <row r="47" spans="1:15" x14ac:dyDescent="0.25">
      <c r="A47" s="1974"/>
      <c r="B47" s="19" t="s">
        <v>34</v>
      </c>
      <c r="C47" s="620"/>
      <c r="D47" s="625">
        <v>32</v>
      </c>
      <c r="E47" s="616">
        <v>0</v>
      </c>
      <c r="F47" s="616">
        <v>0</v>
      </c>
      <c r="G47" s="619">
        <f t="shared" si="9"/>
        <v>32</v>
      </c>
      <c r="H47" s="625">
        <v>32</v>
      </c>
      <c r="I47" s="616">
        <v>0</v>
      </c>
      <c r="J47" s="616">
        <v>0</v>
      </c>
      <c r="K47" s="619">
        <f t="shared" si="10"/>
        <v>32</v>
      </c>
      <c r="L47" s="625">
        <v>32</v>
      </c>
      <c r="M47" s="616">
        <v>0</v>
      </c>
      <c r="N47" s="616">
        <v>0</v>
      </c>
      <c r="O47" s="21">
        <f t="shared" si="11"/>
        <v>32</v>
      </c>
    </row>
    <row r="48" spans="1:15" x14ac:dyDescent="0.25">
      <c r="A48" s="1974" t="s">
        <v>16</v>
      </c>
      <c r="B48" s="19" t="s">
        <v>32</v>
      </c>
      <c r="C48" s="620"/>
      <c r="D48" s="689">
        <v>0</v>
      </c>
      <c r="E48" s="616">
        <v>0</v>
      </c>
      <c r="F48" s="623">
        <v>0</v>
      </c>
      <c r="G48" s="619">
        <f t="shared" si="9"/>
        <v>0</v>
      </c>
      <c r="H48" s="689">
        <v>0</v>
      </c>
      <c r="I48" s="616">
        <v>0</v>
      </c>
      <c r="J48" s="623">
        <v>0</v>
      </c>
      <c r="K48" s="619">
        <f t="shared" si="10"/>
        <v>0</v>
      </c>
      <c r="L48" s="689">
        <v>0</v>
      </c>
      <c r="M48" s="616">
        <v>0</v>
      </c>
      <c r="N48" s="623">
        <v>0</v>
      </c>
      <c r="O48" s="21">
        <f t="shared" si="11"/>
        <v>0</v>
      </c>
    </row>
    <row r="49" spans="1:15" x14ac:dyDescent="0.25">
      <c r="A49" s="1974"/>
      <c r="B49" s="19" t="s">
        <v>33</v>
      </c>
      <c r="C49" s="620"/>
      <c r="D49" s="689">
        <v>0</v>
      </c>
      <c r="E49" s="616">
        <v>0</v>
      </c>
      <c r="F49" s="623">
        <v>0</v>
      </c>
      <c r="G49" s="619">
        <f t="shared" si="9"/>
        <v>0</v>
      </c>
      <c r="H49" s="689">
        <v>0</v>
      </c>
      <c r="I49" s="616">
        <v>0</v>
      </c>
      <c r="J49" s="623">
        <v>0</v>
      </c>
      <c r="K49" s="619">
        <f t="shared" si="10"/>
        <v>0</v>
      </c>
      <c r="L49" s="689">
        <v>0</v>
      </c>
      <c r="M49" s="616">
        <v>0</v>
      </c>
      <c r="N49" s="623">
        <v>0</v>
      </c>
      <c r="O49" s="21">
        <f t="shared" si="11"/>
        <v>0</v>
      </c>
    </row>
    <row r="50" spans="1:15" x14ac:dyDescent="0.25">
      <c r="A50" s="1974"/>
      <c r="B50" s="19" t="s">
        <v>34</v>
      </c>
      <c r="C50" s="620"/>
      <c r="D50" s="689">
        <v>0</v>
      </c>
      <c r="E50" s="616">
        <v>0</v>
      </c>
      <c r="F50" s="623">
        <v>0</v>
      </c>
      <c r="G50" s="619">
        <f t="shared" si="9"/>
        <v>0</v>
      </c>
      <c r="H50" s="689">
        <v>0</v>
      </c>
      <c r="I50" s="616">
        <v>0</v>
      </c>
      <c r="J50" s="623">
        <v>0</v>
      </c>
      <c r="K50" s="619">
        <f t="shared" si="10"/>
        <v>0</v>
      </c>
      <c r="L50" s="689">
        <v>0</v>
      </c>
      <c r="M50" s="616">
        <v>0</v>
      </c>
      <c r="N50" s="623">
        <v>0</v>
      </c>
      <c r="O50" s="21">
        <f t="shared" si="11"/>
        <v>0</v>
      </c>
    </row>
    <row r="51" spans="1:15" x14ac:dyDescent="0.25">
      <c r="A51" s="1974" t="s">
        <v>17</v>
      </c>
      <c r="B51" s="19" t="s">
        <v>32</v>
      </c>
      <c r="C51" s="620"/>
      <c r="D51" s="689">
        <v>0</v>
      </c>
      <c r="E51" s="616">
        <v>0</v>
      </c>
      <c r="F51" s="616">
        <v>0</v>
      </c>
      <c r="G51" s="619">
        <f t="shared" si="9"/>
        <v>0</v>
      </c>
      <c r="H51" s="689">
        <v>0</v>
      </c>
      <c r="I51" s="616">
        <v>0</v>
      </c>
      <c r="J51" s="616">
        <v>0</v>
      </c>
      <c r="K51" s="619">
        <f t="shared" si="10"/>
        <v>0</v>
      </c>
      <c r="L51" s="689">
        <v>0</v>
      </c>
      <c r="M51" s="616">
        <v>0</v>
      </c>
      <c r="N51" s="616">
        <v>0</v>
      </c>
      <c r="O51" s="21">
        <f t="shared" si="11"/>
        <v>0</v>
      </c>
    </row>
    <row r="52" spans="1:15" x14ac:dyDescent="0.25">
      <c r="A52" s="1974"/>
      <c r="B52" s="19" t="s">
        <v>33</v>
      </c>
      <c r="C52" s="620"/>
      <c r="D52" s="689">
        <v>0</v>
      </c>
      <c r="E52" s="616">
        <v>0</v>
      </c>
      <c r="F52" s="616">
        <v>0</v>
      </c>
      <c r="G52" s="619">
        <f t="shared" si="9"/>
        <v>0</v>
      </c>
      <c r="H52" s="689">
        <v>0</v>
      </c>
      <c r="I52" s="616">
        <v>0</v>
      </c>
      <c r="J52" s="616">
        <v>0</v>
      </c>
      <c r="K52" s="619">
        <f t="shared" si="10"/>
        <v>0</v>
      </c>
      <c r="L52" s="689">
        <v>0</v>
      </c>
      <c r="M52" s="616">
        <v>0</v>
      </c>
      <c r="N52" s="616">
        <v>0</v>
      </c>
      <c r="O52" s="21">
        <f t="shared" si="11"/>
        <v>0</v>
      </c>
    </row>
    <row r="53" spans="1:15" x14ac:dyDescent="0.25">
      <c r="A53" s="1974"/>
      <c r="B53" s="19" t="s">
        <v>34</v>
      </c>
      <c r="C53" s="620"/>
      <c r="D53" s="689">
        <v>0</v>
      </c>
      <c r="E53" s="616">
        <v>0</v>
      </c>
      <c r="F53" s="616">
        <v>0</v>
      </c>
      <c r="G53" s="619">
        <f t="shared" si="9"/>
        <v>0</v>
      </c>
      <c r="H53" s="689">
        <v>0</v>
      </c>
      <c r="I53" s="616">
        <v>0</v>
      </c>
      <c r="J53" s="616">
        <v>0</v>
      </c>
      <c r="K53" s="619">
        <f t="shared" si="10"/>
        <v>0</v>
      </c>
      <c r="L53" s="689">
        <v>0</v>
      </c>
      <c r="M53" s="616">
        <v>0</v>
      </c>
      <c r="N53" s="616">
        <v>0</v>
      </c>
      <c r="O53" s="21">
        <f t="shared" si="11"/>
        <v>0</v>
      </c>
    </row>
    <row r="54" spans="1:15" x14ac:dyDescent="0.25">
      <c r="A54" s="1974" t="s">
        <v>18</v>
      </c>
      <c r="B54" s="19" t="s">
        <v>32</v>
      </c>
      <c r="C54" s="620"/>
      <c r="D54" s="689">
        <v>0</v>
      </c>
      <c r="E54" s="616">
        <v>0</v>
      </c>
      <c r="F54" s="616">
        <v>0</v>
      </c>
      <c r="G54" s="619">
        <f t="shared" si="9"/>
        <v>0</v>
      </c>
      <c r="H54" s="689">
        <v>0</v>
      </c>
      <c r="I54" s="616">
        <v>0</v>
      </c>
      <c r="J54" s="616">
        <v>0</v>
      </c>
      <c r="K54" s="619">
        <f t="shared" si="10"/>
        <v>0</v>
      </c>
      <c r="L54" s="689">
        <v>0</v>
      </c>
      <c r="M54" s="616">
        <v>0</v>
      </c>
      <c r="N54" s="616">
        <v>0</v>
      </c>
      <c r="O54" s="21">
        <f t="shared" si="11"/>
        <v>0</v>
      </c>
    </row>
    <row r="55" spans="1:15" x14ac:dyDescent="0.25">
      <c r="A55" s="1974"/>
      <c r="B55" s="19" t="s">
        <v>33</v>
      </c>
      <c r="C55" s="620"/>
      <c r="D55" s="689">
        <v>0</v>
      </c>
      <c r="E55" s="616">
        <v>0</v>
      </c>
      <c r="F55" s="616">
        <v>0</v>
      </c>
      <c r="G55" s="619">
        <f t="shared" si="9"/>
        <v>0</v>
      </c>
      <c r="H55" s="689">
        <v>0</v>
      </c>
      <c r="I55" s="616">
        <v>0</v>
      </c>
      <c r="J55" s="616">
        <v>0</v>
      </c>
      <c r="K55" s="619">
        <f t="shared" si="10"/>
        <v>0</v>
      </c>
      <c r="L55" s="689">
        <v>0</v>
      </c>
      <c r="M55" s="616">
        <v>0</v>
      </c>
      <c r="N55" s="616">
        <v>0</v>
      </c>
      <c r="O55" s="21">
        <f t="shared" si="11"/>
        <v>0</v>
      </c>
    </row>
    <row r="56" spans="1:15" x14ac:dyDescent="0.25">
      <c r="A56" s="1974"/>
      <c r="B56" s="19" t="s">
        <v>34</v>
      </c>
      <c r="C56" s="620"/>
      <c r="D56" s="689">
        <v>0</v>
      </c>
      <c r="E56" s="616">
        <v>0</v>
      </c>
      <c r="F56" s="616">
        <v>0</v>
      </c>
      <c r="G56" s="619">
        <f t="shared" si="9"/>
        <v>0</v>
      </c>
      <c r="H56" s="689">
        <v>0</v>
      </c>
      <c r="I56" s="616">
        <v>0</v>
      </c>
      <c r="J56" s="616">
        <v>0</v>
      </c>
      <c r="K56" s="619">
        <f t="shared" si="10"/>
        <v>0</v>
      </c>
      <c r="L56" s="689">
        <v>0</v>
      </c>
      <c r="M56" s="616">
        <v>0</v>
      </c>
      <c r="N56" s="616">
        <v>0</v>
      </c>
      <c r="O56" s="21">
        <f t="shared" si="11"/>
        <v>0</v>
      </c>
    </row>
    <row r="57" spans="1:15" x14ac:dyDescent="0.25">
      <c r="A57" s="1974" t="s">
        <v>19</v>
      </c>
      <c r="B57" s="19" t="s">
        <v>32</v>
      </c>
      <c r="C57" s="620"/>
      <c r="D57" s="625">
        <v>2</v>
      </c>
      <c r="E57" s="616">
        <v>0</v>
      </c>
      <c r="F57" s="616">
        <v>0</v>
      </c>
      <c r="G57" s="619">
        <f t="shared" si="9"/>
        <v>2</v>
      </c>
      <c r="H57" s="625">
        <v>2</v>
      </c>
      <c r="I57" s="616">
        <v>0</v>
      </c>
      <c r="J57" s="616">
        <v>0</v>
      </c>
      <c r="K57" s="619">
        <f t="shared" si="10"/>
        <v>2</v>
      </c>
      <c r="L57" s="625">
        <v>2</v>
      </c>
      <c r="M57" s="616">
        <v>0</v>
      </c>
      <c r="N57" s="616">
        <v>0</v>
      </c>
      <c r="O57" s="21">
        <f t="shared" si="11"/>
        <v>2</v>
      </c>
    </row>
    <row r="58" spans="1:15" x14ac:dyDescent="0.25">
      <c r="A58" s="1974"/>
      <c r="B58" s="19" t="s">
        <v>33</v>
      </c>
      <c r="C58" s="620"/>
      <c r="D58" s="625">
        <v>4</v>
      </c>
      <c r="E58" s="616">
        <v>0</v>
      </c>
      <c r="F58" s="616">
        <v>0</v>
      </c>
      <c r="G58" s="619">
        <f t="shared" si="9"/>
        <v>4</v>
      </c>
      <c r="H58" s="625">
        <v>4</v>
      </c>
      <c r="I58" s="616">
        <v>0</v>
      </c>
      <c r="J58" s="616">
        <v>0</v>
      </c>
      <c r="K58" s="619">
        <f t="shared" si="10"/>
        <v>4</v>
      </c>
      <c r="L58" s="625">
        <v>4</v>
      </c>
      <c r="M58" s="616">
        <v>0</v>
      </c>
      <c r="N58" s="616">
        <v>0</v>
      </c>
      <c r="O58" s="21">
        <f t="shared" si="11"/>
        <v>4</v>
      </c>
    </row>
    <row r="59" spans="1:15" x14ac:dyDescent="0.25">
      <c r="A59" s="1974"/>
      <c r="B59" s="19" t="s">
        <v>34</v>
      </c>
      <c r="C59" s="620"/>
      <c r="D59" s="625">
        <v>6</v>
      </c>
      <c r="E59" s="616">
        <v>0</v>
      </c>
      <c r="F59" s="616">
        <v>0</v>
      </c>
      <c r="G59" s="619">
        <f t="shared" si="9"/>
        <v>6</v>
      </c>
      <c r="H59" s="625">
        <v>6</v>
      </c>
      <c r="I59" s="616">
        <v>0</v>
      </c>
      <c r="J59" s="616">
        <v>0</v>
      </c>
      <c r="K59" s="619">
        <f t="shared" si="10"/>
        <v>6</v>
      </c>
      <c r="L59" s="625">
        <v>6</v>
      </c>
      <c r="M59" s="616">
        <v>0</v>
      </c>
      <c r="N59" s="616">
        <v>0</v>
      </c>
      <c r="O59" s="21">
        <f t="shared" si="11"/>
        <v>6</v>
      </c>
    </row>
    <row r="60" spans="1:15" x14ac:dyDescent="0.25">
      <c r="A60" s="1974" t="s">
        <v>20</v>
      </c>
      <c r="B60" s="19" t="s">
        <v>32</v>
      </c>
      <c r="C60" s="620"/>
      <c r="D60" s="625">
        <v>8</v>
      </c>
      <c r="E60" s="674">
        <f>1*E$3</f>
        <v>0</v>
      </c>
      <c r="F60" s="623">
        <v>0</v>
      </c>
      <c r="G60" s="619">
        <f t="shared" si="9"/>
        <v>8</v>
      </c>
      <c r="H60" s="625">
        <v>8</v>
      </c>
      <c r="I60" s="674">
        <f>1*I$3</f>
        <v>0</v>
      </c>
      <c r="J60" s="623">
        <v>0</v>
      </c>
      <c r="K60" s="619">
        <f t="shared" si="10"/>
        <v>8</v>
      </c>
      <c r="L60" s="625">
        <v>8</v>
      </c>
      <c r="M60" s="674">
        <f>1*M$3</f>
        <v>0</v>
      </c>
      <c r="N60" s="623">
        <v>0</v>
      </c>
      <c r="O60" s="21">
        <f t="shared" si="11"/>
        <v>8</v>
      </c>
    </row>
    <row r="61" spans="1:15" ht="15.75" customHeight="1" x14ac:dyDescent="0.25">
      <c r="A61" s="1974"/>
      <c r="B61" s="19" t="s">
        <v>33</v>
      </c>
      <c r="C61" s="620"/>
      <c r="D61" s="625">
        <v>10</v>
      </c>
      <c r="E61" s="630">
        <f>1*E$3</f>
        <v>0</v>
      </c>
      <c r="F61" s="623">
        <v>0</v>
      </c>
      <c r="G61" s="619">
        <f t="shared" si="9"/>
        <v>10</v>
      </c>
      <c r="H61" s="625">
        <v>10</v>
      </c>
      <c r="I61" s="630">
        <f>1*I$3</f>
        <v>0</v>
      </c>
      <c r="J61" s="623">
        <v>0</v>
      </c>
      <c r="K61" s="619">
        <f t="shared" si="10"/>
        <v>10</v>
      </c>
      <c r="L61" s="625">
        <v>10</v>
      </c>
      <c r="M61" s="630">
        <f>1*M$3</f>
        <v>0</v>
      </c>
      <c r="N61" s="623">
        <v>0</v>
      </c>
      <c r="O61" s="21">
        <f t="shared" si="11"/>
        <v>10</v>
      </c>
    </row>
    <row r="62" spans="1:15" x14ac:dyDescent="0.25">
      <c r="A62" s="1974"/>
      <c r="B62" s="19" t="s">
        <v>34</v>
      </c>
      <c r="C62" s="620"/>
      <c r="D62" s="625">
        <v>12</v>
      </c>
      <c r="E62" s="675">
        <f>1*E$3</f>
        <v>0</v>
      </c>
      <c r="F62" s="623">
        <v>0</v>
      </c>
      <c r="G62" s="619">
        <f t="shared" si="9"/>
        <v>12</v>
      </c>
      <c r="H62" s="625">
        <v>12</v>
      </c>
      <c r="I62" s="675">
        <f>1*I$3</f>
        <v>0</v>
      </c>
      <c r="J62" s="623">
        <v>0</v>
      </c>
      <c r="K62" s="619">
        <f t="shared" si="10"/>
        <v>12</v>
      </c>
      <c r="L62" s="625">
        <v>12</v>
      </c>
      <c r="M62" s="675">
        <f>1*M$3</f>
        <v>0</v>
      </c>
      <c r="N62" s="623">
        <v>0</v>
      </c>
      <c r="O62" s="21">
        <f t="shared" si="11"/>
        <v>12</v>
      </c>
    </row>
    <row r="63" spans="1:15" x14ac:dyDescent="0.25">
      <c r="A63" s="1974" t="s">
        <v>451</v>
      </c>
      <c r="B63" s="19" t="s">
        <v>32</v>
      </c>
      <c r="C63" s="620"/>
      <c r="D63" s="625">
        <v>0</v>
      </c>
      <c r="E63" s="692">
        <v>0</v>
      </c>
      <c r="F63" s="265">
        <v>0</v>
      </c>
      <c r="G63" s="619">
        <f t="shared" si="9"/>
        <v>0</v>
      </c>
      <c r="H63" s="625">
        <v>0</v>
      </c>
      <c r="I63" s="692">
        <v>0</v>
      </c>
      <c r="J63" s="265">
        <v>0</v>
      </c>
      <c r="K63" s="619">
        <f t="shared" si="10"/>
        <v>0</v>
      </c>
      <c r="L63" s="625">
        <v>0</v>
      </c>
      <c r="M63" s="692">
        <v>0</v>
      </c>
      <c r="N63" s="265">
        <v>0</v>
      </c>
      <c r="O63" s="21">
        <f t="shared" si="11"/>
        <v>0</v>
      </c>
    </row>
    <row r="64" spans="1:15" x14ac:dyDescent="0.25">
      <c r="A64" s="1974"/>
      <c r="B64" s="19" t="s">
        <v>33</v>
      </c>
      <c r="C64" s="620"/>
      <c r="D64" s="625">
        <v>0</v>
      </c>
      <c r="E64" s="692">
        <v>0</v>
      </c>
      <c r="F64" s="265">
        <v>0</v>
      </c>
      <c r="G64" s="619">
        <f t="shared" si="9"/>
        <v>0</v>
      </c>
      <c r="H64" s="625">
        <v>0</v>
      </c>
      <c r="I64" s="692">
        <v>0</v>
      </c>
      <c r="J64" s="265">
        <v>0</v>
      </c>
      <c r="K64" s="619">
        <f t="shared" si="10"/>
        <v>0</v>
      </c>
      <c r="L64" s="625">
        <v>0</v>
      </c>
      <c r="M64" s="692">
        <v>0</v>
      </c>
      <c r="N64" s="265">
        <v>0</v>
      </c>
      <c r="O64" s="21">
        <f t="shared" si="11"/>
        <v>0</v>
      </c>
    </row>
    <row r="65" spans="1:15" x14ac:dyDescent="0.25">
      <c r="A65" s="1974"/>
      <c r="B65" s="19" t="s">
        <v>34</v>
      </c>
      <c r="C65" s="620"/>
      <c r="D65" s="625">
        <v>0</v>
      </c>
      <c r="E65" s="692">
        <v>0</v>
      </c>
      <c r="F65" s="265">
        <v>0</v>
      </c>
      <c r="G65" s="619">
        <f t="shared" si="9"/>
        <v>0</v>
      </c>
      <c r="H65" s="625">
        <v>0</v>
      </c>
      <c r="I65" s="692">
        <v>0</v>
      </c>
      <c r="J65" s="265">
        <v>0</v>
      </c>
      <c r="K65" s="619">
        <f t="shared" si="10"/>
        <v>0</v>
      </c>
      <c r="L65" s="625">
        <v>0</v>
      </c>
      <c r="M65" s="692">
        <v>0</v>
      </c>
      <c r="N65" s="265">
        <v>0</v>
      </c>
      <c r="O65" s="21">
        <f t="shared" si="11"/>
        <v>0</v>
      </c>
    </row>
    <row r="66" spans="1:15" x14ac:dyDescent="0.25">
      <c r="A66" s="1974" t="s">
        <v>452</v>
      </c>
      <c r="B66" s="19" t="s">
        <v>32</v>
      </c>
      <c r="C66" s="620"/>
      <c r="D66" s="625">
        <v>0</v>
      </c>
      <c r="E66" s="692">
        <v>0</v>
      </c>
      <c r="F66" s="265">
        <v>0</v>
      </c>
      <c r="G66" s="619">
        <f t="shared" si="9"/>
        <v>0</v>
      </c>
      <c r="H66" s="625">
        <v>0</v>
      </c>
      <c r="I66" s="692">
        <v>0</v>
      </c>
      <c r="J66" s="265">
        <v>0</v>
      </c>
      <c r="K66" s="619">
        <f t="shared" si="10"/>
        <v>0</v>
      </c>
      <c r="L66" s="625">
        <v>0</v>
      </c>
      <c r="M66" s="692">
        <v>0</v>
      </c>
      <c r="N66" s="265">
        <v>0</v>
      </c>
      <c r="O66" s="21">
        <f t="shared" si="11"/>
        <v>0</v>
      </c>
    </row>
    <row r="67" spans="1:15" x14ac:dyDescent="0.25">
      <c r="A67" s="1974"/>
      <c r="B67" s="19" t="s">
        <v>33</v>
      </c>
      <c r="C67" s="620"/>
      <c r="D67" s="625">
        <v>0</v>
      </c>
      <c r="E67" s="692">
        <v>0</v>
      </c>
      <c r="F67" s="265">
        <v>0</v>
      </c>
      <c r="G67" s="619">
        <f t="shared" si="9"/>
        <v>0</v>
      </c>
      <c r="H67" s="625">
        <v>0</v>
      </c>
      <c r="I67" s="692">
        <v>0</v>
      </c>
      <c r="J67" s="265">
        <v>0</v>
      </c>
      <c r="K67" s="619">
        <f t="shared" si="10"/>
        <v>0</v>
      </c>
      <c r="L67" s="625">
        <v>0</v>
      </c>
      <c r="M67" s="692">
        <v>0</v>
      </c>
      <c r="N67" s="265">
        <v>0</v>
      </c>
      <c r="O67" s="21">
        <f t="shared" si="11"/>
        <v>0</v>
      </c>
    </row>
    <row r="68" spans="1:15" x14ac:dyDescent="0.25">
      <c r="A68" s="1974"/>
      <c r="B68" s="19" t="s">
        <v>34</v>
      </c>
      <c r="C68" s="620"/>
      <c r="D68" s="625">
        <v>0</v>
      </c>
      <c r="E68" s="692">
        <v>0</v>
      </c>
      <c r="F68" s="265">
        <v>0</v>
      </c>
      <c r="G68" s="619">
        <f t="shared" si="9"/>
        <v>0</v>
      </c>
      <c r="H68" s="625">
        <v>0</v>
      </c>
      <c r="I68" s="692">
        <v>0</v>
      </c>
      <c r="J68" s="265">
        <v>0</v>
      </c>
      <c r="K68" s="619">
        <f t="shared" si="10"/>
        <v>0</v>
      </c>
      <c r="L68" s="625">
        <v>0</v>
      </c>
      <c r="M68" s="692">
        <v>0</v>
      </c>
      <c r="N68" s="265">
        <v>0</v>
      </c>
      <c r="O68" s="21">
        <f t="shared" si="11"/>
        <v>0</v>
      </c>
    </row>
    <row r="69" spans="1:15" x14ac:dyDescent="0.25">
      <c r="A69" s="1993" t="s">
        <v>533</v>
      </c>
      <c r="B69" s="19" t="s">
        <v>32</v>
      </c>
      <c r="C69" s="620"/>
      <c r="D69" s="800">
        <v>2</v>
      </c>
      <c r="E69" s="802">
        <v>0</v>
      </c>
      <c r="F69" s="801">
        <v>0</v>
      </c>
      <c r="G69" s="619">
        <f t="shared" si="9"/>
        <v>2</v>
      </c>
      <c r="H69" s="803">
        <v>2</v>
      </c>
      <c r="I69" s="805">
        <v>0</v>
      </c>
      <c r="J69" s="804">
        <v>0</v>
      </c>
      <c r="K69" s="619">
        <f t="shared" si="10"/>
        <v>2</v>
      </c>
      <c r="L69" s="806">
        <v>2</v>
      </c>
      <c r="M69" s="808">
        <v>0</v>
      </c>
      <c r="N69" s="807">
        <v>0</v>
      </c>
      <c r="O69" s="21">
        <f t="shared" si="11"/>
        <v>2</v>
      </c>
    </row>
    <row r="70" spans="1:15" x14ac:dyDescent="0.25">
      <c r="A70" s="1993"/>
      <c r="B70" s="19" t="s">
        <v>33</v>
      </c>
      <c r="C70" s="620"/>
      <c r="D70" s="800">
        <v>3</v>
      </c>
      <c r="E70" s="802">
        <v>0</v>
      </c>
      <c r="F70" s="801">
        <v>0</v>
      </c>
      <c r="G70" s="619">
        <f t="shared" si="9"/>
        <v>3</v>
      </c>
      <c r="H70" s="803">
        <v>3</v>
      </c>
      <c r="I70" s="805">
        <v>0</v>
      </c>
      <c r="J70" s="804">
        <v>0</v>
      </c>
      <c r="K70" s="619">
        <f t="shared" si="10"/>
        <v>3</v>
      </c>
      <c r="L70" s="806">
        <v>3</v>
      </c>
      <c r="M70" s="808">
        <v>0</v>
      </c>
      <c r="N70" s="807">
        <v>0</v>
      </c>
      <c r="O70" s="21">
        <f t="shared" si="11"/>
        <v>3</v>
      </c>
    </row>
    <row r="71" spans="1:15" x14ac:dyDescent="0.25">
      <c r="A71" s="1993"/>
      <c r="B71" s="19" t="s">
        <v>34</v>
      </c>
      <c r="C71" s="620"/>
      <c r="D71" s="800">
        <v>4</v>
      </c>
      <c r="E71" s="802">
        <v>0</v>
      </c>
      <c r="F71" s="801">
        <v>0</v>
      </c>
      <c r="G71" s="619">
        <f t="shared" si="9"/>
        <v>4</v>
      </c>
      <c r="H71" s="803">
        <v>4</v>
      </c>
      <c r="I71" s="805">
        <v>0</v>
      </c>
      <c r="J71" s="804">
        <v>0</v>
      </c>
      <c r="K71" s="619">
        <f t="shared" si="10"/>
        <v>4</v>
      </c>
      <c r="L71" s="806">
        <v>4</v>
      </c>
      <c r="M71" s="808">
        <v>0</v>
      </c>
      <c r="N71" s="807">
        <v>0</v>
      </c>
      <c r="O71" s="21">
        <f t="shared" si="11"/>
        <v>4</v>
      </c>
    </row>
    <row r="72" spans="1:15" x14ac:dyDescent="0.25">
      <c r="A72" s="1974" t="s">
        <v>534</v>
      </c>
      <c r="B72" s="19" t="s">
        <v>32</v>
      </c>
      <c r="C72" s="620"/>
      <c r="D72" s="800">
        <v>2</v>
      </c>
      <c r="E72" s="802">
        <v>0</v>
      </c>
      <c r="F72" s="801">
        <v>0</v>
      </c>
      <c r="G72" s="619">
        <f t="shared" si="9"/>
        <v>2</v>
      </c>
      <c r="H72" s="803">
        <v>2</v>
      </c>
      <c r="I72" s="805">
        <v>0</v>
      </c>
      <c r="J72" s="804">
        <v>0</v>
      </c>
      <c r="K72" s="619">
        <f t="shared" si="10"/>
        <v>2</v>
      </c>
      <c r="L72" s="806">
        <v>2</v>
      </c>
      <c r="M72" s="808">
        <v>0</v>
      </c>
      <c r="N72" s="807">
        <v>0</v>
      </c>
      <c r="O72" s="21">
        <f t="shared" si="11"/>
        <v>2</v>
      </c>
    </row>
    <row r="73" spans="1:15" x14ac:dyDescent="0.25">
      <c r="A73" s="1974"/>
      <c r="B73" s="19" t="s">
        <v>33</v>
      </c>
      <c r="C73" s="620"/>
      <c r="D73" s="800">
        <v>3</v>
      </c>
      <c r="E73" s="802">
        <v>0</v>
      </c>
      <c r="F73" s="801">
        <v>0</v>
      </c>
      <c r="G73" s="619">
        <f t="shared" si="9"/>
        <v>3</v>
      </c>
      <c r="H73" s="803">
        <v>3</v>
      </c>
      <c r="I73" s="805">
        <v>0</v>
      </c>
      <c r="J73" s="804">
        <v>0</v>
      </c>
      <c r="K73" s="619">
        <f t="shared" si="10"/>
        <v>3</v>
      </c>
      <c r="L73" s="806">
        <v>3</v>
      </c>
      <c r="M73" s="808">
        <v>0</v>
      </c>
      <c r="N73" s="807">
        <v>0</v>
      </c>
      <c r="O73" s="21">
        <f t="shared" si="11"/>
        <v>3</v>
      </c>
    </row>
    <row r="74" spans="1:15" x14ac:dyDescent="0.25">
      <c r="A74" s="1974"/>
      <c r="B74" s="19" t="s">
        <v>34</v>
      </c>
      <c r="C74" s="620"/>
      <c r="D74" s="800">
        <v>4</v>
      </c>
      <c r="E74" s="802">
        <v>0</v>
      </c>
      <c r="F74" s="801">
        <v>0</v>
      </c>
      <c r="G74" s="619">
        <f t="shared" si="9"/>
        <v>4</v>
      </c>
      <c r="H74" s="803">
        <v>4</v>
      </c>
      <c r="I74" s="805">
        <v>0</v>
      </c>
      <c r="J74" s="804">
        <v>0</v>
      </c>
      <c r="K74" s="619">
        <f t="shared" si="10"/>
        <v>4</v>
      </c>
      <c r="L74" s="806">
        <v>4</v>
      </c>
      <c r="M74" s="808">
        <v>0</v>
      </c>
      <c r="N74" s="807">
        <v>0</v>
      </c>
      <c r="O74" s="21">
        <f t="shared" si="11"/>
        <v>4</v>
      </c>
    </row>
    <row r="75" spans="1:15" x14ac:dyDescent="0.25">
      <c r="A75" s="1974" t="s">
        <v>21</v>
      </c>
      <c r="B75" s="19" t="s">
        <v>32</v>
      </c>
      <c r="C75" s="620"/>
      <c r="D75" s="38" t="s">
        <v>90</v>
      </c>
      <c r="E75" s="38" t="s">
        <v>90</v>
      </c>
      <c r="F75" s="38" t="s">
        <v>90</v>
      </c>
      <c r="G75" s="21">
        <f t="shared" ref="G75:G86" si="12" xml:space="preserve"> SUM(D75:F75) + $C75</f>
        <v>0</v>
      </c>
      <c r="H75" s="38" t="s">
        <v>90</v>
      </c>
      <c r="I75" s="38" t="s">
        <v>90</v>
      </c>
      <c r="J75" s="38" t="s">
        <v>90</v>
      </c>
      <c r="K75" s="21">
        <f t="shared" ref="K75:K86" si="13" xml:space="preserve"> SUM(H75:J75) + $C75</f>
        <v>0</v>
      </c>
      <c r="L75" s="38" t="s">
        <v>90</v>
      </c>
      <c r="M75" s="38" t="s">
        <v>90</v>
      </c>
      <c r="N75" s="38" t="s">
        <v>90</v>
      </c>
      <c r="O75" s="21">
        <f t="shared" si="11"/>
        <v>0</v>
      </c>
    </row>
    <row r="76" spans="1:15" x14ac:dyDescent="0.25">
      <c r="A76" s="1974"/>
      <c r="B76" s="19" t="s">
        <v>33</v>
      </c>
      <c r="C76" s="620"/>
      <c r="D76" s="38" t="s">
        <v>90</v>
      </c>
      <c r="E76" s="38" t="s">
        <v>90</v>
      </c>
      <c r="F76" s="38" t="s">
        <v>90</v>
      </c>
      <c r="G76" s="21">
        <f t="shared" si="12"/>
        <v>0</v>
      </c>
      <c r="H76" s="38" t="s">
        <v>90</v>
      </c>
      <c r="I76" s="38" t="s">
        <v>90</v>
      </c>
      <c r="J76" s="38" t="s">
        <v>90</v>
      </c>
      <c r="K76" s="21">
        <f t="shared" si="13"/>
        <v>0</v>
      </c>
      <c r="L76" s="38" t="s">
        <v>90</v>
      </c>
      <c r="M76" s="38" t="s">
        <v>90</v>
      </c>
      <c r="N76" s="38" t="s">
        <v>90</v>
      </c>
      <c r="O76" s="21">
        <f t="shared" si="11"/>
        <v>0</v>
      </c>
    </row>
    <row r="77" spans="1:15" x14ac:dyDescent="0.25">
      <c r="A77" s="1974"/>
      <c r="B77" s="13" t="s">
        <v>34</v>
      </c>
      <c r="C77" s="624"/>
      <c r="D77" s="38" t="s">
        <v>90</v>
      </c>
      <c r="E77" s="38" t="s">
        <v>90</v>
      </c>
      <c r="F77" s="38" t="s">
        <v>90</v>
      </c>
      <c r="G77" s="21">
        <f t="shared" si="12"/>
        <v>0</v>
      </c>
      <c r="H77" s="38" t="s">
        <v>90</v>
      </c>
      <c r="I77" s="38" t="s">
        <v>90</v>
      </c>
      <c r="J77" s="38" t="s">
        <v>90</v>
      </c>
      <c r="K77" s="21">
        <f t="shared" si="13"/>
        <v>0</v>
      </c>
      <c r="L77" s="38" t="s">
        <v>90</v>
      </c>
      <c r="M77" s="38" t="s">
        <v>90</v>
      </c>
      <c r="N77" s="38" t="s">
        <v>90</v>
      </c>
      <c r="O77" s="21">
        <f t="shared" si="11"/>
        <v>0</v>
      </c>
    </row>
    <row r="78" spans="1:15" x14ac:dyDescent="0.25">
      <c r="A78" s="1974" t="s">
        <v>181</v>
      </c>
      <c r="B78" s="19" t="s">
        <v>32</v>
      </c>
      <c r="C78" s="620"/>
      <c r="D78" s="825">
        <f>1*D$3+(0.5*E$3)</f>
        <v>0</v>
      </c>
      <c r="E78" s="809">
        <v>0</v>
      </c>
      <c r="F78" s="810">
        <v>0</v>
      </c>
      <c r="G78" s="619">
        <f t="shared" si="12"/>
        <v>0</v>
      </c>
      <c r="H78" s="825">
        <f>1*H$3+(0.5*I$3)</f>
        <v>0</v>
      </c>
      <c r="I78" s="616">
        <v>0</v>
      </c>
      <c r="J78" s="646">
        <v>0</v>
      </c>
      <c r="K78" s="619">
        <f t="shared" si="13"/>
        <v>0</v>
      </c>
      <c r="L78" s="825">
        <f>1*L$3+(0.5*M$3)</f>
        <v>0</v>
      </c>
      <c r="M78" s="616">
        <v>0</v>
      </c>
      <c r="N78" s="646">
        <v>0</v>
      </c>
      <c r="O78" s="21">
        <f t="shared" si="11"/>
        <v>0</v>
      </c>
    </row>
    <row r="79" spans="1:15" x14ac:dyDescent="0.25">
      <c r="A79" s="1974"/>
      <c r="B79" s="19" t="s">
        <v>33</v>
      </c>
      <c r="C79" s="620"/>
      <c r="D79" s="825">
        <f>1*D$3+(1*E$3)</f>
        <v>0</v>
      </c>
      <c r="E79" s="809">
        <v>0</v>
      </c>
      <c r="F79" s="810">
        <v>0</v>
      </c>
      <c r="G79" s="619">
        <f t="shared" si="12"/>
        <v>0</v>
      </c>
      <c r="H79" s="825">
        <f>1*H$3+(1*I$3)</f>
        <v>0</v>
      </c>
      <c r="I79" s="616">
        <v>0</v>
      </c>
      <c r="J79" s="646">
        <v>0</v>
      </c>
      <c r="K79" s="619">
        <f t="shared" si="13"/>
        <v>0</v>
      </c>
      <c r="L79" s="825">
        <f>1*L$3+(1*M$3)</f>
        <v>0</v>
      </c>
      <c r="M79" s="616">
        <v>0</v>
      </c>
      <c r="N79" s="646">
        <v>0</v>
      </c>
      <c r="O79" s="21">
        <f t="shared" si="11"/>
        <v>0</v>
      </c>
    </row>
    <row r="80" spans="1:15" x14ac:dyDescent="0.25">
      <c r="A80" s="1974"/>
      <c r="B80" s="19" t="s">
        <v>34</v>
      </c>
      <c r="C80" s="620"/>
      <c r="D80" s="825">
        <f>1*D$3+(1.5*E$3)</f>
        <v>0</v>
      </c>
      <c r="E80" s="809">
        <v>0</v>
      </c>
      <c r="F80" s="810">
        <v>0</v>
      </c>
      <c r="G80" s="619">
        <f t="shared" si="12"/>
        <v>0</v>
      </c>
      <c r="H80" s="825">
        <f>1*H$3+(1.5*I$3)</f>
        <v>0</v>
      </c>
      <c r="I80" s="616">
        <v>0</v>
      </c>
      <c r="J80" s="646">
        <v>0</v>
      </c>
      <c r="K80" s="619">
        <f t="shared" si="13"/>
        <v>0</v>
      </c>
      <c r="L80" s="825">
        <f>1*L$3+(1.5*M$3)</f>
        <v>0</v>
      </c>
      <c r="M80" s="616">
        <v>0</v>
      </c>
      <c r="N80" s="646">
        <v>0</v>
      </c>
      <c r="O80" s="21">
        <f t="shared" si="11"/>
        <v>0</v>
      </c>
    </row>
    <row r="81" spans="1:15" x14ac:dyDescent="0.25">
      <c r="A81" s="1974" t="s">
        <v>182</v>
      </c>
      <c r="B81" s="19" t="s">
        <v>32</v>
      </c>
      <c r="C81" s="620"/>
      <c r="D81" s="825">
        <f>1*D$3+(0.5*E$3)</f>
        <v>0</v>
      </c>
      <c r="E81" s="809">
        <v>0</v>
      </c>
      <c r="F81" s="810">
        <v>0</v>
      </c>
      <c r="G81" s="619">
        <f t="shared" si="12"/>
        <v>0</v>
      </c>
      <c r="H81" s="825">
        <f>1*H$3+(0.5*I$3)</f>
        <v>0</v>
      </c>
      <c r="I81" s="616">
        <v>0</v>
      </c>
      <c r="J81" s="646">
        <v>0</v>
      </c>
      <c r="K81" s="619">
        <f t="shared" si="13"/>
        <v>0</v>
      </c>
      <c r="L81" s="825">
        <f>1*L$3+(0.5*M$3)</f>
        <v>0</v>
      </c>
      <c r="M81" s="616">
        <v>0</v>
      </c>
      <c r="N81" s="646">
        <v>0</v>
      </c>
      <c r="O81" s="21">
        <f t="shared" si="11"/>
        <v>0</v>
      </c>
    </row>
    <row r="82" spans="1:15" x14ac:dyDescent="0.25">
      <c r="A82" s="1974"/>
      <c r="B82" s="19" t="s">
        <v>33</v>
      </c>
      <c r="C82" s="620"/>
      <c r="D82" s="825">
        <f>1*D$3+(1*E$3)</f>
        <v>0</v>
      </c>
      <c r="E82" s="809">
        <v>0</v>
      </c>
      <c r="F82" s="810">
        <v>0</v>
      </c>
      <c r="G82" s="619">
        <f t="shared" si="12"/>
        <v>0</v>
      </c>
      <c r="H82" s="825">
        <f>1*H$3+(1*I$3)</f>
        <v>0</v>
      </c>
      <c r="I82" s="616">
        <v>0</v>
      </c>
      <c r="J82" s="646">
        <v>0</v>
      </c>
      <c r="K82" s="619">
        <f t="shared" si="13"/>
        <v>0</v>
      </c>
      <c r="L82" s="825">
        <f>1*L$3+(1*M$3)</f>
        <v>0</v>
      </c>
      <c r="M82" s="616">
        <v>0</v>
      </c>
      <c r="N82" s="646">
        <v>0</v>
      </c>
      <c r="O82" s="21">
        <f t="shared" si="11"/>
        <v>0</v>
      </c>
    </row>
    <row r="83" spans="1:15" x14ac:dyDescent="0.25">
      <c r="A83" s="1974"/>
      <c r="B83" s="19" t="s">
        <v>34</v>
      </c>
      <c r="C83" s="620"/>
      <c r="D83" s="825">
        <f>1*D$3+(1.5*E$3)</f>
        <v>0</v>
      </c>
      <c r="E83" s="809">
        <v>0</v>
      </c>
      <c r="F83" s="810">
        <v>0</v>
      </c>
      <c r="G83" s="619">
        <f t="shared" si="12"/>
        <v>0</v>
      </c>
      <c r="H83" s="825">
        <f>1*H$3+(1.5*I$3)</f>
        <v>0</v>
      </c>
      <c r="I83" s="616">
        <v>0</v>
      </c>
      <c r="J83" s="646">
        <v>0</v>
      </c>
      <c r="K83" s="619">
        <f t="shared" si="13"/>
        <v>0</v>
      </c>
      <c r="L83" s="825">
        <f>1*L$3+(1.5*M$3)</f>
        <v>0</v>
      </c>
      <c r="M83" s="616">
        <v>0</v>
      </c>
      <c r="N83" s="646">
        <v>0</v>
      </c>
      <c r="O83" s="21">
        <f t="shared" si="11"/>
        <v>0</v>
      </c>
    </row>
    <row r="84" spans="1:15" x14ac:dyDescent="0.25">
      <c r="A84" s="1994" t="s">
        <v>183</v>
      </c>
      <c r="B84" s="19" t="s">
        <v>32</v>
      </c>
      <c r="C84" s="620"/>
      <c r="D84" s="825">
        <f>1*D$3+(0.5*E$3)</f>
        <v>0</v>
      </c>
      <c r="E84" s="809">
        <v>0</v>
      </c>
      <c r="F84" s="810">
        <v>0</v>
      </c>
      <c r="G84" s="619">
        <f t="shared" si="12"/>
        <v>0</v>
      </c>
      <c r="H84" s="825">
        <f>1*H$3+(0.5*I$3)</f>
        <v>0</v>
      </c>
      <c r="I84" s="616">
        <v>0</v>
      </c>
      <c r="J84" s="646">
        <v>0</v>
      </c>
      <c r="K84" s="619">
        <f t="shared" si="13"/>
        <v>0</v>
      </c>
      <c r="L84" s="825">
        <f>1*L$3+(0.5*M$3)</f>
        <v>0</v>
      </c>
      <c r="M84" s="616">
        <v>0</v>
      </c>
      <c r="N84" s="646">
        <v>0</v>
      </c>
      <c r="O84" s="21">
        <f t="shared" si="11"/>
        <v>0</v>
      </c>
    </row>
    <row r="85" spans="1:15" x14ac:dyDescent="0.25">
      <c r="A85" s="1994"/>
      <c r="B85" s="19" t="s">
        <v>33</v>
      </c>
      <c r="C85" s="620"/>
      <c r="D85" s="825">
        <f>1*D$3+(1*E$3)</f>
        <v>0</v>
      </c>
      <c r="E85" s="809">
        <v>0</v>
      </c>
      <c r="F85" s="810">
        <v>0</v>
      </c>
      <c r="G85" s="619">
        <f t="shared" si="12"/>
        <v>0</v>
      </c>
      <c r="H85" s="825">
        <f>1*H$3+(1*I$3)</f>
        <v>0</v>
      </c>
      <c r="I85" s="616">
        <v>0</v>
      </c>
      <c r="J85" s="646">
        <v>0</v>
      </c>
      <c r="K85" s="619">
        <f t="shared" si="13"/>
        <v>0</v>
      </c>
      <c r="L85" s="825">
        <f>1*L$3+(1*M$3)</f>
        <v>0</v>
      </c>
      <c r="M85" s="616">
        <v>0</v>
      </c>
      <c r="N85" s="646">
        <v>0</v>
      </c>
      <c r="O85" s="21">
        <f t="shared" si="11"/>
        <v>0</v>
      </c>
    </row>
    <row r="86" spans="1:15" ht="15.75" thickBot="1" x14ac:dyDescent="0.3">
      <c r="A86" s="1994"/>
      <c r="B86" s="13" t="s">
        <v>34</v>
      </c>
      <c r="C86" s="621"/>
      <c r="D86" s="836">
        <f>1*D$3+(1.5*E$3)</f>
        <v>0</v>
      </c>
      <c r="E86" s="811">
        <v>0</v>
      </c>
      <c r="F86" s="812">
        <v>0</v>
      </c>
      <c r="G86" s="77">
        <f t="shared" si="12"/>
        <v>0</v>
      </c>
      <c r="H86" s="836">
        <f>1*H$3+(1.5*I$3)</f>
        <v>0</v>
      </c>
      <c r="I86" s="659">
        <v>0</v>
      </c>
      <c r="J86" s="663">
        <v>0</v>
      </c>
      <c r="K86" s="77">
        <f t="shared" si="13"/>
        <v>0</v>
      </c>
      <c r="L86" s="836">
        <f>1*L$3+(1.5*M$3)</f>
        <v>0</v>
      </c>
      <c r="M86" s="659">
        <v>0</v>
      </c>
      <c r="N86" s="663">
        <v>0</v>
      </c>
      <c r="O86" s="77">
        <f t="shared" si="11"/>
        <v>0</v>
      </c>
    </row>
    <row r="87" spans="1:15" ht="16.5" thickBot="1" x14ac:dyDescent="0.3">
      <c r="A87" s="330" t="s">
        <v>22</v>
      </c>
      <c r="B87" s="329"/>
      <c r="C87" s="329"/>
      <c r="D87" s="329"/>
      <c r="E87" s="329"/>
      <c r="F87" s="327"/>
      <c r="G87" s="327"/>
      <c r="H87" s="329"/>
      <c r="I87" s="329"/>
      <c r="J87" s="327"/>
      <c r="K87" s="327"/>
      <c r="L87" s="329"/>
      <c r="M87" s="329"/>
      <c r="N87" s="327"/>
      <c r="O87" s="396"/>
    </row>
    <row r="88" spans="1:15" x14ac:dyDescent="0.25">
      <c r="A88" s="1932" t="s">
        <v>23</v>
      </c>
      <c r="B88" s="404" t="s">
        <v>32</v>
      </c>
      <c r="C88" s="324"/>
      <c r="D88" s="678">
        <v>0.25</v>
      </c>
      <c r="E88" s="660">
        <v>0</v>
      </c>
      <c r="F88" s="679">
        <v>0</v>
      </c>
      <c r="G88" s="230">
        <f t="shared" ref="G88:G105" si="14" xml:space="preserve"> SUM(D88:F88) + $C88</f>
        <v>0.25</v>
      </c>
      <c r="H88" s="760">
        <v>0.25</v>
      </c>
      <c r="I88" s="767">
        <v>0</v>
      </c>
      <c r="J88" s="761">
        <v>0</v>
      </c>
      <c r="K88" s="230">
        <f t="shared" ref="K88:K105" si="15" xml:space="preserve"> SUM(H88:J88) + $C88</f>
        <v>0.25</v>
      </c>
      <c r="L88" s="760">
        <v>0.25</v>
      </c>
      <c r="M88" s="767">
        <v>0</v>
      </c>
      <c r="N88" s="761">
        <v>0</v>
      </c>
      <c r="O88" s="230">
        <f t="shared" ref="O88:O93" si="16" xml:space="preserve"> SUM(L88:N88) + $C88</f>
        <v>0.25</v>
      </c>
    </row>
    <row r="89" spans="1:15" x14ac:dyDescent="0.25">
      <c r="A89" s="1932"/>
      <c r="B89" s="19" t="s">
        <v>33</v>
      </c>
      <c r="C89" s="22"/>
      <c r="D89" s="678">
        <v>0.25</v>
      </c>
      <c r="E89" s="616">
        <v>0</v>
      </c>
      <c r="F89" s="623">
        <v>0</v>
      </c>
      <c r="G89" s="21">
        <f t="shared" si="14"/>
        <v>0.25</v>
      </c>
      <c r="H89" s="760">
        <v>0.25</v>
      </c>
      <c r="I89" s="740">
        <v>0</v>
      </c>
      <c r="J89" s="743">
        <v>0</v>
      </c>
      <c r="K89" s="21">
        <f t="shared" si="15"/>
        <v>0.25</v>
      </c>
      <c r="L89" s="760">
        <v>0.25</v>
      </c>
      <c r="M89" s="740">
        <v>0</v>
      </c>
      <c r="N89" s="743">
        <v>0</v>
      </c>
      <c r="O89" s="21">
        <f t="shared" si="16"/>
        <v>0.25</v>
      </c>
    </row>
    <row r="90" spans="1:15" x14ac:dyDescent="0.25">
      <c r="A90" s="1932"/>
      <c r="B90" s="19" t="s">
        <v>34</v>
      </c>
      <c r="C90" s="22"/>
      <c r="D90" s="678">
        <v>0.25</v>
      </c>
      <c r="E90" s="616">
        <v>0</v>
      </c>
      <c r="F90" s="623">
        <v>0</v>
      </c>
      <c r="G90" s="21">
        <f t="shared" si="14"/>
        <v>0.25</v>
      </c>
      <c r="H90" s="760">
        <v>0.25</v>
      </c>
      <c r="I90" s="740">
        <v>0</v>
      </c>
      <c r="J90" s="743">
        <v>0</v>
      </c>
      <c r="K90" s="21">
        <f t="shared" si="15"/>
        <v>0.25</v>
      </c>
      <c r="L90" s="760">
        <v>0.25</v>
      </c>
      <c r="M90" s="740">
        <v>0</v>
      </c>
      <c r="N90" s="743">
        <v>0</v>
      </c>
      <c r="O90" s="21">
        <f t="shared" si="16"/>
        <v>0.25</v>
      </c>
    </row>
    <row r="91" spans="1:15" x14ac:dyDescent="0.25">
      <c r="A91" s="1974" t="s">
        <v>24</v>
      </c>
      <c r="B91" s="19" t="s">
        <v>32</v>
      </c>
      <c r="C91" s="22"/>
      <c r="D91" s="625">
        <v>8</v>
      </c>
      <c r="E91" s="630">
        <f t="shared" ref="E91:E96" si="17">0.5*E$3</f>
        <v>0</v>
      </c>
      <c r="F91" s="623">
        <v>0</v>
      </c>
      <c r="G91" s="619">
        <f t="shared" si="14"/>
        <v>8</v>
      </c>
      <c r="H91" s="744">
        <v>8</v>
      </c>
      <c r="I91" s="630">
        <f t="shared" ref="I91:I96" si="18">0.5*I$3</f>
        <v>0</v>
      </c>
      <c r="J91" s="743">
        <v>0</v>
      </c>
      <c r="K91" s="619">
        <f t="shared" si="15"/>
        <v>8</v>
      </c>
      <c r="L91" s="744">
        <v>8</v>
      </c>
      <c r="M91" s="630">
        <f t="shared" ref="M91:M96" si="19">0.5*M$3</f>
        <v>0</v>
      </c>
      <c r="N91" s="743">
        <v>0</v>
      </c>
      <c r="O91" s="21">
        <f t="shared" si="16"/>
        <v>8</v>
      </c>
    </row>
    <row r="92" spans="1:15" x14ac:dyDescent="0.25">
      <c r="A92" s="1974"/>
      <c r="B92" s="19" t="s">
        <v>33</v>
      </c>
      <c r="C92" s="22"/>
      <c r="D92" s="625">
        <v>8</v>
      </c>
      <c r="E92" s="630">
        <f t="shared" si="17"/>
        <v>0</v>
      </c>
      <c r="F92" s="623">
        <v>0</v>
      </c>
      <c r="G92" s="619">
        <f t="shared" si="14"/>
        <v>8</v>
      </c>
      <c r="H92" s="744">
        <v>8</v>
      </c>
      <c r="I92" s="630">
        <f t="shared" si="18"/>
        <v>0</v>
      </c>
      <c r="J92" s="743">
        <v>0</v>
      </c>
      <c r="K92" s="619">
        <f t="shared" si="15"/>
        <v>8</v>
      </c>
      <c r="L92" s="744">
        <v>8</v>
      </c>
      <c r="M92" s="630">
        <f t="shared" si="19"/>
        <v>0</v>
      </c>
      <c r="N92" s="743">
        <v>0</v>
      </c>
      <c r="O92" s="21">
        <f t="shared" si="16"/>
        <v>8</v>
      </c>
    </row>
    <row r="93" spans="1:15" x14ac:dyDescent="0.25">
      <c r="A93" s="1974"/>
      <c r="B93" s="19" t="s">
        <v>34</v>
      </c>
      <c r="C93" s="22"/>
      <c r="D93" s="625">
        <v>8</v>
      </c>
      <c r="E93" s="630">
        <f t="shared" si="17"/>
        <v>0</v>
      </c>
      <c r="F93" s="623">
        <v>0</v>
      </c>
      <c r="G93" s="619">
        <f t="shared" si="14"/>
        <v>8</v>
      </c>
      <c r="H93" s="744">
        <v>8</v>
      </c>
      <c r="I93" s="630">
        <f t="shared" si="18"/>
        <v>0</v>
      </c>
      <c r="J93" s="743">
        <v>0</v>
      </c>
      <c r="K93" s="619">
        <f t="shared" si="15"/>
        <v>8</v>
      </c>
      <c r="L93" s="744">
        <v>8</v>
      </c>
      <c r="M93" s="630">
        <f t="shared" si="19"/>
        <v>0</v>
      </c>
      <c r="N93" s="743">
        <v>0</v>
      </c>
      <c r="O93" s="21">
        <f t="shared" si="16"/>
        <v>8</v>
      </c>
    </row>
    <row r="94" spans="1:15" x14ac:dyDescent="0.25">
      <c r="A94" s="1974" t="s">
        <v>25</v>
      </c>
      <c r="B94" s="19" t="s">
        <v>32</v>
      </c>
      <c r="C94" s="22"/>
      <c r="D94" s="625">
        <v>6</v>
      </c>
      <c r="E94" s="630">
        <f t="shared" si="17"/>
        <v>0</v>
      </c>
      <c r="F94" s="623">
        <v>0</v>
      </c>
      <c r="G94" s="619">
        <f t="shared" si="14"/>
        <v>6</v>
      </c>
      <c r="H94" s="744">
        <v>6</v>
      </c>
      <c r="I94" s="630">
        <f t="shared" si="18"/>
        <v>0</v>
      </c>
      <c r="J94" s="743">
        <v>0</v>
      </c>
      <c r="K94" s="619">
        <f t="shared" si="15"/>
        <v>6</v>
      </c>
      <c r="L94" s="744">
        <v>6</v>
      </c>
      <c r="M94" s="630">
        <f t="shared" si="19"/>
        <v>0</v>
      </c>
      <c r="N94" s="743">
        <v>0</v>
      </c>
      <c r="O94" s="21">
        <f t="shared" ref="O94:O105" si="20" xml:space="preserve"> SUM(L94:N94) + $C94</f>
        <v>6</v>
      </c>
    </row>
    <row r="95" spans="1:15" x14ac:dyDescent="0.25">
      <c r="A95" s="1974"/>
      <c r="B95" s="19" t="s">
        <v>33</v>
      </c>
      <c r="C95" s="22"/>
      <c r="D95" s="625">
        <v>6</v>
      </c>
      <c r="E95" s="630">
        <f t="shared" si="17"/>
        <v>0</v>
      </c>
      <c r="F95" s="623">
        <v>0</v>
      </c>
      <c r="G95" s="619">
        <f t="shared" si="14"/>
        <v>6</v>
      </c>
      <c r="H95" s="744">
        <v>6</v>
      </c>
      <c r="I95" s="630">
        <f t="shared" si="18"/>
        <v>0</v>
      </c>
      <c r="J95" s="743">
        <v>0</v>
      </c>
      <c r="K95" s="619">
        <f t="shared" si="15"/>
        <v>6</v>
      </c>
      <c r="L95" s="744">
        <v>6</v>
      </c>
      <c r="M95" s="630">
        <f t="shared" si="19"/>
        <v>0</v>
      </c>
      <c r="N95" s="743">
        <v>0</v>
      </c>
      <c r="O95" s="21">
        <f t="shared" si="20"/>
        <v>6</v>
      </c>
    </row>
    <row r="96" spans="1:15" x14ac:dyDescent="0.25">
      <c r="A96" s="1974"/>
      <c r="B96" s="19" t="s">
        <v>34</v>
      </c>
      <c r="C96" s="22"/>
      <c r="D96" s="625">
        <v>6</v>
      </c>
      <c r="E96" s="630">
        <f t="shared" si="17"/>
        <v>0</v>
      </c>
      <c r="F96" s="623">
        <v>0</v>
      </c>
      <c r="G96" s="619">
        <f t="shared" si="14"/>
        <v>6</v>
      </c>
      <c r="H96" s="744">
        <v>6</v>
      </c>
      <c r="I96" s="630">
        <f t="shared" si="18"/>
        <v>0</v>
      </c>
      <c r="J96" s="743">
        <v>0</v>
      </c>
      <c r="K96" s="619">
        <f t="shared" si="15"/>
        <v>6</v>
      </c>
      <c r="L96" s="744">
        <v>6</v>
      </c>
      <c r="M96" s="630">
        <f t="shared" si="19"/>
        <v>0</v>
      </c>
      <c r="N96" s="743">
        <v>0</v>
      </c>
      <c r="O96" s="21">
        <f t="shared" si="20"/>
        <v>6</v>
      </c>
    </row>
    <row r="97" spans="1:15" x14ac:dyDescent="0.25">
      <c r="A97" s="1974" t="s">
        <v>26</v>
      </c>
      <c r="B97" s="19" t="s">
        <v>32</v>
      </c>
      <c r="C97" s="22"/>
      <c r="D97" s="631">
        <f>4+(0.5*D$3)</f>
        <v>4</v>
      </c>
      <c r="E97" s="625">
        <v>0</v>
      </c>
      <c r="F97" s="625">
        <v>0</v>
      </c>
      <c r="G97" s="619">
        <f t="shared" si="14"/>
        <v>4</v>
      </c>
      <c r="H97" s="747">
        <f>4+(0.5*H$3)</f>
        <v>4</v>
      </c>
      <c r="I97" s="744">
        <v>0</v>
      </c>
      <c r="J97" s="744">
        <v>0</v>
      </c>
      <c r="K97" s="619">
        <f t="shared" si="15"/>
        <v>4</v>
      </c>
      <c r="L97" s="747">
        <f>4+(0.5*L$3)</f>
        <v>4</v>
      </c>
      <c r="M97" s="744">
        <v>0</v>
      </c>
      <c r="N97" s="744">
        <v>0</v>
      </c>
      <c r="O97" s="21">
        <f t="shared" si="20"/>
        <v>4</v>
      </c>
    </row>
    <row r="98" spans="1:15" x14ac:dyDescent="0.25">
      <c r="A98" s="1974"/>
      <c r="B98" s="19" t="s">
        <v>33</v>
      </c>
      <c r="C98" s="22"/>
      <c r="D98" s="631">
        <f>4+(0.5*D$3)</f>
        <v>4</v>
      </c>
      <c r="E98" s="625">
        <v>0</v>
      </c>
      <c r="F98" s="625">
        <v>0</v>
      </c>
      <c r="G98" s="619">
        <f t="shared" si="14"/>
        <v>4</v>
      </c>
      <c r="H98" s="747">
        <f>4+(0.5*H$3)</f>
        <v>4</v>
      </c>
      <c r="I98" s="744">
        <v>0</v>
      </c>
      <c r="J98" s="744">
        <v>0</v>
      </c>
      <c r="K98" s="619">
        <f t="shared" si="15"/>
        <v>4</v>
      </c>
      <c r="L98" s="747">
        <f>4+(0.5*L$3)</f>
        <v>4</v>
      </c>
      <c r="M98" s="744">
        <v>0</v>
      </c>
      <c r="N98" s="744">
        <v>0</v>
      </c>
      <c r="O98" s="21">
        <f t="shared" si="20"/>
        <v>4</v>
      </c>
    </row>
    <row r="99" spans="1:15" x14ac:dyDescent="0.25">
      <c r="A99" s="1974"/>
      <c r="B99" s="19" t="s">
        <v>34</v>
      </c>
      <c r="C99" s="22"/>
      <c r="D99" s="631">
        <f>4+(0.5*D$3)</f>
        <v>4</v>
      </c>
      <c r="E99" s="625">
        <v>0</v>
      </c>
      <c r="F99" s="625">
        <v>0</v>
      </c>
      <c r="G99" s="619">
        <f t="shared" si="14"/>
        <v>4</v>
      </c>
      <c r="H99" s="747">
        <f>4+(0.5*H$3)</f>
        <v>4</v>
      </c>
      <c r="I99" s="744">
        <v>0</v>
      </c>
      <c r="J99" s="744">
        <v>0</v>
      </c>
      <c r="K99" s="619">
        <f t="shared" si="15"/>
        <v>4</v>
      </c>
      <c r="L99" s="747">
        <f>4+(0.5*L$3)</f>
        <v>4</v>
      </c>
      <c r="M99" s="744">
        <v>0</v>
      </c>
      <c r="N99" s="744">
        <v>0</v>
      </c>
      <c r="O99" s="21">
        <f t="shared" si="20"/>
        <v>4</v>
      </c>
    </row>
    <row r="100" spans="1:15" x14ac:dyDescent="0.25">
      <c r="A100" s="1974" t="s">
        <v>27</v>
      </c>
      <c r="B100" s="19" t="s">
        <v>32</v>
      </c>
      <c r="C100" s="22"/>
      <c r="D100" s="631">
        <f>2+(0.5*D$3)</f>
        <v>2</v>
      </c>
      <c r="E100" s="631">
        <f>(0.5*E$3)</f>
        <v>0</v>
      </c>
      <c r="F100" s="631">
        <f>(0.2*$F$3)</f>
        <v>0</v>
      </c>
      <c r="G100" s="619">
        <f t="shared" si="14"/>
        <v>2</v>
      </c>
      <c r="H100" s="747">
        <f>2+(0.5*H$3)</f>
        <v>2</v>
      </c>
      <c r="I100" s="747">
        <f>(0.5*I$3)</f>
        <v>0</v>
      </c>
      <c r="J100" s="747">
        <f>(0.2*$F$3)</f>
        <v>0</v>
      </c>
      <c r="K100" s="619">
        <f t="shared" si="15"/>
        <v>2</v>
      </c>
      <c r="L100" s="747">
        <f>2+(0.5*L$3)</f>
        <v>2</v>
      </c>
      <c r="M100" s="747">
        <f>(0.5*M$3)</f>
        <v>0</v>
      </c>
      <c r="N100" s="747">
        <f>(0.2*$F$3)</f>
        <v>0</v>
      </c>
      <c r="O100" s="21">
        <f t="shared" si="20"/>
        <v>2</v>
      </c>
    </row>
    <row r="101" spans="1:15" x14ac:dyDescent="0.25">
      <c r="A101" s="1974"/>
      <c r="B101" s="19" t="s">
        <v>33</v>
      </c>
      <c r="C101" s="22"/>
      <c r="D101" s="631">
        <f>3+(0.5*D$3)</f>
        <v>3</v>
      </c>
      <c r="E101" s="631">
        <f>1*E$3</f>
        <v>0</v>
      </c>
      <c r="F101" s="631">
        <f>(0.5*$F$3)</f>
        <v>0</v>
      </c>
      <c r="G101" s="619">
        <f t="shared" si="14"/>
        <v>3</v>
      </c>
      <c r="H101" s="747">
        <f>3+(0.5*H$3)</f>
        <v>3</v>
      </c>
      <c r="I101" s="747">
        <f>1*I$3</f>
        <v>0</v>
      </c>
      <c r="J101" s="747">
        <f>(0.5*$F$3)</f>
        <v>0</v>
      </c>
      <c r="K101" s="619">
        <f t="shared" si="15"/>
        <v>3</v>
      </c>
      <c r="L101" s="747">
        <f>3+(0.5*L$3)</f>
        <v>3</v>
      </c>
      <c r="M101" s="747">
        <f>1*M$3</f>
        <v>0</v>
      </c>
      <c r="N101" s="747">
        <f>(0.5*$F$3)</f>
        <v>0</v>
      </c>
      <c r="O101" s="21">
        <f t="shared" si="20"/>
        <v>3</v>
      </c>
    </row>
    <row r="102" spans="1:15" x14ac:dyDescent="0.25">
      <c r="A102" s="1974"/>
      <c r="B102" s="19" t="s">
        <v>34</v>
      </c>
      <c r="C102" s="22"/>
      <c r="D102" s="631">
        <f>5+(0.5*D$3)</f>
        <v>5</v>
      </c>
      <c r="E102" s="631">
        <f>1.5*E$3</f>
        <v>0</v>
      </c>
      <c r="F102" s="631">
        <f>(0.7*$F$3)</f>
        <v>0</v>
      </c>
      <c r="G102" s="619">
        <f t="shared" si="14"/>
        <v>5</v>
      </c>
      <c r="H102" s="747">
        <f>5+(0.5*H$3)</f>
        <v>5</v>
      </c>
      <c r="I102" s="747">
        <f>1.5*I$3</f>
        <v>0</v>
      </c>
      <c r="J102" s="747">
        <f>(0.7*$F$3)</f>
        <v>0</v>
      </c>
      <c r="K102" s="619">
        <f t="shared" si="15"/>
        <v>5</v>
      </c>
      <c r="L102" s="747">
        <f>5+(0.5*L$3)</f>
        <v>5</v>
      </c>
      <c r="M102" s="747">
        <f>1.5*M$3</f>
        <v>0</v>
      </c>
      <c r="N102" s="747">
        <f>(0.7*$F$3)</f>
        <v>0</v>
      </c>
      <c r="O102" s="21">
        <f t="shared" si="20"/>
        <v>5</v>
      </c>
    </row>
    <row r="103" spans="1:15" x14ac:dyDescent="0.25">
      <c r="A103" s="1907" t="s">
        <v>28</v>
      </c>
      <c r="B103" s="19" t="s">
        <v>32</v>
      </c>
      <c r="C103" s="22"/>
      <c r="D103" s="625">
        <v>2</v>
      </c>
      <c r="E103" s="628">
        <f>0.5*E$3</f>
        <v>0</v>
      </c>
      <c r="F103" s="628">
        <f>0.2*$F$3</f>
        <v>0</v>
      </c>
      <c r="G103" s="619">
        <f t="shared" si="14"/>
        <v>2</v>
      </c>
      <c r="H103" s="744">
        <v>2</v>
      </c>
      <c r="I103" s="746">
        <f>0.5*I$3</f>
        <v>0</v>
      </c>
      <c r="J103" s="746">
        <f>0.2*$F$3</f>
        <v>0</v>
      </c>
      <c r="K103" s="619">
        <f t="shared" si="15"/>
        <v>2</v>
      </c>
      <c r="L103" s="744">
        <v>2</v>
      </c>
      <c r="M103" s="746">
        <f>0.5*M$3</f>
        <v>0</v>
      </c>
      <c r="N103" s="746">
        <f>0.2*$F$3</f>
        <v>0</v>
      </c>
      <c r="O103" s="21">
        <f t="shared" si="20"/>
        <v>2</v>
      </c>
    </row>
    <row r="104" spans="1:15" x14ac:dyDescent="0.25">
      <c r="A104" s="1907"/>
      <c r="B104" s="19" t="s">
        <v>33</v>
      </c>
      <c r="C104" s="22"/>
      <c r="D104" s="625">
        <v>3</v>
      </c>
      <c r="E104" s="628">
        <f>0.5*E$3</f>
        <v>0</v>
      </c>
      <c r="F104" s="628">
        <f>0.5*$F$3</f>
        <v>0</v>
      </c>
      <c r="G104" s="619">
        <f t="shared" si="14"/>
        <v>3</v>
      </c>
      <c r="H104" s="744">
        <v>3</v>
      </c>
      <c r="I104" s="746">
        <f>0.5*I$3</f>
        <v>0</v>
      </c>
      <c r="J104" s="746">
        <f>0.5*$F$3</f>
        <v>0</v>
      </c>
      <c r="K104" s="619">
        <f t="shared" si="15"/>
        <v>3</v>
      </c>
      <c r="L104" s="744">
        <v>3</v>
      </c>
      <c r="M104" s="746">
        <f>0.5*M$3</f>
        <v>0</v>
      </c>
      <c r="N104" s="746">
        <f>0.5*$F$3</f>
        <v>0</v>
      </c>
      <c r="O104" s="21">
        <f t="shared" si="20"/>
        <v>3</v>
      </c>
    </row>
    <row r="105" spans="1:15" ht="15.75" thickBot="1" x14ac:dyDescent="0.3">
      <c r="A105" s="1975"/>
      <c r="B105" s="20" t="s">
        <v>34</v>
      </c>
      <c r="C105" s="23"/>
      <c r="D105" s="408">
        <v>4</v>
      </c>
      <c r="E105" s="657">
        <f>0.5*E$3</f>
        <v>0</v>
      </c>
      <c r="F105" s="657">
        <f>0.7*$F$3</f>
        <v>0</v>
      </c>
      <c r="G105" s="622">
        <f t="shared" si="14"/>
        <v>4</v>
      </c>
      <c r="H105" s="408">
        <v>4</v>
      </c>
      <c r="I105" s="657">
        <f>0.5*I$3</f>
        <v>0</v>
      </c>
      <c r="J105" s="657">
        <f>0.7*$F$3</f>
        <v>0</v>
      </c>
      <c r="K105" s="622">
        <f t="shared" si="15"/>
        <v>4</v>
      </c>
      <c r="L105" s="408">
        <v>4</v>
      </c>
      <c r="M105" s="657">
        <f>0.5*M$3</f>
        <v>0</v>
      </c>
      <c r="N105" s="657">
        <f>0.7*$F$3</f>
        <v>0</v>
      </c>
      <c r="O105" s="24">
        <f t="shared" si="20"/>
        <v>4</v>
      </c>
    </row>
    <row r="107" spans="1:15" x14ac:dyDescent="0.25">
      <c r="A107" s="125" t="s">
        <v>89</v>
      </c>
    </row>
  </sheetData>
  <mergeCells count="39">
    <mergeCell ref="A34:A36"/>
    <mergeCell ref="A103:A105"/>
    <mergeCell ref="A57:A59"/>
    <mergeCell ref="A60:A62"/>
    <mergeCell ref="A75:A77"/>
    <mergeCell ref="A78:A80"/>
    <mergeCell ref="A81:A83"/>
    <mergeCell ref="A84:A86"/>
    <mergeCell ref="A88:A90"/>
    <mergeCell ref="A91:A93"/>
    <mergeCell ref="A94:A96"/>
    <mergeCell ref="A97:A99"/>
    <mergeCell ref="A63:A65"/>
    <mergeCell ref="A66:A68"/>
    <mergeCell ref="A69:A71"/>
    <mergeCell ref="A72:A74"/>
    <mergeCell ref="A8:A10"/>
    <mergeCell ref="A12:A14"/>
    <mergeCell ref="A16:A18"/>
    <mergeCell ref="A5:A7"/>
    <mergeCell ref="A100:A102"/>
    <mergeCell ref="A54:A56"/>
    <mergeCell ref="A19:A21"/>
    <mergeCell ref="A22:A24"/>
    <mergeCell ref="A25:A27"/>
    <mergeCell ref="A28:A30"/>
    <mergeCell ref="A31:A33"/>
    <mergeCell ref="A38:A40"/>
    <mergeCell ref="A42:A44"/>
    <mergeCell ref="A45:A47"/>
    <mergeCell ref="A48:A50"/>
    <mergeCell ref="A51:A53"/>
    <mergeCell ref="D1:G1"/>
    <mergeCell ref="H1:K1"/>
    <mergeCell ref="L1:O1"/>
    <mergeCell ref="C2:C3"/>
    <mergeCell ref="O2:O3"/>
    <mergeCell ref="G2:G3"/>
    <mergeCell ref="K2:K3"/>
  </mergeCells>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Лист39"/>
  <dimension ref="A1:AA107"/>
  <sheetViews>
    <sheetView zoomScale="70" zoomScaleNormal="70" workbookViewId="0">
      <pane ySplit="1" topLeftCell="A38" activePane="bottomLeft" state="frozen"/>
      <selection pane="bottomLeft" activeCell="D110" sqref="D110"/>
    </sheetView>
  </sheetViews>
  <sheetFormatPr defaultRowHeight="15" x14ac:dyDescent="0.25"/>
  <cols>
    <col min="1" max="1" width="53.42578125" bestFit="1" customWidth="1"/>
    <col min="2" max="2" width="23.5703125" bestFit="1" customWidth="1"/>
    <col min="4" max="4" width="77.28515625" bestFit="1" customWidth="1"/>
    <col min="5" max="6" width="38" bestFit="1" customWidth="1"/>
    <col min="8" max="8" width="77.28515625" bestFit="1" customWidth="1"/>
    <col min="9" max="10" width="38" bestFit="1" customWidth="1"/>
    <col min="12" max="12" width="77.28515625" bestFit="1" customWidth="1"/>
    <col min="13" max="14" width="38" bestFit="1" customWidth="1"/>
    <col min="16" max="16" width="77.28515625" bestFit="1" customWidth="1"/>
    <col min="17" max="18" width="38" bestFit="1" customWidth="1"/>
    <col min="20" max="20" width="77.28515625" bestFit="1" customWidth="1"/>
    <col min="21" max="22" width="38" bestFit="1" customWidth="1"/>
    <col min="24" max="24" width="77.28515625" bestFit="1" customWidth="1"/>
    <col min="25" max="26" width="38" bestFit="1" customWidth="1"/>
  </cols>
  <sheetData>
    <row r="1" spans="1:27" ht="15" customHeight="1" thickBot="1" x14ac:dyDescent="0.3">
      <c r="A1" s="465" t="s">
        <v>91</v>
      </c>
      <c r="B1" s="35"/>
      <c r="C1" s="43"/>
      <c r="D1" s="1939" t="str">
        <f>'Служебный АСУТП'!AF2</f>
        <v>Vmware</v>
      </c>
      <c r="E1" s="1940"/>
      <c r="F1" s="1940"/>
      <c r="G1" s="1941"/>
      <c r="H1" s="1939" t="str">
        <f>'Служебный АСУТП'!AF3</f>
        <v>Брест</v>
      </c>
      <c r="I1" s="1940"/>
      <c r="J1" s="1940"/>
      <c r="K1" s="1941"/>
      <c r="L1" s="1939" t="str">
        <f>'Служебный АСУТП'!AF4</f>
        <v xml:space="preserve">zVirt </v>
      </c>
      <c r="M1" s="1940"/>
      <c r="N1" s="1940"/>
      <c r="O1" s="1941"/>
      <c r="P1" s="1939" t="str">
        <f>'Служебный АСУТП'!AF5</f>
        <v>РЕД Виртуализация</v>
      </c>
      <c r="Q1" s="1940"/>
      <c r="R1" s="1940"/>
      <c r="S1" s="1941"/>
      <c r="T1" s="1939" t="str">
        <f>'Служебный АСУТП'!AF6</f>
        <v>SpaceVM</v>
      </c>
      <c r="U1" s="1940"/>
      <c r="V1" s="1940"/>
      <c r="W1" s="1941"/>
      <c r="X1" s="1947" t="str">
        <f>'Служебный АСУТП'!AF7</f>
        <v>Горизонт-ВС</v>
      </c>
      <c r="Y1" s="1947"/>
      <c r="Z1" s="1947"/>
      <c r="AA1" s="1947"/>
    </row>
    <row r="2" spans="1:27" ht="15.75" x14ac:dyDescent="0.25">
      <c r="B2" s="41" t="s">
        <v>37</v>
      </c>
      <c r="C2" s="1945" t="s">
        <v>35</v>
      </c>
      <c r="D2" s="718" t="s">
        <v>613</v>
      </c>
      <c r="E2" s="717" t="s">
        <v>614</v>
      </c>
      <c r="F2" s="717" t="s">
        <v>615</v>
      </c>
      <c r="G2" s="1942" t="s">
        <v>38</v>
      </c>
      <c r="H2" s="718" t="s">
        <v>613</v>
      </c>
      <c r="I2" s="717" t="s">
        <v>614</v>
      </c>
      <c r="J2" s="717" t="s">
        <v>615</v>
      </c>
      <c r="K2" s="1942" t="s">
        <v>38</v>
      </c>
      <c r="L2" s="718" t="s">
        <v>613</v>
      </c>
      <c r="M2" s="717" t="s">
        <v>614</v>
      </c>
      <c r="N2" s="717" t="s">
        <v>615</v>
      </c>
      <c r="O2" s="1942" t="s">
        <v>38</v>
      </c>
      <c r="P2" s="718" t="s">
        <v>613</v>
      </c>
      <c r="Q2" s="717" t="s">
        <v>614</v>
      </c>
      <c r="R2" s="717" t="s">
        <v>615</v>
      </c>
      <c r="S2" s="1942" t="s">
        <v>38</v>
      </c>
      <c r="T2" s="718" t="s">
        <v>613</v>
      </c>
      <c r="U2" s="717" t="s">
        <v>614</v>
      </c>
      <c r="V2" s="717" t="s">
        <v>615</v>
      </c>
      <c r="W2" s="1942" t="s">
        <v>38</v>
      </c>
      <c r="X2" s="718" t="s">
        <v>613</v>
      </c>
      <c r="Y2" s="717" t="s">
        <v>614</v>
      </c>
      <c r="Z2" s="717" t="s">
        <v>615</v>
      </c>
      <c r="AA2" s="1942" t="s">
        <v>38</v>
      </c>
    </row>
    <row r="3" spans="1:27" ht="16.5" thickBot="1" x14ac:dyDescent="0.3">
      <c r="A3" s="12" t="s">
        <v>36</v>
      </c>
      <c r="B3" s="768">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c r="P3" s="37">
        <f>INDEX(ТрЗ_ОП!$P$11:$P$102,MATCH(P2,ТрЗ_ОП!$O$11:$O$102,0))</f>
        <v>0</v>
      </c>
      <c r="Q3" s="37">
        <f>INDEX(ТрЗ_ОП!$P$11:$P$102,MATCH(Q2,ТрЗ_ОП!$O$11:$O$102,0))</f>
        <v>0</v>
      </c>
      <c r="R3" s="37">
        <f>INDEX(ТрЗ_ОП!$P$11:$P$102,MATCH(R2,ТрЗ_ОП!$O$11:$O$102,0))</f>
        <v>0</v>
      </c>
      <c r="S3" s="1942"/>
      <c r="T3" s="37">
        <f>INDEX(ТрЗ_ОП!$P$11:$P$102,MATCH(T2,ТрЗ_ОП!$O$11:$O$102,0))</f>
        <v>0</v>
      </c>
      <c r="U3" s="37">
        <f>INDEX(ТрЗ_ОП!$P$11:$P$102,MATCH(U2,ТрЗ_ОП!$O$11:$O$102,0))</f>
        <v>0</v>
      </c>
      <c r="V3" s="37">
        <f>INDEX(ТрЗ_ОП!$P$11:$P$102,MATCH(V2,ТрЗ_ОП!$O$11:$O$102,0))</f>
        <v>0</v>
      </c>
      <c r="W3" s="1942"/>
      <c r="X3" s="37">
        <f>INDEX(ТрЗ_ОП!$P$11:$P$102,MATCH(X2,ТрЗ_ОП!$O$11:$O$102,0))</f>
        <v>0</v>
      </c>
      <c r="Y3" s="37">
        <f>INDEX(ТрЗ_ОП!$P$11:$P$102,MATCH(Y2,ТрЗ_ОП!$O$11:$O$102,0))</f>
        <v>0</v>
      </c>
      <c r="Z3" s="37">
        <f>INDEX(ТрЗ_ОП!$P$11:$P$102,MATCH(Z2,ТрЗ_ОП!$O$11:$O$102,0))</f>
        <v>0</v>
      </c>
      <c r="AA3" s="1942"/>
    </row>
    <row r="4" spans="1:27" ht="16.5" thickBot="1" x14ac:dyDescent="0.3">
      <c r="A4" s="326" t="s">
        <v>448</v>
      </c>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row>
    <row r="5" spans="1:27" x14ac:dyDescent="0.25">
      <c r="A5" s="1932" t="s">
        <v>0</v>
      </c>
      <c r="B5" s="404" t="s">
        <v>32</v>
      </c>
      <c r="C5" s="324"/>
      <c r="D5" s="756">
        <v>1</v>
      </c>
      <c r="E5" s="756">
        <v>0.5</v>
      </c>
      <c r="F5" s="756">
        <v>0</v>
      </c>
      <c r="G5" s="230">
        <f t="shared" ref="G5:G10" si="0" xml:space="preserve"> SUM(D5:F5) + $C5</f>
        <v>1.5</v>
      </c>
      <c r="H5" s="756">
        <v>1</v>
      </c>
      <c r="I5" s="756">
        <v>0.5</v>
      </c>
      <c r="J5" s="756">
        <v>0</v>
      </c>
      <c r="K5" s="230">
        <f t="shared" ref="K5:K10" si="1" xml:space="preserve"> SUM(H5:J5) + $C5</f>
        <v>1.5</v>
      </c>
      <c r="L5" s="756">
        <v>1</v>
      </c>
      <c r="M5" s="756">
        <v>0.5</v>
      </c>
      <c r="N5" s="756">
        <v>0</v>
      </c>
      <c r="O5" s="230">
        <f t="shared" ref="O5:O10" si="2" xml:space="preserve"> SUM(L5:N5) + $C5</f>
        <v>1.5</v>
      </c>
      <c r="P5" s="756">
        <v>1</v>
      </c>
      <c r="Q5" s="756">
        <v>0.5</v>
      </c>
      <c r="R5" s="756">
        <v>0</v>
      </c>
      <c r="S5" s="230">
        <f t="shared" ref="S5:S10" si="3" xml:space="preserve"> SUM(P5:R5) + $C5</f>
        <v>1.5</v>
      </c>
      <c r="T5" s="756">
        <v>1</v>
      </c>
      <c r="U5" s="756">
        <v>0.5</v>
      </c>
      <c r="V5" s="756">
        <v>0</v>
      </c>
      <c r="W5" s="230">
        <f t="shared" ref="W5:W10" si="4" xml:space="preserve"> SUM(T5:V5) + $C5</f>
        <v>1.5</v>
      </c>
      <c r="X5" s="756">
        <v>1</v>
      </c>
      <c r="Y5" s="756">
        <v>0.5</v>
      </c>
      <c r="Z5" s="756">
        <v>0</v>
      </c>
      <c r="AA5" s="230">
        <f t="shared" ref="AA5:AA10" si="5" xml:space="preserve"> SUM(X5:Z5) + $C5</f>
        <v>1.5</v>
      </c>
    </row>
    <row r="6" spans="1:27" x14ac:dyDescent="0.25">
      <c r="A6" s="1932"/>
      <c r="B6" s="19" t="s">
        <v>33</v>
      </c>
      <c r="C6" s="620"/>
      <c r="D6" s="739">
        <v>2</v>
      </c>
      <c r="E6" s="739">
        <v>1</v>
      </c>
      <c r="F6" s="739">
        <v>0</v>
      </c>
      <c r="G6" s="619">
        <f t="shared" si="0"/>
        <v>3</v>
      </c>
      <c r="H6" s="739">
        <v>2</v>
      </c>
      <c r="I6" s="739">
        <v>1</v>
      </c>
      <c r="J6" s="739">
        <v>0</v>
      </c>
      <c r="K6" s="619">
        <f t="shared" si="1"/>
        <v>3</v>
      </c>
      <c r="L6" s="739">
        <v>2</v>
      </c>
      <c r="M6" s="739">
        <v>1</v>
      </c>
      <c r="N6" s="739">
        <v>0</v>
      </c>
      <c r="O6" s="619">
        <f t="shared" si="2"/>
        <v>3</v>
      </c>
      <c r="P6" s="739">
        <v>2</v>
      </c>
      <c r="Q6" s="739">
        <v>1</v>
      </c>
      <c r="R6" s="739">
        <v>0</v>
      </c>
      <c r="S6" s="619">
        <f t="shared" si="3"/>
        <v>3</v>
      </c>
      <c r="T6" s="739">
        <v>2</v>
      </c>
      <c r="U6" s="739">
        <v>1</v>
      </c>
      <c r="V6" s="739">
        <v>0</v>
      </c>
      <c r="W6" s="619">
        <f t="shared" si="4"/>
        <v>3</v>
      </c>
      <c r="X6" s="739">
        <v>2</v>
      </c>
      <c r="Y6" s="739">
        <v>1</v>
      </c>
      <c r="Z6" s="739">
        <v>0</v>
      </c>
      <c r="AA6" s="619">
        <f t="shared" si="5"/>
        <v>3</v>
      </c>
    </row>
    <row r="7" spans="1:27" x14ac:dyDescent="0.25">
      <c r="A7" s="1973"/>
      <c r="B7" s="19" t="s">
        <v>34</v>
      </c>
      <c r="C7" s="620"/>
      <c r="D7" s="739">
        <v>4</v>
      </c>
      <c r="E7" s="739">
        <v>2</v>
      </c>
      <c r="F7" s="739">
        <v>0</v>
      </c>
      <c r="G7" s="619">
        <f t="shared" si="0"/>
        <v>6</v>
      </c>
      <c r="H7" s="739">
        <v>4</v>
      </c>
      <c r="I7" s="739">
        <v>2</v>
      </c>
      <c r="J7" s="739">
        <v>0</v>
      </c>
      <c r="K7" s="619">
        <f t="shared" si="1"/>
        <v>6</v>
      </c>
      <c r="L7" s="739">
        <v>4</v>
      </c>
      <c r="M7" s="739">
        <v>2</v>
      </c>
      <c r="N7" s="739">
        <v>0</v>
      </c>
      <c r="O7" s="619">
        <f t="shared" si="2"/>
        <v>6</v>
      </c>
      <c r="P7" s="739">
        <v>4</v>
      </c>
      <c r="Q7" s="739">
        <v>2</v>
      </c>
      <c r="R7" s="739">
        <v>0</v>
      </c>
      <c r="S7" s="619">
        <f t="shared" si="3"/>
        <v>6</v>
      </c>
      <c r="T7" s="739">
        <v>4</v>
      </c>
      <c r="U7" s="739">
        <v>2</v>
      </c>
      <c r="V7" s="739">
        <v>0</v>
      </c>
      <c r="W7" s="619">
        <f t="shared" si="4"/>
        <v>6</v>
      </c>
      <c r="X7" s="739">
        <v>4</v>
      </c>
      <c r="Y7" s="739">
        <v>2</v>
      </c>
      <c r="Z7" s="739">
        <v>0</v>
      </c>
      <c r="AA7" s="619">
        <f t="shared" si="5"/>
        <v>6</v>
      </c>
    </row>
    <row r="8" spans="1:27" x14ac:dyDescent="0.25">
      <c r="A8" s="1932" t="s">
        <v>449</v>
      </c>
      <c r="B8" s="404" t="s">
        <v>32</v>
      </c>
      <c r="C8" s="324"/>
      <c r="D8" s="756">
        <v>1</v>
      </c>
      <c r="E8" s="739">
        <v>0.5</v>
      </c>
      <c r="F8" s="739">
        <v>0</v>
      </c>
      <c r="G8" s="619">
        <f t="shared" si="0"/>
        <v>1.5</v>
      </c>
      <c r="H8" s="756">
        <v>1</v>
      </c>
      <c r="I8" s="739">
        <v>0.5</v>
      </c>
      <c r="J8" s="739">
        <v>0</v>
      </c>
      <c r="K8" s="619">
        <f t="shared" si="1"/>
        <v>1.5</v>
      </c>
      <c r="L8" s="756">
        <v>1</v>
      </c>
      <c r="M8" s="739">
        <v>0.5</v>
      </c>
      <c r="N8" s="739">
        <v>0</v>
      </c>
      <c r="O8" s="619">
        <f t="shared" si="2"/>
        <v>1.5</v>
      </c>
      <c r="P8" s="756">
        <v>1</v>
      </c>
      <c r="Q8" s="739">
        <v>0.5</v>
      </c>
      <c r="R8" s="739">
        <v>0</v>
      </c>
      <c r="S8" s="619">
        <f t="shared" si="3"/>
        <v>1.5</v>
      </c>
      <c r="T8" s="756">
        <v>1</v>
      </c>
      <c r="U8" s="739">
        <v>0.5</v>
      </c>
      <c r="V8" s="739">
        <v>0</v>
      </c>
      <c r="W8" s="619">
        <f t="shared" si="4"/>
        <v>1.5</v>
      </c>
      <c r="X8" s="756">
        <v>1</v>
      </c>
      <c r="Y8" s="739">
        <v>0.5</v>
      </c>
      <c r="Z8" s="739">
        <v>0</v>
      </c>
      <c r="AA8" s="619">
        <f t="shared" si="5"/>
        <v>1.5</v>
      </c>
    </row>
    <row r="9" spans="1:27" x14ac:dyDescent="0.25">
      <c r="A9" s="1932"/>
      <c r="B9" s="19" t="s">
        <v>33</v>
      </c>
      <c r="C9" s="620"/>
      <c r="D9" s="739">
        <v>2</v>
      </c>
      <c r="E9" s="739">
        <v>1</v>
      </c>
      <c r="F9" s="739">
        <v>0</v>
      </c>
      <c r="G9" s="619">
        <f t="shared" si="0"/>
        <v>3</v>
      </c>
      <c r="H9" s="739">
        <v>2</v>
      </c>
      <c r="I9" s="739">
        <v>1</v>
      </c>
      <c r="J9" s="739">
        <v>0</v>
      </c>
      <c r="K9" s="619">
        <f t="shared" si="1"/>
        <v>3</v>
      </c>
      <c r="L9" s="739">
        <v>2</v>
      </c>
      <c r="M9" s="739">
        <v>1</v>
      </c>
      <c r="N9" s="739">
        <v>0</v>
      </c>
      <c r="O9" s="619">
        <f t="shared" si="2"/>
        <v>3</v>
      </c>
      <c r="P9" s="739">
        <v>2</v>
      </c>
      <c r="Q9" s="739">
        <v>1</v>
      </c>
      <c r="R9" s="739">
        <v>0</v>
      </c>
      <c r="S9" s="619">
        <f t="shared" si="3"/>
        <v>3</v>
      </c>
      <c r="T9" s="739">
        <v>2</v>
      </c>
      <c r="U9" s="739">
        <v>1</v>
      </c>
      <c r="V9" s="739">
        <v>0</v>
      </c>
      <c r="W9" s="619">
        <f t="shared" si="4"/>
        <v>3</v>
      </c>
      <c r="X9" s="739">
        <v>2</v>
      </c>
      <c r="Y9" s="739">
        <v>1</v>
      </c>
      <c r="Z9" s="739">
        <v>0</v>
      </c>
      <c r="AA9" s="619">
        <f t="shared" si="5"/>
        <v>3</v>
      </c>
    </row>
    <row r="10" spans="1:27" ht="15.75" thickBot="1" x14ac:dyDescent="0.3">
      <c r="A10" s="1932"/>
      <c r="B10" s="13" t="s">
        <v>34</v>
      </c>
      <c r="C10" s="624"/>
      <c r="D10" s="739">
        <v>4</v>
      </c>
      <c r="E10" s="759">
        <v>2</v>
      </c>
      <c r="F10" s="759">
        <v>0</v>
      </c>
      <c r="G10" s="77">
        <f t="shared" si="0"/>
        <v>6</v>
      </c>
      <c r="H10" s="739">
        <v>4</v>
      </c>
      <c r="I10" s="759">
        <v>2</v>
      </c>
      <c r="J10" s="759">
        <v>0</v>
      </c>
      <c r="K10" s="77">
        <f t="shared" si="1"/>
        <v>6</v>
      </c>
      <c r="L10" s="739">
        <v>4</v>
      </c>
      <c r="M10" s="759">
        <v>2</v>
      </c>
      <c r="N10" s="759">
        <v>0</v>
      </c>
      <c r="O10" s="77">
        <f t="shared" si="2"/>
        <v>6</v>
      </c>
      <c r="P10" s="739">
        <v>4</v>
      </c>
      <c r="Q10" s="759">
        <v>2</v>
      </c>
      <c r="R10" s="759">
        <v>0</v>
      </c>
      <c r="S10" s="77">
        <f t="shared" si="3"/>
        <v>6</v>
      </c>
      <c r="T10" s="739">
        <v>4</v>
      </c>
      <c r="U10" s="759">
        <v>2</v>
      </c>
      <c r="V10" s="759">
        <v>0</v>
      </c>
      <c r="W10" s="77">
        <f t="shared" si="4"/>
        <v>6</v>
      </c>
      <c r="X10" s="739">
        <v>4</v>
      </c>
      <c r="Y10" s="759">
        <v>2</v>
      </c>
      <c r="Z10" s="759">
        <v>0</v>
      </c>
      <c r="AA10" s="77">
        <f t="shared" si="5"/>
        <v>6</v>
      </c>
    </row>
    <row r="11" spans="1:27" ht="16.5" thickBot="1" x14ac:dyDescent="0.3">
      <c r="A11" s="326" t="s">
        <v>1</v>
      </c>
      <c r="B11" s="327"/>
      <c r="C11" s="327"/>
      <c r="D11" s="327"/>
      <c r="E11" s="327"/>
      <c r="F11" s="327"/>
      <c r="G11" s="327"/>
      <c r="H11" s="327"/>
      <c r="I11" s="327"/>
      <c r="J11" s="327"/>
      <c r="K11" s="327"/>
      <c r="L11" s="327"/>
      <c r="M11" s="327"/>
      <c r="N11" s="327"/>
      <c r="O11" s="327"/>
      <c r="P11" s="327"/>
      <c r="Q11" s="327"/>
      <c r="R11" s="327"/>
      <c r="S11" s="327"/>
      <c r="T11" s="327"/>
      <c r="U11" s="327"/>
      <c r="V11" s="327"/>
      <c r="W11" s="327"/>
      <c r="X11" s="327"/>
      <c r="Y11" s="327"/>
      <c r="Z11" s="327"/>
      <c r="AA11" s="327"/>
    </row>
    <row r="12" spans="1:27" x14ac:dyDescent="0.25">
      <c r="A12" s="1932" t="s">
        <v>2</v>
      </c>
      <c r="B12" s="404" t="s">
        <v>32</v>
      </c>
      <c r="C12" s="324"/>
      <c r="D12" s="756">
        <f t="shared" ref="D12:E14" si="6">D22*0.7</f>
        <v>5.6</v>
      </c>
      <c r="E12" s="674">
        <f t="shared" si="6"/>
        <v>0</v>
      </c>
      <c r="F12" s="674">
        <f>0.1*F3</f>
        <v>0</v>
      </c>
      <c r="G12" s="230">
        <f xml:space="preserve"> SUM(D12:F12) + $C12</f>
        <v>5.6</v>
      </c>
      <c r="H12" s="756">
        <f t="shared" ref="H12:I14" si="7">H22*0.7</f>
        <v>7</v>
      </c>
      <c r="I12" s="674">
        <f t="shared" si="7"/>
        <v>0</v>
      </c>
      <c r="J12" s="674">
        <f>0.1*J3</f>
        <v>0</v>
      </c>
      <c r="K12" s="230">
        <f xml:space="preserve"> SUM(H12:J12) + $C12</f>
        <v>7</v>
      </c>
      <c r="L12" s="756">
        <f t="shared" ref="L12:N14" si="8">L22*0.7</f>
        <v>7</v>
      </c>
      <c r="M12" s="674">
        <f t="shared" si="8"/>
        <v>0</v>
      </c>
      <c r="N12" s="674">
        <f t="shared" si="8"/>
        <v>0</v>
      </c>
      <c r="O12" s="230">
        <f xml:space="preserve"> SUM(L12:N12) + $C12</f>
        <v>7</v>
      </c>
      <c r="P12" s="756">
        <f t="shared" ref="P12:R14" si="9">P22*0.7</f>
        <v>7</v>
      </c>
      <c r="Q12" s="674">
        <f t="shared" si="9"/>
        <v>0</v>
      </c>
      <c r="R12" s="674">
        <f t="shared" si="9"/>
        <v>0</v>
      </c>
      <c r="S12" s="230">
        <f xml:space="preserve"> SUM(P12:R12) + $C12</f>
        <v>7</v>
      </c>
      <c r="T12" s="756">
        <f t="shared" ref="T12:V14" si="10">T22*0.7</f>
        <v>5.6</v>
      </c>
      <c r="U12" s="674">
        <f t="shared" si="10"/>
        <v>0</v>
      </c>
      <c r="V12" s="674">
        <f t="shared" si="10"/>
        <v>0</v>
      </c>
      <c r="W12" s="230">
        <f xml:space="preserve"> SUM(T12:V12) + $C12</f>
        <v>5.6</v>
      </c>
      <c r="X12" s="756">
        <f t="shared" ref="X12:Z14" si="11">X22*0.7</f>
        <v>8.3999999999999986</v>
      </c>
      <c r="Y12" s="674">
        <f t="shared" si="11"/>
        <v>0</v>
      </c>
      <c r="Z12" s="674">
        <f t="shared" si="11"/>
        <v>0</v>
      </c>
      <c r="AA12" s="701">
        <f xml:space="preserve"> SUM(X12:Z12) + $C12</f>
        <v>8.3999999999999986</v>
      </c>
    </row>
    <row r="13" spans="1:27" x14ac:dyDescent="0.25">
      <c r="A13" s="1932"/>
      <c r="B13" s="19" t="s">
        <v>33</v>
      </c>
      <c r="C13" s="620"/>
      <c r="D13" s="739">
        <f t="shared" si="6"/>
        <v>7</v>
      </c>
      <c r="E13" s="630">
        <f t="shared" si="6"/>
        <v>0</v>
      </c>
      <c r="F13" s="674">
        <f>0.1*F3</f>
        <v>0</v>
      </c>
      <c r="G13" s="619">
        <f xml:space="preserve"> SUM(D13:F13) + $C13</f>
        <v>7</v>
      </c>
      <c r="H13" s="739">
        <f t="shared" si="7"/>
        <v>9.7999999999999989</v>
      </c>
      <c r="I13" s="630">
        <f t="shared" si="7"/>
        <v>0</v>
      </c>
      <c r="J13" s="674">
        <f>0.1*J3</f>
        <v>0</v>
      </c>
      <c r="K13" s="619">
        <f xml:space="preserve"> SUM(H13:J13) + $C13</f>
        <v>9.7999999999999989</v>
      </c>
      <c r="L13" s="739">
        <f t="shared" si="8"/>
        <v>9.7999999999999989</v>
      </c>
      <c r="M13" s="630">
        <f t="shared" si="8"/>
        <v>0</v>
      </c>
      <c r="N13" s="630">
        <f t="shared" si="8"/>
        <v>0</v>
      </c>
      <c r="O13" s="619">
        <f xml:space="preserve"> SUM(L13:N13) + $C13</f>
        <v>9.7999999999999989</v>
      </c>
      <c r="P13" s="739">
        <f t="shared" si="9"/>
        <v>9.7999999999999989</v>
      </c>
      <c r="Q13" s="630">
        <f t="shared" si="9"/>
        <v>0</v>
      </c>
      <c r="R13" s="630">
        <f t="shared" si="9"/>
        <v>0</v>
      </c>
      <c r="S13" s="619">
        <f xml:space="preserve"> SUM(P13:R13) + $C13</f>
        <v>9.7999999999999989</v>
      </c>
      <c r="T13" s="739">
        <f t="shared" si="10"/>
        <v>8.3999999999999986</v>
      </c>
      <c r="U13" s="630">
        <f t="shared" si="10"/>
        <v>0</v>
      </c>
      <c r="V13" s="630">
        <f t="shared" si="10"/>
        <v>0</v>
      </c>
      <c r="W13" s="619">
        <f xml:space="preserve"> SUM(T13:V13) + $C13</f>
        <v>8.3999999999999986</v>
      </c>
      <c r="X13" s="739">
        <f t="shared" si="11"/>
        <v>11.2</v>
      </c>
      <c r="Y13" s="630">
        <f t="shared" si="11"/>
        <v>0</v>
      </c>
      <c r="Z13" s="630">
        <f t="shared" si="11"/>
        <v>0</v>
      </c>
      <c r="AA13" s="703">
        <f xml:space="preserve"> SUM(X13:Z13) + $C13</f>
        <v>11.2</v>
      </c>
    </row>
    <row r="14" spans="1:27" ht="15.75" thickBot="1" x14ac:dyDescent="0.3">
      <c r="A14" s="1932"/>
      <c r="B14" s="13" t="s">
        <v>34</v>
      </c>
      <c r="C14" s="624"/>
      <c r="D14" s="759">
        <f t="shared" si="6"/>
        <v>8.3999999999999986</v>
      </c>
      <c r="E14" s="675">
        <f t="shared" si="6"/>
        <v>0</v>
      </c>
      <c r="F14" s="674">
        <f>0.1*F3</f>
        <v>0</v>
      </c>
      <c r="G14" s="77">
        <f xml:space="preserve"> SUM(D14:F14) + $C14</f>
        <v>8.3999999999999986</v>
      </c>
      <c r="H14" s="759">
        <f t="shared" si="7"/>
        <v>11.2</v>
      </c>
      <c r="I14" s="675">
        <f t="shared" si="7"/>
        <v>0</v>
      </c>
      <c r="J14" s="674">
        <f>0.1*J3</f>
        <v>0</v>
      </c>
      <c r="K14" s="77">
        <f xml:space="preserve"> SUM(H14:J14) + $C14</f>
        <v>11.2</v>
      </c>
      <c r="L14" s="759">
        <f t="shared" si="8"/>
        <v>12.6</v>
      </c>
      <c r="M14" s="675">
        <f t="shared" si="8"/>
        <v>0</v>
      </c>
      <c r="N14" s="675">
        <f t="shared" si="8"/>
        <v>0</v>
      </c>
      <c r="O14" s="77">
        <f xml:space="preserve"> SUM(L14:N14) + $C14</f>
        <v>12.6</v>
      </c>
      <c r="P14" s="759">
        <f t="shared" si="9"/>
        <v>12.6</v>
      </c>
      <c r="Q14" s="675">
        <f t="shared" si="9"/>
        <v>0</v>
      </c>
      <c r="R14" s="675">
        <f t="shared" si="9"/>
        <v>0</v>
      </c>
      <c r="S14" s="77">
        <f xml:space="preserve"> SUM(P14:R14) + $C14</f>
        <v>12.6</v>
      </c>
      <c r="T14" s="759">
        <f t="shared" si="10"/>
        <v>11.2</v>
      </c>
      <c r="U14" s="675">
        <f t="shared" si="10"/>
        <v>0</v>
      </c>
      <c r="V14" s="675">
        <f t="shared" si="10"/>
        <v>0</v>
      </c>
      <c r="W14" s="77">
        <f xml:space="preserve"> SUM(T14:V14) + $C14</f>
        <v>11.2</v>
      </c>
      <c r="X14" s="759">
        <f t="shared" si="11"/>
        <v>14</v>
      </c>
      <c r="Y14" s="675">
        <f t="shared" si="11"/>
        <v>0</v>
      </c>
      <c r="Z14" s="675">
        <f t="shared" si="11"/>
        <v>0</v>
      </c>
      <c r="AA14" s="705">
        <f xml:space="preserve"> SUM(X14:Z14) + $C14</f>
        <v>14</v>
      </c>
    </row>
    <row r="15" spans="1:27" ht="16.5" thickBot="1" x14ac:dyDescent="0.3">
      <c r="A15" s="330" t="s">
        <v>3</v>
      </c>
      <c r="B15" s="329"/>
      <c r="C15" s="329"/>
      <c r="D15" s="329"/>
      <c r="E15" s="329"/>
      <c r="F15" s="327"/>
      <c r="G15" s="327"/>
      <c r="H15" s="329"/>
      <c r="I15" s="329"/>
      <c r="J15" s="327"/>
      <c r="K15" s="327"/>
      <c r="L15" s="329"/>
      <c r="M15" s="329"/>
      <c r="N15" s="327"/>
      <c r="O15" s="327"/>
      <c r="P15" s="329"/>
      <c r="Q15" s="329"/>
      <c r="R15" s="327"/>
      <c r="S15" s="327"/>
      <c r="T15" s="329"/>
      <c r="U15" s="329"/>
      <c r="V15" s="327"/>
      <c r="W15" s="327"/>
      <c r="X15" s="329"/>
      <c r="Y15" s="329"/>
      <c r="Z15" s="327"/>
      <c r="AA15" s="327"/>
    </row>
    <row r="16" spans="1:27" x14ac:dyDescent="0.25">
      <c r="A16" s="1944" t="s">
        <v>4</v>
      </c>
      <c r="B16" s="325" t="s">
        <v>32</v>
      </c>
      <c r="C16" s="324"/>
      <c r="D16" s="760">
        <v>1</v>
      </c>
      <c r="E16" s="767">
        <v>0</v>
      </c>
      <c r="F16" s="761">
        <v>0</v>
      </c>
      <c r="G16" s="230">
        <f t="shared" ref="G16:G36" si="12" xml:space="preserve"> SUM(D16:F16) + $C16</f>
        <v>1</v>
      </c>
      <c r="H16" s="760">
        <v>1</v>
      </c>
      <c r="I16" s="767">
        <v>0</v>
      </c>
      <c r="J16" s="761">
        <v>0</v>
      </c>
      <c r="K16" s="230">
        <f t="shared" ref="K16:K36" si="13" xml:space="preserve"> SUM(H16:J16) + $C16</f>
        <v>1</v>
      </c>
      <c r="L16" s="760">
        <v>1</v>
      </c>
      <c r="M16" s="767">
        <v>0</v>
      </c>
      <c r="N16" s="761">
        <v>0</v>
      </c>
      <c r="O16" s="230">
        <f t="shared" ref="O16:O36" si="14" xml:space="preserve"> SUM(L16:N16) + $C16</f>
        <v>1</v>
      </c>
      <c r="P16" s="760">
        <v>1</v>
      </c>
      <c r="Q16" s="767">
        <v>0</v>
      </c>
      <c r="R16" s="761">
        <v>0</v>
      </c>
      <c r="S16" s="230">
        <f t="shared" ref="S16:S36" si="15" xml:space="preserve"> SUM(P16:R16) + $C16</f>
        <v>1</v>
      </c>
      <c r="T16" s="760">
        <v>1</v>
      </c>
      <c r="U16" s="767">
        <v>0</v>
      </c>
      <c r="V16" s="761">
        <v>0</v>
      </c>
      <c r="W16" s="230">
        <f t="shared" ref="W16:W36" si="16" xml:space="preserve"> SUM(T16:V16) + $C16</f>
        <v>1</v>
      </c>
      <c r="X16" s="760">
        <v>1</v>
      </c>
      <c r="Y16" s="767">
        <v>0</v>
      </c>
      <c r="Z16" s="761">
        <v>0</v>
      </c>
      <c r="AA16" s="230">
        <f t="shared" ref="AA16:AA36" si="17" xml:space="preserve"> SUM(X16:Z16) + $C16</f>
        <v>1</v>
      </c>
    </row>
    <row r="17" spans="1:27" x14ac:dyDescent="0.25">
      <c r="A17" s="1937"/>
      <c r="B17" s="18" t="s">
        <v>33</v>
      </c>
      <c r="C17" s="620"/>
      <c r="D17" s="744">
        <v>1</v>
      </c>
      <c r="E17" s="740">
        <v>0</v>
      </c>
      <c r="F17" s="743">
        <v>0</v>
      </c>
      <c r="G17" s="619">
        <f t="shared" si="12"/>
        <v>1</v>
      </c>
      <c r="H17" s="744">
        <v>1</v>
      </c>
      <c r="I17" s="740">
        <v>0</v>
      </c>
      <c r="J17" s="743">
        <v>0</v>
      </c>
      <c r="K17" s="619">
        <f t="shared" si="13"/>
        <v>1</v>
      </c>
      <c r="L17" s="744">
        <v>1</v>
      </c>
      <c r="M17" s="740">
        <v>0</v>
      </c>
      <c r="N17" s="743">
        <v>0</v>
      </c>
      <c r="O17" s="619">
        <f t="shared" si="14"/>
        <v>1</v>
      </c>
      <c r="P17" s="744">
        <v>1</v>
      </c>
      <c r="Q17" s="740">
        <v>0</v>
      </c>
      <c r="R17" s="743">
        <v>0</v>
      </c>
      <c r="S17" s="619">
        <f t="shared" si="15"/>
        <v>1</v>
      </c>
      <c r="T17" s="744">
        <v>1</v>
      </c>
      <c r="U17" s="740">
        <v>0</v>
      </c>
      <c r="V17" s="743">
        <v>0</v>
      </c>
      <c r="W17" s="619">
        <f t="shared" si="16"/>
        <v>1</v>
      </c>
      <c r="X17" s="744">
        <v>1</v>
      </c>
      <c r="Y17" s="740">
        <v>0</v>
      </c>
      <c r="Z17" s="743">
        <v>0</v>
      </c>
      <c r="AA17" s="619">
        <f t="shared" si="17"/>
        <v>1</v>
      </c>
    </row>
    <row r="18" spans="1:27" x14ac:dyDescent="0.25">
      <c r="A18" s="1937"/>
      <c r="B18" s="18" t="s">
        <v>34</v>
      </c>
      <c r="C18" s="620"/>
      <c r="D18" s="744">
        <v>1</v>
      </c>
      <c r="E18" s="740">
        <v>0</v>
      </c>
      <c r="F18" s="743">
        <v>0</v>
      </c>
      <c r="G18" s="619">
        <f t="shared" si="12"/>
        <v>1</v>
      </c>
      <c r="H18" s="744">
        <v>1</v>
      </c>
      <c r="I18" s="740">
        <v>0</v>
      </c>
      <c r="J18" s="743">
        <v>0</v>
      </c>
      <c r="K18" s="619">
        <f t="shared" si="13"/>
        <v>1</v>
      </c>
      <c r="L18" s="744">
        <v>1</v>
      </c>
      <c r="M18" s="740">
        <v>0</v>
      </c>
      <c r="N18" s="743">
        <v>0</v>
      </c>
      <c r="O18" s="619">
        <f t="shared" si="14"/>
        <v>1</v>
      </c>
      <c r="P18" s="744">
        <v>1</v>
      </c>
      <c r="Q18" s="740">
        <v>0</v>
      </c>
      <c r="R18" s="743">
        <v>0</v>
      </c>
      <c r="S18" s="619">
        <f t="shared" si="15"/>
        <v>1</v>
      </c>
      <c r="T18" s="744">
        <v>1</v>
      </c>
      <c r="U18" s="740">
        <v>0</v>
      </c>
      <c r="V18" s="743">
        <v>0</v>
      </c>
      <c r="W18" s="619">
        <f t="shared" si="16"/>
        <v>1</v>
      </c>
      <c r="X18" s="744">
        <v>1</v>
      </c>
      <c r="Y18" s="740">
        <v>0</v>
      </c>
      <c r="Z18" s="743">
        <v>0</v>
      </c>
      <c r="AA18" s="619">
        <f t="shared" si="17"/>
        <v>1</v>
      </c>
    </row>
    <row r="19" spans="1:27" x14ac:dyDescent="0.25">
      <c r="A19" s="1937" t="s">
        <v>5</v>
      </c>
      <c r="B19" s="19" t="s">
        <v>32</v>
      </c>
      <c r="C19" s="620"/>
      <c r="D19" s="744">
        <v>1</v>
      </c>
      <c r="E19" s="740">
        <v>0</v>
      </c>
      <c r="F19" s="743">
        <v>0</v>
      </c>
      <c r="G19" s="619">
        <f t="shared" si="12"/>
        <v>1</v>
      </c>
      <c r="H19" s="744">
        <v>1</v>
      </c>
      <c r="I19" s="740">
        <v>0</v>
      </c>
      <c r="J19" s="743">
        <v>0</v>
      </c>
      <c r="K19" s="619">
        <f t="shared" si="13"/>
        <v>1</v>
      </c>
      <c r="L19" s="744">
        <v>1</v>
      </c>
      <c r="M19" s="740">
        <v>0</v>
      </c>
      <c r="N19" s="743">
        <v>0</v>
      </c>
      <c r="O19" s="619">
        <f t="shared" si="14"/>
        <v>1</v>
      </c>
      <c r="P19" s="744">
        <v>1</v>
      </c>
      <c r="Q19" s="740">
        <v>0</v>
      </c>
      <c r="R19" s="743">
        <v>0</v>
      </c>
      <c r="S19" s="619">
        <f t="shared" si="15"/>
        <v>1</v>
      </c>
      <c r="T19" s="744">
        <v>1</v>
      </c>
      <c r="U19" s="740">
        <v>0</v>
      </c>
      <c r="V19" s="743">
        <v>0</v>
      </c>
      <c r="W19" s="619">
        <f t="shared" si="16"/>
        <v>1</v>
      </c>
      <c r="X19" s="744">
        <v>1</v>
      </c>
      <c r="Y19" s="740">
        <v>0</v>
      </c>
      <c r="Z19" s="743">
        <v>0</v>
      </c>
      <c r="AA19" s="619">
        <f t="shared" si="17"/>
        <v>1</v>
      </c>
    </row>
    <row r="20" spans="1:27" x14ac:dyDescent="0.25">
      <c r="A20" s="1937"/>
      <c r="B20" s="19" t="s">
        <v>33</v>
      </c>
      <c r="C20" s="620"/>
      <c r="D20" s="744">
        <v>2</v>
      </c>
      <c r="E20" s="740">
        <v>0</v>
      </c>
      <c r="F20" s="743">
        <v>0</v>
      </c>
      <c r="G20" s="619">
        <f t="shared" si="12"/>
        <v>2</v>
      </c>
      <c r="H20" s="744">
        <v>2</v>
      </c>
      <c r="I20" s="740">
        <v>0</v>
      </c>
      <c r="J20" s="743">
        <v>0</v>
      </c>
      <c r="K20" s="619">
        <f t="shared" si="13"/>
        <v>2</v>
      </c>
      <c r="L20" s="744">
        <v>2</v>
      </c>
      <c r="M20" s="740">
        <v>0</v>
      </c>
      <c r="N20" s="743">
        <v>0</v>
      </c>
      <c r="O20" s="619">
        <f t="shared" si="14"/>
        <v>2</v>
      </c>
      <c r="P20" s="744">
        <v>2</v>
      </c>
      <c r="Q20" s="740">
        <v>0</v>
      </c>
      <c r="R20" s="743">
        <v>0</v>
      </c>
      <c r="S20" s="619">
        <f t="shared" si="15"/>
        <v>2</v>
      </c>
      <c r="T20" s="744">
        <v>2</v>
      </c>
      <c r="U20" s="740">
        <v>0</v>
      </c>
      <c r="V20" s="743">
        <v>0</v>
      </c>
      <c r="W20" s="619">
        <f t="shared" si="16"/>
        <v>2</v>
      </c>
      <c r="X20" s="744">
        <v>2</v>
      </c>
      <c r="Y20" s="740">
        <v>0</v>
      </c>
      <c r="Z20" s="743">
        <v>0</v>
      </c>
      <c r="AA20" s="619">
        <f t="shared" si="17"/>
        <v>2</v>
      </c>
    </row>
    <row r="21" spans="1:27" x14ac:dyDescent="0.25">
      <c r="A21" s="1937"/>
      <c r="B21" s="19" t="s">
        <v>34</v>
      </c>
      <c r="C21" s="620"/>
      <c r="D21" s="744">
        <v>3</v>
      </c>
      <c r="E21" s="740">
        <v>0</v>
      </c>
      <c r="F21" s="743">
        <v>0</v>
      </c>
      <c r="G21" s="619">
        <f t="shared" si="12"/>
        <v>3</v>
      </c>
      <c r="H21" s="744">
        <v>3</v>
      </c>
      <c r="I21" s="740">
        <v>0</v>
      </c>
      <c r="J21" s="743">
        <v>0</v>
      </c>
      <c r="K21" s="619">
        <f t="shared" si="13"/>
        <v>3</v>
      </c>
      <c r="L21" s="744">
        <v>3</v>
      </c>
      <c r="M21" s="740">
        <v>0</v>
      </c>
      <c r="N21" s="743">
        <v>0</v>
      </c>
      <c r="O21" s="619">
        <f t="shared" si="14"/>
        <v>3</v>
      </c>
      <c r="P21" s="744">
        <v>3</v>
      </c>
      <c r="Q21" s="740">
        <v>0</v>
      </c>
      <c r="R21" s="743">
        <v>0</v>
      </c>
      <c r="S21" s="619">
        <f t="shared" si="15"/>
        <v>3</v>
      </c>
      <c r="T21" s="744">
        <v>3</v>
      </c>
      <c r="U21" s="740">
        <v>0</v>
      </c>
      <c r="V21" s="743">
        <v>0</v>
      </c>
      <c r="W21" s="619">
        <f t="shared" si="16"/>
        <v>3</v>
      </c>
      <c r="X21" s="744">
        <v>3</v>
      </c>
      <c r="Y21" s="740">
        <v>0</v>
      </c>
      <c r="Z21" s="743">
        <v>0</v>
      </c>
      <c r="AA21" s="619">
        <f t="shared" si="17"/>
        <v>3</v>
      </c>
    </row>
    <row r="22" spans="1:27" x14ac:dyDescent="0.25">
      <c r="A22" s="1937" t="s">
        <v>6</v>
      </c>
      <c r="B22" s="19" t="s">
        <v>32</v>
      </c>
      <c r="C22" s="620"/>
      <c r="D22" s="739">
        <v>8</v>
      </c>
      <c r="E22" s="630">
        <f>1*$E$3</f>
        <v>0</v>
      </c>
      <c r="F22" s="630">
        <f>0.1*F3</f>
        <v>0</v>
      </c>
      <c r="G22" s="619">
        <f t="shared" si="12"/>
        <v>8</v>
      </c>
      <c r="H22" s="739">
        <v>10</v>
      </c>
      <c r="I22" s="630">
        <f>1*$E$3</f>
        <v>0</v>
      </c>
      <c r="J22" s="630">
        <f>0.1*J3</f>
        <v>0</v>
      </c>
      <c r="K22" s="619">
        <f t="shared" si="13"/>
        <v>10</v>
      </c>
      <c r="L22" s="739">
        <v>10</v>
      </c>
      <c r="M22" s="630">
        <f>1*$E$3</f>
        <v>0</v>
      </c>
      <c r="N22" s="630">
        <f>0.1*N3</f>
        <v>0</v>
      </c>
      <c r="O22" s="619">
        <f t="shared" si="14"/>
        <v>10</v>
      </c>
      <c r="P22" s="739">
        <v>10</v>
      </c>
      <c r="Q22" s="630">
        <f>1*$E$3</f>
        <v>0</v>
      </c>
      <c r="R22" s="630">
        <f>0.1*R3</f>
        <v>0</v>
      </c>
      <c r="S22" s="619">
        <f t="shared" si="15"/>
        <v>10</v>
      </c>
      <c r="T22" s="739">
        <v>8</v>
      </c>
      <c r="U22" s="630">
        <f>1*$E$3</f>
        <v>0</v>
      </c>
      <c r="V22" s="630">
        <f>0.1*V3</f>
        <v>0</v>
      </c>
      <c r="W22" s="619">
        <f t="shared" si="16"/>
        <v>8</v>
      </c>
      <c r="X22" s="739">
        <v>12</v>
      </c>
      <c r="Y22" s="630">
        <f>1*$E$3</f>
        <v>0</v>
      </c>
      <c r="Z22" s="630">
        <f>0.1*Z3</f>
        <v>0</v>
      </c>
      <c r="AA22" s="619">
        <f t="shared" si="17"/>
        <v>12</v>
      </c>
    </row>
    <row r="23" spans="1:27" x14ac:dyDescent="0.25">
      <c r="A23" s="1937"/>
      <c r="B23" s="19" t="s">
        <v>33</v>
      </c>
      <c r="C23" s="620"/>
      <c r="D23" s="739">
        <v>10</v>
      </c>
      <c r="E23" s="630">
        <f>1*$E$3</f>
        <v>0</v>
      </c>
      <c r="F23" s="630">
        <f>0.1*F3</f>
        <v>0</v>
      </c>
      <c r="G23" s="619">
        <f t="shared" si="12"/>
        <v>10</v>
      </c>
      <c r="H23" s="739">
        <v>14</v>
      </c>
      <c r="I23" s="630">
        <f>1*$E$3</f>
        <v>0</v>
      </c>
      <c r="J23" s="630">
        <f>0.1*J3</f>
        <v>0</v>
      </c>
      <c r="K23" s="619">
        <f t="shared" si="13"/>
        <v>14</v>
      </c>
      <c r="L23" s="739">
        <v>14</v>
      </c>
      <c r="M23" s="630">
        <f>1*$E$3</f>
        <v>0</v>
      </c>
      <c r="N23" s="630">
        <f>0.1*N3</f>
        <v>0</v>
      </c>
      <c r="O23" s="619">
        <f t="shared" si="14"/>
        <v>14</v>
      </c>
      <c r="P23" s="739">
        <v>14</v>
      </c>
      <c r="Q23" s="630">
        <f>1*$E$3</f>
        <v>0</v>
      </c>
      <c r="R23" s="630">
        <f>0.1*R3</f>
        <v>0</v>
      </c>
      <c r="S23" s="619">
        <f t="shared" si="15"/>
        <v>14</v>
      </c>
      <c r="T23" s="739">
        <v>12</v>
      </c>
      <c r="U23" s="630">
        <f>1*$E$3</f>
        <v>0</v>
      </c>
      <c r="V23" s="630">
        <f>0.1*V3</f>
        <v>0</v>
      </c>
      <c r="W23" s="619">
        <f t="shared" si="16"/>
        <v>12</v>
      </c>
      <c r="X23" s="739">
        <v>16</v>
      </c>
      <c r="Y23" s="630">
        <f>1*$E$3</f>
        <v>0</v>
      </c>
      <c r="Z23" s="630">
        <f>0.1*Z3</f>
        <v>0</v>
      </c>
      <c r="AA23" s="619">
        <f t="shared" si="17"/>
        <v>16</v>
      </c>
    </row>
    <row r="24" spans="1:27" x14ac:dyDescent="0.25">
      <c r="A24" s="1937"/>
      <c r="B24" s="19" t="s">
        <v>34</v>
      </c>
      <c r="C24" s="620"/>
      <c r="D24" s="739">
        <v>12</v>
      </c>
      <c r="E24" s="630">
        <f>1*$E$3</f>
        <v>0</v>
      </c>
      <c r="F24" s="630">
        <f>0.1*F3</f>
        <v>0</v>
      </c>
      <c r="G24" s="619">
        <f t="shared" si="12"/>
        <v>12</v>
      </c>
      <c r="H24" s="739">
        <v>16</v>
      </c>
      <c r="I24" s="630">
        <f>1*$E$3</f>
        <v>0</v>
      </c>
      <c r="J24" s="630">
        <f>0.1*J3</f>
        <v>0</v>
      </c>
      <c r="K24" s="619">
        <f t="shared" si="13"/>
        <v>16</v>
      </c>
      <c r="L24" s="739">
        <v>18</v>
      </c>
      <c r="M24" s="630">
        <f>1*$E$3</f>
        <v>0</v>
      </c>
      <c r="N24" s="630">
        <f>0.1*N3</f>
        <v>0</v>
      </c>
      <c r="O24" s="619">
        <f t="shared" si="14"/>
        <v>18</v>
      </c>
      <c r="P24" s="739">
        <v>18</v>
      </c>
      <c r="Q24" s="630">
        <f>1*$E$3</f>
        <v>0</v>
      </c>
      <c r="R24" s="630">
        <f>0.1*R3</f>
        <v>0</v>
      </c>
      <c r="S24" s="619">
        <f t="shared" si="15"/>
        <v>18</v>
      </c>
      <c r="T24" s="739">
        <v>16</v>
      </c>
      <c r="U24" s="630">
        <f>1*$E$3</f>
        <v>0</v>
      </c>
      <c r="V24" s="630">
        <f>0.1*V3</f>
        <v>0</v>
      </c>
      <c r="W24" s="619">
        <f t="shared" si="16"/>
        <v>16</v>
      </c>
      <c r="X24" s="739">
        <v>20</v>
      </c>
      <c r="Y24" s="630">
        <f>1*$E$3</f>
        <v>0</v>
      </c>
      <c r="Z24" s="630">
        <f>0.1*Z3</f>
        <v>0</v>
      </c>
      <c r="AA24" s="619">
        <f t="shared" si="17"/>
        <v>20</v>
      </c>
    </row>
    <row r="25" spans="1:27" x14ac:dyDescent="0.25">
      <c r="A25" s="1937" t="s">
        <v>7</v>
      </c>
      <c r="B25" s="19" t="s">
        <v>32</v>
      </c>
      <c r="C25" s="620"/>
      <c r="D25" s="744">
        <v>4</v>
      </c>
      <c r="E25" s="740">
        <v>0</v>
      </c>
      <c r="F25" s="700">
        <f>0.1*F3</f>
        <v>0</v>
      </c>
      <c r="G25" s="619">
        <f t="shared" si="12"/>
        <v>4</v>
      </c>
      <c r="H25" s="744">
        <v>4</v>
      </c>
      <c r="I25" s="740">
        <v>0</v>
      </c>
      <c r="J25" s="700">
        <f>0.1*J3</f>
        <v>0</v>
      </c>
      <c r="K25" s="619">
        <f t="shared" si="13"/>
        <v>4</v>
      </c>
      <c r="L25" s="744">
        <v>4</v>
      </c>
      <c r="M25" s="740">
        <v>0</v>
      </c>
      <c r="N25" s="700">
        <f>0.1*N3</f>
        <v>0</v>
      </c>
      <c r="O25" s="619">
        <f t="shared" si="14"/>
        <v>4</v>
      </c>
      <c r="P25" s="744">
        <v>4</v>
      </c>
      <c r="Q25" s="740">
        <v>0</v>
      </c>
      <c r="R25" s="700">
        <f>0.1*R3</f>
        <v>0</v>
      </c>
      <c r="S25" s="619">
        <f t="shared" si="15"/>
        <v>4</v>
      </c>
      <c r="T25" s="744">
        <v>4</v>
      </c>
      <c r="U25" s="740">
        <v>0</v>
      </c>
      <c r="V25" s="700">
        <f>0.1*V3</f>
        <v>0</v>
      </c>
      <c r="W25" s="619">
        <f t="shared" si="16"/>
        <v>4</v>
      </c>
      <c r="X25" s="744">
        <v>4</v>
      </c>
      <c r="Y25" s="740">
        <v>0</v>
      </c>
      <c r="Z25" s="700">
        <f>0.1*Z3</f>
        <v>0</v>
      </c>
      <c r="AA25" s="619">
        <f t="shared" si="17"/>
        <v>4</v>
      </c>
    </row>
    <row r="26" spans="1:27" x14ac:dyDescent="0.25">
      <c r="A26" s="1937"/>
      <c r="B26" s="19" t="s">
        <v>33</v>
      </c>
      <c r="C26" s="620"/>
      <c r="D26" s="744">
        <v>6</v>
      </c>
      <c r="E26" s="740">
        <v>0</v>
      </c>
      <c r="F26" s="700">
        <f>0.1*F3</f>
        <v>0</v>
      </c>
      <c r="G26" s="619">
        <f t="shared" si="12"/>
        <v>6</v>
      </c>
      <c r="H26" s="744">
        <v>6</v>
      </c>
      <c r="I26" s="740">
        <v>0</v>
      </c>
      <c r="J26" s="700">
        <f>0.1*J3</f>
        <v>0</v>
      </c>
      <c r="K26" s="619">
        <f t="shared" si="13"/>
        <v>6</v>
      </c>
      <c r="L26" s="744">
        <v>6</v>
      </c>
      <c r="M26" s="740">
        <v>0</v>
      </c>
      <c r="N26" s="700">
        <f>0.1*N3</f>
        <v>0</v>
      </c>
      <c r="O26" s="619">
        <f t="shared" si="14"/>
        <v>6</v>
      </c>
      <c r="P26" s="744">
        <v>6</v>
      </c>
      <c r="Q26" s="740">
        <v>0</v>
      </c>
      <c r="R26" s="700">
        <f>0.1*R3</f>
        <v>0</v>
      </c>
      <c r="S26" s="619">
        <f t="shared" si="15"/>
        <v>6</v>
      </c>
      <c r="T26" s="744">
        <v>6</v>
      </c>
      <c r="U26" s="740">
        <v>0</v>
      </c>
      <c r="V26" s="700">
        <f>0.1*V3</f>
        <v>0</v>
      </c>
      <c r="W26" s="619">
        <f t="shared" si="16"/>
        <v>6</v>
      </c>
      <c r="X26" s="744">
        <v>6</v>
      </c>
      <c r="Y26" s="740">
        <v>0</v>
      </c>
      <c r="Z26" s="700">
        <f>0.1*Z3</f>
        <v>0</v>
      </c>
      <c r="AA26" s="619">
        <f t="shared" si="17"/>
        <v>6</v>
      </c>
    </row>
    <row r="27" spans="1:27" x14ac:dyDescent="0.25">
      <c r="A27" s="1937"/>
      <c r="B27" s="19" t="s">
        <v>34</v>
      </c>
      <c r="C27" s="620"/>
      <c r="D27" s="744">
        <v>8</v>
      </c>
      <c r="E27" s="740">
        <v>0</v>
      </c>
      <c r="F27" s="700">
        <f>0.1*F3</f>
        <v>0</v>
      </c>
      <c r="G27" s="619">
        <f t="shared" si="12"/>
        <v>8</v>
      </c>
      <c r="H27" s="744">
        <v>8</v>
      </c>
      <c r="I27" s="740">
        <v>0</v>
      </c>
      <c r="J27" s="700">
        <f>0.1*J3</f>
        <v>0</v>
      </c>
      <c r="K27" s="619">
        <f t="shared" si="13"/>
        <v>8</v>
      </c>
      <c r="L27" s="744">
        <v>8</v>
      </c>
      <c r="M27" s="740">
        <v>0</v>
      </c>
      <c r="N27" s="700">
        <f>0.1*N3</f>
        <v>0</v>
      </c>
      <c r="O27" s="619">
        <f t="shared" si="14"/>
        <v>8</v>
      </c>
      <c r="P27" s="744">
        <v>8</v>
      </c>
      <c r="Q27" s="740">
        <v>0</v>
      </c>
      <c r="R27" s="700">
        <f>0.1*R3</f>
        <v>0</v>
      </c>
      <c r="S27" s="619">
        <f t="shared" si="15"/>
        <v>8</v>
      </c>
      <c r="T27" s="744">
        <v>8</v>
      </c>
      <c r="U27" s="740">
        <v>0</v>
      </c>
      <c r="V27" s="700">
        <f>0.1*V3</f>
        <v>0</v>
      </c>
      <c r="W27" s="619">
        <f t="shared" si="16"/>
        <v>8</v>
      </c>
      <c r="X27" s="744">
        <v>8</v>
      </c>
      <c r="Y27" s="740">
        <v>0</v>
      </c>
      <c r="Z27" s="700">
        <f>0.1*Z3</f>
        <v>0</v>
      </c>
      <c r="AA27" s="619">
        <f t="shared" si="17"/>
        <v>8</v>
      </c>
    </row>
    <row r="28" spans="1:27" x14ac:dyDescent="0.25">
      <c r="A28" s="1937" t="s">
        <v>8</v>
      </c>
      <c r="B28" s="19" t="s">
        <v>32</v>
      </c>
      <c r="C28" s="620"/>
      <c r="D28" s="744">
        <v>3</v>
      </c>
      <c r="E28" s="740">
        <v>0</v>
      </c>
      <c r="F28" s="743">
        <v>0</v>
      </c>
      <c r="G28" s="619">
        <f t="shared" si="12"/>
        <v>3</v>
      </c>
      <c r="H28" s="744">
        <v>3</v>
      </c>
      <c r="I28" s="740">
        <v>0</v>
      </c>
      <c r="J28" s="743">
        <v>0</v>
      </c>
      <c r="K28" s="619">
        <f t="shared" si="13"/>
        <v>3</v>
      </c>
      <c r="L28" s="744">
        <v>4</v>
      </c>
      <c r="M28" s="740">
        <v>0</v>
      </c>
      <c r="N28" s="743">
        <v>0</v>
      </c>
      <c r="O28" s="619">
        <f t="shared" si="14"/>
        <v>4</v>
      </c>
      <c r="P28" s="744">
        <v>4</v>
      </c>
      <c r="Q28" s="740">
        <v>0</v>
      </c>
      <c r="R28" s="743">
        <v>0</v>
      </c>
      <c r="S28" s="619">
        <f t="shared" si="15"/>
        <v>4</v>
      </c>
      <c r="T28" s="744">
        <v>3</v>
      </c>
      <c r="U28" s="740">
        <v>0</v>
      </c>
      <c r="V28" s="743">
        <v>0</v>
      </c>
      <c r="W28" s="619">
        <f t="shared" si="16"/>
        <v>3</v>
      </c>
      <c r="X28" s="744">
        <v>4</v>
      </c>
      <c r="Y28" s="740">
        <v>0</v>
      </c>
      <c r="Z28" s="743">
        <v>0</v>
      </c>
      <c r="AA28" s="619">
        <f t="shared" si="17"/>
        <v>4</v>
      </c>
    </row>
    <row r="29" spans="1:27" x14ac:dyDescent="0.25">
      <c r="A29" s="1937"/>
      <c r="B29" s="19" t="s">
        <v>33</v>
      </c>
      <c r="C29" s="620"/>
      <c r="D29" s="744">
        <v>4</v>
      </c>
      <c r="E29" s="740">
        <v>0</v>
      </c>
      <c r="F29" s="743">
        <v>0</v>
      </c>
      <c r="G29" s="619">
        <f t="shared" si="12"/>
        <v>4</v>
      </c>
      <c r="H29" s="744">
        <v>4</v>
      </c>
      <c r="I29" s="740">
        <v>0</v>
      </c>
      <c r="J29" s="743">
        <v>0</v>
      </c>
      <c r="K29" s="619">
        <f t="shared" si="13"/>
        <v>4</v>
      </c>
      <c r="L29" s="744">
        <v>6</v>
      </c>
      <c r="M29" s="740">
        <v>0</v>
      </c>
      <c r="N29" s="743">
        <v>0</v>
      </c>
      <c r="O29" s="619">
        <f t="shared" si="14"/>
        <v>6</v>
      </c>
      <c r="P29" s="744">
        <v>6</v>
      </c>
      <c r="Q29" s="740">
        <v>0</v>
      </c>
      <c r="R29" s="743">
        <v>0</v>
      </c>
      <c r="S29" s="619">
        <f t="shared" si="15"/>
        <v>6</v>
      </c>
      <c r="T29" s="744">
        <v>4</v>
      </c>
      <c r="U29" s="740">
        <v>0</v>
      </c>
      <c r="V29" s="743">
        <v>0</v>
      </c>
      <c r="W29" s="619">
        <f t="shared" si="16"/>
        <v>4</v>
      </c>
      <c r="X29" s="744">
        <v>6</v>
      </c>
      <c r="Y29" s="740">
        <v>0</v>
      </c>
      <c r="Z29" s="743">
        <v>0</v>
      </c>
      <c r="AA29" s="619">
        <f t="shared" si="17"/>
        <v>6</v>
      </c>
    </row>
    <row r="30" spans="1:27" x14ac:dyDescent="0.25">
      <c r="A30" s="1937"/>
      <c r="B30" s="19" t="s">
        <v>34</v>
      </c>
      <c r="C30" s="620"/>
      <c r="D30" s="744">
        <v>6</v>
      </c>
      <c r="E30" s="740">
        <v>0</v>
      </c>
      <c r="F30" s="743">
        <v>0</v>
      </c>
      <c r="G30" s="619">
        <f t="shared" si="12"/>
        <v>6</v>
      </c>
      <c r="H30" s="744">
        <v>6</v>
      </c>
      <c r="I30" s="740">
        <v>0</v>
      </c>
      <c r="J30" s="743">
        <v>0</v>
      </c>
      <c r="K30" s="619">
        <f t="shared" si="13"/>
        <v>6</v>
      </c>
      <c r="L30" s="744">
        <v>8</v>
      </c>
      <c r="M30" s="740">
        <v>0</v>
      </c>
      <c r="N30" s="743">
        <v>0</v>
      </c>
      <c r="O30" s="619">
        <f t="shared" si="14"/>
        <v>8</v>
      </c>
      <c r="P30" s="744">
        <v>8</v>
      </c>
      <c r="Q30" s="740">
        <v>0</v>
      </c>
      <c r="R30" s="743">
        <v>0</v>
      </c>
      <c r="S30" s="619">
        <f t="shared" si="15"/>
        <v>8</v>
      </c>
      <c r="T30" s="744">
        <v>6</v>
      </c>
      <c r="U30" s="740">
        <v>0</v>
      </c>
      <c r="V30" s="743">
        <v>0</v>
      </c>
      <c r="W30" s="619">
        <f t="shared" si="16"/>
        <v>6</v>
      </c>
      <c r="X30" s="744">
        <v>8</v>
      </c>
      <c r="Y30" s="740">
        <v>0</v>
      </c>
      <c r="Z30" s="743">
        <v>0</v>
      </c>
      <c r="AA30" s="619">
        <f t="shared" si="17"/>
        <v>8</v>
      </c>
    </row>
    <row r="31" spans="1:27" x14ac:dyDescent="0.25">
      <c r="A31" s="1937" t="s">
        <v>9</v>
      </c>
      <c r="B31" s="19" t="s">
        <v>32</v>
      </c>
      <c r="C31" s="620"/>
      <c r="D31" s="747">
        <f>3+(0.5*$D$3)</f>
        <v>3</v>
      </c>
      <c r="E31" s="740">
        <v>0</v>
      </c>
      <c r="F31" s="629">
        <f>0.1*F3</f>
        <v>0</v>
      </c>
      <c r="G31" s="619">
        <f t="shared" si="12"/>
        <v>3</v>
      </c>
      <c r="H31" s="747">
        <f>3+(0.5*$D$3)</f>
        <v>3</v>
      </c>
      <c r="I31" s="740">
        <v>0</v>
      </c>
      <c r="J31" s="740">
        <v>0</v>
      </c>
      <c r="K31" s="619">
        <f t="shared" si="13"/>
        <v>3</v>
      </c>
      <c r="L31" s="747">
        <f>3+(0.5*$D$3)</f>
        <v>3</v>
      </c>
      <c r="M31" s="740">
        <v>0</v>
      </c>
      <c r="N31" s="629">
        <f>0.1*N3</f>
        <v>0</v>
      </c>
      <c r="O31" s="619">
        <f t="shared" si="14"/>
        <v>3</v>
      </c>
      <c r="P31" s="747">
        <f>3+(0.5*$D$3)</f>
        <v>3</v>
      </c>
      <c r="Q31" s="740">
        <v>0</v>
      </c>
      <c r="R31" s="629">
        <f>0.1*R3</f>
        <v>0</v>
      </c>
      <c r="S31" s="619">
        <f t="shared" si="15"/>
        <v>3</v>
      </c>
      <c r="T31" s="747">
        <f>3+(0.5*$D$3)</f>
        <v>3</v>
      </c>
      <c r="U31" s="740">
        <v>0</v>
      </c>
      <c r="V31" s="740">
        <v>0</v>
      </c>
      <c r="W31" s="619">
        <f t="shared" si="16"/>
        <v>3</v>
      </c>
      <c r="X31" s="747">
        <f>3+(0.5*$D$3)</f>
        <v>3</v>
      </c>
      <c r="Y31" s="740">
        <v>0</v>
      </c>
      <c r="Z31" s="629">
        <f>0.1*Z3</f>
        <v>0</v>
      </c>
      <c r="AA31" s="619">
        <f t="shared" si="17"/>
        <v>3</v>
      </c>
    </row>
    <row r="32" spans="1:27" x14ac:dyDescent="0.25">
      <c r="A32" s="1937"/>
      <c r="B32" s="19" t="s">
        <v>33</v>
      </c>
      <c r="C32" s="620"/>
      <c r="D32" s="747">
        <f>3+(0.5*$D$3)</f>
        <v>3</v>
      </c>
      <c r="E32" s="740">
        <v>0</v>
      </c>
      <c r="F32" s="629">
        <f>0.1*F3</f>
        <v>0</v>
      </c>
      <c r="G32" s="619">
        <f t="shared" si="12"/>
        <v>3</v>
      </c>
      <c r="H32" s="747">
        <f>3+(0.5*$D$3)</f>
        <v>3</v>
      </c>
      <c r="I32" s="740">
        <v>0</v>
      </c>
      <c r="J32" s="740">
        <v>0</v>
      </c>
      <c r="K32" s="619">
        <f t="shared" si="13"/>
        <v>3</v>
      </c>
      <c r="L32" s="747">
        <f>3+(0.5*$D$3)</f>
        <v>3</v>
      </c>
      <c r="M32" s="740">
        <v>0</v>
      </c>
      <c r="N32" s="629">
        <f>0.1*N3</f>
        <v>0</v>
      </c>
      <c r="O32" s="619">
        <f t="shared" si="14"/>
        <v>3</v>
      </c>
      <c r="P32" s="747">
        <f>3+(0.5*$D$3)</f>
        <v>3</v>
      </c>
      <c r="Q32" s="740">
        <v>0</v>
      </c>
      <c r="R32" s="629">
        <f>0.1*R3</f>
        <v>0</v>
      </c>
      <c r="S32" s="619">
        <f t="shared" si="15"/>
        <v>3</v>
      </c>
      <c r="T32" s="747">
        <f>3+(0.5*$D$3)</f>
        <v>3</v>
      </c>
      <c r="U32" s="740">
        <v>0</v>
      </c>
      <c r="V32" s="740">
        <v>0</v>
      </c>
      <c r="W32" s="619">
        <f t="shared" si="16"/>
        <v>3</v>
      </c>
      <c r="X32" s="747">
        <f>3+(0.5*$D$3)</f>
        <v>3</v>
      </c>
      <c r="Y32" s="740">
        <v>0</v>
      </c>
      <c r="Z32" s="629">
        <f>0.1*Z3</f>
        <v>0</v>
      </c>
      <c r="AA32" s="619">
        <f t="shared" si="17"/>
        <v>3</v>
      </c>
    </row>
    <row r="33" spans="1:27" x14ac:dyDescent="0.25">
      <c r="A33" s="1937"/>
      <c r="B33" s="19" t="s">
        <v>34</v>
      </c>
      <c r="C33" s="620"/>
      <c r="D33" s="747">
        <f>5+(0.5*$D$3)</f>
        <v>5</v>
      </c>
      <c r="E33" s="740">
        <v>0</v>
      </c>
      <c r="F33" s="629">
        <f>0.1*F3</f>
        <v>0</v>
      </c>
      <c r="G33" s="619">
        <f t="shared" si="12"/>
        <v>5</v>
      </c>
      <c r="H33" s="747">
        <f>5+(0.5*$D$3)</f>
        <v>5</v>
      </c>
      <c r="I33" s="740">
        <v>0</v>
      </c>
      <c r="J33" s="740">
        <v>0</v>
      </c>
      <c r="K33" s="619">
        <f t="shared" si="13"/>
        <v>5</v>
      </c>
      <c r="L33" s="747">
        <f>5+(0.5*$D$3)</f>
        <v>5</v>
      </c>
      <c r="M33" s="740">
        <v>0</v>
      </c>
      <c r="N33" s="629">
        <f>0.1*N3</f>
        <v>0</v>
      </c>
      <c r="O33" s="619">
        <f t="shared" si="14"/>
        <v>5</v>
      </c>
      <c r="P33" s="747">
        <f>5+(0.5*$D$3)</f>
        <v>5</v>
      </c>
      <c r="Q33" s="740">
        <v>0</v>
      </c>
      <c r="R33" s="629">
        <f>0.1*R3</f>
        <v>0</v>
      </c>
      <c r="S33" s="619">
        <f t="shared" si="15"/>
        <v>5</v>
      </c>
      <c r="T33" s="747">
        <f>5+(0.5*$D$3)</f>
        <v>5</v>
      </c>
      <c r="U33" s="740">
        <v>0</v>
      </c>
      <c r="V33" s="740">
        <v>0</v>
      </c>
      <c r="W33" s="619">
        <f t="shared" si="16"/>
        <v>5</v>
      </c>
      <c r="X33" s="747">
        <f>5+(0.5*$D$3)</f>
        <v>5</v>
      </c>
      <c r="Y33" s="740">
        <v>0</v>
      </c>
      <c r="Z33" s="629">
        <f>0.1*Z3</f>
        <v>0</v>
      </c>
      <c r="AA33" s="619">
        <f t="shared" si="17"/>
        <v>5</v>
      </c>
    </row>
    <row r="34" spans="1:27" x14ac:dyDescent="0.25">
      <c r="A34" s="1937" t="s">
        <v>10</v>
      </c>
      <c r="B34" s="19" t="s">
        <v>32</v>
      </c>
      <c r="C34" s="620"/>
      <c r="D34" s="744">
        <v>2</v>
      </c>
      <c r="E34" s="740">
        <v>0</v>
      </c>
      <c r="F34" s="740">
        <v>0</v>
      </c>
      <c r="G34" s="619">
        <f t="shared" si="12"/>
        <v>2</v>
      </c>
      <c r="H34" s="744">
        <v>2</v>
      </c>
      <c r="I34" s="740">
        <v>0</v>
      </c>
      <c r="J34" s="740">
        <v>0</v>
      </c>
      <c r="K34" s="619">
        <f t="shared" si="13"/>
        <v>2</v>
      </c>
      <c r="L34" s="744">
        <v>2</v>
      </c>
      <c r="M34" s="740">
        <v>0</v>
      </c>
      <c r="N34" s="740">
        <v>0</v>
      </c>
      <c r="O34" s="619">
        <f t="shared" si="14"/>
        <v>2</v>
      </c>
      <c r="P34" s="744">
        <v>2</v>
      </c>
      <c r="Q34" s="740">
        <v>0</v>
      </c>
      <c r="R34" s="740">
        <v>0</v>
      </c>
      <c r="S34" s="619">
        <f t="shared" si="15"/>
        <v>2</v>
      </c>
      <c r="T34" s="744">
        <v>2</v>
      </c>
      <c r="U34" s="740">
        <v>0</v>
      </c>
      <c r="V34" s="740">
        <v>0</v>
      </c>
      <c r="W34" s="619">
        <f t="shared" si="16"/>
        <v>2</v>
      </c>
      <c r="X34" s="744">
        <v>2</v>
      </c>
      <c r="Y34" s="740">
        <v>0</v>
      </c>
      <c r="Z34" s="740">
        <v>0</v>
      </c>
      <c r="AA34" s="619">
        <f t="shared" si="17"/>
        <v>2</v>
      </c>
    </row>
    <row r="35" spans="1:27" x14ac:dyDescent="0.25">
      <c r="A35" s="1937"/>
      <c r="B35" s="19" t="s">
        <v>33</v>
      </c>
      <c r="C35" s="620"/>
      <c r="D35" s="744">
        <v>2</v>
      </c>
      <c r="E35" s="740">
        <v>0</v>
      </c>
      <c r="F35" s="740">
        <v>0</v>
      </c>
      <c r="G35" s="619">
        <f t="shared" si="12"/>
        <v>2</v>
      </c>
      <c r="H35" s="744">
        <v>2</v>
      </c>
      <c r="I35" s="740">
        <v>0</v>
      </c>
      <c r="J35" s="740">
        <v>0</v>
      </c>
      <c r="K35" s="619">
        <f t="shared" si="13"/>
        <v>2</v>
      </c>
      <c r="L35" s="744">
        <v>2</v>
      </c>
      <c r="M35" s="740">
        <v>0</v>
      </c>
      <c r="N35" s="740">
        <v>0</v>
      </c>
      <c r="O35" s="619">
        <f t="shared" si="14"/>
        <v>2</v>
      </c>
      <c r="P35" s="744">
        <v>2</v>
      </c>
      <c r="Q35" s="740">
        <v>0</v>
      </c>
      <c r="R35" s="740">
        <v>0</v>
      </c>
      <c r="S35" s="619">
        <f t="shared" si="15"/>
        <v>2</v>
      </c>
      <c r="T35" s="744">
        <v>2</v>
      </c>
      <c r="U35" s="740">
        <v>0</v>
      </c>
      <c r="V35" s="740">
        <v>0</v>
      </c>
      <c r="W35" s="619">
        <f t="shared" si="16"/>
        <v>2</v>
      </c>
      <c r="X35" s="744">
        <v>2</v>
      </c>
      <c r="Y35" s="740">
        <v>0</v>
      </c>
      <c r="Z35" s="740">
        <v>0</v>
      </c>
      <c r="AA35" s="619">
        <f t="shared" si="17"/>
        <v>2</v>
      </c>
    </row>
    <row r="36" spans="1:27" ht="15.75" thickBot="1" x14ac:dyDescent="0.3">
      <c r="A36" s="1938"/>
      <c r="B36" s="13" t="s">
        <v>34</v>
      </c>
      <c r="C36" s="624"/>
      <c r="D36" s="745">
        <v>2</v>
      </c>
      <c r="E36" s="766">
        <v>0</v>
      </c>
      <c r="F36" s="766">
        <v>0</v>
      </c>
      <c r="G36" s="77">
        <f t="shared" si="12"/>
        <v>2</v>
      </c>
      <c r="H36" s="745">
        <v>2</v>
      </c>
      <c r="I36" s="766">
        <v>0</v>
      </c>
      <c r="J36" s="766">
        <v>0</v>
      </c>
      <c r="K36" s="77">
        <f t="shared" si="13"/>
        <v>2</v>
      </c>
      <c r="L36" s="745">
        <v>2</v>
      </c>
      <c r="M36" s="766">
        <v>0</v>
      </c>
      <c r="N36" s="766">
        <v>0</v>
      </c>
      <c r="O36" s="77">
        <f t="shared" si="14"/>
        <v>2</v>
      </c>
      <c r="P36" s="745">
        <v>2</v>
      </c>
      <c r="Q36" s="766">
        <v>0</v>
      </c>
      <c r="R36" s="766">
        <v>0</v>
      </c>
      <c r="S36" s="77">
        <f t="shared" si="15"/>
        <v>2</v>
      </c>
      <c r="T36" s="745">
        <v>2</v>
      </c>
      <c r="U36" s="766">
        <v>0</v>
      </c>
      <c r="V36" s="766">
        <v>0</v>
      </c>
      <c r="W36" s="77">
        <f t="shared" si="16"/>
        <v>2</v>
      </c>
      <c r="X36" s="745">
        <v>2</v>
      </c>
      <c r="Y36" s="766">
        <v>0</v>
      </c>
      <c r="Z36" s="766">
        <v>0</v>
      </c>
      <c r="AA36" s="77">
        <f t="shared" si="17"/>
        <v>2</v>
      </c>
    </row>
    <row r="37" spans="1:27" ht="16.5" thickBot="1" x14ac:dyDescent="0.3">
      <c r="A37" s="330" t="s">
        <v>11</v>
      </c>
      <c r="B37" s="329"/>
      <c r="C37" s="329"/>
      <c r="D37" s="329"/>
      <c r="E37" s="329"/>
      <c r="F37" s="327"/>
      <c r="G37" s="327"/>
      <c r="H37" s="329"/>
      <c r="I37" s="329"/>
      <c r="J37" s="327"/>
      <c r="K37" s="327"/>
      <c r="L37" s="329"/>
      <c r="M37" s="329"/>
      <c r="N37" s="327"/>
      <c r="O37" s="327"/>
      <c r="P37" s="329"/>
      <c r="Q37" s="329"/>
      <c r="R37" s="327"/>
      <c r="S37" s="327"/>
      <c r="T37" s="329"/>
      <c r="U37" s="329"/>
      <c r="V37" s="327"/>
      <c r="W37" s="327"/>
      <c r="X37" s="329"/>
      <c r="Y37" s="329"/>
      <c r="Z37" s="327"/>
      <c r="AA37" s="327"/>
    </row>
    <row r="38" spans="1:27" x14ac:dyDescent="0.25">
      <c r="A38" s="1907" t="s">
        <v>12</v>
      </c>
      <c r="B38" s="404" t="s">
        <v>32</v>
      </c>
      <c r="C38" s="324"/>
      <c r="D38" s="756">
        <v>8</v>
      </c>
      <c r="E38" s="674">
        <f>0.5*$E$3</f>
        <v>0</v>
      </c>
      <c r="F38" s="756">
        <v>0</v>
      </c>
      <c r="G38" s="230">
        <f xml:space="preserve"> SUM(D38:F38) + $C38</f>
        <v>8</v>
      </c>
      <c r="H38" s="756">
        <v>8</v>
      </c>
      <c r="I38" s="674">
        <f>1*$E$3</f>
        <v>0</v>
      </c>
      <c r="J38" s="756">
        <v>0</v>
      </c>
      <c r="K38" s="230">
        <f xml:space="preserve"> SUM(H38:J38) + $C38</f>
        <v>8</v>
      </c>
      <c r="L38" s="756">
        <v>10</v>
      </c>
      <c r="M38" s="674">
        <f>0.5*$E$3</f>
        <v>0</v>
      </c>
      <c r="N38" s="756">
        <v>0</v>
      </c>
      <c r="O38" s="230">
        <f xml:space="preserve"> SUM(L38:N38) + $C38</f>
        <v>10</v>
      </c>
      <c r="P38" s="756">
        <v>12</v>
      </c>
      <c r="Q38" s="674">
        <f>0.5*$Q$3</f>
        <v>0</v>
      </c>
      <c r="R38" s="756">
        <v>0</v>
      </c>
      <c r="S38" s="230">
        <f xml:space="preserve"> SUM(P38:R38) + $C38</f>
        <v>12</v>
      </c>
      <c r="T38" s="756">
        <v>8</v>
      </c>
      <c r="U38" s="674">
        <f>1*$E$3</f>
        <v>0</v>
      </c>
      <c r="V38" s="756">
        <v>0</v>
      </c>
      <c r="W38" s="230">
        <f xml:space="preserve"> SUM(T38:V38) + $C38</f>
        <v>8</v>
      </c>
      <c r="X38" s="756">
        <v>12</v>
      </c>
      <c r="Y38" s="674">
        <f>0.5*$Y$3</f>
        <v>0</v>
      </c>
      <c r="Z38" s="756">
        <v>0</v>
      </c>
      <c r="AA38" s="230">
        <f xml:space="preserve"> SUM(X38:Z38) + $C38</f>
        <v>12</v>
      </c>
    </row>
    <row r="39" spans="1:27" x14ac:dyDescent="0.25">
      <c r="A39" s="1907"/>
      <c r="B39" s="19" t="s">
        <v>33</v>
      </c>
      <c r="C39" s="620"/>
      <c r="D39" s="739">
        <v>12</v>
      </c>
      <c r="E39" s="630">
        <f>1*$E$3</f>
        <v>0</v>
      </c>
      <c r="F39" s="739">
        <v>0</v>
      </c>
      <c r="G39" s="619">
        <f xml:space="preserve"> SUM(D39:F39) + $C39</f>
        <v>12</v>
      </c>
      <c r="H39" s="739">
        <v>12</v>
      </c>
      <c r="I39" s="630">
        <f>1*$E$3</f>
        <v>0</v>
      </c>
      <c r="J39" s="739">
        <v>0</v>
      </c>
      <c r="K39" s="619">
        <f xml:space="preserve"> SUM(H39:J39) + $C39</f>
        <v>12</v>
      </c>
      <c r="L39" s="739">
        <v>14</v>
      </c>
      <c r="M39" s="630">
        <f>1*$E$3</f>
        <v>0</v>
      </c>
      <c r="N39" s="739">
        <v>0</v>
      </c>
      <c r="O39" s="619">
        <f xml:space="preserve"> SUM(L39:N39) + $C39</f>
        <v>14</v>
      </c>
      <c r="P39" s="739">
        <v>14</v>
      </c>
      <c r="Q39" s="630">
        <f>1*$Q$3</f>
        <v>0</v>
      </c>
      <c r="R39" s="739">
        <v>0</v>
      </c>
      <c r="S39" s="619">
        <f xml:space="preserve"> SUM(P39:R39) + $C39</f>
        <v>14</v>
      </c>
      <c r="T39" s="739">
        <v>12</v>
      </c>
      <c r="U39" s="630">
        <f>1*$E$3</f>
        <v>0</v>
      </c>
      <c r="V39" s="739">
        <v>0</v>
      </c>
      <c r="W39" s="619">
        <f xml:space="preserve"> SUM(T39:V39) + $C39</f>
        <v>12</v>
      </c>
      <c r="X39" s="739">
        <v>14</v>
      </c>
      <c r="Y39" s="630">
        <f>1*$Y$3</f>
        <v>0</v>
      </c>
      <c r="Z39" s="739">
        <v>0</v>
      </c>
      <c r="AA39" s="619">
        <f xml:space="preserve"> SUM(X39:Z39) + $C39</f>
        <v>14</v>
      </c>
    </row>
    <row r="40" spans="1:27" ht="15.75" thickBot="1" x14ac:dyDescent="0.3">
      <c r="A40" s="1907"/>
      <c r="B40" s="13" t="s">
        <v>34</v>
      </c>
      <c r="C40" s="624"/>
      <c r="D40" s="759">
        <v>14</v>
      </c>
      <c r="E40" s="675">
        <f>1.5*$E$3</f>
        <v>0</v>
      </c>
      <c r="F40" s="759">
        <v>0</v>
      </c>
      <c r="G40" s="77">
        <f xml:space="preserve"> SUM(D40:F40) + $C40</f>
        <v>14</v>
      </c>
      <c r="H40" s="759">
        <v>14</v>
      </c>
      <c r="I40" s="675">
        <f>1*$E$3</f>
        <v>0</v>
      </c>
      <c r="J40" s="759">
        <v>0</v>
      </c>
      <c r="K40" s="77">
        <f xml:space="preserve"> SUM(H40:J40) + $C40</f>
        <v>14</v>
      </c>
      <c r="L40" s="759">
        <v>18</v>
      </c>
      <c r="M40" s="675">
        <f>1.5*$E$3</f>
        <v>0</v>
      </c>
      <c r="N40" s="759">
        <v>0</v>
      </c>
      <c r="O40" s="77">
        <f xml:space="preserve"> SUM(L40:N40) + $C40</f>
        <v>18</v>
      </c>
      <c r="P40" s="759">
        <v>16</v>
      </c>
      <c r="Q40" s="675">
        <f>1.5*$Q$3</f>
        <v>0</v>
      </c>
      <c r="R40" s="759">
        <v>0</v>
      </c>
      <c r="S40" s="77">
        <f xml:space="preserve"> SUM(P40:R40) + $C40</f>
        <v>16</v>
      </c>
      <c r="T40" s="759">
        <v>14</v>
      </c>
      <c r="U40" s="675">
        <f>1*$E$3</f>
        <v>0</v>
      </c>
      <c r="V40" s="759">
        <v>0</v>
      </c>
      <c r="W40" s="77">
        <f xml:space="preserve"> SUM(T40:V40) + $C40</f>
        <v>14</v>
      </c>
      <c r="X40" s="759">
        <v>16</v>
      </c>
      <c r="Y40" s="675">
        <f>1.5*$Y$3</f>
        <v>0</v>
      </c>
      <c r="Z40" s="759">
        <v>0</v>
      </c>
      <c r="AA40" s="77">
        <f xml:space="preserve"> SUM(X40:Z40) + $C40</f>
        <v>16</v>
      </c>
    </row>
    <row r="41" spans="1:27" ht="16.5" thickBot="1" x14ac:dyDescent="0.3">
      <c r="A41" s="330" t="s">
        <v>13</v>
      </c>
      <c r="B41" s="329"/>
      <c r="C41" s="329"/>
      <c r="D41" s="329"/>
      <c r="E41" s="329"/>
      <c r="F41" s="327"/>
      <c r="G41" s="327"/>
      <c r="H41" s="329"/>
      <c r="I41" s="329"/>
      <c r="J41" s="327"/>
      <c r="K41" s="327"/>
      <c r="L41" s="329"/>
      <c r="M41" s="329"/>
      <c r="N41" s="327"/>
      <c r="O41" s="327"/>
      <c r="P41" s="329"/>
      <c r="Q41" s="329"/>
      <c r="R41" s="327"/>
      <c r="S41" s="327"/>
      <c r="T41" s="329"/>
      <c r="U41" s="329"/>
      <c r="V41" s="327"/>
      <c r="W41" s="327"/>
      <c r="X41" s="329"/>
      <c r="Y41" s="329"/>
      <c r="Z41" s="327"/>
      <c r="AA41" s="327"/>
    </row>
    <row r="42" spans="1:27" x14ac:dyDescent="0.25">
      <c r="A42" s="1932" t="s">
        <v>14</v>
      </c>
      <c r="B42" s="404" t="s">
        <v>32</v>
      </c>
      <c r="C42" s="627"/>
      <c r="D42" s="760">
        <v>1</v>
      </c>
      <c r="E42" s="767">
        <v>0</v>
      </c>
      <c r="F42" s="767">
        <v>0</v>
      </c>
      <c r="G42" s="230">
        <f t="shared" ref="G42:G74" si="18" xml:space="preserve"> SUM(D42:F42) + $C42</f>
        <v>1</v>
      </c>
      <c r="H42" s="760">
        <v>2</v>
      </c>
      <c r="I42" s="767">
        <v>0</v>
      </c>
      <c r="J42" s="767">
        <v>0</v>
      </c>
      <c r="K42" s="230">
        <f t="shared" ref="K42:K86" si="19" xml:space="preserve"> SUM(H42:J42) + $C42</f>
        <v>2</v>
      </c>
      <c r="L42" s="760">
        <v>1</v>
      </c>
      <c r="M42" s="767">
        <v>0</v>
      </c>
      <c r="N42" s="767">
        <v>0</v>
      </c>
      <c r="O42" s="230">
        <f t="shared" ref="O42:O86" si="20" xml:space="preserve"> SUM(L42:N42) + $C42</f>
        <v>1</v>
      </c>
      <c r="P42" s="760">
        <v>1</v>
      </c>
      <c r="Q42" s="767">
        <v>0</v>
      </c>
      <c r="R42" s="767">
        <v>0</v>
      </c>
      <c r="S42" s="230">
        <f t="shared" ref="S42:S86" si="21" xml:space="preserve"> SUM(P42:R42) + $C42</f>
        <v>1</v>
      </c>
      <c r="T42" s="760">
        <v>1</v>
      </c>
      <c r="U42" s="767">
        <v>0</v>
      </c>
      <c r="V42" s="767">
        <v>0</v>
      </c>
      <c r="W42" s="230">
        <f t="shared" ref="W42:W86" si="22" xml:space="preserve"> SUM(T42:V42) + $C42</f>
        <v>1</v>
      </c>
      <c r="X42" s="760">
        <v>1</v>
      </c>
      <c r="Y42" s="767">
        <v>0</v>
      </c>
      <c r="Z42" s="767">
        <v>0</v>
      </c>
      <c r="AA42" s="230">
        <f t="shared" ref="AA42:AA86" si="23" xml:space="preserve"> SUM(X42:Z42) + $C42</f>
        <v>1</v>
      </c>
    </row>
    <row r="43" spans="1:27" x14ac:dyDescent="0.25">
      <c r="A43" s="1932"/>
      <c r="B43" s="19" t="s">
        <v>33</v>
      </c>
      <c r="C43" s="620"/>
      <c r="D43" s="744">
        <v>2</v>
      </c>
      <c r="E43" s="740">
        <v>0</v>
      </c>
      <c r="F43" s="740">
        <v>0</v>
      </c>
      <c r="G43" s="619">
        <f t="shared" si="18"/>
        <v>2</v>
      </c>
      <c r="H43" s="744">
        <v>2</v>
      </c>
      <c r="I43" s="740">
        <v>0</v>
      </c>
      <c r="J43" s="740">
        <v>0</v>
      </c>
      <c r="K43" s="619">
        <f t="shared" si="19"/>
        <v>2</v>
      </c>
      <c r="L43" s="744">
        <v>2</v>
      </c>
      <c r="M43" s="740">
        <v>0</v>
      </c>
      <c r="N43" s="740">
        <v>0</v>
      </c>
      <c r="O43" s="619">
        <f t="shared" si="20"/>
        <v>2</v>
      </c>
      <c r="P43" s="744">
        <v>2</v>
      </c>
      <c r="Q43" s="740">
        <v>0</v>
      </c>
      <c r="R43" s="740">
        <v>0</v>
      </c>
      <c r="S43" s="619">
        <f t="shared" si="21"/>
        <v>2</v>
      </c>
      <c r="T43" s="744">
        <v>2</v>
      </c>
      <c r="U43" s="740">
        <v>0</v>
      </c>
      <c r="V43" s="740">
        <v>0</v>
      </c>
      <c r="W43" s="619">
        <f t="shared" si="22"/>
        <v>2</v>
      </c>
      <c r="X43" s="744">
        <v>2</v>
      </c>
      <c r="Y43" s="740">
        <v>0</v>
      </c>
      <c r="Z43" s="740">
        <v>0</v>
      </c>
      <c r="AA43" s="619">
        <f t="shared" si="23"/>
        <v>2</v>
      </c>
    </row>
    <row r="44" spans="1:27" x14ac:dyDescent="0.25">
      <c r="A44" s="1932"/>
      <c r="B44" s="19" t="s">
        <v>34</v>
      </c>
      <c r="C44" s="620"/>
      <c r="D44" s="744">
        <v>3</v>
      </c>
      <c r="E44" s="740">
        <v>0</v>
      </c>
      <c r="F44" s="740">
        <v>0</v>
      </c>
      <c r="G44" s="619">
        <f t="shared" si="18"/>
        <v>3</v>
      </c>
      <c r="H44" s="744">
        <v>4</v>
      </c>
      <c r="I44" s="740">
        <v>0</v>
      </c>
      <c r="J44" s="740">
        <v>0</v>
      </c>
      <c r="K44" s="619">
        <f t="shared" si="19"/>
        <v>4</v>
      </c>
      <c r="L44" s="744">
        <v>3</v>
      </c>
      <c r="M44" s="740">
        <v>0</v>
      </c>
      <c r="N44" s="740">
        <v>0</v>
      </c>
      <c r="O44" s="619">
        <f t="shared" si="20"/>
        <v>3</v>
      </c>
      <c r="P44" s="744">
        <v>3</v>
      </c>
      <c r="Q44" s="740">
        <v>0</v>
      </c>
      <c r="R44" s="740">
        <v>0</v>
      </c>
      <c r="S44" s="619">
        <f t="shared" si="21"/>
        <v>3</v>
      </c>
      <c r="T44" s="744">
        <v>3</v>
      </c>
      <c r="U44" s="740">
        <v>0</v>
      </c>
      <c r="V44" s="740">
        <v>0</v>
      </c>
      <c r="W44" s="619">
        <f t="shared" si="22"/>
        <v>3</v>
      </c>
      <c r="X44" s="744">
        <v>3</v>
      </c>
      <c r="Y44" s="740">
        <v>0</v>
      </c>
      <c r="Z44" s="740">
        <v>0</v>
      </c>
      <c r="AA44" s="619">
        <f t="shared" si="23"/>
        <v>3</v>
      </c>
    </row>
    <row r="45" spans="1:27" x14ac:dyDescent="0.25">
      <c r="A45" s="1974" t="s">
        <v>15</v>
      </c>
      <c r="B45" s="19" t="s">
        <v>32</v>
      </c>
      <c r="C45" s="620"/>
      <c r="D45" s="744">
        <v>8</v>
      </c>
      <c r="E45" s="740">
        <v>0</v>
      </c>
      <c r="F45" s="740">
        <v>0</v>
      </c>
      <c r="G45" s="619">
        <f t="shared" si="18"/>
        <v>8</v>
      </c>
      <c r="H45" s="744">
        <v>8</v>
      </c>
      <c r="I45" s="740">
        <v>0</v>
      </c>
      <c r="J45" s="740">
        <v>0</v>
      </c>
      <c r="K45" s="619">
        <f t="shared" si="19"/>
        <v>8</v>
      </c>
      <c r="L45" s="744">
        <v>8</v>
      </c>
      <c r="M45" s="740">
        <v>0</v>
      </c>
      <c r="N45" s="740">
        <v>0</v>
      </c>
      <c r="O45" s="619">
        <f t="shared" si="20"/>
        <v>8</v>
      </c>
      <c r="P45" s="744">
        <v>8</v>
      </c>
      <c r="Q45" s="740">
        <v>0</v>
      </c>
      <c r="R45" s="740">
        <v>0</v>
      </c>
      <c r="S45" s="619">
        <f t="shared" si="21"/>
        <v>8</v>
      </c>
      <c r="T45" s="744">
        <v>8</v>
      </c>
      <c r="U45" s="740">
        <v>0</v>
      </c>
      <c r="V45" s="740">
        <v>0</v>
      </c>
      <c r="W45" s="619">
        <f t="shared" si="22"/>
        <v>8</v>
      </c>
      <c r="X45" s="744">
        <v>8</v>
      </c>
      <c r="Y45" s="740">
        <v>0</v>
      </c>
      <c r="Z45" s="740">
        <v>0</v>
      </c>
      <c r="AA45" s="619">
        <f t="shared" si="23"/>
        <v>8</v>
      </c>
    </row>
    <row r="46" spans="1:27" x14ac:dyDescent="0.25">
      <c r="A46" s="1974"/>
      <c r="B46" s="19" t="s">
        <v>33</v>
      </c>
      <c r="C46" s="620"/>
      <c r="D46" s="744">
        <v>16</v>
      </c>
      <c r="E46" s="740">
        <v>0</v>
      </c>
      <c r="F46" s="740">
        <v>0</v>
      </c>
      <c r="G46" s="619">
        <f t="shared" si="18"/>
        <v>16</v>
      </c>
      <c r="H46" s="744">
        <v>16</v>
      </c>
      <c r="I46" s="740">
        <v>0</v>
      </c>
      <c r="J46" s="740">
        <v>0</v>
      </c>
      <c r="K46" s="619">
        <f t="shared" si="19"/>
        <v>16</v>
      </c>
      <c r="L46" s="744">
        <v>16</v>
      </c>
      <c r="M46" s="740">
        <v>0</v>
      </c>
      <c r="N46" s="740">
        <v>0</v>
      </c>
      <c r="O46" s="619">
        <f t="shared" si="20"/>
        <v>16</v>
      </c>
      <c r="P46" s="744">
        <v>16</v>
      </c>
      <c r="Q46" s="740">
        <v>0</v>
      </c>
      <c r="R46" s="740">
        <v>0</v>
      </c>
      <c r="S46" s="619">
        <f t="shared" si="21"/>
        <v>16</v>
      </c>
      <c r="T46" s="744">
        <v>16</v>
      </c>
      <c r="U46" s="740">
        <v>0</v>
      </c>
      <c r="V46" s="740">
        <v>0</v>
      </c>
      <c r="W46" s="619">
        <f t="shared" si="22"/>
        <v>16</v>
      </c>
      <c r="X46" s="744">
        <v>16</v>
      </c>
      <c r="Y46" s="740">
        <v>0</v>
      </c>
      <c r="Z46" s="740">
        <v>0</v>
      </c>
      <c r="AA46" s="619">
        <f t="shared" si="23"/>
        <v>16</v>
      </c>
    </row>
    <row r="47" spans="1:27" x14ac:dyDescent="0.25">
      <c r="A47" s="1974"/>
      <c r="B47" s="19" t="s">
        <v>34</v>
      </c>
      <c r="C47" s="620"/>
      <c r="D47" s="744">
        <v>32</v>
      </c>
      <c r="E47" s="740">
        <v>0</v>
      </c>
      <c r="F47" s="740">
        <v>0</v>
      </c>
      <c r="G47" s="619">
        <f t="shared" si="18"/>
        <v>32</v>
      </c>
      <c r="H47" s="744">
        <v>32</v>
      </c>
      <c r="I47" s="740">
        <v>0</v>
      </c>
      <c r="J47" s="740">
        <v>0</v>
      </c>
      <c r="K47" s="619">
        <f t="shared" si="19"/>
        <v>32</v>
      </c>
      <c r="L47" s="744">
        <v>32</v>
      </c>
      <c r="M47" s="740">
        <v>0</v>
      </c>
      <c r="N47" s="740">
        <v>0</v>
      </c>
      <c r="O47" s="619">
        <f t="shared" si="20"/>
        <v>32</v>
      </c>
      <c r="P47" s="744">
        <v>32</v>
      </c>
      <c r="Q47" s="740">
        <v>0</v>
      </c>
      <c r="R47" s="740">
        <v>0</v>
      </c>
      <c r="S47" s="619">
        <f t="shared" si="21"/>
        <v>32</v>
      </c>
      <c r="T47" s="744">
        <v>32</v>
      </c>
      <c r="U47" s="740">
        <v>0</v>
      </c>
      <c r="V47" s="740">
        <v>0</v>
      </c>
      <c r="W47" s="619">
        <f t="shared" si="22"/>
        <v>32</v>
      </c>
      <c r="X47" s="744">
        <v>32</v>
      </c>
      <c r="Y47" s="740">
        <v>0</v>
      </c>
      <c r="Z47" s="740">
        <v>0</v>
      </c>
      <c r="AA47" s="619">
        <f t="shared" si="23"/>
        <v>32</v>
      </c>
    </row>
    <row r="48" spans="1:27" x14ac:dyDescent="0.25">
      <c r="A48" s="1974" t="s">
        <v>16</v>
      </c>
      <c r="B48" s="19" t="s">
        <v>32</v>
      </c>
      <c r="C48" s="620"/>
      <c r="D48" s="689">
        <v>0</v>
      </c>
      <c r="E48" s="740">
        <v>0</v>
      </c>
      <c r="F48" s="743">
        <v>0</v>
      </c>
      <c r="G48" s="619">
        <f t="shared" si="18"/>
        <v>0</v>
      </c>
      <c r="H48" s="689">
        <v>0</v>
      </c>
      <c r="I48" s="740">
        <v>0</v>
      </c>
      <c r="J48" s="743">
        <v>0</v>
      </c>
      <c r="K48" s="619">
        <f t="shared" si="19"/>
        <v>0</v>
      </c>
      <c r="L48" s="689">
        <v>0</v>
      </c>
      <c r="M48" s="740">
        <v>0</v>
      </c>
      <c r="N48" s="743">
        <v>0</v>
      </c>
      <c r="O48" s="619">
        <f t="shared" si="20"/>
        <v>0</v>
      </c>
      <c r="P48" s="689">
        <v>0</v>
      </c>
      <c r="Q48" s="740">
        <v>0</v>
      </c>
      <c r="R48" s="743">
        <v>0</v>
      </c>
      <c r="S48" s="619">
        <f t="shared" si="21"/>
        <v>0</v>
      </c>
      <c r="T48" s="689">
        <v>0</v>
      </c>
      <c r="U48" s="740">
        <v>0</v>
      </c>
      <c r="V48" s="743">
        <v>0</v>
      </c>
      <c r="W48" s="619">
        <f t="shared" si="22"/>
        <v>0</v>
      </c>
      <c r="X48" s="689">
        <v>0</v>
      </c>
      <c r="Y48" s="740">
        <v>0</v>
      </c>
      <c r="Z48" s="743">
        <v>0</v>
      </c>
      <c r="AA48" s="619">
        <f t="shared" si="23"/>
        <v>0</v>
      </c>
    </row>
    <row r="49" spans="1:27" x14ac:dyDescent="0.25">
      <c r="A49" s="1974"/>
      <c r="B49" s="19" t="s">
        <v>33</v>
      </c>
      <c r="C49" s="620"/>
      <c r="D49" s="689">
        <v>0</v>
      </c>
      <c r="E49" s="740">
        <v>0</v>
      </c>
      <c r="F49" s="743">
        <v>0</v>
      </c>
      <c r="G49" s="619">
        <f t="shared" si="18"/>
        <v>0</v>
      </c>
      <c r="H49" s="689">
        <v>0</v>
      </c>
      <c r="I49" s="740">
        <v>0</v>
      </c>
      <c r="J49" s="743">
        <v>0</v>
      </c>
      <c r="K49" s="619">
        <f t="shared" si="19"/>
        <v>0</v>
      </c>
      <c r="L49" s="689">
        <v>0</v>
      </c>
      <c r="M49" s="740">
        <v>0</v>
      </c>
      <c r="N49" s="743">
        <v>0</v>
      </c>
      <c r="O49" s="619">
        <f t="shared" si="20"/>
        <v>0</v>
      </c>
      <c r="P49" s="689">
        <v>0</v>
      </c>
      <c r="Q49" s="740">
        <v>0</v>
      </c>
      <c r="R49" s="743">
        <v>0</v>
      </c>
      <c r="S49" s="619">
        <f t="shared" si="21"/>
        <v>0</v>
      </c>
      <c r="T49" s="689">
        <v>0</v>
      </c>
      <c r="U49" s="740">
        <v>0</v>
      </c>
      <c r="V49" s="743">
        <v>0</v>
      </c>
      <c r="W49" s="619">
        <f t="shared" si="22"/>
        <v>0</v>
      </c>
      <c r="X49" s="689">
        <v>0</v>
      </c>
      <c r="Y49" s="740">
        <v>0</v>
      </c>
      <c r="Z49" s="743">
        <v>0</v>
      </c>
      <c r="AA49" s="619">
        <f t="shared" si="23"/>
        <v>0</v>
      </c>
    </row>
    <row r="50" spans="1:27" x14ac:dyDescent="0.25">
      <c r="A50" s="1974"/>
      <c r="B50" s="19" t="s">
        <v>34</v>
      </c>
      <c r="C50" s="620"/>
      <c r="D50" s="689">
        <v>0</v>
      </c>
      <c r="E50" s="740">
        <v>0</v>
      </c>
      <c r="F50" s="743">
        <v>0</v>
      </c>
      <c r="G50" s="619">
        <f t="shared" si="18"/>
        <v>0</v>
      </c>
      <c r="H50" s="689">
        <v>0</v>
      </c>
      <c r="I50" s="740">
        <v>0</v>
      </c>
      <c r="J50" s="743">
        <v>0</v>
      </c>
      <c r="K50" s="619">
        <f t="shared" si="19"/>
        <v>0</v>
      </c>
      <c r="L50" s="689">
        <v>0</v>
      </c>
      <c r="M50" s="740">
        <v>0</v>
      </c>
      <c r="N50" s="743">
        <v>0</v>
      </c>
      <c r="O50" s="619">
        <f t="shared" si="20"/>
        <v>0</v>
      </c>
      <c r="P50" s="689">
        <v>0</v>
      </c>
      <c r="Q50" s="740">
        <v>0</v>
      </c>
      <c r="R50" s="743">
        <v>0</v>
      </c>
      <c r="S50" s="619">
        <f t="shared" si="21"/>
        <v>0</v>
      </c>
      <c r="T50" s="689">
        <v>0</v>
      </c>
      <c r="U50" s="740">
        <v>0</v>
      </c>
      <c r="V50" s="743">
        <v>0</v>
      </c>
      <c r="W50" s="619">
        <f t="shared" si="22"/>
        <v>0</v>
      </c>
      <c r="X50" s="689">
        <v>0</v>
      </c>
      <c r="Y50" s="740">
        <v>0</v>
      </c>
      <c r="Z50" s="743">
        <v>0</v>
      </c>
      <c r="AA50" s="619">
        <f t="shared" si="23"/>
        <v>0</v>
      </c>
    </row>
    <row r="51" spans="1:27" x14ac:dyDescent="0.25">
      <c r="A51" s="1974" t="s">
        <v>17</v>
      </c>
      <c r="B51" s="19" t="s">
        <v>32</v>
      </c>
      <c r="C51" s="620"/>
      <c r="D51" s="689">
        <v>0</v>
      </c>
      <c r="E51" s="740">
        <v>0</v>
      </c>
      <c r="F51" s="740">
        <v>0</v>
      </c>
      <c r="G51" s="619">
        <f t="shared" si="18"/>
        <v>0</v>
      </c>
      <c r="H51" s="689">
        <v>0</v>
      </c>
      <c r="I51" s="740">
        <v>0</v>
      </c>
      <c r="J51" s="740">
        <v>0</v>
      </c>
      <c r="K51" s="619">
        <f t="shared" si="19"/>
        <v>0</v>
      </c>
      <c r="L51" s="689">
        <v>0</v>
      </c>
      <c r="M51" s="740">
        <v>0</v>
      </c>
      <c r="N51" s="740">
        <v>0</v>
      </c>
      <c r="O51" s="619">
        <f t="shared" si="20"/>
        <v>0</v>
      </c>
      <c r="P51" s="689">
        <v>0</v>
      </c>
      <c r="Q51" s="740">
        <v>0</v>
      </c>
      <c r="R51" s="740">
        <v>0</v>
      </c>
      <c r="S51" s="619">
        <f t="shared" si="21"/>
        <v>0</v>
      </c>
      <c r="T51" s="689">
        <v>0</v>
      </c>
      <c r="U51" s="740">
        <v>0</v>
      </c>
      <c r="V51" s="740">
        <v>0</v>
      </c>
      <c r="W51" s="619">
        <f t="shared" si="22"/>
        <v>0</v>
      </c>
      <c r="X51" s="689">
        <v>0</v>
      </c>
      <c r="Y51" s="740">
        <v>0</v>
      </c>
      <c r="Z51" s="740">
        <v>0</v>
      </c>
      <c r="AA51" s="619">
        <f t="shared" si="23"/>
        <v>0</v>
      </c>
    </row>
    <row r="52" spans="1:27" x14ac:dyDescent="0.25">
      <c r="A52" s="1974"/>
      <c r="B52" s="19" t="s">
        <v>33</v>
      </c>
      <c r="C52" s="620"/>
      <c r="D52" s="689">
        <v>0</v>
      </c>
      <c r="E52" s="740">
        <v>0</v>
      </c>
      <c r="F52" s="740">
        <v>0</v>
      </c>
      <c r="G52" s="619">
        <f t="shared" si="18"/>
        <v>0</v>
      </c>
      <c r="H52" s="689">
        <v>0</v>
      </c>
      <c r="I52" s="740">
        <v>0</v>
      </c>
      <c r="J52" s="740">
        <v>0</v>
      </c>
      <c r="K52" s="619">
        <f t="shared" si="19"/>
        <v>0</v>
      </c>
      <c r="L52" s="689">
        <v>0</v>
      </c>
      <c r="M52" s="740">
        <v>0</v>
      </c>
      <c r="N52" s="740">
        <v>0</v>
      </c>
      <c r="O52" s="619">
        <f t="shared" si="20"/>
        <v>0</v>
      </c>
      <c r="P52" s="689">
        <v>0</v>
      </c>
      <c r="Q52" s="740">
        <v>0</v>
      </c>
      <c r="R52" s="740">
        <v>0</v>
      </c>
      <c r="S52" s="619">
        <f t="shared" si="21"/>
        <v>0</v>
      </c>
      <c r="T52" s="689">
        <v>0</v>
      </c>
      <c r="U52" s="740">
        <v>0</v>
      </c>
      <c r="V52" s="740">
        <v>0</v>
      </c>
      <c r="W52" s="619">
        <f t="shared" si="22"/>
        <v>0</v>
      </c>
      <c r="X52" s="689">
        <v>0</v>
      </c>
      <c r="Y52" s="740">
        <v>0</v>
      </c>
      <c r="Z52" s="740">
        <v>0</v>
      </c>
      <c r="AA52" s="619">
        <f t="shared" si="23"/>
        <v>0</v>
      </c>
    </row>
    <row r="53" spans="1:27" x14ac:dyDescent="0.25">
      <c r="A53" s="1974"/>
      <c r="B53" s="19" t="s">
        <v>34</v>
      </c>
      <c r="C53" s="620"/>
      <c r="D53" s="689">
        <v>0</v>
      </c>
      <c r="E53" s="740">
        <v>0</v>
      </c>
      <c r="F53" s="740">
        <v>0</v>
      </c>
      <c r="G53" s="619">
        <f t="shared" si="18"/>
        <v>0</v>
      </c>
      <c r="H53" s="689">
        <v>0</v>
      </c>
      <c r="I53" s="740">
        <v>0</v>
      </c>
      <c r="J53" s="740">
        <v>0</v>
      </c>
      <c r="K53" s="619">
        <f t="shared" si="19"/>
        <v>0</v>
      </c>
      <c r="L53" s="689">
        <v>0</v>
      </c>
      <c r="M53" s="740">
        <v>0</v>
      </c>
      <c r="N53" s="740">
        <v>0</v>
      </c>
      <c r="O53" s="619">
        <f t="shared" si="20"/>
        <v>0</v>
      </c>
      <c r="P53" s="689">
        <v>0</v>
      </c>
      <c r="Q53" s="740">
        <v>0</v>
      </c>
      <c r="R53" s="740">
        <v>0</v>
      </c>
      <c r="S53" s="619">
        <f t="shared" si="21"/>
        <v>0</v>
      </c>
      <c r="T53" s="689">
        <v>0</v>
      </c>
      <c r="U53" s="740">
        <v>0</v>
      </c>
      <c r="V53" s="740">
        <v>0</v>
      </c>
      <c r="W53" s="619">
        <f t="shared" si="22"/>
        <v>0</v>
      </c>
      <c r="X53" s="689">
        <v>0</v>
      </c>
      <c r="Y53" s="740">
        <v>0</v>
      </c>
      <c r="Z53" s="740">
        <v>0</v>
      </c>
      <c r="AA53" s="619">
        <f t="shared" si="23"/>
        <v>0</v>
      </c>
    </row>
    <row r="54" spans="1:27" x14ac:dyDescent="0.25">
      <c r="A54" s="1974" t="s">
        <v>18</v>
      </c>
      <c r="B54" s="19" t="s">
        <v>32</v>
      </c>
      <c r="C54" s="620"/>
      <c r="D54" s="689">
        <v>0</v>
      </c>
      <c r="E54" s="740">
        <v>0</v>
      </c>
      <c r="F54" s="740">
        <v>0</v>
      </c>
      <c r="G54" s="619">
        <f t="shared" si="18"/>
        <v>0</v>
      </c>
      <c r="H54" s="689">
        <v>0</v>
      </c>
      <c r="I54" s="740">
        <v>0</v>
      </c>
      <c r="J54" s="740">
        <v>0</v>
      </c>
      <c r="K54" s="619">
        <f t="shared" si="19"/>
        <v>0</v>
      </c>
      <c r="L54" s="689">
        <v>0</v>
      </c>
      <c r="M54" s="740">
        <v>0</v>
      </c>
      <c r="N54" s="740">
        <v>0</v>
      </c>
      <c r="O54" s="619">
        <f t="shared" si="20"/>
        <v>0</v>
      </c>
      <c r="P54" s="689">
        <v>0</v>
      </c>
      <c r="Q54" s="740">
        <v>0</v>
      </c>
      <c r="R54" s="740">
        <v>0</v>
      </c>
      <c r="S54" s="619">
        <f t="shared" si="21"/>
        <v>0</v>
      </c>
      <c r="T54" s="689">
        <v>0</v>
      </c>
      <c r="U54" s="740">
        <v>0</v>
      </c>
      <c r="V54" s="740">
        <v>0</v>
      </c>
      <c r="W54" s="619">
        <f t="shared" si="22"/>
        <v>0</v>
      </c>
      <c r="X54" s="689">
        <v>0</v>
      </c>
      <c r="Y54" s="740">
        <v>0</v>
      </c>
      <c r="Z54" s="740">
        <v>0</v>
      </c>
      <c r="AA54" s="619">
        <f t="shared" si="23"/>
        <v>0</v>
      </c>
    </row>
    <row r="55" spans="1:27" x14ac:dyDescent="0.25">
      <c r="A55" s="1974"/>
      <c r="B55" s="19" t="s">
        <v>33</v>
      </c>
      <c r="C55" s="620"/>
      <c r="D55" s="689">
        <v>0</v>
      </c>
      <c r="E55" s="740">
        <v>0</v>
      </c>
      <c r="F55" s="740">
        <v>0</v>
      </c>
      <c r="G55" s="619">
        <f t="shared" si="18"/>
        <v>0</v>
      </c>
      <c r="H55" s="689">
        <v>0</v>
      </c>
      <c r="I55" s="740">
        <v>0</v>
      </c>
      <c r="J55" s="740">
        <v>0</v>
      </c>
      <c r="K55" s="619">
        <f t="shared" si="19"/>
        <v>0</v>
      </c>
      <c r="L55" s="689">
        <v>0</v>
      </c>
      <c r="M55" s="740">
        <v>0</v>
      </c>
      <c r="N55" s="740">
        <v>0</v>
      </c>
      <c r="O55" s="619">
        <f t="shared" si="20"/>
        <v>0</v>
      </c>
      <c r="P55" s="689">
        <v>0</v>
      </c>
      <c r="Q55" s="740">
        <v>0</v>
      </c>
      <c r="R55" s="740">
        <v>0</v>
      </c>
      <c r="S55" s="619">
        <f t="shared" si="21"/>
        <v>0</v>
      </c>
      <c r="T55" s="689">
        <v>0</v>
      </c>
      <c r="U55" s="740">
        <v>0</v>
      </c>
      <c r="V55" s="740">
        <v>0</v>
      </c>
      <c r="W55" s="619">
        <f t="shared" si="22"/>
        <v>0</v>
      </c>
      <c r="X55" s="689">
        <v>0</v>
      </c>
      <c r="Y55" s="740">
        <v>0</v>
      </c>
      <c r="Z55" s="740">
        <v>0</v>
      </c>
      <c r="AA55" s="619">
        <f t="shared" si="23"/>
        <v>0</v>
      </c>
    </row>
    <row r="56" spans="1:27" x14ac:dyDescent="0.25">
      <c r="A56" s="1974"/>
      <c r="B56" s="19" t="s">
        <v>34</v>
      </c>
      <c r="C56" s="620"/>
      <c r="D56" s="689">
        <v>0</v>
      </c>
      <c r="E56" s="740">
        <v>0</v>
      </c>
      <c r="F56" s="740">
        <v>0</v>
      </c>
      <c r="G56" s="619">
        <f t="shared" si="18"/>
        <v>0</v>
      </c>
      <c r="H56" s="689">
        <v>0</v>
      </c>
      <c r="I56" s="740">
        <v>0</v>
      </c>
      <c r="J56" s="740">
        <v>0</v>
      </c>
      <c r="K56" s="619">
        <f t="shared" si="19"/>
        <v>0</v>
      </c>
      <c r="L56" s="689">
        <v>0</v>
      </c>
      <c r="M56" s="740">
        <v>0</v>
      </c>
      <c r="N56" s="740">
        <v>0</v>
      </c>
      <c r="O56" s="619">
        <f t="shared" si="20"/>
        <v>0</v>
      </c>
      <c r="P56" s="689">
        <v>0</v>
      </c>
      <c r="Q56" s="740">
        <v>0</v>
      </c>
      <c r="R56" s="740">
        <v>0</v>
      </c>
      <c r="S56" s="619">
        <f t="shared" si="21"/>
        <v>0</v>
      </c>
      <c r="T56" s="689">
        <v>0</v>
      </c>
      <c r="U56" s="740">
        <v>0</v>
      </c>
      <c r="V56" s="740">
        <v>0</v>
      </c>
      <c r="W56" s="619">
        <f t="shared" si="22"/>
        <v>0</v>
      </c>
      <c r="X56" s="689">
        <v>0</v>
      </c>
      <c r="Y56" s="740">
        <v>0</v>
      </c>
      <c r="Z56" s="740">
        <v>0</v>
      </c>
      <c r="AA56" s="619">
        <f t="shared" si="23"/>
        <v>0</v>
      </c>
    </row>
    <row r="57" spans="1:27" x14ac:dyDescent="0.25">
      <c r="A57" s="1974" t="s">
        <v>19</v>
      </c>
      <c r="B57" s="19" t="s">
        <v>32</v>
      </c>
      <c r="C57" s="620"/>
      <c r="D57" s="744">
        <v>2</v>
      </c>
      <c r="E57" s="740">
        <v>0</v>
      </c>
      <c r="F57" s="740">
        <v>0</v>
      </c>
      <c r="G57" s="619">
        <f t="shared" si="18"/>
        <v>2</v>
      </c>
      <c r="H57" s="744">
        <v>2</v>
      </c>
      <c r="I57" s="740">
        <v>0</v>
      </c>
      <c r="J57" s="740">
        <v>0</v>
      </c>
      <c r="K57" s="619">
        <f t="shared" si="19"/>
        <v>2</v>
      </c>
      <c r="L57" s="744">
        <v>2</v>
      </c>
      <c r="M57" s="740">
        <v>0</v>
      </c>
      <c r="N57" s="740">
        <v>0</v>
      </c>
      <c r="O57" s="619">
        <f t="shared" si="20"/>
        <v>2</v>
      </c>
      <c r="P57" s="744">
        <v>2</v>
      </c>
      <c r="Q57" s="740">
        <v>0</v>
      </c>
      <c r="R57" s="740">
        <v>0</v>
      </c>
      <c r="S57" s="619">
        <f t="shared" si="21"/>
        <v>2</v>
      </c>
      <c r="T57" s="744">
        <v>2</v>
      </c>
      <c r="U57" s="740">
        <v>0</v>
      </c>
      <c r="V57" s="740">
        <v>0</v>
      </c>
      <c r="W57" s="619">
        <f t="shared" si="22"/>
        <v>2</v>
      </c>
      <c r="X57" s="744">
        <v>2</v>
      </c>
      <c r="Y57" s="740">
        <v>0</v>
      </c>
      <c r="Z57" s="740">
        <v>0</v>
      </c>
      <c r="AA57" s="619">
        <f t="shared" si="23"/>
        <v>2</v>
      </c>
    </row>
    <row r="58" spans="1:27" x14ac:dyDescent="0.25">
      <c r="A58" s="1974"/>
      <c r="B58" s="19" t="s">
        <v>33</v>
      </c>
      <c r="C58" s="620"/>
      <c r="D58" s="744">
        <v>4</v>
      </c>
      <c r="E58" s="740">
        <v>0</v>
      </c>
      <c r="F58" s="740">
        <v>0</v>
      </c>
      <c r="G58" s="619">
        <f t="shared" si="18"/>
        <v>4</v>
      </c>
      <c r="H58" s="744">
        <v>4</v>
      </c>
      <c r="I58" s="740">
        <v>0</v>
      </c>
      <c r="J58" s="740">
        <v>0</v>
      </c>
      <c r="K58" s="619">
        <f t="shared" si="19"/>
        <v>4</v>
      </c>
      <c r="L58" s="744">
        <v>4</v>
      </c>
      <c r="M58" s="740">
        <v>0</v>
      </c>
      <c r="N58" s="740">
        <v>0</v>
      </c>
      <c r="O58" s="619">
        <f t="shared" si="20"/>
        <v>4</v>
      </c>
      <c r="P58" s="744">
        <v>4</v>
      </c>
      <c r="Q58" s="740">
        <v>0</v>
      </c>
      <c r="R58" s="740">
        <v>0</v>
      </c>
      <c r="S58" s="619">
        <f t="shared" si="21"/>
        <v>4</v>
      </c>
      <c r="T58" s="744">
        <v>4</v>
      </c>
      <c r="U58" s="740">
        <v>0</v>
      </c>
      <c r="V58" s="740">
        <v>0</v>
      </c>
      <c r="W58" s="619">
        <f t="shared" si="22"/>
        <v>4</v>
      </c>
      <c r="X58" s="744">
        <v>4</v>
      </c>
      <c r="Y58" s="740">
        <v>0</v>
      </c>
      <c r="Z58" s="740">
        <v>0</v>
      </c>
      <c r="AA58" s="619">
        <f t="shared" si="23"/>
        <v>4</v>
      </c>
    </row>
    <row r="59" spans="1:27" x14ac:dyDescent="0.25">
      <c r="A59" s="1974"/>
      <c r="B59" s="19" t="s">
        <v>34</v>
      </c>
      <c r="C59" s="620"/>
      <c r="D59" s="744">
        <v>6</v>
      </c>
      <c r="E59" s="740">
        <v>0</v>
      </c>
      <c r="F59" s="740">
        <v>0</v>
      </c>
      <c r="G59" s="619">
        <f t="shared" si="18"/>
        <v>6</v>
      </c>
      <c r="H59" s="744">
        <v>6</v>
      </c>
      <c r="I59" s="740">
        <v>0</v>
      </c>
      <c r="J59" s="740">
        <v>0</v>
      </c>
      <c r="K59" s="619">
        <f t="shared" si="19"/>
        <v>6</v>
      </c>
      <c r="L59" s="744">
        <v>6</v>
      </c>
      <c r="M59" s="740">
        <v>0</v>
      </c>
      <c r="N59" s="740">
        <v>0</v>
      </c>
      <c r="O59" s="619">
        <f t="shared" si="20"/>
        <v>6</v>
      </c>
      <c r="P59" s="744">
        <v>6</v>
      </c>
      <c r="Q59" s="740">
        <v>0</v>
      </c>
      <c r="R59" s="740">
        <v>0</v>
      </c>
      <c r="S59" s="619">
        <f t="shared" si="21"/>
        <v>6</v>
      </c>
      <c r="T59" s="744">
        <v>6</v>
      </c>
      <c r="U59" s="740">
        <v>0</v>
      </c>
      <c r="V59" s="740">
        <v>0</v>
      </c>
      <c r="W59" s="619">
        <f t="shared" si="22"/>
        <v>6</v>
      </c>
      <c r="X59" s="744">
        <v>6</v>
      </c>
      <c r="Y59" s="740">
        <v>0</v>
      </c>
      <c r="Z59" s="740">
        <v>0</v>
      </c>
      <c r="AA59" s="619">
        <f t="shared" si="23"/>
        <v>6</v>
      </c>
    </row>
    <row r="60" spans="1:27" x14ac:dyDescent="0.25">
      <c r="A60" s="1974" t="s">
        <v>20</v>
      </c>
      <c r="B60" s="19" t="s">
        <v>32</v>
      </c>
      <c r="C60" s="620"/>
      <c r="D60" s="744">
        <v>8</v>
      </c>
      <c r="E60" s="630">
        <f>1*$E$3</f>
        <v>0</v>
      </c>
      <c r="F60" s="743">
        <v>0</v>
      </c>
      <c r="G60" s="619">
        <f t="shared" si="18"/>
        <v>8</v>
      </c>
      <c r="H60" s="744">
        <v>8</v>
      </c>
      <c r="I60" s="630">
        <f>1*$E$3</f>
        <v>0</v>
      </c>
      <c r="J60" s="743">
        <v>0</v>
      </c>
      <c r="K60" s="619">
        <f t="shared" si="19"/>
        <v>8</v>
      </c>
      <c r="L60" s="744">
        <v>8</v>
      </c>
      <c r="M60" s="630">
        <f>1*$E$3</f>
        <v>0</v>
      </c>
      <c r="N60" s="743">
        <v>0</v>
      </c>
      <c r="O60" s="619">
        <f t="shared" si="20"/>
        <v>8</v>
      </c>
      <c r="P60" s="744">
        <v>8</v>
      </c>
      <c r="Q60" s="630">
        <f>1*$E$3</f>
        <v>0</v>
      </c>
      <c r="R60" s="743">
        <v>0</v>
      </c>
      <c r="S60" s="619">
        <f t="shared" si="21"/>
        <v>8</v>
      </c>
      <c r="T60" s="744">
        <v>8</v>
      </c>
      <c r="U60" s="630">
        <f>1*$E$3</f>
        <v>0</v>
      </c>
      <c r="V60" s="743">
        <v>0</v>
      </c>
      <c r="W60" s="619">
        <f t="shared" si="22"/>
        <v>8</v>
      </c>
      <c r="X60" s="744">
        <v>8</v>
      </c>
      <c r="Y60" s="630">
        <f>1*$E$3</f>
        <v>0</v>
      </c>
      <c r="Z60" s="743">
        <v>0</v>
      </c>
      <c r="AA60" s="619">
        <f t="shared" si="23"/>
        <v>8</v>
      </c>
    </row>
    <row r="61" spans="1:27" ht="15.75" customHeight="1" x14ac:dyDescent="0.25">
      <c r="A61" s="1974"/>
      <c r="B61" s="19" t="s">
        <v>33</v>
      </c>
      <c r="C61" s="620"/>
      <c r="D61" s="744">
        <v>10</v>
      </c>
      <c r="E61" s="630">
        <f>1*$E$3</f>
        <v>0</v>
      </c>
      <c r="F61" s="743">
        <v>0</v>
      </c>
      <c r="G61" s="619">
        <f t="shared" si="18"/>
        <v>10</v>
      </c>
      <c r="H61" s="744">
        <v>10</v>
      </c>
      <c r="I61" s="630">
        <f>1*$E$3</f>
        <v>0</v>
      </c>
      <c r="J61" s="743">
        <v>0</v>
      </c>
      <c r="K61" s="619">
        <f t="shared" si="19"/>
        <v>10</v>
      </c>
      <c r="L61" s="744">
        <v>10</v>
      </c>
      <c r="M61" s="630">
        <f>1*$E$3</f>
        <v>0</v>
      </c>
      <c r="N61" s="743">
        <v>0</v>
      </c>
      <c r="O61" s="619">
        <f t="shared" si="20"/>
        <v>10</v>
      </c>
      <c r="P61" s="744">
        <v>10</v>
      </c>
      <c r="Q61" s="630">
        <f>1*$E$3</f>
        <v>0</v>
      </c>
      <c r="R61" s="743">
        <v>0</v>
      </c>
      <c r="S61" s="619">
        <f t="shared" si="21"/>
        <v>10</v>
      </c>
      <c r="T61" s="744">
        <v>10</v>
      </c>
      <c r="U61" s="630">
        <f>1*$E$3</f>
        <v>0</v>
      </c>
      <c r="V61" s="743">
        <v>0</v>
      </c>
      <c r="W61" s="619">
        <f t="shared" si="22"/>
        <v>10</v>
      </c>
      <c r="X61" s="744">
        <v>10</v>
      </c>
      <c r="Y61" s="630">
        <f>1*$E$3</f>
        <v>0</v>
      </c>
      <c r="Z61" s="743">
        <v>0</v>
      </c>
      <c r="AA61" s="619">
        <f t="shared" si="23"/>
        <v>10</v>
      </c>
    </row>
    <row r="62" spans="1:27" x14ac:dyDescent="0.25">
      <c r="A62" s="1974"/>
      <c r="B62" s="19" t="s">
        <v>34</v>
      </c>
      <c r="C62" s="620"/>
      <c r="D62" s="744">
        <v>12</v>
      </c>
      <c r="E62" s="630">
        <f>1*$E$3</f>
        <v>0</v>
      </c>
      <c r="F62" s="743">
        <v>0</v>
      </c>
      <c r="G62" s="619">
        <f t="shared" si="18"/>
        <v>12</v>
      </c>
      <c r="H62" s="744">
        <v>12</v>
      </c>
      <c r="I62" s="630">
        <f>1*$E$3</f>
        <v>0</v>
      </c>
      <c r="J62" s="743">
        <v>0</v>
      </c>
      <c r="K62" s="619">
        <f t="shared" si="19"/>
        <v>12</v>
      </c>
      <c r="L62" s="744">
        <v>12</v>
      </c>
      <c r="M62" s="630">
        <f>1*$E$3</f>
        <v>0</v>
      </c>
      <c r="N62" s="743">
        <v>0</v>
      </c>
      <c r="O62" s="619">
        <f t="shared" si="20"/>
        <v>12</v>
      </c>
      <c r="P62" s="744">
        <v>12</v>
      </c>
      <c r="Q62" s="630">
        <f>1*$E$3</f>
        <v>0</v>
      </c>
      <c r="R62" s="743">
        <v>0</v>
      </c>
      <c r="S62" s="619">
        <f t="shared" si="21"/>
        <v>12</v>
      </c>
      <c r="T62" s="744">
        <v>12</v>
      </c>
      <c r="U62" s="630">
        <f>1*$E$3</f>
        <v>0</v>
      </c>
      <c r="V62" s="743">
        <v>0</v>
      </c>
      <c r="W62" s="619">
        <f t="shared" si="22"/>
        <v>12</v>
      </c>
      <c r="X62" s="744">
        <v>12</v>
      </c>
      <c r="Y62" s="630">
        <f>1*$E$3</f>
        <v>0</v>
      </c>
      <c r="Z62" s="743">
        <v>0</v>
      </c>
      <c r="AA62" s="619">
        <f t="shared" si="23"/>
        <v>12</v>
      </c>
    </row>
    <row r="63" spans="1:27" x14ac:dyDescent="0.25">
      <c r="A63" s="1974" t="s">
        <v>451</v>
      </c>
      <c r="B63" s="19" t="s">
        <v>32</v>
      </c>
      <c r="C63" s="620"/>
      <c r="D63" s="744">
        <v>0</v>
      </c>
      <c r="E63" s="762">
        <v>0</v>
      </c>
      <c r="F63" s="753">
        <v>0</v>
      </c>
      <c r="G63" s="619">
        <f t="shared" si="18"/>
        <v>0</v>
      </c>
      <c r="H63" s="744">
        <v>0</v>
      </c>
      <c r="I63" s="762">
        <v>0</v>
      </c>
      <c r="J63" s="753">
        <v>0</v>
      </c>
      <c r="K63" s="707">
        <f t="shared" si="19"/>
        <v>0</v>
      </c>
      <c r="L63" s="744">
        <v>0</v>
      </c>
      <c r="M63" s="762">
        <v>0</v>
      </c>
      <c r="N63" s="753">
        <v>0</v>
      </c>
      <c r="O63" s="619">
        <f t="shared" si="20"/>
        <v>0</v>
      </c>
      <c r="P63" s="744">
        <v>0</v>
      </c>
      <c r="Q63" s="762">
        <v>0</v>
      </c>
      <c r="R63" s="753">
        <v>0</v>
      </c>
      <c r="S63" s="619">
        <f t="shared" si="21"/>
        <v>0</v>
      </c>
      <c r="T63" s="744">
        <v>0</v>
      </c>
      <c r="U63" s="762">
        <v>0</v>
      </c>
      <c r="V63" s="753">
        <v>0</v>
      </c>
      <c r="W63" s="619">
        <f t="shared" si="22"/>
        <v>0</v>
      </c>
      <c r="X63" s="744">
        <v>0</v>
      </c>
      <c r="Y63" s="762">
        <v>0</v>
      </c>
      <c r="Z63" s="753">
        <v>0</v>
      </c>
      <c r="AA63" s="619">
        <f t="shared" si="23"/>
        <v>0</v>
      </c>
    </row>
    <row r="64" spans="1:27" x14ac:dyDescent="0.25">
      <c r="A64" s="1974"/>
      <c r="B64" s="19" t="s">
        <v>33</v>
      </c>
      <c r="C64" s="620"/>
      <c r="D64" s="744">
        <v>0</v>
      </c>
      <c r="E64" s="762">
        <v>0</v>
      </c>
      <c r="F64" s="753">
        <v>0</v>
      </c>
      <c r="G64" s="619">
        <f t="shared" si="18"/>
        <v>0</v>
      </c>
      <c r="H64" s="744">
        <v>0</v>
      </c>
      <c r="I64" s="762">
        <v>0</v>
      </c>
      <c r="J64" s="753">
        <v>0</v>
      </c>
      <c r="K64" s="707">
        <f t="shared" si="19"/>
        <v>0</v>
      </c>
      <c r="L64" s="744">
        <v>0</v>
      </c>
      <c r="M64" s="762">
        <v>0</v>
      </c>
      <c r="N64" s="753">
        <v>0</v>
      </c>
      <c r="O64" s="619">
        <f t="shared" si="20"/>
        <v>0</v>
      </c>
      <c r="P64" s="744">
        <v>0</v>
      </c>
      <c r="Q64" s="762">
        <v>0</v>
      </c>
      <c r="R64" s="753">
        <v>0</v>
      </c>
      <c r="S64" s="619">
        <f t="shared" si="21"/>
        <v>0</v>
      </c>
      <c r="T64" s="744">
        <v>0</v>
      </c>
      <c r="U64" s="762">
        <v>0</v>
      </c>
      <c r="V64" s="753">
        <v>0</v>
      </c>
      <c r="W64" s="619">
        <f t="shared" si="22"/>
        <v>0</v>
      </c>
      <c r="X64" s="744">
        <v>0</v>
      </c>
      <c r="Y64" s="762">
        <v>0</v>
      </c>
      <c r="Z64" s="753">
        <v>0</v>
      </c>
      <c r="AA64" s="619">
        <f t="shared" si="23"/>
        <v>0</v>
      </c>
    </row>
    <row r="65" spans="1:27" x14ac:dyDescent="0.25">
      <c r="A65" s="1974"/>
      <c r="B65" s="19" t="s">
        <v>34</v>
      </c>
      <c r="C65" s="620"/>
      <c r="D65" s="744">
        <v>0</v>
      </c>
      <c r="E65" s="762">
        <v>0</v>
      </c>
      <c r="F65" s="753">
        <v>0</v>
      </c>
      <c r="G65" s="619">
        <f t="shared" si="18"/>
        <v>0</v>
      </c>
      <c r="H65" s="744">
        <v>0</v>
      </c>
      <c r="I65" s="762">
        <v>0</v>
      </c>
      <c r="J65" s="753">
        <v>0</v>
      </c>
      <c r="K65" s="707">
        <f t="shared" si="19"/>
        <v>0</v>
      </c>
      <c r="L65" s="744">
        <v>0</v>
      </c>
      <c r="M65" s="762">
        <v>0</v>
      </c>
      <c r="N65" s="753">
        <v>0</v>
      </c>
      <c r="O65" s="619">
        <f t="shared" si="20"/>
        <v>0</v>
      </c>
      <c r="P65" s="744">
        <v>0</v>
      </c>
      <c r="Q65" s="762">
        <v>0</v>
      </c>
      <c r="R65" s="753">
        <v>0</v>
      </c>
      <c r="S65" s="619">
        <f t="shared" si="21"/>
        <v>0</v>
      </c>
      <c r="T65" s="744">
        <v>0</v>
      </c>
      <c r="U65" s="762">
        <v>0</v>
      </c>
      <c r="V65" s="753">
        <v>0</v>
      </c>
      <c r="W65" s="619">
        <f t="shared" si="22"/>
        <v>0</v>
      </c>
      <c r="X65" s="744">
        <v>0</v>
      </c>
      <c r="Y65" s="762">
        <v>0</v>
      </c>
      <c r="Z65" s="753">
        <v>0</v>
      </c>
      <c r="AA65" s="619">
        <f t="shared" si="23"/>
        <v>0</v>
      </c>
    </row>
    <row r="66" spans="1:27" x14ac:dyDescent="0.25">
      <c r="A66" s="1974" t="s">
        <v>452</v>
      </c>
      <c r="B66" s="19" t="s">
        <v>32</v>
      </c>
      <c r="C66" s="620"/>
      <c r="D66" s="744">
        <v>0</v>
      </c>
      <c r="E66" s="762">
        <v>0</v>
      </c>
      <c r="F66" s="753">
        <v>0</v>
      </c>
      <c r="G66" s="619">
        <f t="shared" si="18"/>
        <v>0</v>
      </c>
      <c r="H66" s="744">
        <v>0</v>
      </c>
      <c r="I66" s="762">
        <v>0</v>
      </c>
      <c r="J66" s="753">
        <v>0</v>
      </c>
      <c r="K66" s="707">
        <f t="shared" si="19"/>
        <v>0</v>
      </c>
      <c r="L66" s="744">
        <v>0</v>
      </c>
      <c r="M66" s="762">
        <v>0</v>
      </c>
      <c r="N66" s="753">
        <v>0</v>
      </c>
      <c r="O66" s="619">
        <f t="shared" si="20"/>
        <v>0</v>
      </c>
      <c r="P66" s="744">
        <v>0</v>
      </c>
      <c r="Q66" s="762">
        <v>0</v>
      </c>
      <c r="R66" s="753">
        <v>0</v>
      </c>
      <c r="S66" s="619">
        <f t="shared" si="21"/>
        <v>0</v>
      </c>
      <c r="T66" s="744">
        <v>0</v>
      </c>
      <c r="U66" s="762">
        <v>0</v>
      </c>
      <c r="V66" s="753">
        <v>0</v>
      </c>
      <c r="W66" s="619">
        <f t="shared" si="22"/>
        <v>0</v>
      </c>
      <c r="X66" s="744">
        <v>0</v>
      </c>
      <c r="Y66" s="762">
        <v>0</v>
      </c>
      <c r="Z66" s="753">
        <v>0</v>
      </c>
      <c r="AA66" s="619">
        <f t="shared" si="23"/>
        <v>0</v>
      </c>
    </row>
    <row r="67" spans="1:27" x14ac:dyDescent="0.25">
      <c r="A67" s="1974"/>
      <c r="B67" s="19" t="s">
        <v>33</v>
      </c>
      <c r="C67" s="620"/>
      <c r="D67" s="744">
        <v>0</v>
      </c>
      <c r="E67" s="762">
        <v>0</v>
      </c>
      <c r="F67" s="753">
        <v>0</v>
      </c>
      <c r="G67" s="619">
        <f t="shared" si="18"/>
        <v>0</v>
      </c>
      <c r="H67" s="744">
        <v>0</v>
      </c>
      <c r="I67" s="762">
        <v>0</v>
      </c>
      <c r="J67" s="753">
        <v>0</v>
      </c>
      <c r="K67" s="707">
        <f t="shared" si="19"/>
        <v>0</v>
      </c>
      <c r="L67" s="744">
        <v>0</v>
      </c>
      <c r="M67" s="762">
        <v>0</v>
      </c>
      <c r="N67" s="753">
        <v>0</v>
      </c>
      <c r="O67" s="619">
        <f t="shared" si="20"/>
        <v>0</v>
      </c>
      <c r="P67" s="744">
        <v>0</v>
      </c>
      <c r="Q67" s="762">
        <v>0</v>
      </c>
      <c r="R67" s="753">
        <v>0</v>
      </c>
      <c r="S67" s="619">
        <f t="shared" si="21"/>
        <v>0</v>
      </c>
      <c r="T67" s="744">
        <v>0</v>
      </c>
      <c r="U67" s="762">
        <v>0</v>
      </c>
      <c r="V67" s="753">
        <v>0</v>
      </c>
      <c r="W67" s="619">
        <f t="shared" si="22"/>
        <v>0</v>
      </c>
      <c r="X67" s="744">
        <v>0</v>
      </c>
      <c r="Y67" s="762">
        <v>0</v>
      </c>
      <c r="Z67" s="753">
        <v>0</v>
      </c>
      <c r="AA67" s="619">
        <f t="shared" si="23"/>
        <v>0</v>
      </c>
    </row>
    <row r="68" spans="1:27" x14ac:dyDescent="0.25">
      <c r="A68" s="1974"/>
      <c r="B68" s="19" t="s">
        <v>34</v>
      </c>
      <c r="C68" s="620"/>
      <c r="D68" s="744">
        <v>0</v>
      </c>
      <c r="E68" s="762">
        <v>0</v>
      </c>
      <c r="F68" s="753">
        <v>0</v>
      </c>
      <c r="G68" s="619">
        <f t="shared" si="18"/>
        <v>0</v>
      </c>
      <c r="H68" s="744">
        <v>0</v>
      </c>
      <c r="I68" s="762">
        <v>0</v>
      </c>
      <c r="J68" s="753">
        <v>0</v>
      </c>
      <c r="K68" s="707">
        <f t="shared" si="19"/>
        <v>0</v>
      </c>
      <c r="L68" s="744">
        <v>0</v>
      </c>
      <c r="M68" s="762">
        <v>0</v>
      </c>
      <c r="N68" s="753">
        <v>0</v>
      </c>
      <c r="O68" s="619">
        <f t="shared" si="20"/>
        <v>0</v>
      </c>
      <c r="P68" s="744">
        <v>0</v>
      </c>
      <c r="Q68" s="762">
        <v>0</v>
      </c>
      <c r="R68" s="753">
        <v>0</v>
      </c>
      <c r="S68" s="619">
        <f t="shared" si="21"/>
        <v>0</v>
      </c>
      <c r="T68" s="744">
        <v>0</v>
      </c>
      <c r="U68" s="762">
        <v>0</v>
      </c>
      <c r="V68" s="753">
        <v>0</v>
      </c>
      <c r="W68" s="619">
        <f t="shared" si="22"/>
        <v>0</v>
      </c>
      <c r="X68" s="744">
        <v>0</v>
      </c>
      <c r="Y68" s="762">
        <v>0</v>
      </c>
      <c r="Z68" s="753">
        <v>0</v>
      </c>
      <c r="AA68" s="619">
        <f t="shared" si="23"/>
        <v>0</v>
      </c>
    </row>
    <row r="69" spans="1:27" x14ac:dyDescent="0.25">
      <c r="A69" s="1993" t="s">
        <v>533</v>
      </c>
      <c r="B69" s="19" t="s">
        <v>32</v>
      </c>
      <c r="C69" s="620"/>
      <c r="D69" s="744">
        <v>0</v>
      </c>
      <c r="E69" s="762">
        <v>0</v>
      </c>
      <c r="F69" s="753">
        <v>0</v>
      </c>
      <c r="G69" s="619">
        <f t="shared" si="18"/>
        <v>0</v>
      </c>
      <c r="H69" s="744">
        <v>0</v>
      </c>
      <c r="I69" s="762">
        <v>0</v>
      </c>
      <c r="J69" s="753">
        <v>0</v>
      </c>
      <c r="K69" s="707">
        <f t="shared" si="19"/>
        <v>0</v>
      </c>
      <c r="L69" s="744">
        <v>0</v>
      </c>
      <c r="M69" s="762">
        <v>0</v>
      </c>
      <c r="N69" s="753">
        <v>0</v>
      </c>
      <c r="O69" s="619">
        <f t="shared" si="20"/>
        <v>0</v>
      </c>
      <c r="P69" s="744">
        <v>0</v>
      </c>
      <c r="Q69" s="762">
        <v>0</v>
      </c>
      <c r="R69" s="753">
        <v>0</v>
      </c>
      <c r="S69" s="619">
        <f t="shared" si="21"/>
        <v>0</v>
      </c>
      <c r="T69" s="744">
        <v>0</v>
      </c>
      <c r="U69" s="762">
        <v>0</v>
      </c>
      <c r="V69" s="753">
        <v>0</v>
      </c>
      <c r="W69" s="619">
        <f t="shared" si="22"/>
        <v>0</v>
      </c>
      <c r="X69" s="744">
        <v>0</v>
      </c>
      <c r="Y69" s="762">
        <v>0</v>
      </c>
      <c r="Z69" s="753">
        <v>0</v>
      </c>
      <c r="AA69" s="619">
        <f t="shared" si="23"/>
        <v>0</v>
      </c>
    </row>
    <row r="70" spans="1:27" x14ac:dyDescent="0.25">
      <c r="A70" s="1993"/>
      <c r="B70" s="19" t="s">
        <v>33</v>
      </c>
      <c r="C70" s="620"/>
      <c r="D70" s="744">
        <v>0</v>
      </c>
      <c r="E70" s="762">
        <v>0</v>
      </c>
      <c r="F70" s="753">
        <v>0</v>
      </c>
      <c r="G70" s="619">
        <f t="shared" si="18"/>
        <v>0</v>
      </c>
      <c r="H70" s="744">
        <v>0</v>
      </c>
      <c r="I70" s="762">
        <v>0</v>
      </c>
      <c r="J70" s="753">
        <v>0</v>
      </c>
      <c r="K70" s="707">
        <f t="shared" si="19"/>
        <v>0</v>
      </c>
      <c r="L70" s="744">
        <v>0</v>
      </c>
      <c r="M70" s="762">
        <v>0</v>
      </c>
      <c r="N70" s="753">
        <v>0</v>
      </c>
      <c r="O70" s="619">
        <f t="shared" si="20"/>
        <v>0</v>
      </c>
      <c r="P70" s="744">
        <v>0</v>
      </c>
      <c r="Q70" s="762">
        <v>0</v>
      </c>
      <c r="R70" s="753">
        <v>0</v>
      </c>
      <c r="S70" s="619">
        <f t="shared" si="21"/>
        <v>0</v>
      </c>
      <c r="T70" s="744">
        <v>0</v>
      </c>
      <c r="U70" s="762">
        <v>0</v>
      </c>
      <c r="V70" s="753">
        <v>0</v>
      </c>
      <c r="W70" s="619">
        <f t="shared" si="22"/>
        <v>0</v>
      </c>
      <c r="X70" s="744">
        <v>0</v>
      </c>
      <c r="Y70" s="762">
        <v>0</v>
      </c>
      <c r="Z70" s="753">
        <v>0</v>
      </c>
      <c r="AA70" s="619">
        <f t="shared" si="23"/>
        <v>0</v>
      </c>
    </row>
    <row r="71" spans="1:27" x14ac:dyDescent="0.25">
      <c r="A71" s="1993"/>
      <c r="B71" s="19" t="s">
        <v>34</v>
      </c>
      <c r="C71" s="620"/>
      <c r="D71" s="744">
        <v>0</v>
      </c>
      <c r="E71" s="762">
        <v>0</v>
      </c>
      <c r="F71" s="753">
        <v>0</v>
      </c>
      <c r="G71" s="619">
        <f t="shared" si="18"/>
        <v>0</v>
      </c>
      <c r="H71" s="744">
        <v>0</v>
      </c>
      <c r="I71" s="762">
        <v>0</v>
      </c>
      <c r="J71" s="753">
        <v>0</v>
      </c>
      <c r="K71" s="707">
        <f t="shared" si="19"/>
        <v>0</v>
      </c>
      <c r="L71" s="744">
        <v>0</v>
      </c>
      <c r="M71" s="762">
        <v>0</v>
      </c>
      <c r="N71" s="753">
        <v>0</v>
      </c>
      <c r="O71" s="619">
        <f t="shared" si="20"/>
        <v>0</v>
      </c>
      <c r="P71" s="744">
        <v>0</v>
      </c>
      <c r="Q71" s="762">
        <v>0</v>
      </c>
      <c r="R71" s="753">
        <v>0</v>
      </c>
      <c r="S71" s="619">
        <f t="shared" si="21"/>
        <v>0</v>
      </c>
      <c r="T71" s="744">
        <v>0</v>
      </c>
      <c r="U71" s="762">
        <v>0</v>
      </c>
      <c r="V71" s="753">
        <v>0</v>
      </c>
      <c r="W71" s="619">
        <f t="shared" si="22"/>
        <v>0</v>
      </c>
      <c r="X71" s="744">
        <v>0</v>
      </c>
      <c r="Y71" s="762">
        <v>0</v>
      </c>
      <c r="Z71" s="753">
        <v>0</v>
      </c>
      <c r="AA71" s="619">
        <f t="shared" si="23"/>
        <v>0</v>
      </c>
    </row>
    <row r="72" spans="1:27" x14ac:dyDescent="0.25">
      <c r="A72" s="1974" t="s">
        <v>534</v>
      </c>
      <c r="B72" s="19" t="s">
        <v>32</v>
      </c>
      <c r="C72" s="620"/>
      <c r="D72" s="744">
        <v>0</v>
      </c>
      <c r="E72" s="762">
        <v>0</v>
      </c>
      <c r="F72" s="753">
        <v>0</v>
      </c>
      <c r="G72" s="619">
        <f t="shared" si="18"/>
        <v>0</v>
      </c>
      <c r="H72" s="744">
        <v>0</v>
      </c>
      <c r="I72" s="762">
        <v>0</v>
      </c>
      <c r="J72" s="753">
        <v>0</v>
      </c>
      <c r="K72" s="707">
        <f t="shared" si="19"/>
        <v>0</v>
      </c>
      <c r="L72" s="744">
        <v>0</v>
      </c>
      <c r="M72" s="762">
        <v>0</v>
      </c>
      <c r="N72" s="753">
        <v>0</v>
      </c>
      <c r="O72" s="619">
        <f t="shared" si="20"/>
        <v>0</v>
      </c>
      <c r="P72" s="744">
        <v>0</v>
      </c>
      <c r="Q72" s="762">
        <v>0</v>
      </c>
      <c r="R72" s="753">
        <v>0</v>
      </c>
      <c r="S72" s="619">
        <f t="shared" si="21"/>
        <v>0</v>
      </c>
      <c r="T72" s="744">
        <v>0</v>
      </c>
      <c r="U72" s="762">
        <v>0</v>
      </c>
      <c r="V72" s="753">
        <v>0</v>
      </c>
      <c r="W72" s="619">
        <f t="shared" si="22"/>
        <v>0</v>
      </c>
      <c r="X72" s="744">
        <v>0</v>
      </c>
      <c r="Y72" s="762">
        <v>0</v>
      </c>
      <c r="Z72" s="753">
        <v>0</v>
      </c>
      <c r="AA72" s="619">
        <f t="shared" si="23"/>
        <v>0</v>
      </c>
    </row>
    <row r="73" spans="1:27" x14ac:dyDescent="0.25">
      <c r="A73" s="1974"/>
      <c r="B73" s="19" t="s">
        <v>33</v>
      </c>
      <c r="C73" s="620"/>
      <c r="D73" s="744">
        <v>0</v>
      </c>
      <c r="E73" s="762">
        <v>0</v>
      </c>
      <c r="F73" s="753">
        <v>0</v>
      </c>
      <c r="G73" s="619">
        <f t="shared" si="18"/>
        <v>0</v>
      </c>
      <c r="H73" s="744">
        <v>0</v>
      </c>
      <c r="I73" s="762">
        <v>0</v>
      </c>
      <c r="J73" s="753">
        <v>0</v>
      </c>
      <c r="K73" s="707">
        <f t="shared" si="19"/>
        <v>0</v>
      </c>
      <c r="L73" s="744">
        <v>0</v>
      </c>
      <c r="M73" s="762">
        <v>0</v>
      </c>
      <c r="N73" s="753">
        <v>0</v>
      </c>
      <c r="O73" s="619">
        <f t="shared" si="20"/>
        <v>0</v>
      </c>
      <c r="P73" s="744">
        <v>0</v>
      </c>
      <c r="Q73" s="762">
        <v>0</v>
      </c>
      <c r="R73" s="753">
        <v>0</v>
      </c>
      <c r="S73" s="619">
        <f t="shared" si="21"/>
        <v>0</v>
      </c>
      <c r="T73" s="744">
        <v>0</v>
      </c>
      <c r="U73" s="762">
        <v>0</v>
      </c>
      <c r="V73" s="753">
        <v>0</v>
      </c>
      <c r="W73" s="619">
        <f t="shared" si="22"/>
        <v>0</v>
      </c>
      <c r="X73" s="744">
        <v>0</v>
      </c>
      <c r="Y73" s="762">
        <v>0</v>
      </c>
      <c r="Z73" s="753">
        <v>0</v>
      </c>
      <c r="AA73" s="619">
        <f t="shared" si="23"/>
        <v>0</v>
      </c>
    </row>
    <row r="74" spans="1:27" x14ac:dyDescent="0.25">
      <c r="A74" s="1974"/>
      <c r="B74" s="19" t="s">
        <v>34</v>
      </c>
      <c r="C74" s="620"/>
      <c r="D74" s="744">
        <v>0</v>
      </c>
      <c r="E74" s="762">
        <v>0</v>
      </c>
      <c r="F74" s="753">
        <v>0</v>
      </c>
      <c r="G74" s="619">
        <f t="shared" si="18"/>
        <v>0</v>
      </c>
      <c r="H74" s="744">
        <v>0</v>
      </c>
      <c r="I74" s="762">
        <v>0</v>
      </c>
      <c r="J74" s="753">
        <v>0</v>
      </c>
      <c r="K74" s="707">
        <f t="shared" si="19"/>
        <v>0</v>
      </c>
      <c r="L74" s="744">
        <v>0</v>
      </c>
      <c r="M74" s="762">
        <v>0</v>
      </c>
      <c r="N74" s="753">
        <v>0</v>
      </c>
      <c r="O74" s="619">
        <f t="shared" si="20"/>
        <v>0</v>
      </c>
      <c r="P74" s="744">
        <v>0</v>
      </c>
      <c r="Q74" s="762">
        <v>0</v>
      </c>
      <c r="R74" s="753">
        <v>0</v>
      </c>
      <c r="S74" s="619">
        <f t="shared" si="21"/>
        <v>0</v>
      </c>
      <c r="T74" s="744">
        <v>0</v>
      </c>
      <c r="U74" s="762">
        <v>0</v>
      </c>
      <c r="V74" s="753">
        <v>0</v>
      </c>
      <c r="W74" s="619">
        <f t="shared" si="22"/>
        <v>0</v>
      </c>
      <c r="X74" s="744">
        <v>0</v>
      </c>
      <c r="Y74" s="762">
        <v>0</v>
      </c>
      <c r="Z74" s="753">
        <v>0</v>
      </c>
      <c r="AA74" s="619">
        <f t="shared" si="23"/>
        <v>0</v>
      </c>
    </row>
    <row r="75" spans="1:27" x14ac:dyDescent="0.25">
      <c r="A75" s="1974" t="s">
        <v>21</v>
      </c>
      <c r="B75" s="19" t="s">
        <v>32</v>
      </c>
      <c r="C75" s="620"/>
      <c r="D75" s="744" t="s">
        <v>90</v>
      </c>
      <c r="E75" s="744" t="s">
        <v>90</v>
      </c>
      <c r="F75" s="744" t="s">
        <v>90</v>
      </c>
      <c r="G75" s="619">
        <f t="shared" ref="G75:G86" si="24" xml:space="preserve"> SUM(D75:F75) + $C75</f>
        <v>0</v>
      </c>
      <c r="H75" s="744" t="s">
        <v>90</v>
      </c>
      <c r="I75" s="744" t="s">
        <v>90</v>
      </c>
      <c r="J75" s="744" t="s">
        <v>90</v>
      </c>
      <c r="K75" s="619">
        <f t="shared" si="19"/>
        <v>0</v>
      </c>
      <c r="L75" s="744" t="s">
        <v>90</v>
      </c>
      <c r="M75" s="744" t="s">
        <v>90</v>
      </c>
      <c r="N75" s="744" t="s">
        <v>90</v>
      </c>
      <c r="O75" s="619">
        <f t="shared" si="20"/>
        <v>0</v>
      </c>
      <c r="P75" s="744" t="s">
        <v>90</v>
      </c>
      <c r="Q75" s="744" t="s">
        <v>90</v>
      </c>
      <c r="R75" s="744" t="s">
        <v>90</v>
      </c>
      <c r="S75" s="619">
        <f t="shared" si="21"/>
        <v>0</v>
      </c>
      <c r="T75" s="744" t="s">
        <v>90</v>
      </c>
      <c r="U75" s="744" t="s">
        <v>90</v>
      </c>
      <c r="V75" s="744" t="s">
        <v>90</v>
      </c>
      <c r="W75" s="619">
        <f t="shared" si="22"/>
        <v>0</v>
      </c>
      <c r="X75" s="744" t="s">
        <v>90</v>
      </c>
      <c r="Y75" s="744" t="s">
        <v>90</v>
      </c>
      <c r="Z75" s="744" t="s">
        <v>90</v>
      </c>
      <c r="AA75" s="619">
        <f t="shared" si="23"/>
        <v>0</v>
      </c>
    </row>
    <row r="76" spans="1:27" x14ac:dyDescent="0.25">
      <c r="A76" s="1974"/>
      <c r="B76" s="19" t="s">
        <v>33</v>
      </c>
      <c r="C76" s="620"/>
      <c r="D76" s="744" t="s">
        <v>90</v>
      </c>
      <c r="E76" s="744" t="s">
        <v>90</v>
      </c>
      <c r="F76" s="744" t="s">
        <v>90</v>
      </c>
      <c r="G76" s="619">
        <f t="shared" si="24"/>
        <v>0</v>
      </c>
      <c r="H76" s="744" t="s">
        <v>90</v>
      </c>
      <c r="I76" s="744" t="s">
        <v>90</v>
      </c>
      <c r="J76" s="744" t="s">
        <v>90</v>
      </c>
      <c r="K76" s="619">
        <f t="shared" si="19"/>
        <v>0</v>
      </c>
      <c r="L76" s="744" t="s">
        <v>90</v>
      </c>
      <c r="M76" s="744" t="s">
        <v>90</v>
      </c>
      <c r="N76" s="744" t="s">
        <v>90</v>
      </c>
      <c r="O76" s="619">
        <f t="shared" si="20"/>
        <v>0</v>
      </c>
      <c r="P76" s="744" t="s">
        <v>90</v>
      </c>
      <c r="Q76" s="744" t="s">
        <v>90</v>
      </c>
      <c r="R76" s="744" t="s">
        <v>90</v>
      </c>
      <c r="S76" s="619">
        <f t="shared" si="21"/>
        <v>0</v>
      </c>
      <c r="T76" s="744" t="s">
        <v>90</v>
      </c>
      <c r="U76" s="744" t="s">
        <v>90</v>
      </c>
      <c r="V76" s="744" t="s">
        <v>90</v>
      </c>
      <c r="W76" s="619">
        <f t="shared" si="22"/>
        <v>0</v>
      </c>
      <c r="X76" s="744" t="s">
        <v>90</v>
      </c>
      <c r="Y76" s="744" t="s">
        <v>90</v>
      </c>
      <c r="Z76" s="744" t="s">
        <v>90</v>
      </c>
      <c r="AA76" s="619">
        <f t="shared" si="23"/>
        <v>0</v>
      </c>
    </row>
    <row r="77" spans="1:27" x14ac:dyDescent="0.25">
      <c r="A77" s="1974"/>
      <c r="B77" s="13" t="s">
        <v>34</v>
      </c>
      <c r="C77" s="624"/>
      <c r="D77" s="744" t="s">
        <v>90</v>
      </c>
      <c r="E77" s="744" t="s">
        <v>90</v>
      </c>
      <c r="F77" s="744" t="s">
        <v>90</v>
      </c>
      <c r="G77" s="619">
        <f t="shared" si="24"/>
        <v>0</v>
      </c>
      <c r="H77" s="744" t="s">
        <v>90</v>
      </c>
      <c r="I77" s="744" t="s">
        <v>90</v>
      </c>
      <c r="J77" s="744" t="s">
        <v>90</v>
      </c>
      <c r="K77" s="619">
        <f t="shared" si="19"/>
        <v>0</v>
      </c>
      <c r="L77" s="744" t="s">
        <v>90</v>
      </c>
      <c r="M77" s="744" t="s">
        <v>90</v>
      </c>
      <c r="N77" s="744" t="s">
        <v>90</v>
      </c>
      <c r="O77" s="619">
        <f t="shared" si="20"/>
        <v>0</v>
      </c>
      <c r="P77" s="744" t="s">
        <v>90</v>
      </c>
      <c r="Q77" s="744" t="s">
        <v>90</v>
      </c>
      <c r="R77" s="744" t="s">
        <v>90</v>
      </c>
      <c r="S77" s="619">
        <f t="shared" si="21"/>
        <v>0</v>
      </c>
      <c r="T77" s="744" t="s">
        <v>90</v>
      </c>
      <c r="U77" s="744" t="s">
        <v>90</v>
      </c>
      <c r="V77" s="744" t="s">
        <v>90</v>
      </c>
      <c r="W77" s="619">
        <f t="shared" si="22"/>
        <v>0</v>
      </c>
      <c r="X77" s="744" t="s">
        <v>90</v>
      </c>
      <c r="Y77" s="744" t="s">
        <v>90</v>
      </c>
      <c r="Z77" s="744" t="s">
        <v>90</v>
      </c>
      <c r="AA77" s="619">
        <f t="shared" si="23"/>
        <v>0</v>
      </c>
    </row>
    <row r="78" spans="1:27" x14ac:dyDescent="0.25">
      <c r="A78" s="1974" t="s">
        <v>181</v>
      </c>
      <c r="B78" s="19" t="s">
        <v>32</v>
      </c>
      <c r="C78" s="620"/>
      <c r="D78" s="744">
        <v>0</v>
      </c>
      <c r="E78" s="740">
        <v>0</v>
      </c>
      <c r="F78" s="749">
        <v>0</v>
      </c>
      <c r="G78" s="619">
        <f t="shared" si="24"/>
        <v>0</v>
      </c>
      <c r="H78" s="748">
        <v>0</v>
      </c>
      <c r="I78" s="740">
        <v>0</v>
      </c>
      <c r="J78" s="749">
        <v>0</v>
      </c>
      <c r="K78" s="619">
        <f t="shared" si="19"/>
        <v>0</v>
      </c>
      <c r="L78" s="740">
        <v>0</v>
      </c>
      <c r="M78" s="740">
        <v>0</v>
      </c>
      <c r="N78" s="749">
        <v>0</v>
      </c>
      <c r="O78" s="619">
        <f t="shared" si="20"/>
        <v>0</v>
      </c>
      <c r="P78" s="740">
        <v>0</v>
      </c>
      <c r="Q78" s="740">
        <v>0</v>
      </c>
      <c r="R78" s="749">
        <v>0</v>
      </c>
      <c r="S78" s="619">
        <f t="shared" si="21"/>
        <v>0</v>
      </c>
      <c r="T78" s="740">
        <v>0</v>
      </c>
      <c r="U78" s="740">
        <v>0</v>
      </c>
      <c r="V78" s="749">
        <v>0</v>
      </c>
      <c r="W78" s="619">
        <f t="shared" si="22"/>
        <v>0</v>
      </c>
      <c r="X78" s="740">
        <v>0</v>
      </c>
      <c r="Y78" s="740">
        <v>0</v>
      </c>
      <c r="Z78" s="749">
        <v>0</v>
      </c>
      <c r="AA78" s="619">
        <f t="shared" si="23"/>
        <v>0</v>
      </c>
    </row>
    <row r="79" spans="1:27" x14ac:dyDescent="0.25">
      <c r="A79" s="1974"/>
      <c r="B79" s="19" t="s">
        <v>33</v>
      </c>
      <c r="C79" s="620"/>
      <c r="D79" s="744">
        <v>0</v>
      </c>
      <c r="E79" s="740">
        <v>0</v>
      </c>
      <c r="F79" s="749">
        <v>0</v>
      </c>
      <c r="G79" s="619">
        <f t="shared" si="24"/>
        <v>0</v>
      </c>
      <c r="H79" s="748">
        <v>0</v>
      </c>
      <c r="I79" s="740">
        <v>0</v>
      </c>
      <c r="J79" s="749">
        <v>0</v>
      </c>
      <c r="K79" s="619">
        <f t="shared" si="19"/>
        <v>0</v>
      </c>
      <c r="L79" s="740">
        <v>0</v>
      </c>
      <c r="M79" s="740">
        <v>0</v>
      </c>
      <c r="N79" s="749">
        <v>0</v>
      </c>
      <c r="O79" s="619">
        <f t="shared" si="20"/>
        <v>0</v>
      </c>
      <c r="P79" s="740">
        <v>0</v>
      </c>
      <c r="Q79" s="740">
        <v>0</v>
      </c>
      <c r="R79" s="749">
        <v>0</v>
      </c>
      <c r="S79" s="619">
        <f t="shared" si="21"/>
        <v>0</v>
      </c>
      <c r="T79" s="740">
        <v>0</v>
      </c>
      <c r="U79" s="740">
        <v>0</v>
      </c>
      <c r="V79" s="749">
        <v>0</v>
      </c>
      <c r="W79" s="619">
        <f t="shared" si="22"/>
        <v>0</v>
      </c>
      <c r="X79" s="740">
        <v>0</v>
      </c>
      <c r="Y79" s="740">
        <v>0</v>
      </c>
      <c r="Z79" s="749">
        <v>0</v>
      </c>
      <c r="AA79" s="619">
        <f t="shared" si="23"/>
        <v>0</v>
      </c>
    </row>
    <row r="80" spans="1:27" x14ac:dyDescent="0.25">
      <c r="A80" s="1974"/>
      <c r="B80" s="19" t="s">
        <v>34</v>
      </c>
      <c r="C80" s="620"/>
      <c r="D80" s="744">
        <v>0</v>
      </c>
      <c r="E80" s="740">
        <v>0</v>
      </c>
      <c r="F80" s="749">
        <v>0</v>
      </c>
      <c r="G80" s="619">
        <f t="shared" si="24"/>
        <v>0</v>
      </c>
      <c r="H80" s="748">
        <v>0</v>
      </c>
      <c r="I80" s="740">
        <v>0</v>
      </c>
      <c r="J80" s="749">
        <v>0</v>
      </c>
      <c r="K80" s="619">
        <f t="shared" si="19"/>
        <v>0</v>
      </c>
      <c r="L80" s="740">
        <v>0</v>
      </c>
      <c r="M80" s="740">
        <v>0</v>
      </c>
      <c r="N80" s="749">
        <v>0</v>
      </c>
      <c r="O80" s="619">
        <f t="shared" si="20"/>
        <v>0</v>
      </c>
      <c r="P80" s="740">
        <v>0</v>
      </c>
      <c r="Q80" s="740">
        <v>0</v>
      </c>
      <c r="R80" s="749">
        <v>0</v>
      </c>
      <c r="S80" s="619">
        <f t="shared" si="21"/>
        <v>0</v>
      </c>
      <c r="T80" s="740">
        <v>0</v>
      </c>
      <c r="U80" s="740">
        <v>0</v>
      </c>
      <c r="V80" s="749">
        <v>0</v>
      </c>
      <c r="W80" s="619">
        <f t="shared" si="22"/>
        <v>0</v>
      </c>
      <c r="X80" s="740">
        <v>0</v>
      </c>
      <c r="Y80" s="740">
        <v>0</v>
      </c>
      <c r="Z80" s="749">
        <v>0</v>
      </c>
      <c r="AA80" s="619">
        <f t="shared" si="23"/>
        <v>0</v>
      </c>
    </row>
    <row r="81" spans="1:27" x14ac:dyDescent="0.25">
      <c r="A81" s="1974" t="s">
        <v>182</v>
      </c>
      <c r="B81" s="19" t="s">
        <v>32</v>
      </c>
      <c r="C81" s="620"/>
      <c r="D81" s="744">
        <v>0</v>
      </c>
      <c r="E81" s="740">
        <v>0</v>
      </c>
      <c r="F81" s="749">
        <v>0</v>
      </c>
      <c r="G81" s="619">
        <f t="shared" si="24"/>
        <v>0</v>
      </c>
      <c r="H81" s="748">
        <v>0</v>
      </c>
      <c r="I81" s="740">
        <v>0</v>
      </c>
      <c r="J81" s="749">
        <v>0</v>
      </c>
      <c r="K81" s="619">
        <f t="shared" si="19"/>
        <v>0</v>
      </c>
      <c r="L81" s="740">
        <v>0</v>
      </c>
      <c r="M81" s="740">
        <v>0</v>
      </c>
      <c r="N81" s="749">
        <v>0</v>
      </c>
      <c r="O81" s="619">
        <f t="shared" si="20"/>
        <v>0</v>
      </c>
      <c r="P81" s="740">
        <v>0</v>
      </c>
      <c r="Q81" s="740">
        <v>0</v>
      </c>
      <c r="R81" s="749">
        <v>0</v>
      </c>
      <c r="S81" s="619">
        <f t="shared" si="21"/>
        <v>0</v>
      </c>
      <c r="T81" s="740">
        <v>0</v>
      </c>
      <c r="U81" s="740">
        <v>0</v>
      </c>
      <c r="V81" s="749">
        <v>0</v>
      </c>
      <c r="W81" s="619">
        <f t="shared" si="22"/>
        <v>0</v>
      </c>
      <c r="X81" s="740">
        <v>0</v>
      </c>
      <c r="Y81" s="740">
        <v>0</v>
      </c>
      <c r="Z81" s="749">
        <v>0</v>
      </c>
      <c r="AA81" s="619">
        <f t="shared" si="23"/>
        <v>0</v>
      </c>
    </row>
    <row r="82" spans="1:27" x14ac:dyDescent="0.25">
      <c r="A82" s="1974"/>
      <c r="B82" s="19" t="s">
        <v>33</v>
      </c>
      <c r="C82" s="620"/>
      <c r="D82" s="744">
        <v>0</v>
      </c>
      <c r="E82" s="740">
        <v>0</v>
      </c>
      <c r="F82" s="749">
        <v>0</v>
      </c>
      <c r="G82" s="619">
        <f t="shared" si="24"/>
        <v>0</v>
      </c>
      <c r="H82" s="748">
        <v>0</v>
      </c>
      <c r="I82" s="740">
        <v>0</v>
      </c>
      <c r="J82" s="749">
        <v>0</v>
      </c>
      <c r="K82" s="619">
        <f t="shared" si="19"/>
        <v>0</v>
      </c>
      <c r="L82" s="740">
        <v>0</v>
      </c>
      <c r="M82" s="740">
        <v>0</v>
      </c>
      <c r="N82" s="749">
        <v>0</v>
      </c>
      <c r="O82" s="619">
        <f t="shared" si="20"/>
        <v>0</v>
      </c>
      <c r="P82" s="740">
        <v>0</v>
      </c>
      <c r="Q82" s="740">
        <v>0</v>
      </c>
      <c r="R82" s="749">
        <v>0</v>
      </c>
      <c r="S82" s="619">
        <f t="shared" si="21"/>
        <v>0</v>
      </c>
      <c r="T82" s="740">
        <v>0</v>
      </c>
      <c r="U82" s="740">
        <v>0</v>
      </c>
      <c r="V82" s="749">
        <v>0</v>
      </c>
      <c r="W82" s="619">
        <f t="shared" si="22"/>
        <v>0</v>
      </c>
      <c r="X82" s="740">
        <v>0</v>
      </c>
      <c r="Y82" s="740">
        <v>0</v>
      </c>
      <c r="Z82" s="749">
        <v>0</v>
      </c>
      <c r="AA82" s="619">
        <f t="shared" si="23"/>
        <v>0</v>
      </c>
    </row>
    <row r="83" spans="1:27" x14ac:dyDescent="0.25">
      <c r="A83" s="1974"/>
      <c r="B83" s="19" t="s">
        <v>34</v>
      </c>
      <c r="C83" s="620"/>
      <c r="D83" s="744">
        <v>0</v>
      </c>
      <c r="E83" s="740">
        <v>0</v>
      </c>
      <c r="F83" s="749">
        <v>0</v>
      </c>
      <c r="G83" s="619">
        <f t="shared" si="24"/>
        <v>0</v>
      </c>
      <c r="H83" s="748">
        <v>0</v>
      </c>
      <c r="I83" s="740">
        <v>0</v>
      </c>
      <c r="J83" s="749">
        <v>0</v>
      </c>
      <c r="K83" s="619">
        <f t="shared" si="19"/>
        <v>0</v>
      </c>
      <c r="L83" s="740">
        <v>0</v>
      </c>
      <c r="M83" s="740">
        <v>0</v>
      </c>
      <c r="N83" s="749">
        <v>0</v>
      </c>
      <c r="O83" s="619">
        <f t="shared" si="20"/>
        <v>0</v>
      </c>
      <c r="P83" s="740">
        <v>0</v>
      </c>
      <c r="Q83" s="740">
        <v>0</v>
      </c>
      <c r="R83" s="749">
        <v>0</v>
      </c>
      <c r="S83" s="619">
        <f t="shared" si="21"/>
        <v>0</v>
      </c>
      <c r="T83" s="740">
        <v>0</v>
      </c>
      <c r="U83" s="740">
        <v>0</v>
      </c>
      <c r="V83" s="749">
        <v>0</v>
      </c>
      <c r="W83" s="619">
        <f t="shared" si="22"/>
        <v>0</v>
      </c>
      <c r="X83" s="740">
        <v>0</v>
      </c>
      <c r="Y83" s="740">
        <v>0</v>
      </c>
      <c r="Z83" s="749">
        <v>0</v>
      </c>
      <c r="AA83" s="619">
        <f t="shared" si="23"/>
        <v>0</v>
      </c>
    </row>
    <row r="84" spans="1:27" x14ac:dyDescent="0.25">
      <c r="A84" s="1994" t="s">
        <v>183</v>
      </c>
      <c r="B84" s="19" t="s">
        <v>32</v>
      </c>
      <c r="C84" s="620"/>
      <c r="D84" s="744">
        <v>0</v>
      </c>
      <c r="E84" s="740">
        <v>0</v>
      </c>
      <c r="F84" s="749">
        <v>0</v>
      </c>
      <c r="G84" s="619">
        <f t="shared" si="24"/>
        <v>0</v>
      </c>
      <c r="H84" s="748">
        <v>0</v>
      </c>
      <c r="I84" s="740">
        <v>0</v>
      </c>
      <c r="J84" s="749">
        <v>0</v>
      </c>
      <c r="K84" s="619">
        <f t="shared" si="19"/>
        <v>0</v>
      </c>
      <c r="L84" s="740">
        <v>0</v>
      </c>
      <c r="M84" s="740">
        <v>0</v>
      </c>
      <c r="N84" s="749">
        <v>0</v>
      </c>
      <c r="O84" s="619">
        <f t="shared" si="20"/>
        <v>0</v>
      </c>
      <c r="P84" s="740">
        <v>0</v>
      </c>
      <c r="Q84" s="740">
        <v>0</v>
      </c>
      <c r="R84" s="749">
        <v>0</v>
      </c>
      <c r="S84" s="619">
        <f t="shared" si="21"/>
        <v>0</v>
      </c>
      <c r="T84" s="740">
        <v>0</v>
      </c>
      <c r="U84" s="740">
        <v>0</v>
      </c>
      <c r="V84" s="749">
        <v>0</v>
      </c>
      <c r="W84" s="619">
        <f t="shared" si="22"/>
        <v>0</v>
      </c>
      <c r="X84" s="740">
        <v>0</v>
      </c>
      <c r="Y84" s="740">
        <v>0</v>
      </c>
      <c r="Z84" s="749">
        <v>0</v>
      </c>
      <c r="AA84" s="619">
        <f t="shared" si="23"/>
        <v>0</v>
      </c>
    </row>
    <row r="85" spans="1:27" x14ac:dyDescent="0.25">
      <c r="A85" s="1994"/>
      <c r="B85" s="19" t="s">
        <v>33</v>
      </c>
      <c r="C85" s="620"/>
      <c r="D85" s="744">
        <v>0</v>
      </c>
      <c r="E85" s="740">
        <v>0</v>
      </c>
      <c r="F85" s="749">
        <v>0</v>
      </c>
      <c r="G85" s="619">
        <f t="shared" si="24"/>
        <v>0</v>
      </c>
      <c r="H85" s="748">
        <v>0</v>
      </c>
      <c r="I85" s="740">
        <v>0</v>
      </c>
      <c r="J85" s="749">
        <v>0</v>
      </c>
      <c r="K85" s="619">
        <f t="shared" si="19"/>
        <v>0</v>
      </c>
      <c r="L85" s="740">
        <v>0</v>
      </c>
      <c r="M85" s="740">
        <v>0</v>
      </c>
      <c r="N85" s="749">
        <v>0</v>
      </c>
      <c r="O85" s="619">
        <f t="shared" si="20"/>
        <v>0</v>
      </c>
      <c r="P85" s="740">
        <v>0</v>
      </c>
      <c r="Q85" s="740">
        <v>0</v>
      </c>
      <c r="R85" s="749">
        <v>0</v>
      </c>
      <c r="S85" s="619">
        <f t="shared" si="21"/>
        <v>0</v>
      </c>
      <c r="T85" s="740">
        <v>0</v>
      </c>
      <c r="U85" s="740">
        <v>0</v>
      </c>
      <c r="V85" s="749">
        <v>0</v>
      </c>
      <c r="W85" s="619">
        <f t="shared" si="22"/>
        <v>0</v>
      </c>
      <c r="X85" s="740">
        <v>0</v>
      </c>
      <c r="Y85" s="740">
        <v>0</v>
      </c>
      <c r="Z85" s="749">
        <v>0</v>
      </c>
      <c r="AA85" s="619">
        <f t="shared" si="23"/>
        <v>0</v>
      </c>
    </row>
    <row r="86" spans="1:27" ht="15.75" thickBot="1" x14ac:dyDescent="0.3">
      <c r="A86" s="1994"/>
      <c r="B86" s="13" t="s">
        <v>34</v>
      </c>
      <c r="C86" s="621"/>
      <c r="D86" s="744">
        <v>0</v>
      </c>
      <c r="E86" s="766">
        <v>0</v>
      </c>
      <c r="F86" s="757">
        <v>0</v>
      </c>
      <c r="G86" s="77">
        <f t="shared" si="24"/>
        <v>0</v>
      </c>
      <c r="H86" s="662">
        <v>0</v>
      </c>
      <c r="I86" s="766">
        <v>0</v>
      </c>
      <c r="J86" s="757">
        <v>0</v>
      </c>
      <c r="K86" s="77">
        <f t="shared" si="19"/>
        <v>0</v>
      </c>
      <c r="L86" s="740">
        <v>0</v>
      </c>
      <c r="M86" s="766">
        <v>0</v>
      </c>
      <c r="N86" s="757">
        <v>0</v>
      </c>
      <c r="O86" s="77">
        <f t="shared" si="20"/>
        <v>0</v>
      </c>
      <c r="P86" s="740">
        <v>0</v>
      </c>
      <c r="Q86" s="766">
        <v>0</v>
      </c>
      <c r="R86" s="757">
        <v>0</v>
      </c>
      <c r="S86" s="77">
        <f t="shared" si="21"/>
        <v>0</v>
      </c>
      <c r="T86" s="740">
        <v>0</v>
      </c>
      <c r="U86" s="766">
        <v>0</v>
      </c>
      <c r="V86" s="757">
        <v>0</v>
      </c>
      <c r="W86" s="77">
        <f t="shared" si="22"/>
        <v>0</v>
      </c>
      <c r="X86" s="740">
        <v>0</v>
      </c>
      <c r="Y86" s="766">
        <v>0</v>
      </c>
      <c r="Z86" s="757">
        <v>0</v>
      </c>
      <c r="AA86" s="77">
        <f t="shared" si="23"/>
        <v>0</v>
      </c>
    </row>
    <row r="87" spans="1:27" ht="16.5" thickBot="1" x14ac:dyDescent="0.3">
      <c r="A87" s="330" t="s">
        <v>22</v>
      </c>
      <c r="B87" s="329"/>
      <c r="C87" s="329"/>
      <c r="D87" s="329"/>
      <c r="E87" s="329"/>
      <c r="F87" s="327"/>
      <c r="G87" s="327"/>
      <c r="H87" s="329"/>
      <c r="I87" s="329"/>
      <c r="J87" s="327"/>
      <c r="K87" s="327"/>
      <c r="L87" s="329"/>
      <c r="M87" s="329"/>
      <c r="N87" s="327"/>
      <c r="O87" s="327"/>
      <c r="P87" s="329"/>
      <c r="Q87" s="329"/>
      <c r="R87" s="327"/>
      <c r="S87" s="327"/>
      <c r="T87" s="329"/>
      <c r="U87" s="329"/>
      <c r="V87" s="327"/>
      <c r="W87" s="327"/>
      <c r="X87" s="329"/>
      <c r="Y87" s="329"/>
      <c r="Z87" s="327"/>
      <c r="AA87" s="327"/>
    </row>
    <row r="88" spans="1:27" x14ac:dyDescent="0.25">
      <c r="A88" s="1932" t="s">
        <v>23</v>
      </c>
      <c r="B88" s="404" t="s">
        <v>32</v>
      </c>
      <c r="C88" s="324"/>
      <c r="D88" s="760">
        <v>0.25</v>
      </c>
      <c r="E88" s="767">
        <v>0</v>
      </c>
      <c r="F88" s="761">
        <v>0</v>
      </c>
      <c r="G88" s="230">
        <f t="shared" ref="G88:G93" si="25" xml:space="preserve"> SUM(D88:F88) + $C88</f>
        <v>0.25</v>
      </c>
      <c r="H88" s="760">
        <v>0.25</v>
      </c>
      <c r="I88" s="767">
        <v>0</v>
      </c>
      <c r="J88" s="761">
        <v>0</v>
      </c>
      <c r="K88" s="230">
        <f t="shared" ref="K88:K105" si="26" xml:space="preserve"> SUM(H88:J88) + $C88</f>
        <v>0.25</v>
      </c>
      <c r="L88" s="760">
        <v>0.25</v>
      </c>
      <c r="M88" s="767">
        <v>0</v>
      </c>
      <c r="N88" s="761">
        <v>0</v>
      </c>
      <c r="O88" s="230">
        <f t="shared" ref="O88:O105" si="27" xml:space="preserve"> SUM(L88:N88) + $C88</f>
        <v>0.25</v>
      </c>
      <c r="P88" s="760">
        <v>0.25</v>
      </c>
      <c r="Q88" s="767">
        <v>0</v>
      </c>
      <c r="R88" s="761">
        <v>0</v>
      </c>
      <c r="S88" s="230">
        <f t="shared" ref="S88:S105" si="28" xml:space="preserve"> SUM(P88:R88) + $C88</f>
        <v>0.25</v>
      </c>
      <c r="T88" s="760">
        <v>0.25</v>
      </c>
      <c r="U88" s="767">
        <v>0</v>
      </c>
      <c r="V88" s="761">
        <v>0</v>
      </c>
      <c r="W88" s="230">
        <f t="shared" ref="W88:W105" si="29" xml:space="preserve"> SUM(T88:V88) + $C88</f>
        <v>0.25</v>
      </c>
      <c r="X88" s="760">
        <v>0.25</v>
      </c>
      <c r="Y88" s="767">
        <v>0</v>
      </c>
      <c r="Z88" s="761">
        <v>0</v>
      </c>
      <c r="AA88" s="230">
        <f t="shared" ref="AA88:AA105" si="30" xml:space="preserve"> SUM(X88:Z88) + $C88</f>
        <v>0.25</v>
      </c>
    </row>
    <row r="89" spans="1:27" x14ac:dyDescent="0.25">
      <c r="A89" s="1932"/>
      <c r="B89" s="19" t="s">
        <v>33</v>
      </c>
      <c r="C89" s="620"/>
      <c r="D89" s="760">
        <v>0.25</v>
      </c>
      <c r="E89" s="740">
        <v>0</v>
      </c>
      <c r="F89" s="743">
        <v>0</v>
      </c>
      <c r="G89" s="619">
        <f t="shared" si="25"/>
        <v>0.25</v>
      </c>
      <c r="H89" s="760">
        <v>0.25</v>
      </c>
      <c r="I89" s="740">
        <v>0</v>
      </c>
      <c r="J89" s="743">
        <v>0</v>
      </c>
      <c r="K89" s="619">
        <f t="shared" si="26"/>
        <v>0.25</v>
      </c>
      <c r="L89" s="760">
        <v>0.25</v>
      </c>
      <c r="M89" s="740">
        <v>0</v>
      </c>
      <c r="N89" s="743">
        <v>0</v>
      </c>
      <c r="O89" s="619">
        <f t="shared" si="27"/>
        <v>0.25</v>
      </c>
      <c r="P89" s="760">
        <v>0.25</v>
      </c>
      <c r="Q89" s="740">
        <v>0</v>
      </c>
      <c r="R89" s="743">
        <v>0</v>
      </c>
      <c r="S89" s="619">
        <f t="shared" si="28"/>
        <v>0.25</v>
      </c>
      <c r="T89" s="760">
        <v>0.25</v>
      </c>
      <c r="U89" s="740">
        <v>0</v>
      </c>
      <c r="V89" s="743">
        <v>0</v>
      </c>
      <c r="W89" s="619">
        <f t="shared" si="29"/>
        <v>0.25</v>
      </c>
      <c r="X89" s="760">
        <v>0.25</v>
      </c>
      <c r="Y89" s="740">
        <v>0</v>
      </c>
      <c r="Z89" s="743">
        <v>0</v>
      </c>
      <c r="AA89" s="619">
        <f t="shared" si="30"/>
        <v>0.25</v>
      </c>
    </row>
    <row r="90" spans="1:27" x14ac:dyDescent="0.25">
      <c r="A90" s="1932"/>
      <c r="B90" s="19" t="s">
        <v>34</v>
      </c>
      <c r="C90" s="620"/>
      <c r="D90" s="760">
        <v>0.25</v>
      </c>
      <c r="E90" s="740">
        <v>0</v>
      </c>
      <c r="F90" s="743">
        <v>0</v>
      </c>
      <c r="G90" s="619">
        <f t="shared" si="25"/>
        <v>0.25</v>
      </c>
      <c r="H90" s="760">
        <v>0.25</v>
      </c>
      <c r="I90" s="740">
        <v>0</v>
      </c>
      <c r="J90" s="743">
        <v>0</v>
      </c>
      <c r="K90" s="619">
        <f t="shared" si="26"/>
        <v>0.25</v>
      </c>
      <c r="L90" s="760">
        <v>0.25</v>
      </c>
      <c r="M90" s="740">
        <v>0</v>
      </c>
      <c r="N90" s="743">
        <v>0</v>
      </c>
      <c r="O90" s="619">
        <f t="shared" si="27"/>
        <v>0.25</v>
      </c>
      <c r="P90" s="760">
        <v>0.25</v>
      </c>
      <c r="Q90" s="740">
        <v>0</v>
      </c>
      <c r="R90" s="743">
        <v>0</v>
      </c>
      <c r="S90" s="619">
        <f t="shared" si="28"/>
        <v>0.25</v>
      </c>
      <c r="T90" s="760">
        <v>0.25</v>
      </c>
      <c r="U90" s="740">
        <v>0</v>
      </c>
      <c r="V90" s="743">
        <v>0</v>
      </c>
      <c r="W90" s="619">
        <f t="shared" si="29"/>
        <v>0.25</v>
      </c>
      <c r="X90" s="760">
        <v>0.25</v>
      </c>
      <c r="Y90" s="740">
        <v>0</v>
      </c>
      <c r="Z90" s="743">
        <v>0</v>
      </c>
      <c r="AA90" s="619">
        <f t="shared" si="30"/>
        <v>0.25</v>
      </c>
    </row>
    <row r="91" spans="1:27" x14ac:dyDescent="0.25">
      <c r="A91" s="1974" t="s">
        <v>24</v>
      </c>
      <c r="B91" s="19" t="s">
        <v>32</v>
      </c>
      <c r="C91" s="620"/>
      <c r="D91" s="744">
        <v>6</v>
      </c>
      <c r="E91" s="630">
        <f t="shared" ref="E91:E96" si="31">0.5*$E$3</f>
        <v>0</v>
      </c>
      <c r="F91" s="743">
        <v>0</v>
      </c>
      <c r="G91" s="619">
        <f t="shared" si="25"/>
        <v>6</v>
      </c>
      <c r="H91" s="744">
        <v>8</v>
      </c>
      <c r="I91" s="630">
        <f t="shared" ref="I91:I96" si="32">0.5*$E$3</f>
        <v>0</v>
      </c>
      <c r="J91" s="743">
        <v>0</v>
      </c>
      <c r="K91" s="619">
        <f t="shared" si="26"/>
        <v>8</v>
      </c>
      <c r="L91" s="744">
        <v>6</v>
      </c>
      <c r="M91" s="630">
        <f t="shared" ref="M91:M96" si="33">0.5*$M$3</f>
        <v>0</v>
      </c>
      <c r="N91" s="743">
        <v>0</v>
      </c>
      <c r="O91" s="619">
        <f t="shared" si="27"/>
        <v>6</v>
      </c>
      <c r="P91" s="744">
        <v>6</v>
      </c>
      <c r="Q91" s="630">
        <f t="shared" ref="Q91:Q96" si="34">0.5*$E$3</f>
        <v>0</v>
      </c>
      <c r="R91" s="743">
        <v>0</v>
      </c>
      <c r="S91" s="619">
        <f t="shared" si="28"/>
        <v>6</v>
      </c>
      <c r="T91" s="744">
        <v>6</v>
      </c>
      <c r="U91" s="630">
        <f t="shared" ref="U91:U96" si="35">0.5*$E$3</f>
        <v>0</v>
      </c>
      <c r="V91" s="743">
        <v>0</v>
      </c>
      <c r="W91" s="619">
        <f t="shared" si="29"/>
        <v>6</v>
      </c>
      <c r="X91" s="744">
        <v>4</v>
      </c>
      <c r="Y91" s="630">
        <f t="shared" ref="Y91:Y96" si="36">0.5*$E$3</f>
        <v>0</v>
      </c>
      <c r="Z91" s="743">
        <v>0</v>
      </c>
      <c r="AA91" s="619">
        <f t="shared" si="30"/>
        <v>4</v>
      </c>
    </row>
    <row r="92" spans="1:27" x14ac:dyDescent="0.25">
      <c r="A92" s="1974"/>
      <c r="B92" s="19" t="s">
        <v>33</v>
      </c>
      <c r="C92" s="620"/>
      <c r="D92" s="744">
        <v>6</v>
      </c>
      <c r="E92" s="630">
        <f t="shared" si="31"/>
        <v>0</v>
      </c>
      <c r="F92" s="743">
        <v>0</v>
      </c>
      <c r="G92" s="619">
        <f t="shared" si="25"/>
        <v>6</v>
      </c>
      <c r="H92" s="744">
        <v>8</v>
      </c>
      <c r="I92" s="630">
        <f t="shared" si="32"/>
        <v>0</v>
      </c>
      <c r="J92" s="743">
        <v>0</v>
      </c>
      <c r="K92" s="619">
        <f t="shared" si="26"/>
        <v>8</v>
      </c>
      <c r="L92" s="744">
        <v>8</v>
      </c>
      <c r="M92" s="630">
        <f t="shared" si="33"/>
        <v>0</v>
      </c>
      <c r="N92" s="743">
        <v>0</v>
      </c>
      <c r="O92" s="619">
        <f t="shared" si="27"/>
        <v>8</v>
      </c>
      <c r="P92" s="744">
        <v>8</v>
      </c>
      <c r="Q92" s="630">
        <f t="shared" si="34"/>
        <v>0</v>
      </c>
      <c r="R92" s="743">
        <v>0</v>
      </c>
      <c r="S92" s="619">
        <f t="shared" si="28"/>
        <v>8</v>
      </c>
      <c r="T92" s="744">
        <v>8</v>
      </c>
      <c r="U92" s="630">
        <f t="shared" si="35"/>
        <v>0</v>
      </c>
      <c r="V92" s="743">
        <v>0</v>
      </c>
      <c r="W92" s="619">
        <f t="shared" si="29"/>
        <v>8</v>
      </c>
      <c r="X92" s="744">
        <v>6</v>
      </c>
      <c r="Y92" s="630">
        <f t="shared" si="36"/>
        <v>0</v>
      </c>
      <c r="Z92" s="743">
        <v>0</v>
      </c>
      <c r="AA92" s="619">
        <f t="shared" si="30"/>
        <v>6</v>
      </c>
    </row>
    <row r="93" spans="1:27" x14ac:dyDescent="0.25">
      <c r="A93" s="1974"/>
      <c r="B93" s="19" t="s">
        <v>34</v>
      </c>
      <c r="C93" s="620"/>
      <c r="D93" s="744">
        <v>8</v>
      </c>
      <c r="E93" s="630">
        <f t="shared" si="31"/>
        <v>0</v>
      </c>
      <c r="F93" s="743">
        <v>0</v>
      </c>
      <c r="G93" s="619">
        <f t="shared" si="25"/>
        <v>8</v>
      </c>
      <c r="H93" s="744">
        <v>8</v>
      </c>
      <c r="I93" s="630">
        <f t="shared" si="32"/>
        <v>0</v>
      </c>
      <c r="J93" s="743">
        <v>0</v>
      </c>
      <c r="K93" s="619">
        <f t="shared" si="26"/>
        <v>8</v>
      </c>
      <c r="L93" s="744">
        <v>10</v>
      </c>
      <c r="M93" s="630">
        <f t="shared" si="33"/>
        <v>0</v>
      </c>
      <c r="N93" s="743">
        <v>0</v>
      </c>
      <c r="O93" s="619">
        <f t="shared" si="27"/>
        <v>10</v>
      </c>
      <c r="P93" s="744">
        <v>10</v>
      </c>
      <c r="Q93" s="630">
        <f t="shared" si="34"/>
        <v>0</v>
      </c>
      <c r="R93" s="743">
        <v>0</v>
      </c>
      <c r="S93" s="619">
        <f t="shared" si="28"/>
        <v>10</v>
      </c>
      <c r="T93" s="744">
        <v>10</v>
      </c>
      <c r="U93" s="630">
        <f t="shared" si="35"/>
        <v>0</v>
      </c>
      <c r="V93" s="743">
        <v>0</v>
      </c>
      <c r="W93" s="619">
        <f t="shared" si="29"/>
        <v>10</v>
      </c>
      <c r="X93" s="744">
        <v>8</v>
      </c>
      <c r="Y93" s="630">
        <f t="shared" si="36"/>
        <v>0</v>
      </c>
      <c r="Z93" s="743">
        <v>0</v>
      </c>
      <c r="AA93" s="619">
        <f t="shared" si="30"/>
        <v>8</v>
      </c>
    </row>
    <row r="94" spans="1:27" x14ac:dyDescent="0.25">
      <c r="A94" s="1974" t="s">
        <v>25</v>
      </c>
      <c r="B94" s="19" t="s">
        <v>32</v>
      </c>
      <c r="C94" s="620"/>
      <c r="D94" s="744">
        <v>4</v>
      </c>
      <c r="E94" s="630">
        <f t="shared" si="31"/>
        <v>0</v>
      </c>
      <c r="F94" s="743">
        <v>0</v>
      </c>
      <c r="G94" s="619">
        <f t="shared" ref="G94:G105" si="37" xml:space="preserve"> SUM(D94:F94) + $C94</f>
        <v>4</v>
      </c>
      <c r="H94" s="744">
        <v>6</v>
      </c>
      <c r="I94" s="630">
        <f t="shared" si="32"/>
        <v>0</v>
      </c>
      <c r="J94" s="743">
        <v>0</v>
      </c>
      <c r="K94" s="619">
        <f t="shared" si="26"/>
        <v>6</v>
      </c>
      <c r="L94" s="744">
        <v>6</v>
      </c>
      <c r="M94" s="630">
        <f t="shared" si="33"/>
        <v>0</v>
      </c>
      <c r="N94" s="743">
        <v>0</v>
      </c>
      <c r="O94" s="619">
        <f t="shared" si="27"/>
        <v>6</v>
      </c>
      <c r="P94" s="744">
        <v>6</v>
      </c>
      <c r="Q94" s="630">
        <f t="shared" si="34"/>
        <v>0</v>
      </c>
      <c r="R94" s="743">
        <v>0</v>
      </c>
      <c r="S94" s="619">
        <f t="shared" si="28"/>
        <v>6</v>
      </c>
      <c r="T94" s="744">
        <v>6</v>
      </c>
      <c r="U94" s="630">
        <f t="shared" si="35"/>
        <v>0</v>
      </c>
      <c r="V94" s="743">
        <v>0</v>
      </c>
      <c r="W94" s="619">
        <f t="shared" si="29"/>
        <v>6</v>
      </c>
      <c r="X94" s="744">
        <v>4</v>
      </c>
      <c r="Y94" s="630">
        <f t="shared" si="36"/>
        <v>0</v>
      </c>
      <c r="Z94" s="743">
        <v>0</v>
      </c>
      <c r="AA94" s="619">
        <f t="shared" si="30"/>
        <v>4</v>
      </c>
    </row>
    <row r="95" spans="1:27" x14ac:dyDescent="0.25">
      <c r="A95" s="1974"/>
      <c r="B95" s="19" t="s">
        <v>33</v>
      </c>
      <c r="C95" s="620"/>
      <c r="D95" s="744">
        <v>5</v>
      </c>
      <c r="E95" s="630">
        <f t="shared" si="31"/>
        <v>0</v>
      </c>
      <c r="F95" s="743">
        <v>0</v>
      </c>
      <c r="G95" s="619">
        <f t="shared" si="37"/>
        <v>5</v>
      </c>
      <c r="H95" s="744">
        <v>6</v>
      </c>
      <c r="I95" s="630">
        <f t="shared" si="32"/>
        <v>0</v>
      </c>
      <c r="J95" s="743">
        <v>0</v>
      </c>
      <c r="K95" s="619">
        <f t="shared" si="26"/>
        <v>6</v>
      </c>
      <c r="L95" s="744">
        <v>6</v>
      </c>
      <c r="M95" s="630">
        <f t="shared" si="33"/>
        <v>0</v>
      </c>
      <c r="N95" s="743">
        <v>0</v>
      </c>
      <c r="O95" s="619">
        <f t="shared" si="27"/>
        <v>6</v>
      </c>
      <c r="P95" s="744">
        <v>6</v>
      </c>
      <c r="Q95" s="630">
        <f t="shared" si="34"/>
        <v>0</v>
      </c>
      <c r="R95" s="743">
        <v>0</v>
      </c>
      <c r="S95" s="619">
        <f t="shared" si="28"/>
        <v>6</v>
      </c>
      <c r="T95" s="744">
        <v>6</v>
      </c>
      <c r="U95" s="630">
        <f t="shared" si="35"/>
        <v>0</v>
      </c>
      <c r="V95" s="743">
        <v>0</v>
      </c>
      <c r="W95" s="619">
        <f t="shared" si="29"/>
        <v>6</v>
      </c>
      <c r="X95" s="744">
        <v>4</v>
      </c>
      <c r="Y95" s="630">
        <f t="shared" si="36"/>
        <v>0</v>
      </c>
      <c r="Z95" s="743">
        <v>0</v>
      </c>
      <c r="AA95" s="619">
        <f t="shared" si="30"/>
        <v>4</v>
      </c>
    </row>
    <row r="96" spans="1:27" x14ac:dyDescent="0.25">
      <c r="A96" s="1974"/>
      <c r="B96" s="19" t="s">
        <v>34</v>
      </c>
      <c r="C96" s="620"/>
      <c r="D96" s="744">
        <v>6</v>
      </c>
      <c r="E96" s="630">
        <f t="shared" si="31"/>
        <v>0</v>
      </c>
      <c r="F96" s="743">
        <v>0</v>
      </c>
      <c r="G96" s="619">
        <f t="shared" si="37"/>
        <v>6</v>
      </c>
      <c r="H96" s="744">
        <v>6</v>
      </c>
      <c r="I96" s="630">
        <f t="shared" si="32"/>
        <v>0</v>
      </c>
      <c r="J96" s="743">
        <v>0</v>
      </c>
      <c r="K96" s="619">
        <f t="shared" si="26"/>
        <v>6</v>
      </c>
      <c r="L96" s="744">
        <v>8</v>
      </c>
      <c r="M96" s="630">
        <f t="shared" si="33"/>
        <v>0</v>
      </c>
      <c r="N96" s="743">
        <v>0</v>
      </c>
      <c r="O96" s="619">
        <f t="shared" si="27"/>
        <v>8</v>
      </c>
      <c r="P96" s="744">
        <v>8</v>
      </c>
      <c r="Q96" s="630">
        <f t="shared" si="34"/>
        <v>0</v>
      </c>
      <c r="R96" s="743">
        <v>0</v>
      </c>
      <c r="S96" s="619">
        <f t="shared" si="28"/>
        <v>8</v>
      </c>
      <c r="T96" s="744">
        <v>6</v>
      </c>
      <c r="U96" s="630">
        <f t="shared" si="35"/>
        <v>0</v>
      </c>
      <c r="V96" s="743">
        <v>0</v>
      </c>
      <c r="W96" s="619">
        <f t="shared" si="29"/>
        <v>6</v>
      </c>
      <c r="X96" s="744">
        <v>6</v>
      </c>
      <c r="Y96" s="630">
        <f t="shared" si="36"/>
        <v>0</v>
      </c>
      <c r="Z96" s="743">
        <v>0</v>
      </c>
      <c r="AA96" s="619">
        <f t="shared" si="30"/>
        <v>6</v>
      </c>
    </row>
    <row r="97" spans="1:27" x14ac:dyDescent="0.25">
      <c r="A97" s="1974" t="s">
        <v>26</v>
      </c>
      <c r="B97" s="19" t="s">
        <v>32</v>
      </c>
      <c r="C97" s="620"/>
      <c r="D97" s="747">
        <f>4+(0.5*$D$3)</f>
        <v>4</v>
      </c>
      <c r="E97" s="744">
        <v>0</v>
      </c>
      <c r="F97" s="744">
        <v>0</v>
      </c>
      <c r="G97" s="619">
        <f t="shared" si="37"/>
        <v>4</v>
      </c>
      <c r="H97" s="747">
        <f>4+(0.5*$D$3)</f>
        <v>4</v>
      </c>
      <c r="I97" s="744">
        <v>0</v>
      </c>
      <c r="J97" s="744">
        <v>0</v>
      </c>
      <c r="K97" s="619">
        <f t="shared" si="26"/>
        <v>4</v>
      </c>
      <c r="L97" s="747">
        <f>4+(0.5*$D$3)</f>
        <v>4</v>
      </c>
      <c r="M97" s="635">
        <v>0</v>
      </c>
      <c r="N97" s="744">
        <v>0</v>
      </c>
      <c r="O97" s="619">
        <f t="shared" si="27"/>
        <v>4</v>
      </c>
      <c r="P97" s="747">
        <f>4+(0.5*$P$3)</f>
        <v>4</v>
      </c>
      <c r="Q97" s="744">
        <v>0</v>
      </c>
      <c r="R97" s="744">
        <v>0</v>
      </c>
      <c r="S97" s="619">
        <f t="shared" si="28"/>
        <v>4</v>
      </c>
      <c r="T97" s="747">
        <f>4+(0.5*$T$3)</f>
        <v>4</v>
      </c>
      <c r="U97" s="744">
        <v>0</v>
      </c>
      <c r="V97" s="744">
        <v>0</v>
      </c>
      <c r="W97" s="619">
        <f t="shared" si="29"/>
        <v>4</v>
      </c>
      <c r="X97" s="747">
        <f>4+(0.5*$X$3)</f>
        <v>4</v>
      </c>
      <c r="Y97" s="744">
        <v>0</v>
      </c>
      <c r="Z97" s="744">
        <v>0</v>
      </c>
      <c r="AA97" s="619">
        <f t="shared" si="30"/>
        <v>4</v>
      </c>
    </row>
    <row r="98" spans="1:27" x14ac:dyDescent="0.25">
      <c r="A98" s="1974"/>
      <c r="B98" s="19" t="s">
        <v>33</v>
      </c>
      <c r="C98" s="620"/>
      <c r="D98" s="747">
        <f>4+(1*$D$3)</f>
        <v>4</v>
      </c>
      <c r="E98" s="744">
        <v>0</v>
      </c>
      <c r="F98" s="744">
        <v>0</v>
      </c>
      <c r="G98" s="619">
        <f t="shared" si="37"/>
        <v>4</v>
      </c>
      <c r="H98" s="747">
        <f>4+(0.5*$D$3)</f>
        <v>4</v>
      </c>
      <c r="I98" s="744">
        <v>0</v>
      </c>
      <c r="J98" s="744">
        <v>0</v>
      </c>
      <c r="K98" s="619">
        <f t="shared" si="26"/>
        <v>4</v>
      </c>
      <c r="L98" s="747">
        <f>4+(0.5*$D$3)</f>
        <v>4</v>
      </c>
      <c r="M98" s="635">
        <v>0</v>
      </c>
      <c r="N98" s="744">
        <v>0</v>
      </c>
      <c r="O98" s="619">
        <f t="shared" si="27"/>
        <v>4</v>
      </c>
      <c r="P98" s="747">
        <f>4+(0.5*$P$3)</f>
        <v>4</v>
      </c>
      <c r="Q98" s="744">
        <v>0</v>
      </c>
      <c r="R98" s="744">
        <v>0</v>
      </c>
      <c r="S98" s="619">
        <f t="shared" si="28"/>
        <v>4</v>
      </c>
      <c r="T98" s="747">
        <f>4+(0.5*$T$3)</f>
        <v>4</v>
      </c>
      <c r="U98" s="744">
        <v>0</v>
      </c>
      <c r="V98" s="744">
        <v>0</v>
      </c>
      <c r="W98" s="619">
        <f t="shared" si="29"/>
        <v>4</v>
      </c>
      <c r="X98" s="747">
        <f>4+(0.5*$X$3)</f>
        <v>4</v>
      </c>
      <c r="Y98" s="744">
        <v>0</v>
      </c>
      <c r="Z98" s="744">
        <v>0</v>
      </c>
      <c r="AA98" s="619">
        <f t="shared" si="30"/>
        <v>4</v>
      </c>
    </row>
    <row r="99" spans="1:27" x14ac:dyDescent="0.25">
      <c r="A99" s="1974"/>
      <c r="B99" s="19" t="s">
        <v>34</v>
      </c>
      <c r="C99" s="620"/>
      <c r="D99" s="747">
        <f>4+(1.5*$D$3)</f>
        <v>4</v>
      </c>
      <c r="E99" s="744">
        <v>0</v>
      </c>
      <c r="F99" s="744">
        <v>0</v>
      </c>
      <c r="G99" s="619">
        <f t="shared" si="37"/>
        <v>4</v>
      </c>
      <c r="H99" s="747">
        <f>4+(0.5*$D$3)</f>
        <v>4</v>
      </c>
      <c r="I99" s="744">
        <v>0</v>
      </c>
      <c r="J99" s="744">
        <v>0</v>
      </c>
      <c r="K99" s="619">
        <f t="shared" si="26"/>
        <v>4</v>
      </c>
      <c r="L99" s="747">
        <f>4+(0.5*$D$3)</f>
        <v>4</v>
      </c>
      <c r="M99" s="635">
        <v>0</v>
      </c>
      <c r="N99" s="744">
        <v>0</v>
      </c>
      <c r="O99" s="619">
        <f t="shared" si="27"/>
        <v>4</v>
      </c>
      <c r="P99" s="747">
        <f>4+(0.5*$P$3)</f>
        <v>4</v>
      </c>
      <c r="Q99" s="744">
        <v>0</v>
      </c>
      <c r="R99" s="744">
        <v>0</v>
      </c>
      <c r="S99" s="619">
        <f t="shared" si="28"/>
        <v>4</v>
      </c>
      <c r="T99" s="747">
        <f>4+(0.5*$T$3)</f>
        <v>4</v>
      </c>
      <c r="U99" s="744">
        <v>0</v>
      </c>
      <c r="V99" s="744">
        <v>0</v>
      </c>
      <c r="W99" s="619">
        <f t="shared" si="29"/>
        <v>4</v>
      </c>
      <c r="X99" s="747">
        <f>4+(0.5*$X$3)</f>
        <v>4</v>
      </c>
      <c r="Y99" s="744">
        <v>0</v>
      </c>
      <c r="Z99" s="744">
        <v>0</v>
      </c>
      <c r="AA99" s="619">
        <f t="shared" si="30"/>
        <v>4</v>
      </c>
    </row>
    <row r="100" spans="1:27" x14ac:dyDescent="0.25">
      <c r="A100" s="1974" t="s">
        <v>27</v>
      </c>
      <c r="B100" s="19" t="s">
        <v>32</v>
      </c>
      <c r="C100" s="620"/>
      <c r="D100" s="747">
        <f>2+(0.5*$D$3)</f>
        <v>2</v>
      </c>
      <c r="E100" s="747">
        <f>1*$E$3</f>
        <v>0</v>
      </c>
      <c r="F100" s="744">
        <v>0</v>
      </c>
      <c r="G100" s="619">
        <f t="shared" si="37"/>
        <v>2</v>
      </c>
      <c r="H100" s="747">
        <f>2+(0.5*$D$3)</f>
        <v>2</v>
      </c>
      <c r="I100" s="744">
        <v>0</v>
      </c>
      <c r="J100" s="744">
        <v>0</v>
      </c>
      <c r="K100" s="619">
        <f t="shared" si="26"/>
        <v>2</v>
      </c>
      <c r="L100" s="747">
        <f>2+(0.5*$D$3)</f>
        <v>2</v>
      </c>
      <c r="M100" s="747">
        <f>(1*$M$3)</f>
        <v>0</v>
      </c>
      <c r="N100" s="744">
        <v>0</v>
      </c>
      <c r="O100" s="619">
        <f t="shared" si="27"/>
        <v>2</v>
      </c>
      <c r="P100" s="747">
        <f>2+(0.5*$P$3)</f>
        <v>2</v>
      </c>
      <c r="Q100" s="747">
        <f>(1*$Q$3)</f>
        <v>0</v>
      </c>
      <c r="R100" s="744">
        <v>0</v>
      </c>
      <c r="S100" s="619">
        <f t="shared" si="28"/>
        <v>2</v>
      </c>
      <c r="T100" s="747">
        <f>2+(0.5*$T$3)</f>
        <v>2</v>
      </c>
      <c r="U100" s="747">
        <f>(1*$U$3)</f>
        <v>0</v>
      </c>
      <c r="V100" s="744">
        <v>0</v>
      </c>
      <c r="W100" s="619">
        <f t="shared" si="29"/>
        <v>2</v>
      </c>
      <c r="X100" s="747">
        <f>2+(0.5*$X$3)</f>
        <v>2</v>
      </c>
      <c r="Y100" s="747">
        <f>(1*$Y$3)</f>
        <v>0</v>
      </c>
      <c r="Z100" s="744">
        <v>0</v>
      </c>
      <c r="AA100" s="619">
        <f t="shared" si="30"/>
        <v>2</v>
      </c>
    </row>
    <row r="101" spans="1:27" x14ac:dyDescent="0.25">
      <c r="A101" s="1974"/>
      <c r="B101" s="19" t="s">
        <v>33</v>
      </c>
      <c r="C101" s="620"/>
      <c r="D101" s="747">
        <f>3+(1*$D$3)</f>
        <v>3</v>
      </c>
      <c r="E101" s="747">
        <f>1.5*$E$3</f>
        <v>0</v>
      </c>
      <c r="F101" s="744">
        <v>0</v>
      </c>
      <c r="G101" s="619">
        <f t="shared" si="37"/>
        <v>3</v>
      </c>
      <c r="H101" s="747">
        <f>3+(0.5*$D$3)</f>
        <v>3</v>
      </c>
      <c r="I101" s="744">
        <v>0</v>
      </c>
      <c r="J101" s="744">
        <v>0</v>
      </c>
      <c r="K101" s="619">
        <f t="shared" si="26"/>
        <v>3</v>
      </c>
      <c r="L101" s="747">
        <f>3+(0.5*$D$3)</f>
        <v>3</v>
      </c>
      <c r="M101" s="747">
        <f>(1.5*$M$3)</f>
        <v>0</v>
      </c>
      <c r="N101" s="744">
        <v>0</v>
      </c>
      <c r="O101" s="619">
        <f t="shared" si="27"/>
        <v>3</v>
      </c>
      <c r="P101" s="747">
        <f>3+(0.5*$P$3)</f>
        <v>3</v>
      </c>
      <c r="Q101" s="747">
        <f>(1.5*$Q$3)</f>
        <v>0</v>
      </c>
      <c r="R101" s="744">
        <v>0</v>
      </c>
      <c r="S101" s="619">
        <f t="shared" si="28"/>
        <v>3</v>
      </c>
      <c r="T101" s="747">
        <f>3+(0.5*$T$3)</f>
        <v>3</v>
      </c>
      <c r="U101" s="747">
        <f>(1.5*$U$3)</f>
        <v>0</v>
      </c>
      <c r="V101" s="744">
        <v>0</v>
      </c>
      <c r="W101" s="619">
        <f t="shared" si="29"/>
        <v>3</v>
      </c>
      <c r="X101" s="747">
        <f>3+(0.5*$X$3)</f>
        <v>3</v>
      </c>
      <c r="Y101" s="747">
        <f>(1.5*$Y$3)</f>
        <v>0</v>
      </c>
      <c r="Z101" s="744">
        <v>0</v>
      </c>
      <c r="AA101" s="619">
        <f t="shared" si="30"/>
        <v>3</v>
      </c>
    </row>
    <row r="102" spans="1:27" x14ac:dyDescent="0.25">
      <c r="A102" s="1974"/>
      <c r="B102" s="19" t="s">
        <v>34</v>
      </c>
      <c r="C102" s="620"/>
      <c r="D102" s="747">
        <f>5+(1.5*$D$3)</f>
        <v>5</v>
      </c>
      <c r="E102" s="747">
        <f>2*$E$3</f>
        <v>0</v>
      </c>
      <c r="F102" s="744">
        <v>0</v>
      </c>
      <c r="G102" s="619">
        <f t="shared" si="37"/>
        <v>5</v>
      </c>
      <c r="H102" s="747">
        <f>5+(0.5*$D$3)</f>
        <v>5</v>
      </c>
      <c r="I102" s="744">
        <v>0</v>
      </c>
      <c r="J102" s="744">
        <v>0</v>
      </c>
      <c r="K102" s="619">
        <f t="shared" si="26"/>
        <v>5</v>
      </c>
      <c r="L102" s="747">
        <f>5+(0.5*$D$3)</f>
        <v>5</v>
      </c>
      <c r="M102" s="747">
        <f>(2*$M$3)</f>
        <v>0</v>
      </c>
      <c r="N102" s="744">
        <v>0</v>
      </c>
      <c r="O102" s="619">
        <f t="shared" si="27"/>
        <v>5</v>
      </c>
      <c r="P102" s="747">
        <f>5+(0.5*$P$3)</f>
        <v>5</v>
      </c>
      <c r="Q102" s="747">
        <f>(2*$Q$3)</f>
        <v>0</v>
      </c>
      <c r="R102" s="744">
        <v>0</v>
      </c>
      <c r="S102" s="619">
        <f t="shared" si="28"/>
        <v>5</v>
      </c>
      <c r="T102" s="747">
        <f>5+(0.5*$T$3)</f>
        <v>5</v>
      </c>
      <c r="U102" s="747">
        <f>(2*$U$3)</f>
        <v>0</v>
      </c>
      <c r="V102" s="744">
        <v>0</v>
      </c>
      <c r="W102" s="619">
        <f t="shared" si="29"/>
        <v>5</v>
      </c>
      <c r="X102" s="747">
        <f>5+(0.5*$X$3)</f>
        <v>5</v>
      </c>
      <c r="Y102" s="747">
        <f>(2*$Y$3)</f>
        <v>0</v>
      </c>
      <c r="Z102" s="744">
        <v>0</v>
      </c>
      <c r="AA102" s="619">
        <f t="shared" si="30"/>
        <v>5</v>
      </c>
    </row>
    <row r="103" spans="1:27" x14ac:dyDescent="0.25">
      <c r="A103" s="1907" t="s">
        <v>28</v>
      </c>
      <c r="B103" s="19" t="s">
        <v>32</v>
      </c>
      <c r="C103" s="620"/>
      <c r="D103" s="744">
        <v>2</v>
      </c>
      <c r="E103" s="746">
        <f>0.5*$E$3</f>
        <v>0</v>
      </c>
      <c r="F103" s="744">
        <v>0</v>
      </c>
      <c r="G103" s="619">
        <f t="shared" si="37"/>
        <v>2</v>
      </c>
      <c r="H103" s="744">
        <v>2</v>
      </c>
      <c r="I103" s="746">
        <f>0.5*$E$3</f>
        <v>0</v>
      </c>
      <c r="J103" s="744">
        <v>0</v>
      </c>
      <c r="K103" s="619">
        <f t="shared" si="26"/>
        <v>2</v>
      </c>
      <c r="L103" s="744">
        <v>2</v>
      </c>
      <c r="M103" s="746">
        <f>0.5*$M$3</f>
        <v>0</v>
      </c>
      <c r="N103" s="744">
        <v>0</v>
      </c>
      <c r="O103" s="619">
        <f t="shared" si="27"/>
        <v>2</v>
      </c>
      <c r="P103" s="744">
        <v>2</v>
      </c>
      <c r="Q103" s="746">
        <f>0.5*$E$3</f>
        <v>0</v>
      </c>
      <c r="R103" s="744">
        <v>0</v>
      </c>
      <c r="S103" s="619">
        <f t="shared" si="28"/>
        <v>2</v>
      </c>
      <c r="T103" s="744">
        <v>2</v>
      </c>
      <c r="U103" s="746">
        <f>0.5*$E$3</f>
        <v>0</v>
      </c>
      <c r="V103" s="744">
        <v>0</v>
      </c>
      <c r="W103" s="619">
        <f t="shared" si="29"/>
        <v>2</v>
      </c>
      <c r="X103" s="744">
        <v>2</v>
      </c>
      <c r="Y103" s="746">
        <f>0.5*$X$3</f>
        <v>0</v>
      </c>
      <c r="Z103" s="744">
        <v>0</v>
      </c>
      <c r="AA103" s="619">
        <f t="shared" si="30"/>
        <v>2</v>
      </c>
    </row>
    <row r="104" spans="1:27" x14ac:dyDescent="0.25">
      <c r="A104" s="1907"/>
      <c r="B104" s="19" t="s">
        <v>33</v>
      </c>
      <c r="C104" s="620"/>
      <c r="D104" s="744">
        <v>3</v>
      </c>
      <c r="E104" s="746">
        <f>0.5*$E$3</f>
        <v>0</v>
      </c>
      <c r="F104" s="744">
        <v>0</v>
      </c>
      <c r="G104" s="619">
        <f t="shared" si="37"/>
        <v>3</v>
      </c>
      <c r="H104" s="744">
        <v>3</v>
      </c>
      <c r="I104" s="746">
        <f>0.5*$E$3</f>
        <v>0</v>
      </c>
      <c r="J104" s="744">
        <v>0</v>
      </c>
      <c r="K104" s="619">
        <f t="shared" si="26"/>
        <v>3</v>
      </c>
      <c r="L104" s="744">
        <v>3</v>
      </c>
      <c r="M104" s="746">
        <f>0.5*$M$3</f>
        <v>0</v>
      </c>
      <c r="N104" s="744">
        <v>0</v>
      </c>
      <c r="O104" s="619">
        <f t="shared" si="27"/>
        <v>3</v>
      </c>
      <c r="P104" s="744">
        <v>3</v>
      </c>
      <c r="Q104" s="746">
        <f>0.5*$E$3</f>
        <v>0</v>
      </c>
      <c r="R104" s="744">
        <v>0</v>
      </c>
      <c r="S104" s="619">
        <f t="shared" si="28"/>
        <v>3</v>
      </c>
      <c r="T104" s="744">
        <v>3</v>
      </c>
      <c r="U104" s="746">
        <f>0.5*$E$3</f>
        <v>0</v>
      </c>
      <c r="V104" s="744">
        <v>0</v>
      </c>
      <c r="W104" s="619">
        <f t="shared" si="29"/>
        <v>3</v>
      </c>
      <c r="X104" s="744">
        <v>3</v>
      </c>
      <c r="Y104" s="746">
        <f>0.5*$X$3</f>
        <v>0</v>
      </c>
      <c r="Z104" s="744">
        <v>0</v>
      </c>
      <c r="AA104" s="619">
        <f t="shared" si="30"/>
        <v>3</v>
      </c>
    </row>
    <row r="105" spans="1:27" ht="15.75" thickBot="1" x14ac:dyDescent="0.3">
      <c r="A105" s="1975"/>
      <c r="B105" s="20" t="s">
        <v>34</v>
      </c>
      <c r="C105" s="621"/>
      <c r="D105" s="751">
        <v>4</v>
      </c>
      <c r="E105" s="657">
        <f>0.5*$E$3</f>
        <v>0</v>
      </c>
      <c r="F105" s="408">
        <v>0</v>
      </c>
      <c r="G105" s="622">
        <f t="shared" si="37"/>
        <v>4</v>
      </c>
      <c r="H105" s="408">
        <v>4</v>
      </c>
      <c r="I105" s="657">
        <f>0.5*$E$3</f>
        <v>0</v>
      </c>
      <c r="J105" s="408">
        <v>0</v>
      </c>
      <c r="K105" s="622">
        <f t="shared" si="26"/>
        <v>4</v>
      </c>
      <c r="L105" s="408">
        <v>4</v>
      </c>
      <c r="M105" s="657">
        <f>0.5*$M$3</f>
        <v>0</v>
      </c>
      <c r="N105" s="408">
        <v>0</v>
      </c>
      <c r="O105" s="622">
        <f t="shared" si="27"/>
        <v>4</v>
      </c>
      <c r="P105" s="408">
        <v>4</v>
      </c>
      <c r="Q105" s="657">
        <f>0.5*$E$3</f>
        <v>0</v>
      </c>
      <c r="R105" s="408">
        <v>0</v>
      </c>
      <c r="S105" s="622">
        <f t="shared" si="28"/>
        <v>4</v>
      </c>
      <c r="T105" s="408">
        <v>4</v>
      </c>
      <c r="U105" s="657">
        <f>0.5*$E$3</f>
        <v>0</v>
      </c>
      <c r="V105" s="408">
        <v>0</v>
      </c>
      <c r="W105" s="622">
        <f t="shared" si="29"/>
        <v>4</v>
      </c>
      <c r="X105" s="408">
        <v>4</v>
      </c>
      <c r="Y105" s="657">
        <f>0.5*$X$3</f>
        <v>0</v>
      </c>
      <c r="Z105" s="408">
        <v>0</v>
      </c>
      <c r="AA105" s="622">
        <f t="shared" si="30"/>
        <v>4</v>
      </c>
    </row>
    <row r="107" spans="1:27" x14ac:dyDescent="0.25">
      <c r="A107" s="125" t="s">
        <v>89</v>
      </c>
    </row>
  </sheetData>
  <mergeCells count="45">
    <mergeCell ref="X1:AA1"/>
    <mergeCell ref="D1:G1"/>
    <mergeCell ref="H1:K1"/>
    <mergeCell ref="L1:O1"/>
    <mergeCell ref="P1:S1"/>
    <mergeCell ref="T1:W1"/>
    <mergeCell ref="K2:K3"/>
    <mergeCell ref="O2:O3"/>
    <mergeCell ref="S2:S3"/>
    <mergeCell ref="W2:W3"/>
    <mergeCell ref="AA2:AA3"/>
    <mergeCell ref="A5:A7"/>
    <mergeCell ref="A8:A10"/>
    <mergeCell ref="A12:A14"/>
    <mergeCell ref="C2:C3"/>
    <mergeCell ref="G2:G3"/>
    <mergeCell ref="A51:A53"/>
    <mergeCell ref="A16:A18"/>
    <mergeCell ref="A19:A21"/>
    <mergeCell ref="A22:A24"/>
    <mergeCell ref="A25:A27"/>
    <mergeCell ref="A28:A30"/>
    <mergeCell ref="A31:A33"/>
    <mergeCell ref="A34:A36"/>
    <mergeCell ref="A38:A40"/>
    <mergeCell ref="A42:A44"/>
    <mergeCell ref="A45:A47"/>
    <mergeCell ref="A48:A50"/>
    <mergeCell ref="A88:A90"/>
    <mergeCell ref="A54:A56"/>
    <mergeCell ref="A57:A59"/>
    <mergeCell ref="A60:A62"/>
    <mergeCell ref="A63:A65"/>
    <mergeCell ref="A66:A68"/>
    <mergeCell ref="A69:A71"/>
    <mergeCell ref="A72:A74"/>
    <mergeCell ref="A75:A77"/>
    <mergeCell ref="A78:A80"/>
    <mergeCell ref="A81:A83"/>
    <mergeCell ref="A84:A86"/>
    <mergeCell ref="A91:A93"/>
    <mergeCell ref="A94:A96"/>
    <mergeCell ref="A97:A99"/>
    <mergeCell ref="A100:A102"/>
    <mergeCell ref="A103:A105"/>
  </mergeCells>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Лист6"/>
  <dimension ref="A1:W107"/>
  <sheetViews>
    <sheetView topLeftCell="A19" zoomScale="80" zoomScaleNormal="80" workbookViewId="0">
      <selection activeCell="I30" sqref="I30"/>
    </sheetView>
  </sheetViews>
  <sheetFormatPr defaultRowHeight="15" x14ac:dyDescent="0.25"/>
  <cols>
    <col min="1" max="1" width="53.42578125" bestFit="1" customWidth="1"/>
    <col min="2" max="2" width="23.5703125" bestFit="1" customWidth="1"/>
    <col min="4" max="6" width="31.28515625" bestFit="1" customWidth="1"/>
    <col min="7" max="7" width="7.5703125" bestFit="1" customWidth="1"/>
    <col min="8" max="10" width="31.28515625" bestFit="1" customWidth="1"/>
    <col min="11" max="11" width="7.5703125" bestFit="1" customWidth="1"/>
    <col min="12" max="14" width="31.28515625" bestFit="1" customWidth="1"/>
    <col min="15" max="15" width="8.7109375" customWidth="1"/>
    <col min="16" max="18" width="31.28515625" bestFit="1" customWidth="1"/>
    <col min="19" max="19" width="8.7109375" customWidth="1"/>
    <col min="20" max="22" width="31.28515625" bestFit="1" customWidth="1"/>
    <col min="23" max="23" width="8.7109375" customWidth="1"/>
  </cols>
  <sheetData>
    <row r="1" spans="1:23" ht="16.5" thickBot="1" x14ac:dyDescent="0.3">
      <c r="A1" s="465" t="s">
        <v>91</v>
      </c>
      <c r="B1" s="35"/>
      <c r="C1" s="43"/>
      <c r="D1" s="1939" t="str">
        <f>'Служебный АСУТП'!I2</f>
        <v>Vipnet Coordinator HW</v>
      </c>
      <c r="E1" s="1940"/>
      <c r="F1" s="1940"/>
      <c r="G1" s="1941"/>
      <c r="H1" s="1939" t="str">
        <f>'Служебный АСУТП'!I3</f>
        <v>Vipnet Coordinator IG</v>
      </c>
      <c r="I1" s="1940"/>
      <c r="J1" s="1940"/>
      <c r="K1" s="1941"/>
      <c r="L1" s="1939" t="str">
        <f>'Служебный АСУТП'!I4</f>
        <v>C-TERRA ШЛЮЗ</v>
      </c>
      <c r="M1" s="1940"/>
      <c r="N1" s="1940"/>
      <c r="O1" s="1941"/>
      <c r="P1" s="1939" t="str">
        <f>'Служебный АСУТП'!I5</f>
        <v>АПКШ Континент</v>
      </c>
      <c r="Q1" s="1940"/>
      <c r="R1" s="1940"/>
      <c r="S1" s="1941"/>
      <c r="T1" s="1939" t="str">
        <f>'Служебный АСУТП'!I6</f>
        <v>ЗАСТАВА</v>
      </c>
      <c r="U1" s="1940"/>
      <c r="V1" s="1940"/>
      <c r="W1" s="1941"/>
    </row>
    <row r="2" spans="1:23" ht="31.5" customHeight="1" x14ac:dyDescent="0.25">
      <c r="B2" s="41" t="s">
        <v>37</v>
      </c>
      <c r="C2" s="1945" t="s">
        <v>35</v>
      </c>
      <c r="D2" s="434" t="s">
        <v>204</v>
      </c>
      <c r="E2" s="438" t="s">
        <v>93</v>
      </c>
      <c r="F2" s="438" t="s">
        <v>205</v>
      </c>
      <c r="G2" s="1942" t="s">
        <v>38</v>
      </c>
      <c r="H2" s="547" t="s">
        <v>204</v>
      </c>
      <c r="I2" s="548" t="s">
        <v>93</v>
      </c>
      <c r="J2" s="548" t="s">
        <v>205</v>
      </c>
      <c r="K2" s="1942" t="s">
        <v>38</v>
      </c>
      <c r="L2" s="547" t="s">
        <v>204</v>
      </c>
      <c r="M2" s="548" t="s">
        <v>93</v>
      </c>
      <c r="N2" s="548" t="s">
        <v>205</v>
      </c>
      <c r="O2" s="1942" t="s">
        <v>38</v>
      </c>
      <c r="P2" s="547" t="s">
        <v>204</v>
      </c>
      <c r="Q2" s="548" t="s">
        <v>93</v>
      </c>
      <c r="R2" s="548" t="s">
        <v>205</v>
      </c>
      <c r="S2" s="1942" t="s">
        <v>38</v>
      </c>
      <c r="T2" s="547" t="s">
        <v>204</v>
      </c>
      <c r="U2" s="548" t="s">
        <v>93</v>
      </c>
      <c r="V2" s="548" t="s">
        <v>205</v>
      </c>
      <c r="W2" s="1942" t="s">
        <v>38</v>
      </c>
    </row>
    <row r="3" spans="1:23" ht="16.5" thickBot="1" x14ac:dyDescent="0.3">
      <c r="A3" s="12" t="s">
        <v>36</v>
      </c>
      <c r="B3" s="42">
        <f>ТрЗ_ОП!F5</f>
        <v>1</v>
      </c>
      <c r="C3" s="2322"/>
      <c r="D3" s="37">
        <f>INDEX(ТрЗ_ОП!$P$11:$P$102,MATCH(D2,ТрЗ_ОП!$O$11:$O$102,0))</f>
        <v>0</v>
      </c>
      <c r="E3" s="37">
        <f>INDEX(ТрЗ_ОП!$P$11:$P$102,MATCH(E2,ТрЗ_ОП!$O$11:$O$102,0))</f>
        <v>0</v>
      </c>
      <c r="F3" s="37">
        <f>INDEX(ТрЗ_ОП!$P$11:$P$102,MATCH(F2,ТрЗ_ОП!$O$11:$O$102,0))</f>
        <v>0</v>
      </c>
      <c r="G3" s="1976"/>
      <c r="H3" s="37">
        <f>INDEX(ТрЗ_ОП!$P$11:$P$102,MATCH(H2,ТрЗ_ОП!$O$11:$O$102,0))</f>
        <v>0</v>
      </c>
      <c r="I3" s="37">
        <f>INDEX(ТрЗ_ОП!$P$11:$P$102,MATCH(I2,ТрЗ_ОП!$O$11:$O$102,0))</f>
        <v>0</v>
      </c>
      <c r="J3" s="37">
        <f>INDEX(ТрЗ_ОП!$P$11:$P$102,MATCH(J2,ТрЗ_ОП!$O$11:$O$102,0))</f>
        <v>0</v>
      </c>
      <c r="K3" s="1976"/>
      <c r="L3" s="37">
        <f>INDEX(ТрЗ_ОП!$P$11:$P$102,MATCH(L2,ТрЗ_ОП!$O$11:$O$102,0))</f>
        <v>0</v>
      </c>
      <c r="M3" s="37">
        <f>INDEX(ТрЗ_ОП!$P$11:$P$102,MATCH(M2,ТрЗ_ОП!$O$11:$O$102,0))</f>
        <v>0</v>
      </c>
      <c r="N3" s="37">
        <f>INDEX(ТрЗ_ОП!$P$11:$P$102,MATCH(N2,ТрЗ_ОП!$O$11:$O$102,0))</f>
        <v>0</v>
      </c>
      <c r="O3" s="1976"/>
      <c r="P3" s="37">
        <f>INDEX(ТрЗ_ОП!$P$11:$P$102,MATCH(P2,ТрЗ_ОП!$O$11:$O$102,0))</f>
        <v>0</v>
      </c>
      <c r="Q3" s="37">
        <f>INDEX(ТрЗ_ОП!$P$11:$P$102,MATCH(Q2,ТрЗ_ОП!$O$11:$O$102,0))</f>
        <v>0</v>
      </c>
      <c r="R3" s="37">
        <f>INDEX(ТрЗ_ОП!$P$11:$P$102,MATCH(R2,ТрЗ_ОП!$O$11:$O$102,0))</f>
        <v>0</v>
      </c>
      <c r="S3" s="1976"/>
      <c r="T3" s="37">
        <f>INDEX(ТрЗ_ОП!$P$11:$P$102,MATCH(T2,ТрЗ_ОП!$O$11:$O$102,0))</f>
        <v>0</v>
      </c>
      <c r="U3" s="37">
        <f>INDEX(ТрЗ_ОП!$P$11:$P$102,MATCH(U2,ТрЗ_ОП!$O$11:$O$102,0))</f>
        <v>0</v>
      </c>
      <c r="V3" s="37">
        <f>INDEX(ТрЗ_ОП!$P$11:$P$102,MATCH(V2,ТрЗ_ОП!$O$11:$O$102,0))</f>
        <v>0</v>
      </c>
      <c r="W3" s="1976"/>
    </row>
    <row r="4" spans="1:23" ht="16.5" thickBot="1" x14ac:dyDescent="0.3">
      <c r="A4" s="441" t="s">
        <v>448</v>
      </c>
      <c r="B4" s="442"/>
      <c r="C4" s="442"/>
      <c r="D4" s="442"/>
      <c r="E4" s="442"/>
      <c r="F4" s="442"/>
      <c r="G4" s="442"/>
      <c r="H4" s="442"/>
      <c r="I4" s="442"/>
      <c r="J4" s="442"/>
      <c r="K4" s="442"/>
      <c r="L4" s="442"/>
      <c r="M4" s="442"/>
      <c r="N4" s="442"/>
      <c r="O4" s="442"/>
      <c r="P4" s="442"/>
      <c r="Q4" s="442"/>
      <c r="R4" s="442"/>
      <c r="S4" s="442"/>
      <c r="T4" s="442"/>
      <c r="U4" s="442"/>
      <c r="V4" s="442"/>
      <c r="W4" s="443"/>
    </row>
    <row r="5" spans="1:23" x14ac:dyDescent="0.25">
      <c r="A5" s="1977" t="s">
        <v>0</v>
      </c>
      <c r="B5" s="440" t="s">
        <v>32</v>
      </c>
      <c r="C5" s="106"/>
      <c r="D5" s="405">
        <v>4</v>
      </c>
      <c r="E5" s="423">
        <f>IF(E$3&gt;0,1,0)</f>
        <v>0</v>
      </c>
      <c r="F5" s="405">
        <v>1</v>
      </c>
      <c r="G5" s="230">
        <f xml:space="preserve"> SUM(D5:F5) + $C5</f>
        <v>5</v>
      </c>
      <c r="H5" s="661">
        <v>4</v>
      </c>
      <c r="I5" s="674">
        <f>IF(I$3&gt;0,1,0)</f>
        <v>0</v>
      </c>
      <c r="J5" s="661">
        <v>1</v>
      </c>
      <c r="K5" s="230">
        <f t="shared" ref="K5:K10" si="0" xml:space="preserve"> SUM(H5:J5) + $C5</f>
        <v>5</v>
      </c>
      <c r="L5" s="661">
        <v>4</v>
      </c>
      <c r="M5" s="674">
        <f>IF(M$3&gt;0,1,0)</f>
        <v>0</v>
      </c>
      <c r="N5" s="661">
        <v>1</v>
      </c>
      <c r="O5" s="230">
        <f t="shared" ref="O5:O10" si="1" xml:space="preserve"> SUM(L5:N5) + $C5</f>
        <v>5</v>
      </c>
      <c r="P5" s="661">
        <v>4</v>
      </c>
      <c r="Q5" s="674">
        <f>IF(Q$3&gt;0,1,0)</f>
        <v>0</v>
      </c>
      <c r="R5" s="661">
        <v>1</v>
      </c>
      <c r="S5" s="230">
        <f t="shared" ref="S5:S10" si="2" xml:space="preserve"> SUM(P5:R5) + $C5</f>
        <v>5</v>
      </c>
      <c r="T5" s="661">
        <v>4</v>
      </c>
      <c r="U5" s="674">
        <f>IF(U$3&gt;0,1,0)</f>
        <v>0</v>
      </c>
      <c r="V5" s="661">
        <v>1</v>
      </c>
      <c r="W5" s="230">
        <f t="shared" ref="W5:W10" si="3" xml:space="preserve"> SUM(T5:V5) + $C5</f>
        <v>5</v>
      </c>
    </row>
    <row r="6" spans="1:23" x14ac:dyDescent="0.25">
      <c r="A6" s="1932"/>
      <c r="B6" s="19" t="s">
        <v>33</v>
      </c>
      <c r="C6" s="22"/>
      <c r="D6" s="11">
        <v>6</v>
      </c>
      <c r="E6" s="123">
        <f>IF(E$3&gt;0,1.5,0)</f>
        <v>0</v>
      </c>
      <c r="F6" s="11">
        <v>2</v>
      </c>
      <c r="G6" s="21">
        <f xml:space="preserve"> SUM(D6:F6) + $C6</f>
        <v>8</v>
      </c>
      <c r="H6" s="615">
        <v>6</v>
      </c>
      <c r="I6" s="630">
        <f>IF(I$3&gt;0,1.5,0)</f>
        <v>0</v>
      </c>
      <c r="J6" s="615">
        <v>2</v>
      </c>
      <c r="K6" s="21">
        <f t="shared" si="0"/>
        <v>8</v>
      </c>
      <c r="L6" s="615">
        <v>6</v>
      </c>
      <c r="M6" s="630">
        <f>IF(M$3&gt;0,1.5,0)</f>
        <v>0</v>
      </c>
      <c r="N6" s="615">
        <v>2</v>
      </c>
      <c r="O6" s="21">
        <f t="shared" si="1"/>
        <v>8</v>
      </c>
      <c r="P6" s="615">
        <v>6</v>
      </c>
      <c r="Q6" s="630">
        <f>IF(Q$3&gt;0,1.5,0)</f>
        <v>0</v>
      </c>
      <c r="R6" s="615">
        <v>2</v>
      </c>
      <c r="S6" s="21">
        <f t="shared" si="2"/>
        <v>8</v>
      </c>
      <c r="T6" s="615">
        <v>6</v>
      </c>
      <c r="U6" s="630">
        <f>IF(U$3&gt;0,1.5,0)</f>
        <v>0</v>
      </c>
      <c r="V6" s="615">
        <v>2</v>
      </c>
      <c r="W6" s="21">
        <f t="shared" si="3"/>
        <v>8</v>
      </c>
    </row>
    <row r="7" spans="1:23" x14ac:dyDescent="0.25">
      <c r="A7" s="1973"/>
      <c r="B7" s="19" t="s">
        <v>34</v>
      </c>
      <c r="C7" s="22"/>
      <c r="D7" s="11">
        <v>8</v>
      </c>
      <c r="E7" s="123">
        <f>IF(E$3&gt;0,2,0)</f>
        <v>0</v>
      </c>
      <c r="F7" s="11">
        <v>3</v>
      </c>
      <c r="G7" s="21">
        <f xml:space="preserve"> SUM(D7:F7) + $C7</f>
        <v>11</v>
      </c>
      <c r="H7" s="615">
        <v>8</v>
      </c>
      <c r="I7" s="630">
        <f>IF(I$3&gt;0,2,0)</f>
        <v>0</v>
      </c>
      <c r="J7" s="615">
        <v>3</v>
      </c>
      <c r="K7" s="21">
        <f t="shared" si="0"/>
        <v>11</v>
      </c>
      <c r="L7" s="615">
        <v>8</v>
      </c>
      <c r="M7" s="630">
        <f>IF(M$3&gt;0,2,0)</f>
        <v>0</v>
      </c>
      <c r="N7" s="615">
        <v>3</v>
      </c>
      <c r="O7" s="21">
        <f t="shared" si="1"/>
        <v>11</v>
      </c>
      <c r="P7" s="615">
        <v>8</v>
      </c>
      <c r="Q7" s="630">
        <f>IF(Q$3&gt;0,2,0)</f>
        <v>0</v>
      </c>
      <c r="R7" s="615">
        <v>3</v>
      </c>
      <c r="S7" s="21">
        <f t="shared" si="2"/>
        <v>11</v>
      </c>
      <c r="T7" s="615">
        <v>8</v>
      </c>
      <c r="U7" s="630">
        <f>IF(U$3&gt;0,2,0)</f>
        <v>0</v>
      </c>
      <c r="V7" s="615">
        <v>3</v>
      </c>
      <c r="W7" s="21">
        <f t="shared" si="3"/>
        <v>11</v>
      </c>
    </row>
    <row r="8" spans="1:23" x14ac:dyDescent="0.25">
      <c r="A8" s="1932" t="s">
        <v>449</v>
      </c>
      <c r="B8" s="404" t="s">
        <v>32</v>
      </c>
      <c r="C8" s="324"/>
      <c r="D8" s="11">
        <v>4</v>
      </c>
      <c r="E8" s="123">
        <f>IF(E$3&gt;0,1,0)</f>
        <v>0</v>
      </c>
      <c r="F8" s="11">
        <v>1</v>
      </c>
      <c r="G8" s="21">
        <f xml:space="preserve"> SUM(D8:F8) + $C8</f>
        <v>5</v>
      </c>
      <c r="H8" s="615">
        <v>4</v>
      </c>
      <c r="I8" s="630">
        <f>IF(I$3&gt;0,1,0)</f>
        <v>0</v>
      </c>
      <c r="J8" s="615">
        <v>1</v>
      </c>
      <c r="K8" s="21">
        <f t="shared" si="0"/>
        <v>5</v>
      </c>
      <c r="L8" s="615">
        <v>4</v>
      </c>
      <c r="M8" s="630">
        <f>IF(M$3&gt;0,1,0)</f>
        <v>0</v>
      </c>
      <c r="N8" s="615">
        <v>1</v>
      </c>
      <c r="O8" s="21">
        <f t="shared" si="1"/>
        <v>5</v>
      </c>
      <c r="P8" s="615">
        <v>4</v>
      </c>
      <c r="Q8" s="630">
        <f>IF(Q$3&gt;0,1,0)</f>
        <v>0</v>
      </c>
      <c r="R8" s="615">
        <v>1</v>
      </c>
      <c r="S8" s="21">
        <f t="shared" si="2"/>
        <v>5</v>
      </c>
      <c r="T8" s="615">
        <v>4</v>
      </c>
      <c r="U8" s="630">
        <f>IF(U$3&gt;0,1,0)</f>
        <v>0</v>
      </c>
      <c r="V8" s="615">
        <v>1</v>
      </c>
      <c r="W8" s="21">
        <f t="shared" si="3"/>
        <v>5</v>
      </c>
    </row>
    <row r="9" spans="1:23" x14ac:dyDescent="0.25">
      <c r="A9" s="1932"/>
      <c r="B9" s="19" t="s">
        <v>33</v>
      </c>
      <c r="C9" s="22"/>
      <c r="D9" s="11">
        <v>6</v>
      </c>
      <c r="E9" s="123">
        <f>IF(E$3&gt;0,1.5,0)</f>
        <v>0</v>
      </c>
      <c r="F9" s="11">
        <v>2</v>
      </c>
      <c r="G9" s="21">
        <f t="shared" ref="G9:G93" si="4" xml:space="preserve"> SUM(D9:F9) + $C9</f>
        <v>8</v>
      </c>
      <c r="H9" s="615">
        <v>6</v>
      </c>
      <c r="I9" s="630">
        <f>IF(I$3&gt;0,1.5,0)</f>
        <v>0</v>
      </c>
      <c r="J9" s="615">
        <v>2</v>
      </c>
      <c r="K9" s="21">
        <f t="shared" si="0"/>
        <v>8</v>
      </c>
      <c r="L9" s="615">
        <v>6</v>
      </c>
      <c r="M9" s="630">
        <f>IF(M$3&gt;0,1.5,0)</f>
        <v>0</v>
      </c>
      <c r="N9" s="615">
        <v>2</v>
      </c>
      <c r="O9" s="21">
        <f t="shared" si="1"/>
        <v>8</v>
      </c>
      <c r="P9" s="615">
        <v>6</v>
      </c>
      <c r="Q9" s="630">
        <f>IF(Q$3&gt;0,1.5,0)</f>
        <v>0</v>
      </c>
      <c r="R9" s="615">
        <v>2</v>
      </c>
      <c r="S9" s="21">
        <f t="shared" si="2"/>
        <v>8</v>
      </c>
      <c r="T9" s="615">
        <v>6</v>
      </c>
      <c r="U9" s="630">
        <f>IF(U$3&gt;0,1.5,0)</f>
        <v>0</v>
      </c>
      <c r="V9" s="615">
        <v>2</v>
      </c>
      <c r="W9" s="21">
        <f t="shared" si="3"/>
        <v>8</v>
      </c>
    </row>
    <row r="10" spans="1:23" ht="15.75" thickBot="1" x14ac:dyDescent="0.3">
      <c r="A10" s="1932"/>
      <c r="B10" s="13" t="s">
        <v>34</v>
      </c>
      <c r="C10" s="34"/>
      <c r="D10" s="422">
        <v>8</v>
      </c>
      <c r="E10" s="424">
        <f>IF(E$3&gt;0,2,0)</f>
        <v>0</v>
      </c>
      <c r="F10" s="422">
        <v>3</v>
      </c>
      <c r="G10" s="77">
        <f t="shared" si="4"/>
        <v>11</v>
      </c>
      <c r="H10" s="673">
        <v>8</v>
      </c>
      <c r="I10" s="675">
        <f>IF(I$3&gt;0,2,0)</f>
        <v>0</v>
      </c>
      <c r="J10" s="673">
        <v>3</v>
      </c>
      <c r="K10" s="77">
        <f t="shared" si="0"/>
        <v>11</v>
      </c>
      <c r="L10" s="673">
        <v>8</v>
      </c>
      <c r="M10" s="675">
        <f>IF(M$3&gt;0,2,0)</f>
        <v>0</v>
      </c>
      <c r="N10" s="673">
        <v>3</v>
      </c>
      <c r="O10" s="77">
        <f t="shared" si="1"/>
        <v>11</v>
      </c>
      <c r="P10" s="673">
        <v>8</v>
      </c>
      <c r="Q10" s="675">
        <f>IF(Q$3&gt;0,2,0)</f>
        <v>0</v>
      </c>
      <c r="R10" s="673">
        <v>3</v>
      </c>
      <c r="S10" s="77">
        <f t="shared" si="2"/>
        <v>11</v>
      </c>
      <c r="T10" s="673">
        <v>8</v>
      </c>
      <c r="U10" s="675">
        <f>IF(U$3&gt;0,2,0)</f>
        <v>0</v>
      </c>
      <c r="V10" s="673">
        <v>3</v>
      </c>
      <c r="W10" s="77">
        <f t="shared" si="3"/>
        <v>11</v>
      </c>
    </row>
    <row r="11" spans="1:23" ht="16.5" thickBot="1" x14ac:dyDescent="0.3">
      <c r="A11" s="326" t="s">
        <v>1</v>
      </c>
      <c r="B11" s="327"/>
      <c r="C11" s="327"/>
      <c r="D11" s="327"/>
      <c r="E11" s="327"/>
      <c r="F11" s="327"/>
      <c r="G11" s="329"/>
      <c r="H11" s="327"/>
      <c r="I11" s="327"/>
      <c r="J11" s="327"/>
      <c r="K11" s="329"/>
      <c r="L11" s="327"/>
      <c r="M11" s="327"/>
      <c r="N11" s="327"/>
      <c r="O11" s="329"/>
      <c r="P11" s="327"/>
      <c r="Q11" s="327"/>
      <c r="R11" s="327"/>
      <c r="S11" s="329"/>
      <c r="T11" s="327"/>
      <c r="U11" s="327"/>
      <c r="V11" s="327"/>
      <c r="W11" s="328"/>
    </row>
    <row r="12" spans="1:23" x14ac:dyDescent="0.25">
      <c r="A12" s="1932" t="s">
        <v>2</v>
      </c>
      <c r="B12" s="404" t="s">
        <v>32</v>
      </c>
      <c r="C12" s="324"/>
      <c r="D12" s="678">
        <v>4</v>
      </c>
      <c r="E12" s="661">
        <v>1</v>
      </c>
      <c r="F12" s="661">
        <v>1</v>
      </c>
      <c r="G12" s="230">
        <f t="shared" si="4"/>
        <v>6</v>
      </c>
      <c r="H12" s="678">
        <v>4</v>
      </c>
      <c r="I12" s="661">
        <v>1</v>
      </c>
      <c r="J12" s="661">
        <v>1</v>
      </c>
      <c r="K12" s="230">
        <f xml:space="preserve"> SUM(H12:J12) + $C12</f>
        <v>6</v>
      </c>
      <c r="L12" s="678">
        <v>4</v>
      </c>
      <c r="M12" s="661">
        <v>1</v>
      </c>
      <c r="N12" s="661">
        <v>1</v>
      </c>
      <c r="O12" s="230">
        <f xml:space="preserve"> SUM(L12:N12) + $C12</f>
        <v>6</v>
      </c>
      <c r="P12" s="678">
        <v>4</v>
      </c>
      <c r="Q12" s="661">
        <v>1</v>
      </c>
      <c r="R12" s="661">
        <v>1</v>
      </c>
      <c r="S12" s="230">
        <f xml:space="preserve"> SUM(P12:R12) + $C12</f>
        <v>6</v>
      </c>
      <c r="T12" s="678">
        <v>4</v>
      </c>
      <c r="U12" s="661">
        <v>1</v>
      </c>
      <c r="V12" s="661">
        <v>1</v>
      </c>
      <c r="W12" s="230">
        <f xml:space="preserve"> SUM(T12:V12) + $C12</f>
        <v>6</v>
      </c>
    </row>
    <row r="13" spans="1:23" x14ac:dyDescent="0.25">
      <c r="A13" s="1932"/>
      <c r="B13" s="19" t="s">
        <v>33</v>
      </c>
      <c r="C13" s="22"/>
      <c r="D13" s="625">
        <v>6</v>
      </c>
      <c r="E13" s="615">
        <v>2</v>
      </c>
      <c r="F13" s="615">
        <v>2</v>
      </c>
      <c r="G13" s="21">
        <f t="shared" si="4"/>
        <v>10</v>
      </c>
      <c r="H13" s="625">
        <v>6</v>
      </c>
      <c r="I13" s="615">
        <v>2</v>
      </c>
      <c r="J13" s="615">
        <v>2</v>
      </c>
      <c r="K13" s="21">
        <f xml:space="preserve"> SUM(H13:J13) + $C13</f>
        <v>10</v>
      </c>
      <c r="L13" s="625">
        <v>6</v>
      </c>
      <c r="M13" s="615">
        <v>2</v>
      </c>
      <c r="N13" s="615">
        <v>2</v>
      </c>
      <c r="O13" s="21">
        <f xml:space="preserve"> SUM(L13:N13) + $C13</f>
        <v>10</v>
      </c>
      <c r="P13" s="625">
        <v>6</v>
      </c>
      <c r="Q13" s="615">
        <v>2</v>
      </c>
      <c r="R13" s="615">
        <v>2</v>
      </c>
      <c r="S13" s="21">
        <f xml:space="preserve"> SUM(P13:R13) + $C13</f>
        <v>10</v>
      </c>
      <c r="T13" s="625">
        <v>6</v>
      </c>
      <c r="U13" s="615">
        <v>2</v>
      </c>
      <c r="V13" s="615">
        <v>2</v>
      </c>
      <c r="W13" s="21">
        <f xml:space="preserve"> SUM(T13:V13) + $C13</f>
        <v>10</v>
      </c>
    </row>
    <row r="14" spans="1:23" ht="15.75" thickBot="1" x14ac:dyDescent="0.3">
      <c r="A14" s="1932"/>
      <c r="B14" s="13" t="s">
        <v>34</v>
      </c>
      <c r="C14" s="34"/>
      <c r="D14" s="626">
        <v>10</v>
      </c>
      <c r="E14" s="673">
        <v>3</v>
      </c>
      <c r="F14" s="673">
        <v>3</v>
      </c>
      <c r="G14" s="77">
        <f t="shared" si="4"/>
        <v>16</v>
      </c>
      <c r="H14" s="626">
        <v>10</v>
      </c>
      <c r="I14" s="673">
        <v>3</v>
      </c>
      <c r="J14" s="673">
        <v>3</v>
      </c>
      <c r="K14" s="77">
        <f xml:space="preserve"> SUM(H14:J14) + $C14</f>
        <v>16</v>
      </c>
      <c r="L14" s="626">
        <v>10</v>
      </c>
      <c r="M14" s="673">
        <v>3</v>
      </c>
      <c r="N14" s="673">
        <v>3</v>
      </c>
      <c r="O14" s="77">
        <f xml:space="preserve"> SUM(L14:N14) + $C14</f>
        <v>16</v>
      </c>
      <c r="P14" s="626">
        <v>10</v>
      </c>
      <c r="Q14" s="673">
        <v>3</v>
      </c>
      <c r="R14" s="673">
        <v>3</v>
      </c>
      <c r="S14" s="77">
        <f xml:space="preserve"> SUM(P14:R14) + $C14</f>
        <v>16</v>
      </c>
      <c r="T14" s="626">
        <v>10</v>
      </c>
      <c r="U14" s="673">
        <v>3</v>
      </c>
      <c r="V14" s="673">
        <v>3</v>
      </c>
      <c r="W14" s="77">
        <f xml:space="preserve"> SUM(T14:V14) + $C14</f>
        <v>16</v>
      </c>
    </row>
    <row r="15" spans="1:23" ht="16.5" thickBot="1" x14ac:dyDescent="0.3">
      <c r="A15" s="330" t="s">
        <v>3</v>
      </c>
      <c r="B15" s="329"/>
      <c r="C15" s="329"/>
      <c r="D15" s="329"/>
      <c r="E15" s="329"/>
      <c r="F15" s="329"/>
      <c r="G15" s="329"/>
      <c r="H15" s="329"/>
      <c r="I15" s="329"/>
      <c r="J15" s="329"/>
      <c r="K15" s="329"/>
      <c r="L15" s="329"/>
      <c r="M15" s="329"/>
      <c r="N15" s="329"/>
      <c r="O15" s="329"/>
      <c r="P15" s="329"/>
      <c r="Q15" s="329"/>
      <c r="R15" s="329"/>
      <c r="S15" s="329"/>
      <c r="T15" s="329"/>
      <c r="U15" s="329"/>
      <c r="V15" s="329"/>
      <c r="W15" s="328"/>
    </row>
    <row r="16" spans="1:23" x14ac:dyDescent="0.25">
      <c r="A16" s="1944" t="s">
        <v>4</v>
      </c>
      <c r="B16" s="325" t="s">
        <v>32</v>
      </c>
      <c r="C16" s="324"/>
      <c r="D16" s="678">
        <v>0.25</v>
      </c>
      <c r="E16" s="713">
        <v>0</v>
      </c>
      <c r="F16" s="679">
        <v>0</v>
      </c>
      <c r="G16" s="230">
        <f t="shared" si="4"/>
        <v>0.25</v>
      </c>
      <c r="H16" s="678">
        <v>0.25</v>
      </c>
      <c r="I16" s="713">
        <v>0</v>
      </c>
      <c r="J16" s="679">
        <v>0</v>
      </c>
      <c r="K16" s="230">
        <f t="shared" ref="K16:K36" si="5" xml:space="preserve"> SUM(H16:J16) + $C16</f>
        <v>0.25</v>
      </c>
      <c r="L16" s="678">
        <v>0.25</v>
      </c>
      <c r="M16" s="713">
        <v>0</v>
      </c>
      <c r="N16" s="679">
        <v>0</v>
      </c>
      <c r="O16" s="230">
        <f t="shared" ref="O16:O36" si="6" xml:space="preserve"> SUM(L16:N16) + $C16</f>
        <v>0.25</v>
      </c>
      <c r="P16" s="678">
        <v>0.25</v>
      </c>
      <c r="Q16" s="713">
        <v>0</v>
      </c>
      <c r="R16" s="679">
        <v>0</v>
      </c>
      <c r="S16" s="230">
        <f t="shared" ref="S16:S36" si="7" xml:space="preserve"> SUM(P16:R16) + $C16</f>
        <v>0.25</v>
      </c>
      <c r="T16" s="678">
        <v>0.25</v>
      </c>
      <c r="U16" s="713">
        <v>0</v>
      </c>
      <c r="V16" s="679">
        <v>0</v>
      </c>
      <c r="W16" s="230">
        <f t="shared" ref="W16:W36" si="8" xml:space="preserve"> SUM(T16:V16) + $C16</f>
        <v>0.25</v>
      </c>
    </row>
    <row r="17" spans="1:23" x14ac:dyDescent="0.25">
      <c r="A17" s="1937"/>
      <c r="B17" s="18" t="s">
        <v>33</v>
      </c>
      <c r="C17" s="22"/>
      <c r="D17" s="625">
        <v>0.25</v>
      </c>
      <c r="E17" s="616">
        <v>0</v>
      </c>
      <c r="F17" s="623">
        <v>0</v>
      </c>
      <c r="G17" s="21">
        <f t="shared" si="4"/>
        <v>0.25</v>
      </c>
      <c r="H17" s="625">
        <v>0.25</v>
      </c>
      <c r="I17" s="616">
        <v>0</v>
      </c>
      <c r="J17" s="623">
        <v>0</v>
      </c>
      <c r="K17" s="21">
        <f t="shared" si="5"/>
        <v>0.25</v>
      </c>
      <c r="L17" s="625">
        <v>0.25</v>
      </c>
      <c r="M17" s="616">
        <v>0</v>
      </c>
      <c r="N17" s="623">
        <v>0</v>
      </c>
      <c r="O17" s="21">
        <f t="shared" si="6"/>
        <v>0.25</v>
      </c>
      <c r="P17" s="625">
        <v>0.25</v>
      </c>
      <c r="Q17" s="616">
        <v>0</v>
      </c>
      <c r="R17" s="623">
        <v>0</v>
      </c>
      <c r="S17" s="21">
        <f t="shared" si="7"/>
        <v>0.25</v>
      </c>
      <c r="T17" s="625">
        <v>0.25</v>
      </c>
      <c r="U17" s="616">
        <v>0</v>
      </c>
      <c r="V17" s="623">
        <v>0</v>
      </c>
      <c r="W17" s="21">
        <f t="shared" si="8"/>
        <v>0.25</v>
      </c>
    </row>
    <row r="18" spans="1:23" x14ac:dyDescent="0.25">
      <c r="A18" s="1937"/>
      <c r="B18" s="18" t="s">
        <v>34</v>
      </c>
      <c r="C18" s="22"/>
      <c r="D18" s="625">
        <v>0.25</v>
      </c>
      <c r="E18" s="616">
        <v>0</v>
      </c>
      <c r="F18" s="623">
        <v>0</v>
      </c>
      <c r="G18" s="21">
        <f t="shared" si="4"/>
        <v>0.25</v>
      </c>
      <c r="H18" s="625">
        <v>0.25</v>
      </c>
      <c r="I18" s="616">
        <v>0</v>
      </c>
      <c r="J18" s="623">
        <v>0</v>
      </c>
      <c r="K18" s="21">
        <f t="shared" si="5"/>
        <v>0.25</v>
      </c>
      <c r="L18" s="625">
        <v>0.25</v>
      </c>
      <c r="M18" s="616">
        <v>0</v>
      </c>
      <c r="N18" s="623">
        <v>0</v>
      </c>
      <c r="O18" s="21">
        <f t="shared" si="6"/>
        <v>0.25</v>
      </c>
      <c r="P18" s="625">
        <v>0.25</v>
      </c>
      <c r="Q18" s="616">
        <v>0</v>
      </c>
      <c r="R18" s="623">
        <v>0</v>
      </c>
      <c r="S18" s="21">
        <f t="shared" si="7"/>
        <v>0.25</v>
      </c>
      <c r="T18" s="625">
        <v>0.25</v>
      </c>
      <c r="U18" s="616">
        <v>0</v>
      </c>
      <c r="V18" s="623">
        <v>0</v>
      </c>
      <c r="W18" s="21">
        <f t="shared" si="8"/>
        <v>0.25</v>
      </c>
    </row>
    <row r="19" spans="1:23" x14ac:dyDescent="0.25">
      <c r="A19" s="1937" t="s">
        <v>5</v>
      </c>
      <c r="B19" s="19" t="s">
        <v>32</v>
      </c>
      <c r="C19" s="22"/>
      <c r="D19" s="625">
        <v>1</v>
      </c>
      <c r="E19" s="616">
        <v>0</v>
      </c>
      <c r="F19" s="623">
        <v>0</v>
      </c>
      <c r="G19" s="21">
        <f t="shared" si="4"/>
        <v>1</v>
      </c>
      <c r="H19" s="625">
        <v>1</v>
      </c>
      <c r="I19" s="616">
        <v>0</v>
      </c>
      <c r="J19" s="623">
        <v>0</v>
      </c>
      <c r="K19" s="21">
        <f t="shared" si="5"/>
        <v>1</v>
      </c>
      <c r="L19" s="625">
        <v>1</v>
      </c>
      <c r="M19" s="616">
        <v>0</v>
      </c>
      <c r="N19" s="623">
        <v>0</v>
      </c>
      <c r="O19" s="21">
        <f t="shared" si="6"/>
        <v>1</v>
      </c>
      <c r="P19" s="625">
        <v>1</v>
      </c>
      <c r="Q19" s="616">
        <v>0</v>
      </c>
      <c r="R19" s="623">
        <v>0</v>
      </c>
      <c r="S19" s="21">
        <f t="shared" si="7"/>
        <v>1</v>
      </c>
      <c r="T19" s="625">
        <v>1</v>
      </c>
      <c r="U19" s="616">
        <v>0</v>
      </c>
      <c r="V19" s="623">
        <v>0</v>
      </c>
      <c r="W19" s="21">
        <f t="shared" si="8"/>
        <v>1</v>
      </c>
    </row>
    <row r="20" spans="1:23" x14ac:dyDescent="0.25">
      <c r="A20" s="1937"/>
      <c r="B20" s="19" t="s">
        <v>33</v>
      </c>
      <c r="C20" s="22"/>
      <c r="D20" s="625">
        <v>2</v>
      </c>
      <c r="E20" s="616">
        <v>0</v>
      </c>
      <c r="F20" s="623">
        <v>0</v>
      </c>
      <c r="G20" s="21">
        <f t="shared" si="4"/>
        <v>2</v>
      </c>
      <c r="H20" s="625">
        <v>2</v>
      </c>
      <c r="I20" s="616">
        <v>0</v>
      </c>
      <c r="J20" s="623">
        <v>0</v>
      </c>
      <c r="K20" s="21">
        <f t="shared" si="5"/>
        <v>2</v>
      </c>
      <c r="L20" s="625">
        <v>2</v>
      </c>
      <c r="M20" s="616">
        <v>0</v>
      </c>
      <c r="N20" s="623">
        <v>0</v>
      </c>
      <c r="O20" s="21">
        <f t="shared" si="6"/>
        <v>2</v>
      </c>
      <c r="P20" s="625">
        <v>2</v>
      </c>
      <c r="Q20" s="616">
        <v>0</v>
      </c>
      <c r="R20" s="623">
        <v>0</v>
      </c>
      <c r="S20" s="21">
        <f t="shared" si="7"/>
        <v>2</v>
      </c>
      <c r="T20" s="625">
        <v>2</v>
      </c>
      <c r="U20" s="616">
        <v>0</v>
      </c>
      <c r="V20" s="623">
        <v>0</v>
      </c>
      <c r="W20" s="21">
        <f t="shared" si="8"/>
        <v>2</v>
      </c>
    </row>
    <row r="21" spans="1:23" x14ac:dyDescent="0.25">
      <c r="A21" s="1937"/>
      <c r="B21" s="19" t="s">
        <v>34</v>
      </c>
      <c r="C21" s="22"/>
      <c r="D21" s="625">
        <v>3</v>
      </c>
      <c r="E21" s="616">
        <v>0</v>
      </c>
      <c r="F21" s="623">
        <v>0</v>
      </c>
      <c r="G21" s="21">
        <f t="shared" si="4"/>
        <v>3</v>
      </c>
      <c r="H21" s="625">
        <v>3</v>
      </c>
      <c r="I21" s="616">
        <v>0</v>
      </c>
      <c r="J21" s="623">
        <v>0</v>
      </c>
      <c r="K21" s="21">
        <f t="shared" si="5"/>
        <v>3</v>
      </c>
      <c r="L21" s="625">
        <v>3</v>
      </c>
      <c r="M21" s="616">
        <v>0</v>
      </c>
      <c r="N21" s="623">
        <v>0</v>
      </c>
      <c r="O21" s="21">
        <f t="shared" si="6"/>
        <v>3</v>
      </c>
      <c r="P21" s="625">
        <v>3</v>
      </c>
      <c r="Q21" s="616">
        <v>0</v>
      </c>
      <c r="R21" s="623">
        <v>0</v>
      </c>
      <c r="S21" s="21">
        <f t="shared" si="7"/>
        <v>3</v>
      </c>
      <c r="T21" s="625">
        <v>3</v>
      </c>
      <c r="U21" s="616">
        <v>0</v>
      </c>
      <c r="V21" s="623">
        <v>0</v>
      </c>
      <c r="W21" s="21">
        <f t="shared" si="8"/>
        <v>3</v>
      </c>
    </row>
    <row r="22" spans="1:23" x14ac:dyDescent="0.25">
      <c r="A22" s="1937" t="s">
        <v>6</v>
      </c>
      <c r="B22" s="19" t="s">
        <v>32</v>
      </c>
      <c r="C22" s="22"/>
      <c r="D22" s="625">
        <v>6</v>
      </c>
      <c r="E22" s="630">
        <f>IF(E$3&gt;0,1*E$3,1)</f>
        <v>1</v>
      </c>
      <c r="F22" s="631">
        <f>IF(F$3&gt;0,0.25*F$3,1)</f>
        <v>1</v>
      </c>
      <c r="G22" s="21">
        <f t="shared" si="4"/>
        <v>8</v>
      </c>
      <c r="H22" s="625">
        <v>6</v>
      </c>
      <c r="I22" s="630">
        <f>IF(I$3&gt;0,1*I$3,1)</f>
        <v>1</v>
      </c>
      <c r="J22" s="631">
        <f>IF(J$3&gt;0,0.25*J$3,1)</f>
        <v>1</v>
      </c>
      <c r="K22" s="21">
        <f t="shared" si="5"/>
        <v>8</v>
      </c>
      <c r="L22" s="625">
        <v>6</v>
      </c>
      <c r="M22" s="630">
        <f>IF(M$3&gt;0,1*M$3,1)</f>
        <v>1</v>
      </c>
      <c r="N22" s="631">
        <f>IF(N$3&gt;0,0.25*N$3,1)</f>
        <v>1</v>
      </c>
      <c r="O22" s="21">
        <f t="shared" si="6"/>
        <v>8</v>
      </c>
      <c r="P22" s="625">
        <v>6</v>
      </c>
      <c r="Q22" s="630">
        <f>IF(Q$3&gt;0,1*Q$3,1)</f>
        <v>1</v>
      </c>
      <c r="R22" s="631">
        <f>IF(R$3&gt;0,0.25*R$3,1)</f>
        <v>1</v>
      </c>
      <c r="S22" s="21">
        <f t="shared" si="7"/>
        <v>8</v>
      </c>
      <c r="T22" s="625">
        <v>6</v>
      </c>
      <c r="U22" s="630">
        <f>IF(U$3&gt;0,1*U$3,1)</f>
        <v>1</v>
      </c>
      <c r="V22" s="631">
        <f>IF(V$3&gt;0,0.25*V$3,1)</f>
        <v>1</v>
      </c>
      <c r="W22" s="21">
        <f t="shared" si="8"/>
        <v>8</v>
      </c>
    </row>
    <row r="23" spans="1:23" x14ac:dyDescent="0.25">
      <c r="A23" s="1937"/>
      <c r="B23" s="19" t="s">
        <v>33</v>
      </c>
      <c r="C23" s="22"/>
      <c r="D23" s="625">
        <v>8</v>
      </c>
      <c r="E23" s="630">
        <f>IF(E$3&gt;0,2*E$3,1)</f>
        <v>1</v>
      </c>
      <c r="F23" s="631">
        <f>IF(F$3&gt;0,0.5*F$3,2)</f>
        <v>2</v>
      </c>
      <c r="G23" s="21">
        <f t="shared" si="4"/>
        <v>11</v>
      </c>
      <c r="H23" s="625">
        <v>8</v>
      </c>
      <c r="I23" s="630">
        <f>IF(I$3&gt;0,2*I$3,1)</f>
        <v>1</v>
      </c>
      <c r="J23" s="631">
        <f>IF(J$3&gt;0,0.5*J$3,2)</f>
        <v>2</v>
      </c>
      <c r="K23" s="21">
        <f t="shared" si="5"/>
        <v>11</v>
      </c>
      <c r="L23" s="625">
        <v>8</v>
      </c>
      <c r="M23" s="630">
        <f>IF(M$3&gt;0,2*M$3,1)</f>
        <v>1</v>
      </c>
      <c r="N23" s="631">
        <f>IF(N$3&gt;0,0.5*N$3,2)</f>
        <v>2</v>
      </c>
      <c r="O23" s="21">
        <f t="shared" si="6"/>
        <v>11</v>
      </c>
      <c r="P23" s="625">
        <v>8</v>
      </c>
      <c r="Q23" s="630">
        <f>IF(Q$3&gt;0,2*Q$3,1)</f>
        <v>1</v>
      </c>
      <c r="R23" s="631">
        <f>IF(R$3&gt;0,0.5*R$3,2)</f>
        <v>2</v>
      </c>
      <c r="S23" s="21">
        <f t="shared" si="7"/>
        <v>11</v>
      </c>
      <c r="T23" s="625">
        <v>8</v>
      </c>
      <c r="U23" s="630">
        <f>IF(U$3&gt;0,2*U$3,1)</f>
        <v>1</v>
      </c>
      <c r="V23" s="631">
        <f>IF(V$3&gt;0,0.5*V$3,2)</f>
        <v>2</v>
      </c>
      <c r="W23" s="21">
        <f t="shared" si="8"/>
        <v>11</v>
      </c>
    </row>
    <row r="24" spans="1:23" x14ac:dyDescent="0.25">
      <c r="A24" s="1937"/>
      <c r="B24" s="19" t="s">
        <v>34</v>
      </c>
      <c r="C24" s="22"/>
      <c r="D24" s="626">
        <v>12</v>
      </c>
      <c r="E24" s="630">
        <f>IF(E$3&gt;0,3*E$3,1)</f>
        <v>1</v>
      </c>
      <c r="F24" s="631">
        <f>IF(F$3&gt;0,0.75*F$3,3)</f>
        <v>3</v>
      </c>
      <c r="G24" s="21">
        <f t="shared" si="4"/>
        <v>16</v>
      </c>
      <c r="H24" s="626">
        <v>12</v>
      </c>
      <c r="I24" s="630">
        <f>IF(I$3&gt;0,3*I$3,1)</f>
        <v>1</v>
      </c>
      <c r="J24" s="631">
        <f>IF(J$3&gt;0,0.75*J$3,3)</f>
        <v>3</v>
      </c>
      <c r="K24" s="21">
        <f t="shared" si="5"/>
        <v>16</v>
      </c>
      <c r="L24" s="626">
        <v>12</v>
      </c>
      <c r="M24" s="630">
        <f>IF(M$3&gt;0,3*M$3,1)</f>
        <v>1</v>
      </c>
      <c r="N24" s="631">
        <f>IF(N$3&gt;0,0.75*N$3,3)</f>
        <v>3</v>
      </c>
      <c r="O24" s="21">
        <f t="shared" si="6"/>
        <v>16</v>
      </c>
      <c r="P24" s="626">
        <v>12</v>
      </c>
      <c r="Q24" s="630">
        <f>IF(Q$3&gt;0,3*Q$3,1)</f>
        <v>1</v>
      </c>
      <c r="R24" s="631">
        <f>IF(R$3&gt;0,0.75*R$3,3)</f>
        <v>3</v>
      </c>
      <c r="S24" s="21">
        <f t="shared" si="7"/>
        <v>16</v>
      </c>
      <c r="T24" s="626">
        <v>12</v>
      </c>
      <c r="U24" s="630">
        <f>IF(U$3&gt;0,3*U$3,1)</f>
        <v>1</v>
      </c>
      <c r="V24" s="631">
        <f>IF(V$3&gt;0,0.75*V$3,3)</f>
        <v>3</v>
      </c>
      <c r="W24" s="21">
        <f t="shared" si="8"/>
        <v>16</v>
      </c>
    </row>
    <row r="25" spans="1:23" x14ac:dyDescent="0.25">
      <c r="A25" s="1937" t="s">
        <v>7</v>
      </c>
      <c r="B25" s="19" t="s">
        <v>32</v>
      </c>
      <c r="C25" s="22"/>
      <c r="D25" s="625">
        <v>4</v>
      </c>
      <c r="E25" s="630">
        <f>IF(E$3&gt;0,1,0)</f>
        <v>0</v>
      </c>
      <c r="F25" s="623">
        <v>1</v>
      </c>
      <c r="G25" s="21">
        <f t="shared" si="4"/>
        <v>5</v>
      </c>
      <c r="H25" s="625">
        <v>4</v>
      </c>
      <c r="I25" s="630">
        <f>IF(I$3&gt;0,1,0)</f>
        <v>0</v>
      </c>
      <c r="J25" s="623">
        <v>1</v>
      </c>
      <c r="K25" s="21">
        <f t="shared" si="5"/>
        <v>5</v>
      </c>
      <c r="L25" s="625">
        <v>4</v>
      </c>
      <c r="M25" s="630">
        <f>IF(M$3&gt;0,1,0)</f>
        <v>0</v>
      </c>
      <c r="N25" s="623">
        <v>1</v>
      </c>
      <c r="O25" s="21">
        <f t="shared" si="6"/>
        <v>5</v>
      </c>
      <c r="P25" s="625">
        <v>4</v>
      </c>
      <c r="Q25" s="630">
        <f>IF(Q$3&gt;0,1,0)</f>
        <v>0</v>
      </c>
      <c r="R25" s="623">
        <v>1</v>
      </c>
      <c r="S25" s="21">
        <f t="shared" si="7"/>
        <v>5</v>
      </c>
      <c r="T25" s="625">
        <v>4</v>
      </c>
      <c r="U25" s="630">
        <f>IF(U$3&gt;0,1,0)</f>
        <v>0</v>
      </c>
      <c r="V25" s="623">
        <v>1</v>
      </c>
      <c r="W25" s="21">
        <f t="shared" si="8"/>
        <v>5</v>
      </c>
    </row>
    <row r="26" spans="1:23" x14ac:dyDescent="0.25">
      <c r="A26" s="1937"/>
      <c r="B26" s="19" t="s">
        <v>33</v>
      </c>
      <c r="C26" s="22"/>
      <c r="D26" s="625">
        <v>6</v>
      </c>
      <c r="E26" s="630">
        <f>IF(E$3&gt;0,2,0)</f>
        <v>0</v>
      </c>
      <c r="F26" s="623">
        <v>2</v>
      </c>
      <c r="G26" s="21">
        <f t="shared" si="4"/>
        <v>8</v>
      </c>
      <c r="H26" s="625">
        <v>6</v>
      </c>
      <c r="I26" s="630">
        <f>IF(I$3&gt;0,2,0)</f>
        <v>0</v>
      </c>
      <c r="J26" s="623">
        <v>2</v>
      </c>
      <c r="K26" s="21">
        <f t="shared" si="5"/>
        <v>8</v>
      </c>
      <c r="L26" s="625">
        <v>6</v>
      </c>
      <c r="M26" s="630">
        <f>IF(M$3&gt;0,2,0)</f>
        <v>0</v>
      </c>
      <c r="N26" s="623">
        <v>2</v>
      </c>
      <c r="O26" s="21">
        <f t="shared" si="6"/>
        <v>8</v>
      </c>
      <c r="P26" s="625">
        <v>6</v>
      </c>
      <c r="Q26" s="630">
        <f>IF(Q$3&gt;0,2,0)</f>
        <v>0</v>
      </c>
      <c r="R26" s="623">
        <v>2</v>
      </c>
      <c r="S26" s="21">
        <f t="shared" si="7"/>
        <v>8</v>
      </c>
      <c r="T26" s="625">
        <v>6</v>
      </c>
      <c r="U26" s="630">
        <f>IF(U$3&gt;0,2,0)</f>
        <v>0</v>
      </c>
      <c r="V26" s="623">
        <v>2</v>
      </c>
      <c r="W26" s="21">
        <f t="shared" si="8"/>
        <v>8</v>
      </c>
    </row>
    <row r="27" spans="1:23" x14ac:dyDescent="0.25">
      <c r="A27" s="1937"/>
      <c r="B27" s="19" t="s">
        <v>34</v>
      </c>
      <c r="C27" s="22"/>
      <c r="D27" s="625">
        <v>8</v>
      </c>
      <c r="E27" s="630">
        <f>IF(E$3&gt;0,3,0)</f>
        <v>0</v>
      </c>
      <c r="F27" s="623">
        <v>3</v>
      </c>
      <c r="G27" s="21">
        <f t="shared" si="4"/>
        <v>11</v>
      </c>
      <c r="H27" s="625">
        <v>8</v>
      </c>
      <c r="I27" s="630">
        <f>IF(I$3&gt;0,3,0)</f>
        <v>0</v>
      </c>
      <c r="J27" s="623">
        <v>3</v>
      </c>
      <c r="K27" s="21">
        <f t="shared" si="5"/>
        <v>11</v>
      </c>
      <c r="L27" s="625">
        <v>8</v>
      </c>
      <c r="M27" s="630">
        <f>IF(M$3&gt;0,3,0)</f>
        <v>0</v>
      </c>
      <c r="N27" s="623">
        <v>3</v>
      </c>
      <c r="O27" s="21">
        <f t="shared" si="6"/>
        <v>11</v>
      </c>
      <c r="P27" s="625">
        <v>8</v>
      </c>
      <c r="Q27" s="630">
        <f>IF(Q$3&gt;0,3,0)</f>
        <v>0</v>
      </c>
      <c r="R27" s="623">
        <v>3</v>
      </c>
      <c r="S27" s="21">
        <f t="shared" si="7"/>
        <v>11</v>
      </c>
      <c r="T27" s="625">
        <v>8</v>
      </c>
      <c r="U27" s="630">
        <f>IF(U$3&gt;0,3,0)</f>
        <v>0</v>
      </c>
      <c r="V27" s="623">
        <v>3</v>
      </c>
      <c r="W27" s="21">
        <f t="shared" si="8"/>
        <v>11</v>
      </c>
    </row>
    <row r="28" spans="1:23" x14ac:dyDescent="0.25">
      <c r="A28" s="1937" t="s">
        <v>8</v>
      </c>
      <c r="B28" s="19" t="s">
        <v>32</v>
      </c>
      <c r="C28" s="22"/>
      <c r="D28" s="625">
        <v>3</v>
      </c>
      <c r="E28" s="630">
        <f>IF(E$3&gt;0,1,0)</f>
        <v>0</v>
      </c>
      <c r="F28" s="623">
        <v>1</v>
      </c>
      <c r="G28" s="21">
        <f t="shared" si="4"/>
        <v>4</v>
      </c>
      <c r="H28" s="625">
        <v>3</v>
      </c>
      <c r="I28" s="630">
        <f>IF(I$3&gt;0,1,0)</f>
        <v>0</v>
      </c>
      <c r="J28" s="623">
        <v>1</v>
      </c>
      <c r="K28" s="21">
        <f t="shared" si="5"/>
        <v>4</v>
      </c>
      <c r="L28" s="625">
        <v>3</v>
      </c>
      <c r="M28" s="630">
        <f>IF(M$3&gt;0,1,0)</f>
        <v>0</v>
      </c>
      <c r="N28" s="623">
        <v>1</v>
      </c>
      <c r="O28" s="21">
        <f t="shared" si="6"/>
        <v>4</v>
      </c>
      <c r="P28" s="625">
        <v>3</v>
      </c>
      <c r="Q28" s="630">
        <f>IF(Q$3&gt;0,1,0)</f>
        <v>0</v>
      </c>
      <c r="R28" s="623">
        <v>1</v>
      </c>
      <c r="S28" s="21">
        <f t="shared" si="7"/>
        <v>4</v>
      </c>
      <c r="T28" s="625">
        <v>3</v>
      </c>
      <c r="U28" s="630">
        <f>IF(U$3&gt;0,1,0)</f>
        <v>0</v>
      </c>
      <c r="V28" s="623">
        <v>1</v>
      </c>
      <c r="W28" s="21">
        <f t="shared" si="8"/>
        <v>4</v>
      </c>
    </row>
    <row r="29" spans="1:23" x14ac:dyDescent="0.25">
      <c r="A29" s="1937"/>
      <c r="B29" s="19" t="s">
        <v>33</v>
      </c>
      <c r="C29" s="22"/>
      <c r="D29" s="625">
        <v>4</v>
      </c>
      <c r="E29" s="630">
        <f>IF(E$3&gt;0,2,0)</f>
        <v>0</v>
      </c>
      <c r="F29" s="623">
        <v>2</v>
      </c>
      <c r="G29" s="21">
        <f t="shared" si="4"/>
        <v>6</v>
      </c>
      <c r="H29" s="625">
        <v>4</v>
      </c>
      <c r="I29" s="630">
        <f>IF(I$3&gt;0,2,0)</f>
        <v>0</v>
      </c>
      <c r="J29" s="623">
        <v>2</v>
      </c>
      <c r="K29" s="21">
        <f t="shared" si="5"/>
        <v>6</v>
      </c>
      <c r="L29" s="625">
        <v>4</v>
      </c>
      <c r="M29" s="630">
        <f>IF(M$3&gt;0,2,0)</f>
        <v>0</v>
      </c>
      <c r="N29" s="623">
        <v>2</v>
      </c>
      <c r="O29" s="21">
        <f t="shared" si="6"/>
        <v>6</v>
      </c>
      <c r="P29" s="625">
        <v>4</v>
      </c>
      <c r="Q29" s="630">
        <f>IF(Q$3&gt;0,2,0)</f>
        <v>0</v>
      </c>
      <c r="R29" s="623">
        <v>2</v>
      </c>
      <c r="S29" s="21">
        <f t="shared" si="7"/>
        <v>6</v>
      </c>
      <c r="T29" s="625">
        <v>4</v>
      </c>
      <c r="U29" s="630">
        <f>IF(U$3&gt;0,2,0)</f>
        <v>0</v>
      </c>
      <c r="V29" s="623">
        <v>2</v>
      </c>
      <c r="W29" s="21">
        <f t="shared" si="8"/>
        <v>6</v>
      </c>
    </row>
    <row r="30" spans="1:23" x14ac:dyDescent="0.25">
      <c r="A30" s="1937"/>
      <c r="B30" s="19" t="s">
        <v>34</v>
      </c>
      <c r="C30" s="22"/>
      <c r="D30" s="625">
        <v>6</v>
      </c>
      <c r="E30" s="630">
        <f>IF(E$3&gt;0,3,0)</f>
        <v>0</v>
      </c>
      <c r="F30" s="623">
        <v>3</v>
      </c>
      <c r="G30" s="21">
        <f t="shared" si="4"/>
        <v>9</v>
      </c>
      <c r="H30" s="625">
        <v>6</v>
      </c>
      <c r="I30" s="630">
        <f>IF(I$3&gt;0,3,0)</f>
        <v>0</v>
      </c>
      <c r="J30" s="623">
        <v>3</v>
      </c>
      <c r="K30" s="21">
        <f t="shared" si="5"/>
        <v>9</v>
      </c>
      <c r="L30" s="625">
        <v>6</v>
      </c>
      <c r="M30" s="630">
        <f>IF(M$3&gt;0,3,0)</f>
        <v>0</v>
      </c>
      <c r="N30" s="623">
        <v>3</v>
      </c>
      <c r="O30" s="21">
        <f t="shared" si="6"/>
        <v>9</v>
      </c>
      <c r="P30" s="625">
        <v>6</v>
      </c>
      <c r="Q30" s="630">
        <f>IF(Q$3&gt;0,3,0)</f>
        <v>0</v>
      </c>
      <c r="R30" s="623">
        <v>3</v>
      </c>
      <c r="S30" s="21">
        <f t="shared" si="7"/>
        <v>9</v>
      </c>
      <c r="T30" s="625">
        <v>6</v>
      </c>
      <c r="U30" s="630">
        <f>IF(U$3&gt;0,3,0)</f>
        <v>0</v>
      </c>
      <c r="V30" s="623">
        <v>3</v>
      </c>
      <c r="W30" s="21">
        <f t="shared" si="8"/>
        <v>9</v>
      </c>
    </row>
    <row r="31" spans="1:23" x14ac:dyDescent="0.25">
      <c r="A31" s="1937" t="s">
        <v>9</v>
      </c>
      <c r="B31" s="19" t="s">
        <v>32</v>
      </c>
      <c r="C31" s="22"/>
      <c r="D31" s="631">
        <f>4+(0.5*D$3)</f>
        <v>4</v>
      </c>
      <c r="E31" s="630">
        <f>IF(E$3&gt;0,1,0)</f>
        <v>0</v>
      </c>
      <c r="F31" s="631">
        <f>0.1*F$3</f>
        <v>0</v>
      </c>
      <c r="G31" s="21">
        <f t="shared" si="4"/>
        <v>4</v>
      </c>
      <c r="H31" s="631">
        <f>4+(0.5*H$3)</f>
        <v>4</v>
      </c>
      <c r="I31" s="630">
        <f>IF(I$3&gt;0,1,0)</f>
        <v>0</v>
      </c>
      <c r="J31" s="631">
        <f>0.1*J$3</f>
        <v>0</v>
      </c>
      <c r="K31" s="21">
        <f t="shared" si="5"/>
        <v>4</v>
      </c>
      <c r="L31" s="631">
        <f>4+(0.5*L$3)</f>
        <v>4</v>
      </c>
      <c r="M31" s="630">
        <f>IF(M$3&gt;0,1,0)</f>
        <v>0</v>
      </c>
      <c r="N31" s="631">
        <f>0.1*N$3</f>
        <v>0</v>
      </c>
      <c r="O31" s="21">
        <f t="shared" si="6"/>
        <v>4</v>
      </c>
      <c r="P31" s="631">
        <f>4+(0.5*P$3)</f>
        <v>4</v>
      </c>
      <c r="Q31" s="630">
        <f>IF(Q$3&gt;0,1,0)</f>
        <v>0</v>
      </c>
      <c r="R31" s="631">
        <f>0.1*R$3</f>
        <v>0</v>
      </c>
      <c r="S31" s="21">
        <f t="shared" si="7"/>
        <v>4</v>
      </c>
      <c r="T31" s="631">
        <f>4+(0.5*T$3)</f>
        <v>4</v>
      </c>
      <c r="U31" s="630">
        <f>IF(U$3&gt;0,1,0)</f>
        <v>0</v>
      </c>
      <c r="V31" s="631">
        <f>0.1*V$3</f>
        <v>0</v>
      </c>
      <c r="W31" s="21">
        <f t="shared" si="8"/>
        <v>4</v>
      </c>
    </row>
    <row r="32" spans="1:23" x14ac:dyDescent="0.25">
      <c r="A32" s="1937"/>
      <c r="B32" s="19" t="s">
        <v>33</v>
      </c>
      <c r="C32" s="22"/>
      <c r="D32" s="631">
        <f>4+(0.5*D$3)+(1*E$3)</f>
        <v>4</v>
      </c>
      <c r="E32" s="630">
        <f>IF(E$3&gt;0,2,0)</f>
        <v>0</v>
      </c>
      <c r="F32" s="631">
        <f>0.25*F$3</f>
        <v>0</v>
      </c>
      <c r="G32" s="21">
        <f t="shared" si="4"/>
        <v>4</v>
      </c>
      <c r="H32" s="631">
        <f>4+(0.5*H$3)+(1*I$3)</f>
        <v>4</v>
      </c>
      <c r="I32" s="630">
        <f>IF(I$3&gt;0,2,0)</f>
        <v>0</v>
      </c>
      <c r="J32" s="631">
        <f>0.25*J$3</f>
        <v>0</v>
      </c>
      <c r="K32" s="21">
        <f t="shared" si="5"/>
        <v>4</v>
      </c>
      <c r="L32" s="631">
        <f>4+(0.5*L$3)+(1*M$3)</f>
        <v>4</v>
      </c>
      <c r="M32" s="630">
        <f>IF(M$3&gt;0,2,0)</f>
        <v>0</v>
      </c>
      <c r="N32" s="631">
        <f>0.25*N$3</f>
        <v>0</v>
      </c>
      <c r="O32" s="21">
        <f t="shared" si="6"/>
        <v>4</v>
      </c>
      <c r="P32" s="631">
        <f>4+(0.5*P$3)+(1*Q$3)</f>
        <v>4</v>
      </c>
      <c r="Q32" s="630">
        <f>IF(Q$3&gt;0,2,0)</f>
        <v>0</v>
      </c>
      <c r="R32" s="631">
        <f>0.25*R$3</f>
        <v>0</v>
      </c>
      <c r="S32" s="21">
        <f t="shared" si="7"/>
        <v>4</v>
      </c>
      <c r="T32" s="631">
        <f>4+(0.5*T$3)+(1*U$3)</f>
        <v>4</v>
      </c>
      <c r="U32" s="630">
        <f>IF(U$3&gt;0,2,0)</f>
        <v>0</v>
      </c>
      <c r="V32" s="631">
        <f>0.25*V$3</f>
        <v>0</v>
      </c>
      <c r="W32" s="21">
        <f t="shared" si="8"/>
        <v>4</v>
      </c>
    </row>
    <row r="33" spans="1:23" x14ac:dyDescent="0.25">
      <c r="A33" s="1937"/>
      <c r="B33" s="19" t="s">
        <v>34</v>
      </c>
      <c r="C33" s="22"/>
      <c r="D33" s="631">
        <f>6+(0.5*D$3)+(1*E$3)</f>
        <v>6</v>
      </c>
      <c r="E33" s="630">
        <f>IF(E$3&gt;0,3,0)</f>
        <v>0</v>
      </c>
      <c r="F33" s="631">
        <f>0.5*F$3</f>
        <v>0</v>
      </c>
      <c r="G33" s="21">
        <f t="shared" si="4"/>
        <v>6</v>
      </c>
      <c r="H33" s="631">
        <f>6+(0.5*H$3)+(1*I$3)</f>
        <v>6</v>
      </c>
      <c r="I33" s="630">
        <f>IF(I$3&gt;0,3,0)</f>
        <v>0</v>
      </c>
      <c r="J33" s="631">
        <f>0.5*J$3</f>
        <v>0</v>
      </c>
      <c r="K33" s="21">
        <f t="shared" si="5"/>
        <v>6</v>
      </c>
      <c r="L33" s="631">
        <f>6+(0.5*L$3)+(1*M$3)</f>
        <v>6</v>
      </c>
      <c r="M33" s="630">
        <f>IF(M$3&gt;0,3,0)</f>
        <v>0</v>
      </c>
      <c r="N33" s="631">
        <f>0.5*N$3</f>
        <v>0</v>
      </c>
      <c r="O33" s="21">
        <f t="shared" si="6"/>
        <v>6</v>
      </c>
      <c r="P33" s="631">
        <f>6+(0.5*P$3)+(1*Q$3)</f>
        <v>6</v>
      </c>
      <c r="Q33" s="630">
        <f>IF(Q$3&gt;0,3,0)</f>
        <v>0</v>
      </c>
      <c r="R33" s="631">
        <f>0.5*R$3</f>
        <v>0</v>
      </c>
      <c r="S33" s="21">
        <f t="shared" si="7"/>
        <v>6</v>
      </c>
      <c r="T33" s="631">
        <f>6+(0.5*T$3)+(1*U$3)</f>
        <v>6</v>
      </c>
      <c r="U33" s="630">
        <f>IF(U$3&gt;0,3,0)</f>
        <v>0</v>
      </c>
      <c r="V33" s="631">
        <f>0.5*V$3</f>
        <v>0</v>
      </c>
      <c r="W33" s="21">
        <f t="shared" si="8"/>
        <v>6</v>
      </c>
    </row>
    <row r="34" spans="1:23" x14ac:dyDescent="0.25">
      <c r="A34" s="1937" t="s">
        <v>10</v>
      </c>
      <c r="B34" s="19" t="s">
        <v>32</v>
      </c>
      <c r="C34" s="22"/>
      <c r="D34" s="625">
        <v>1</v>
      </c>
      <c r="E34" s="623">
        <v>1</v>
      </c>
      <c r="F34" s="623">
        <v>1</v>
      </c>
      <c r="G34" s="21">
        <f t="shared" si="4"/>
        <v>3</v>
      </c>
      <c r="H34" s="625">
        <v>1</v>
      </c>
      <c r="I34" s="623">
        <v>1</v>
      </c>
      <c r="J34" s="623">
        <v>1</v>
      </c>
      <c r="K34" s="21">
        <f t="shared" si="5"/>
        <v>3</v>
      </c>
      <c r="L34" s="625">
        <v>1</v>
      </c>
      <c r="M34" s="623">
        <v>1</v>
      </c>
      <c r="N34" s="623">
        <v>1</v>
      </c>
      <c r="O34" s="21">
        <f t="shared" si="6"/>
        <v>3</v>
      </c>
      <c r="P34" s="625">
        <v>1</v>
      </c>
      <c r="Q34" s="623">
        <v>1</v>
      </c>
      <c r="R34" s="623">
        <v>1</v>
      </c>
      <c r="S34" s="21">
        <f t="shared" si="7"/>
        <v>3</v>
      </c>
      <c r="T34" s="625">
        <v>1</v>
      </c>
      <c r="U34" s="623">
        <v>1</v>
      </c>
      <c r="V34" s="623">
        <v>1</v>
      </c>
      <c r="W34" s="21">
        <f t="shared" si="8"/>
        <v>3</v>
      </c>
    </row>
    <row r="35" spans="1:23" x14ac:dyDescent="0.25">
      <c r="A35" s="1937"/>
      <c r="B35" s="19" t="s">
        <v>33</v>
      </c>
      <c r="C35" s="22"/>
      <c r="D35" s="625">
        <v>2</v>
      </c>
      <c r="E35" s="623">
        <v>2</v>
      </c>
      <c r="F35" s="623">
        <v>2</v>
      </c>
      <c r="G35" s="21">
        <f t="shared" si="4"/>
        <v>6</v>
      </c>
      <c r="H35" s="625">
        <v>2</v>
      </c>
      <c r="I35" s="623">
        <v>2</v>
      </c>
      <c r="J35" s="623">
        <v>2</v>
      </c>
      <c r="K35" s="21">
        <f t="shared" si="5"/>
        <v>6</v>
      </c>
      <c r="L35" s="625">
        <v>2</v>
      </c>
      <c r="M35" s="623">
        <v>2</v>
      </c>
      <c r="N35" s="623">
        <v>2</v>
      </c>
      <c r="O35" s="21">
        <f t="shared" si="6"/>
        <v>6</v>
      </c>
      <c r="P35" s="625">
        <v>2</v>
      </c>
      <c r="Q35" s="623">
        <v>2</v>
      </c>
      <c r="R35" s="623">
        <v>2</v>
      </c>
      <c r="S35" s="21">
        <f t="shared" si="7"/>
        <v>6</v>
      </c>
      <c r="T35" s="625">
        <v>2</v>
      </c>
      <c r="U35" s="623">
        <v>2</v>
      </c>
      <c r="V35" s="623">
        <v>2</v>
      </c>
      <c r="W35" s="21">
        <f t="shared" si="8"/>
        <v>6</v>
      </c>
    </row>
    <row r="36" spans="1:23" ht="15.75" thickBot="1" x14ac:dyDescent="0.3">
      <c r="A36" s="1938"/>
      <c r="B36" s="13" t="s">
        <v>34</v>
      </c>
      <c r="C36" s="34"/>
      <c r="D36" s="626">
        <v>4</v>
      </c>
      <c r="E36" s="432">
        <v>3</v>
      </c>
      <c r="F36" s="432">
        <v>3</v>
      </c>
      <c r="G36" s="77">
        <f t="shared" si="4"/>
        <v>10</v>
      </c>
      <c r="H36" s="626">
        <v>4</v>
      </c>
      <c r="I36" s="432">
        <v>3</v>
      </c>
      <c r="J36" s="432">
        <v>3</v>
      </c>
      <c r="K36" s="77">
        <f t="shared" si="5"/>
        <v>10</v>
      </c>
      <c r="L36" s="626">
        <v>4</v>
      </c>
      <c r="M36" s="432">
        <v>3</v>
      </c>
      <c r="N36" s="432">
        <v>3</v>
      </c>
      <c r="O36" s="77">
        <f t="shared" si="6"/>
        <v>10</v>
      </c>
      <c r="P36" s="626">
        <v>4</v>
      </c>
      <c r="Q36" s="432">
        <v>3</v>
      </c>
      <c r="R36" s="432">
        <v>3</v>
      </c>
      <c r="S36" s="77">
        <f t="shared" si="7"/>
        <v>10</v>
      </c>
      <c r="T36" s="626">
        <v>4</v>
      </c>
      <c r="U36" s="432">
        <v>3</v>
      </c>
      <c r="V36" s="432">
        <v>3</v>
      </c>
      <c r="W36" s="77">
        <f t="shared" si="8"/>
        <v>10</v>
      </c>
    </row>
    <row r="37" spans="1:23" ht="16.5" thickBot="1" x14ac:dyDescent="0.3">
      <c r="A37" s="330" t="s">
        <v>11</v>
      </c>
      <c r="B37" s="329"/>
      <c r="C37" s="329"/>
      <c r="D37" s="329"/>
      <c r="E37" s="329"/>
      <c r="F37" s="329"/>
      <c r="G37" s="329"/>
      <c r="H37" s="329"/>
      <c r="I37" s="329"/>
      <c r="J37" s="329"/>
      <c r="K37" s="329"/>
      <c r="L37" s="329"/>
      <c r="M37" s="329"/>
      <c r="N37" s="329"/>
      <c r="O37" s="329"/>
      <c r="P37" s="329"/>
      <c r="Q37" s="329"/>
      <c r="R37" s="329"/>
      <c r="S37" s="329"/>
      <c r="T37" s="329"/>
      <c r="U37" s="329"/>
      <c r="V37" s="329"/>
      <c r="W37" s="328"/>
    </row>
    <row r="38" spans="1:23" x14ac:dyDescent="0.25">
      <c r="A38" s="1932" t="s">
        <v>12</v>
      </c>
      <c r="B38" s="404" t="s">
        <v>32</v>
      </c>
      <c r="C38" s="324"/>
      <c r="D38" s="678">
        <v>6</v>
      </c>
      <c r="E38" s="630">
        <f>IF(E$3&gt;0,1*E$3,1)</f>
        <v>1</v>
      </c>
      <c r="F38" s="631">
        <f>IF(F$3&gt;0,0.25*F$3,1)</f>
        <v>1</v>
      </c>
      <c r="G38" s="230">
        <f t="shared" si="4"/>
        <v>8</v>
      </c>
      <c r="H38" s="678">
        <v>6</v>
      </c>
      <c r="I38" s="630">
        <f>IF(I$3&gt;0,1*I$3,1)</f>
        <v>1</v>
      </c>
      <c r="J38" s="631">
        <f>IF(J$3&gt;0,0.25*J$3,1)</f>
        <v>1</v>
      </c>
      <c r="K38" s="230">
        <f xml:space="preserve"> SUM(H38:J38) + $C38</f>
        <v>8</v>
      </c>
      <c r="L38" s="678">
        <v>6</v>
      </c>
      <c r="M38" s="630">
        <f>IF(M$3&gt;0,1*M$3,1)</f>
        <v>1</v>
      </c>
      <c r="N38" s="631">
        <f>IF(N$3&gt;0,0.25*N$3,1)</f>
        <v>1</v>
      </c>
      <c r="O38" s="230">
        <f xml:space="preserve"> SUM(L38:N38) + $C38</f>
        <v>8</v>
      </c>
      <c r="P38" s="678">
        <v>6</v>
      </c>
      <c r="Q38" s="630">
        <f>IF(Q$3&gt;0,1*Q$3,1)</f>
        <v>1</v>
      </c>
      <c r="R38" s="631">
        <f>IF(R$3&gt;0,0.25*R$3,1)</f>
        <v>1</v>
      </c>
      <c r="S38" s="230">
        <f xml:space="preserve"> SUM(P38:R38) + $C38</f>
        <v>8</v>
      </c>
      <c r="T38" s="678">
        <v>6</v>
      </c>
      <c r="U38" s="630">
        <f>IF(U$3&gt;0,1*U$3,1)</f>
        <v>1</v>
      </c>
      <c r="V38" s="631">
        <f>IF(V$3&gt;0,0.25*V$3,1)</f>
        <v>1</v>
      </c>
      <c r="W38" s="230">
        <f xml:space="preserve"> SUM(T38:V38) + $C38</f>
        <v>8</v>
      </c>
    </row>
    <row r="39" spans="1:23" x14ac:dyDescent="0.25">
      <c r="A39" s="1932"/>
      <c r="B39" s="19" t="s">
        <v>33</v>
      </c>
      <c r="C39" s="22"/>
      <c r="D39" s="625">
        <v>8</v>
      </c>
      <c r="E39" s="630">
        <f>IF(E$3&gt;0,2*E$3,1)</f>
        <v>1</v>
      </c>
      <c r="F39" s="631">
        <f>IF(F$3&gt;0,0.5*F$3,2)</f>
        <v>2</v>
      </c>
      <c r="G39" s="21">
        <f t="shared" si="4"/>
        <v>11</v>
      </c>
      <c r="H39" s="625">
        <v>8</v>
      </c>
      <c r="I39" s="630">
        <f>IF(I$3&gt;0,2*I$3,1)</f>
        <v>1</v>
      </c>
      <c r="J39" s="631">
        <f>IF(J$3&gt;0,0.5*J$3,2)</f>
        <v>2</v>
      </c>
      <c r="K39" s="21">
        <f xml:space="preserve"> SUM(H39:J39) + $C39</f>
        <v>11</v>
      </c>
      <c r="L39" s="625">
        <v>8</v>
      </c>
      <c r="M39" s="630">
        <f>IF(M$3&gt;0,2*M$3,1)</f>
        <v>1</v>
      </c>
      <c r="N39" s="631">
        <f>IF(N$3&gt;0,0.5*N$3,2)</f>
        <v>2</v>
      </c>
      <c r="O39" s="21">
        <f xml:space="preserve"> SUM(L39:N39) + $C39</f>
        <v>11</v>
      </c>
      <c r="P39" s="625">
        <v>8</v>
      </c>
      <c r="Q39" s="630">
        <f>IF(Q$3&gt;0,2*Q$3,1)</f>
        <v>1</v>
      </c>
      <c r="R39" s="631">
        <f>IF(R$3&gt;0,0.5*R$3,2)</f>
        <v>2</v>
      </c>
      <c r="S39" s="21">
        <f xml:space="preserve"> SUM(P39:R39) + $C39</f>
        <v>11</v>
      </c>
      <c r="T39" s="625">
        <v>8</v>
      </c>
      <c r="U39" s="630">
        <f>IF(U$3&gt;0,2*U$3,1)</f>
        <v>1</v>
      </c>
      <c r="V39" s="631">
        <f>IF(V$3&gt;0,0.5*V$3,2)</f>
        <v>2</v>
      </c>
      <c r="W39" s="21">
        <f xml:space="preserve"> SUM(T39:V39) + $C39</f>
        <v>11</v>
      </c>
    </row>
    <row r="40" spans="1:23" ht="15.75" thickBot="1" x14ac:dyDescent="0.3">
      <c r="A40" s="1932"/>
      <c r="B40" s="13" t="s">
        <v>34</v>
      </c>
      <c r="C40" s="34"/>
      <c r="D40" s="626">
        <v>12</v>
      </c>
      <c r="E40" s="630">
        <f>IF(E$3&gt;0,3*E$3,1)</f>
        <v>1</v>
      </c>
      <c r="F40" s="631">
        <f>IF(F$3&gt;0,0.75*F$3,3)</f>
        <v>3</v>
      </c>
      <c r="G40" s="77">
        <f t="shared" si="4"/>
        <v>16</v>
      </c>
      <c r="H40" s="626">
        <v>12</v>
      </c>
      <c r="I40" s="630">
        <f>IF(I$3&gt;0,3*I$3,1)</f>
        <v>1</v>
      </c>
      <c r="J40" s="631">
        <f>IF(J$3&gt;0,0.75*J$3,3)</f>
        <v>3</v>
      </c>
      <c r="K40" s="77">
        <f xml:space="preserve"> SUM(H40:J40) + $C40</f>
        <v>16</v>
      </c>
      <c r="L40" s="626">
        <v>12</v>
      </c>
      <c r="M40" s="630">
        <f>IF(M$3&gt;0,3*M$3,1)</f>
        <v>1</v>
      </c>
      <c r="N40" s="631">
        <f>IF(N$3&gt;0,0.75*N$3,3)</f>
        <v>3</v>
      </c>
      <c r="O40" s="77">
        <f xml:space="preserve"> SUM(L40:N40) + $C40</f>
        <v>16</v>
      </c>
      <c r="P40" s="626">
        <v>12</v>
      </c>
      <c r="Q40" s="630">
        <f>IF(Q$3&gt;0,3*Q$3,1)</f>
        <v>1</v>
      </c>
      <c r="R40" s="631">
        <f>IF(R$3&gt;0,0.75*R$3,3)</f>
        <v>3</v>
      </c>
      <c r="S40" s="77">
        <f xml:space="preserve"> SUM(P40:R40) + $C40</f>
        <v>16</v>
      </c>
      <c r="T40" s="626">
        <v>12</v>
      </c>
      <c r="U40" s="630">
        <f>IF(U$3&gt;0,3*U$3,1)</f>
        <v>1</v>
      </c>
      <c r="V40" s="631">
        <f>IF(V$3&gt;0,0.75*V$3,3)</f>
        <v>3</v>
      </c>
      <c r="W40" s="77">
        <f xml:space="preserve"> SUM(T40:V40) + $C40</f>
        <v>16</v>
      </c>
    </row>
    <row r="41" spans="1:23" ht="16.5" thickBot="1" x14ac:dyDescent="0.3">
      <c r="A41" s="330" t="s">
        <v>13</v>
      </c>
      <c r="B41" s="329"/>
      <c r="C41" s="329"/>
      <c r="D41" s="329"/>
      <c r="E41" s="329"/>
      <c r="F41" s="329"/>
      <c r="G41" s="329"/>
      <c r="H41" s="329"/>
      <c r="I41" s="329"/>
      <c r="J41" s="329"/>
      <c r="K41" s="329"/>
      <c r="L41" s="329"/>
      <c r="M41" s="329"/>
      <c r="N41" s="329"/>
      <c r="O41" s="329"/>
      <c r="P41" s="329"/>
      <c r="Q41" s="329"/>
      <c r="R41" s="329"/>
      <c r="S41" s="329"/>
      <c r="T41" s="329"/>
      <c r="U41" s="329"/>
      <c r="V41" s="329"/>
      <c r="W41" s="328"/>
    </row>
    <row r="42" spans="1:23" x14ac:dyDescent="0.25">
      <c r="A42" s="1932" t="s">
        <v>14</v>
      </c>
      <c r="B42" s="404" t="s">
        <v>32</v>
      </c>
      <c r="C42" s="627"/>
      <c r="D42" s="678">
        <v>1</v>
      </c>
      <c r="E42" s="713">
        <v>1</v>
      </c>
      <c r="F42" s="713">
        <v>0</v>
      </c>
      <c r="G42" s="230">
        <f t="shared" si="4"/>
        <v>2</v>
      </c>
      <c r="H42" s="678">
        <v>1</v>
      </c>
      <c r="I42" s="713">
        <v>1</v>
      </c>
      <c r="J42" s="713">
        <v>0</v>
      </c>
      <c r="K42" s="230">
        <f t="shared" ref="K42:K86" si="9" xml:space="preserve"> SUM(H42:J42) + $C42</f>
        <v>2</v>
      </c>
      <c r="L42" s="678">
        <v>1</v>
      </c>
      <c r="M42" s="713">
        <v>1</v>
      </c>
      <c r="N42" s="713">
        <v>0</v>
      </c>
      <c r="O42" s="230">
        <f t="shared" ref="O42:O86" si="10" xml:space="preserve"> SUM(L42:N42) + $C42</f>
        <v>2</v>
      </c>
      <c r="P42" s="678">
        <v>1</v>
      </c>
      <c r="Q42" s="713">
        <v>1</v>
      </c>
      <c r="R42" s="713">
        <v>0</v>
      </c>
      <c r="S42" s="230">
        <f t="shared" ref="S42:S86" si="11" xml:space="preserve"> SUM(P42:R42) + $C42</f>
        <v>2</v>
      </c>
      <c r="T42" s="678">
        <v>1</v>
      </c>
      <c r="U42" s="713">
        <v>1</v>
      </c>
      <c r="V42" s="713">
        <v>0</v>
      </c>
      <c r="W42" s="230">
        <f t="shared" ref="W42:W86" si="12" xml:space="preserve"> SUM(T42:V42) + $C42</f>
        <v>2</v>
      </c>
    </row>
    <row r="43" spans="1:23" x14ac:dyDescent="0.25">
      <c r="A43" s="1932"/>
      <c r="B43" s="19" t="s">
        <v>33</v>
      </c>
      <c r="C43" s="620"/>
      <c r="D43" s="625">
        <v>2</v>
      </c>
      <c r="E43" s="616">
        <v>1</v>
      </c>
      <c r="F43" s="616">
        <v>0</v>
      </c>
      <c r="G43" s="21">
        <f t="shared" si="4"/>
        <v>3</v>
      </c>
      <c r="H43" s="625">
        <v>2</v>
      </c>
      <c r="I43" s="616">
        <v>1</v>
      </c>
      <c r="J43" s="616">
        <v>0</v>
      </c>
      <c r="K43" s="21">
        <f t="shared" si="9"/>
        <v>3</v>
      </c>
      <c r="L43" s="625">
        <v>2</v>
      </c>
      <c r="M43" s="616">
        <v>1</v>
      </c>
      <c r="N43" s="616">
        <v>0</v>
      </c>
      <c r="O43" s="21">
        <f t="shared" si="10"/>
        <v>3</v>
      </c>
      <c r="P43" s="625">
        <v>2</v>
      </c>
      <c r="Q43" s="616">
        <v>1</v>
      </c>
      <c r="R43" s="616">
        <v>0</v>
      </c>
      <c r="S43" s="21">
        <f t="shared" si="11"/>
        <v>3</v>
      </c>
      <c r="T43" s="625">
        <v>2</v>
      </c>
      <c r="U43" s="616">
        <v>1</v>
      </c>
      <c r="V43" s="616">
        <v>0</v>
      </c>
      <c r="W43" s="21">
        <f t="shared" si="12"/>
        <v>3</v>
      </c>
    </row>
    <row r="44" spans="1:23" x14ac:dyDescent="0.25">
      <c r="A44" s="1932"/>
      <c r="B44" s="19" t="s">
        <v>34</v>
      </c>
      <c r="C44" s="620"/>
      <c r="D44" s="625">
        <v>3</v>
      </c>
      <c r="E44" s="616">
        <v>1</v>
      </c>
      <c r="F44" s="616">
        <v>0</v>
      </c>
      <c r="G44" s="21">
        <f t="shared" si="4"/>
        <v>4</v>
      </c>
      <c r="H44" s="625">
        <v>3</v>
      </c>
      <c r="I44" s="616">
        <v>1</v>
      </c>
      <c r="J44" s="616">
        <v>0</v>
      </c>
      <c r="K44" s="21">
        <f t="shared" si="9"/>
        <v>4</v>
      </c>
      <c r="L44" s="625">
        <v>3</v>
      </c>
      <c r="M44" s="616">
        <v>1</v>
      </c>
      <c r="N44" s="616">
        <v>0</v>
      </c>
      <c r="O44" s="21">
        <f t="shared" si="10"/>
        <v>4</v>
      </c>
      <c r="P44" s="625">
        <v>3</v>
      </c>
      <c r="Q44" s="616">
        <v>1</v>
      </c>
      <c r="R44" s="616">
        <v>0</v>
      </c>
      <c r="S44" s="21">
        <f t="shared" si="11"/>
        <v>4</v>
      </c>
      <c r="T44" s="625">
        <v>3</v>
      </c>
      <c r="U44" s="616">
        <v>1</v>
      </c>
      <c r="V44" s="616">
        <v>0</v>
      </c>
      <c r="W44" s="21">
        <f t="shared" si="12"/>
        <v>4</v>
      </c>
    </row>
    <row r="45" spans="1:23" x14ac:dyDescent="0.25">
      <c r="A45" s="1933" t="s">
        <v>15</v>
      </c>
      <c r="B45" s="19" t="s">
        <v>32</v>
      </c>
      <c r="C45" s="620"/>
      <c r="D45" s="625">
        <v>2</v>
      </c>
      <c r="E45" s="630">
        <f>IF(E$3&gt;0,1,0)</f>
        <v>0</v>
      </c>
      <c r="F45" s="615">
        <v>0</v>
      </c>
      <c r="G45" s="21">
        <f t="shared" si="4"/>
        <v>2</v>
      </c>
      <c r="H45" s="625">
        <v>2</v>
      </c>
      <c r="I45" s="630">
        <f>IF(I$3&gt;0,1,0)</f>
        <v>0</v>
      </c>
      <c r="J45" s="615">
        <v>0</v>
      </c>
      <c r="K45" s="21">
        <f t="shared" si="9"/>
        <v>2</v>
      </c>
      <c r="L45" s="625">
        <v>2</v>
      </c>
      <c r="M45" s="630">
        <f>IF(M$3&gt;0,1,0)</f>
        <v>0</v>
      </c>
      <c r="N45" s="615">
        <v>0</v>
      </c>
      <c r="O45" s="21">
        <f t="shared" si="10"/>
        <v>2</v>
      </c>
      <c r="P45" s="625">
        <v>2</v>
      </c>
      <c r="Q45" s="630">
        <f>IF(Q$3&gt;0,1,0)</f>
        <v>0</v>
      </c>
      <c r="R45" s="615">
        <v>0</v>
      </c>
      <c r="S45" s="21">
        <f t="shared" si="11"/>
        <v>2</v>
      </c>
      <c r="T45" s="625">
        <v>2</v>
      </c>
      <c r="U45" s="630">
        <f>IF(U$3&gt;0,1,0)</f>
        <v>0</v>
      </c>
      <c r="V45" s="615">
        <v>0</v>
      </c>
      <c r="W45" s="21">
        <f t="shared" si="12"/>
        <v>2</v>
      </c>
    </row>
    <row r="46" spans="1:23" x14ac:dyDescent="0.25">
      <c r="A46" s="1933"/>
      <c r="B46" s="19" t="s">
        <v>33</v>
      </c>
      <c r="C46" s="620"/>
      <c r="D46" s="625">
        <v>3</v>
      </c>
      <c r="E46" s="630">
        <f>IF(E$3&gt;0,1.5,0)</f>
        <v>0</v>
      </c>
      <c r="F46" s="615">
        <v>0</v>
      </c>
      <c r="G46" s="21">
        <f t="shared" si="4"/>
        <v>3</v>
      </c>
      <c r="H46" s="625">
        <v>3</v>
      </c>
      <c r="I46" s="630">
        <f>IF(I$3&gt;0,1.5,0)</f>
        <v>0</v>
      </c>
      <c r="J46" s="615">
        <v>0</v>
      </c>
      <c r="K46" s="21">
        <f t="shared" si="9"/>
        <v>3</v>
      </c>
      <c r="L46" s="625">
        <v>3</v>
      </c>
      <c r="M46" s="630">
        <f>IF(M$3&gt;0,1.5,0)</f>
        <v>0</v>
      </c>
      <c r="N46" s="615">
        <v>0</v>
      </c>
      <c r="O46" s="21">
        <f t="shared" si="10"/>
        <v>3</v>
      </c>
      <c r="P46" s="625">
        <v>3</v>
      </c>
      <c r="Q46" s="630">
        <f>IF(Q$3&gt;0,1.5,0)</f>
        <v>0</v>
      </c>
      <c r="R46" s="615">
        <v>0</v>
      </c>
      <c r="S46" s="21">
        <f t="shared" si="11"/>
        <v>3</v>
      </c>
      <c r="T46" s="625">
        <v>3</v>
      </c>
      <c r="U46" s="630">
        <f>IF(U$3&gt;0,1.5,0)</f>
        <v>0</v>
      </c>
      <c r="V46" s="615">
        <v>0</v>
      </c>
      <c r="W46" s="21">
        <f t="shared" si="12"/>
        <v>3</v>
      </c>
    </row>
    <row r="47" spans="1:23" x14ac:dyDescent="0.25">
      <c r="A47" s="1933"/>
      <c r="B47" s="19" t="s">
        <v>34</v>
      </c>
      <c r="C47" s="620"/>
      <c r="D47" s="625">
        <v>4</v>
      </c>
      <c r="E47" s="630">
        <f>IF(E$3&gt;0,2,0)</f>
        <v>0</v>
      </c>
      <c r="F47" s="615">
        <v>0</v>
      </c>
      <c r="G47" s="21">
        <f t="shared" si="4"/>
        <v>4</v>
      </c>
      <c r="H47" s="625">
        <v>4</v>
      </c>
      <c r="I47" s="630">
        <f>IF(I$3&gt;0,2,0)</f>
        <v>0</v>
      </c>
      <c r="J47" s="615">
        <v>0</v>
      </c>
      <c r="K47" s="21">
        <f t="shared" si="9"/>
        <v>4</v>
      </c>
      <c r="L47" s="625">
        <v>4</v>
      </c>
      <c r="M47" s="630">
        <f>IF(M$3&gt;0,2,0)</f>
        <v>0</v>
      </c>
      <c r="N47" s="615">
        <v>0</v>
      </c>
      <c r="O47" s="21">
        <f t="shared" si="10"/>
        <v>4</v>
      </c>
      <c r="P47" s="625">
        <v>4</v>
      </c>
      <c r="Q47" s="630">
        <f>IF(Q$3&gt;0,2,0)</f>
        <v>0</v>
      </c>
      <c r="R47" s="615">
        <v>0</v>
      </c>
      <c r="S47" s="21">
        <f t="shared" si="11"/>
        <v>4</v>
      </c>
      <c r="T47" s="625">
        <v>4</v>
      </c>
      <c r="U47" s="630">
        <f>IF(U$3&gt;0,2,0)</f>
        <v>0</v>
      </c>
      <c r="V47" s="615">
        <v>0</v>
      </c>
      <c r="W47" s="21">
        <f t="shared" si="12"/>
        <v>4</v>
      </c>
    </row>
    <row r="48" spans="1:23" x14ac:dyDescent="0.25">
      <c r="A48" s="1933" t="s">
        <v>16</v>
      </c>
      <c r="B48" s="19" t="s">
        <v>32</v>
      </c>
      <c r="C48" s="620"/>
      <c r="D48" s="631">
        <f>1*D$3</f>
        <v>0</v>
      </c>
      <c r="E48" s="630">
        <f>IF(E$3&gt;0,1,0)</f>
        <v>0</v>
      </c>
      <c r="F48" s="623">
        <v>0</v>
      </c>
      <c r="G48" s="21">
        <f t="shared" si="4"/>
        <v>0</v>
      </c>
      <c r="H48" s="631">
        <f>1*H$3</f>
        <v>0</v>
      </c>
      <c r="I48" s="630">
        <f>IF(I$3&gt;0,1,0)</f>
        <v>0</v>
      </c>
      <c r="J48" s="623">
        <v>0</v>
      </c>
      <c r="K48" s="21">
        <f t="shared" si="9"/>
        <v>0</v>
      </c>
      <c r="L48" s="631">
        <f>1*L$3</f>
        <v>0</v>
      </c>
      <c r="M48" s="630">
        <f>IF(M$3&gt;0,1,0)</f>
        <v>0</v>
      </c>
      <c r="N48" s="623">
        <v>0</v>
      </c>
      <c r="O48" s="21">
        <f t="shared" si="10"/>
        <v>0</v>
      </c>
      <c r="P48" s="631">
        <f>1*P$3</f>
        <v>0</v>
      </c>
      <c r="Q48" s="630">
        <f>IF(Q$3&gt;0,1,0)</f>
        <v>0</v>
      </c>
      <c r="R48" s="623">
        <v>0</v>
      </c>
      <c r="S48" s="21">
        <f t="shared" si="11"/>
        <v>0</v>
      </c>
      <c r="T48" s="631">
        <f>1*T$3</f>
        <v>0</v>
      </c>
      <c r="U48" s="630">
        <f>IF(U$3&gt;0,1,0)</f>
        <v>0</v>
      </c>
      <c r="V48" s="623">
        <v>0</v>
      </c>
      <c r="W48" s="21">
        <f t="shared" si="12"/>
        <v>0</v>
      </c>
    </row>
    <row r="49" spans="1:23" x14ac:dyDescent="0.25">
      <c r="A49" s="1933"/>
      <c r="B49" s="19" t="s">
        <v>33</v>
      </c>
      <c r="C49" s="620"/>
      <c r="D49" s="631">
        <f>2*D$3</f>
        <v>0</v>
      </c>
      <c r="E49" s="630">
        <f>IF(E$3&gt;0,1.5,0)</f>
        <v>0</v>
      </c>
      <c r="F49" s="623">
        <v>0</v>
      </c>
      <c r="G49" s="21">
        <f t="shared" si="4"/>
        <v>0</v>
      </c>
      <c r="H49" s="631">
        <f>2*H$3</f>
        <v>0</v>
      </c>
      <c r="I49" s="630">
        <f>IF(I$3&gt;0,1.5,0)</f>
        <v>0</v>
      </c>
      <c r="J49" s="623">
        <v>0</v>
      </c>
      <c r="K49" s="21">
        <f t="shared" si="9"/>
        <v>0</v>
      </c>
      <c r="L49" s="631">
        <f>2*L$3</f>
        <v>0</v>
      </c>
      <c r="M49" s="630">
        <f>IF(M$3&gt;0,1.5,0)</f>
        <v>0</v>
      </c>
      <c r="N49" s="623">
        <v>0</v>
      </c>
      <c r="O49" s="21">
        <f t="shared" si="10"/>
        <v>0</v>
      </c>
      <c r="P49" s="631">
        <f>2*P$3</f>
        <v>0</v>
      </c>
      <c r="Q49" s="630">
        <f>IF(Q$3&gt;0,1.5,0)</f>
        <v>0</v>
      </c>
      <c r="R49" s="623">
        <v>0</v>
      </c>
      <c r="S49" s="21">
        <f t="shared" si="11"/>
        <v>0</v>
      </c>
      <c r="T49" s="631">
        <f>2*T$3</f>
        <v>0</v>
      </c>
      <c r="U49" s="630">
        <f>IF(U$3&gt;0,1.5,0)</f>
        <v>0</v>
      </c>
      <c r="V49" s="623">
        <v>0</v>
      </c>
      <c r="W49" s="21">
        <f t="shared" si="12"/>
        <v>0</v>
      </c>
    </row>
    <row r="50" spans="1:23" x14ac:dyDescent="0.25">
      <c r="A50" s="1933"/>
      <c r="B50" s="19" t="s">
        <v>34</v>
      </c>
      <c r="C50" s="620"/>
      <c r="D50" s="631">
        <f>3*D$3</f>
        <v>0</v>
      </c>
      <c r="E50" s="630">
        <f>IF(E$3&gt;0,2,0)</f>
        <v>0</v>
      </c>
      <c r="F50" s="623">
        <v>0</v>
      </c>
      <c r="G50" s="21">
        <f t="shared" si="4"/>
        <v>0</v>
      </c>
      <c r="H50" s="631">
        <f>3*H$3</f>
        <v>0</v>
      </c>
      <c r="I50" s="630">
        <f>IF(I$3&gt;0,2,0)</f>
        <v>0</v>
      </c>
      <c r="J50" s="623">
        <v>0</v>
      </c>
      <c r="K50" s="21">
        <f t="shared" si="9"/>
        <v>0</v>
      </c>
      <c r="L50" s="631">
        <f>3*L$3</f>
        <v>0</v>
      </c>
      <c r="M50" s="630">
        <f>IF(M$3&gt;0,2,0)</f>
        <v>0</v>
      </c>
      <c r="N50" s="623">
        <v>0</v>
      </c>
      <c r="O50" s="21">
        <f t="shared" si="10"/>
        <v>0</v>
      </c>
      <c r="P50" s="631">
        <f>3*P$3</f>
        <v>0</v>
      </c>
      <c r="Q50" s="630">
        <f>IF(Q$3&gt;0,2,0)</f>
        <v>0</v>
      </c>
      <c r="R50" s="623">
        <v>0</v>
      </c>
      <c r="S50" s="21">
        <f t="shared" si="11"/>
        <v>0</v>
      </c>
      <c r="T50" s="631">
        <f>3*T$3</f>
        <v>0</v>
      </c>
      <c r="U50" s="630">
        <f>IF(U$3&gt;0,2,0)</f>
        <v>0</v>
      </c>
      <c r="V50" s="623">
        <v>0</v>
      </c>
      <c r="W50" s="21">
        <f t="shared" si="12"/>
        <v>0</v>
      </c>
    </row>
    <row r="51" spans="1:23" x14ac:dyDescent="0.25">
      <c r="A51" s="1933" t="s">
        <v>17</v>
      </c>
      <c r="B51" s="19" t="s">
        <v>32</v>
      </c>
      <c r="C51" s="620"/>
      <c r="D51" s="631">
        <f>1*D$3</f>
        <v>0</v>
      </c>
      <c r="E51" s="630">
        <f>IF(E$3&gt;0,1,0)</f>
        <v>0</v>
      </c>
      <c r="F51" s="623">
        <v>0</v>
      </c>
      <c r="G51" s="21">
        <f t="shared" si="4"/>
        <v>0</v>
      </c>
      <c r="H51" s="631">
        <f>1*H$3</f>
        <v>0</v>
      </c>
      <c r="I51" s="630">
        <f>IF(I$3&gt;0,1,0)</f>
        <v>0</v>
      </c>
      <c r="J51" s="623">
        <v>0</v>
      </c>
      <c r="K51" s="21">
        <f t="shared" si="9"/>
        <v>0</v>
      </c>
      <c r="L51" s="631">
        <f>1*L$3</f>
        <v>0</v>
      </c>
      <c r="M51" s="630">
        <f>IF(M$3&gt;0,1,0)</f>
        <v>0</v>
      </c>
      <c r="N51" s="623">
        <v>0</v>
      </c>
      <c r="O51" s="21">
        <f t="shared" si="10"/>
        <v>0</v>
      </c>
      <c r="P51" s="631">
        <f>1*P$3</f>
        <v>0</v>
      </c>
      <c r="Q51" s="630">
        <f>IF(Q$3&gt;0,1,0)</f>
        <v>0</v>
      </c>
      <c r="R51" s="623">
        <v>0</v>
      </c>
      <c r="S51" s="21">
        <f t="shared" si="11"/>
        <v>0</v>
      </c>
      <c r="T51" s="631">
        <f>1*T$3</f>
        <v>0</v>
      </c>
      <c r="U51" s="630">
        <f>IF(U$3&gt;0,1,0)</f>
        <v>0</v>
      </c>
      <c r="V51" s="623">
        <v>0</v>
      </c>
      <c r="W51" s="21">
        <f t="shared" si="12"/>
        <v>0</v>
      </c>
    </row>
    <row r="52" spans="1:23" x14ac:dyDescent="0.25">
      <c r="A52" s="1933"/>
      <c r="B52" s="19" t="s">
        <v>33</v>
      </c>
      <c r="C52" s="620"/>
      <c r="D52" s="631">
        <f>1.5*D$3</f>
        <v>0</v>
      </c>
      <c r="E52" s="630">
        <f>IF(E$3&gt;0,1.5,0)</f>
        <v>0</v>
      </c>
      <c r="F52" s="623">
        <v>0</v>
      </c>
      <c r="G52" s="21">
        <f t="shared" si="4"/>
        <v>0</v>
      </c>
      <c r="H52" s="631">
        <f>1.5*H$3</f>
        <v>0</v>
      </c>
      <c r="I52" s="630">
        <f>IF(I$3&gt;0,1.5,0)</f>
        <v>0</v>
      </c>
      <c r="J52" s="623">
        <v>0</v>
      </c>
      <c r="K52" s="21">
        <f t="shared" si="9"/>
        <v>0</v>
      </c>
      <c r="L52" s="631">
        <f>1.5*L$3</f>
        <v>0</v>
      </c>
      <c r="M52" s="630">
        <f>IF(M$3&gt;0,1.5,0)</f>
        <v>0</v>
      </c>
      <c r="N52" s="623">
        <v>0</v>
      </c>
      <c r="O52" s="21">
        <f t="shared" si="10"/>
        <v>0</v>
      </c>
      <c r="P52" s="631">
        <f>1.5*P$3</f>
        <v>0</v>
      </c>
      <c r="Q52" s="630">
        <f>IF(Q$3&gt;0,1.5,0)</f>
        <v>0</v>
      </c>
      <c r="R52" s="623">
        <v>0</v>
      </c>
      <c r="S52" s="21">
        <f t="shared" si="11"/>
        <v>0</v>
      </c>
      <c r="T52" s="631">
        <f>1.5*T$3</f>
        <v>0</v>
      </c>
      <c r="U52" s="630">
        <f>IF(U$3&gt;0,1.5,0)</f>
        <v>0</v>
      </c>
      <c r="V52" s="623">
        <v>0</v>
      </c>
      <c r="W52" s="21">
        <f t="shared" si="12"/>
        <v>0</v>
      </c>
    </row>
    <row r="53" spans="1:23" x14ac:dyDescent="0.25">
      <c r="A53" s="1933"/>
      <c r="B53" s="19" t="s">
        <v>34</v>
      </c>
      <c r="C53" s="620"/>
      <c r="D53" s="631">
        <f>2*D$3</f>
        <v>0</v>
      </c>
      <c r="E53" s="630">
        <f>IF(E$3&gt;0,2,0)</f>
        <v>0</v>
      </c>
      <c r="F53" s="623">
        <v>0</v>
      </c>
      <c r="G53" s="21">
        <f t="shared" si="4"/>
        <v>0</v>
      </c>
      <c r="H53" s="631">
        <f>2*H$3</f>
        <v>0</v>
      </c>
      <c r="I53" s="630">
        <f>IF(I$3&gt;0,2,0)</f>
        <v>0</v>
      </c>
      <c r="J53" s="623">
        <v>0</v>
      </c>
      <c r="K53" s="21">
        <f t="shared" si="9"/>
        <v>0</v>
      </c>
      <c r="L53" s="631">
        <f>2*L$3</f>
        <v>0</v>
      </c>
      <c r="M53" s="630">
        <f>IF(M$3&gt;0,2,0)</f>
        <v>0</v>
      </c>
      <c r="N53" s="623">
        <v>0</v>
      </c>
      <c r="O53" s="21">
        <f t="shared" si="10"/>
        <v>0</v>
      </c>
      <c r="P53" s="631">
        <f>2*P$3</f>
        <v>0</v>
      </c>
      <c r="Q53" s="630">
        <f>IF(Q$3&gt;0,2,0)</f>
        <v>0</v>
      </c>
      <c r="R53" s="623">
        <v>0</v>
      </c>
      <c r="S53" s="21">
        <f t="shared" si="11"/>
        <v>0</v>
      </c>
      <c r="T53" s="631">
        <f>2*T$3</f>
        <v>0</v>
      </c>
      <c r="U53" s="630">
        <f>IF(U$3&gt;0,2,0)</f>
        <v>0</v>
      </c>
      <c r="V53" s="623">
        <v>0</v>
      </c>
      <c r="W53" s="21">
        <f t="shared" si="12"/>
        <v>0</v>
      </c>
    </row>
    <row r="54" spans="1:23" x14ac:dyDescent="0.25">
      <c r="A54" s="1933" t="s">
        <v>18</v>
      </c>
      <c r="B54" s="19" t="s">
        <v>32</v>
      </c>
      <c r="C54" s="620"/>
      <c r="D54" s="631">
        <f>1*D$3</f>
        <v>0</v>
      </c>
      <c r="E54" s="630">
        <f>IF(E$3&gt;0,1,0)</f>
        <v>0</v>
      </c>
      <c r="F54" s="625">
        <v>0</v>
      </c>
      <c r="G54" s="21">
        <f t="shared" si="4"/>
        <v>0</v>
      </c>
      <c r="H54" s="631">
        <f>1*H$3</f>
        <v>0</v>
      </c>
      <c r="I54" s="630">
        <f>IF(I$3&gt;0,1,0)</f>
        <v>0</v>
      </c>
      <c r="J54" s="625">
        <v>0</v>
      </c>
      <c r="K54" s="21">
        <f t="shared" si="9"/>
        <v>0</v>
      </c>
      <c r="L54" s="631">
        <f>1*L$3</f>
        <v>0</v>
      </c>
      <c r="M54" s="630">
        <f>IF(M$3&gt;0,1,0)</f>
        <v>0</v>
      </c>
      <c r="N54" s="625">
        <v>0</v>
      </c>
      <c r="O54" s="21">
        <f t="shared" si="10"/>
        <v>0</v>
      </c>
      <c r="P54" s="631">
        <f>1*P$3</f>
        <v>0</v>
      </c>
      <c r="Q54" s="630">
        <f>IF(Q$3&gt;0,1,0)</f>
        <v>0</v>
      </c>
      <c r="R54" s="625">
        <v>0</v>
      </c>
      <c r="S54" s="21">
        <f t="shared" si="11"/>
        <v>0</v>
      </c>
      <c r="T54" s="631">
        <f>1*T$3</f>
        <v>0</v>
      </c>
      <c r="U54" s="630">
        <f>IF(U$3&gt;0,1,0)</f>
        <v>0</v>
      </c>
      <c r="V54" s="625">
        <v>0</v>
      </c>
      <c r="W54" s="21">
        <f t="shared" si="12"/>
        <v>0</v>
      </c>
    </row>
    <row r="55" spans="1:23" x14ac:dyDescent="0.25">
      <c r="A55" s="1933"/>
      <c r="B55" s="19" t="s">
        <v>33</v>
      </c>
      <c r="C55" s="620"/>
      <c r="D55" s="631">
        <f>1.5*D$3</f>
        <v>0</v>
      </c>
      <c r="E55" s="630">
        <f>IF(E$3&gt;0,1.5,0)</f>
        <v>0</v>
      </c>
      <c r="F55" s="625">
        <v>0</v>
      </c>
      <c r="G55" s="21">
        <f t="shared" si="4"/>
        <v>0</v>
      </c>
      <c r="H55" s="631">
        <f>1.5*H$3</f>
        <v>0</v>
      </c>
      <c r="I55" s="630">
        <f>IF(I$3&gt;0,1.5,0)</f>
        <v>0</v>
      </c>
      <c r="J55" s="625">
        <v>0</v>
      </c>
      <c r="K55" s="21">
        <f t="shared" si="9"/>
        <v>0</v>
      </c>
      <c r="L55" s="631">
        <f>1.5*L$3</f>
        <v>0</v>
      </c>
      <c r="M55" s="630">
        <f>IF(M$3&gt;0,1.5,0)</f>
        <v>0</v>
      </c>
      <c r="N55" s="625">
        <v>0</v>
      </c>
      <c r="O55" s="21">
        <f t="shared" si="10"/>
        <v>0</v>
      </c>
      <c r="P55" s="631">
        <f>1.5*P$3</f>
        <v>0</v>
      </c>
      <c r="Q55" s="630">
        <f>IF(Q$3&gt;0,1.5,0)</f>
        <v>0</v>
      </c>
      <c r="R55" s="625">
        <v>0</v>
      </c>
      <c r="S55" s="21">
        <f t="shared" si="11"/>
        <v>0</v>
      </c>
      <c r="T55" s="631">
        <f>1.5*T$3</f>
        <v>0</v>
      </c>
      <c r="U55" s="630">
        <f>IF(U$3&gt;0,1.5,0)</f>
        <v>0</v>
      </c>
      <c r="V55" s="625">
        <v>0</v>
      </c>
      <c r="W55" s="21">
        <f t="shared" si="12"/>
        <v>0</v>
      </c>
    </row>
    <row r="56" spans="1:23" x14ac:dyDescent="0.25">
      <c r="A56" s="1933"/>
      <c r="B56" s="19" t="s">
        <v>34</v>
      </c>
      <c r="C56" s="620"/>
      <c r="D56" s="631">
        <f>2*D$3</f>
        <v>0</v>
      </c>
      <c r="E56" s="630">
        <f>IF(E$3&gt;0,2,0)</f>
        <v>0</v>
      </c>
      <c r="F56" s="625">
        <v>0</v>
      </c>
      <c r="G56" s="21">
        <f t="shared" si="4"/>
        <v>0</v>
      </c>
      <c r="H56" s="631">
        <f>2*H$3</f>
        <v>0</v>
      </c>
      <c r="I56" s="630">
        <f>IF(I$3&gt;0,2,0)</f>
        <v>0</v>
      </c>
      <c r="J56" s="625">
        <v>0</v>
      </c>
      <c r="K56" s="21">
        <f t="shared" si="9"/>
        <v>0</v>
      </c>
      <c r="L56" s="631">
        <f>2*L$3</f>
        <v>0</v>
      </c>
      <c r="M56" s="630">
        <f>IF(M$3&gt;0,2,0)</f>
        <v>0</v>
      </c>
      <c r="N56" s="625">
        <v>0</v>
      </c>
      <c r="O56" s="21">
        <f t="shared" si="10"/>
        <v>0</v>
      </c>
      <c r="P56" s="631">
        <f>2*P$3</f>
        <v>0</v>
      </c>
      <c r="Q56" s="630">
        <f>IF(Q$3&gt;0,2,0)</f>
        <v>0</v>
      </c>
      <c r="R56" s="625">
        <v>0</v>
      </c>
      <c r="S56" s="21">
        <f t="shared" si="11"/>
        <v>0</v>
      </c>
      <c r="T56" s="631">
        <f>2*T$3</f>
        <v>0</v>
      </c>
      <c r="U56" s="630">
        <f>IF(U$3&gt;0,2,0)</f>
        <v>0</v>
      </c>
      <c r="V56" s="625">
        <v>0</v>
      </c>
      <c r="W56" s="21">
        <f t="shared" si="12"/>
        <v>0</v>
      </c>
    </row>
    <row r="57" spans="1:23" x14ac:dyDescent="0.25">
      <c r="A57" s="1933" t="s">
        <v>19</v>
      </c>
      <c r="B57" s="19" t="s">
        <v>32</v>
      </c>
      <c r="C57" s="620"/>
      <c r="D57" s="625">
        <v>4</v>
      </c>
      <c r="E57" s="616">
        <v>0</v>
      </c>
      <c r="F57" s="616">
        <v>0</v>
      </c>
      <c r="G57" s="21">
        <f t="shared" si="4"/>
        <v>4</v>
      </c>
      <c r="H57" s="625">
        <v>4</v>
      </c>
      <c r="I57" s="616">
        <v>0</v>
      </c>
      <c r="J57" s="616">
        <v>0</v>
      </c>
      <c r="K57" s="21">
        <f t="shared" si="9"/>
        <v>4</v>
      </c>
      <c r="L57" s="625">
        <v>4</v>
      </c>
      <c r="M57" s="616">
        <v>0</v>
      </c>
      <c r="N57" s="616">
        <v>0</v>
      </c>
      <c r="O57" s="21">
        <f t="shared" si="10"/>
        <v>4</v>
      </c>
      <c r="P57" s="625">
        <v>4</v>
      </c>
      <c r="Q57" s="616">
        <v>0</v>
      </c>
      <c r="R57" s="616">
        <v>0</v>
      </c>
      <c r="S57" s="21">
        <f t="shared" si="11"/>
        <v>4</v>
      </c>
      <c r="T57" s="625">
        <v>4</v>
      </c>
      <c r="U57" s="616">
        <v>0</v>
      </c>
      <c r="V57" s="616">
        <v>0</v>
      </c>
      <c r="W57" s="21">
        <f t="shared" si="12"/>
        <v>4</v>
      </c>
    </row>
    <row r="58" spans="1:23" x14ac:dyDescent="0.25">
      <c r="A58" s="1933"/>
      <c r="B58" s="19" t="s">
        <v>33</v>
      </c>
      <c r="C58" s="620"/>
      <c r="D58" s="625">
        <v>6</v>
      </c>
      <c r="E58" s="616">
        <v>0</v>
      </c>
      <c r="F58" s="616">
        <v>0</v>
      </c>
      <c r="G58" s="21">
        <f t="shared" si="4"/>
        <v>6</v>
      </c>
      <c r="H58" s="625">
        <v>6</v>
      </c>
      <c r="I58" s="616">
        <v>0</v>
      </c>
      <c r="J58" s="616">
        <v>0</v>
      </c>
      <c r="K58" s="21">
        <f t="shared" si="9"/>
        <v>6</v>
      </c>
      <c r="L58" s="625">
        <v>6</v>
      </c>
      <c r="M58" s="616">
        <v>0</v>
      </c>
      <c r="N58" s="616">
        <v>0</v>
      </c>
      <c r="O58" s="21">
        <f t="shared" si="10"/>
        <v>6</v>
      </c>
      <c r="P58" s="625">
        <v>6</v>
      </c>
      <c r="Q58" s="616">
        <v>0</v>
      </c>
      <c r="R58" s="616">
        <v>0</v>
      </c>
      <c r="S58" s="21">
        <f t="shared" si="11"/>
        <v>6</v>
      </c>
      <c r="T58" s="625">
        <v>6</v>
      </c>
      <c r="U58" s="616">
        <v>0</v>
      </c>
      <c r="V58" s="616">
        <v>0</v>
      </c>
      <c r="W58" s="21">
        <f t="shared" si="12"/>
        <v>6</v>
      </c>
    </row>
    <row r="59" spans="1:23" x14ac:dyDescent="0.25">
      <c r="A59" s="1933"/>
      <c r="B59" s="19" t="s">
        <v>34</v>
      </c>
      <c r="C59" s="620"/>
      <c r="D59" s="625">
        <v>8</v>
      </c>
      <c r="E59" s="616">
        <v>0</v>
      </c>
      <c r="F59" s="616">
        <v>0</v>
      </c>
      <c r="G59" s="21">
        <f t="shared" si="4"/>
        <v>8</v>
      </c>
      <c r="H59" s="625">
        <v>8</v>
      </c>
      <c r="I59" s="616">
        <v>0</v>
      </c>
      <c r="J59" s="616">
        <v>0</v>
      </c>
      <c r="K59" s="21">
        <f t="shared" si="9"/>
        <v>8</v>
      </c>
      <c r="L59" s="625">
        <v>8</v>
      </c>
      <c r="M59" s="616">
        <v>0</v>
      </c>
      <c r="N59" s="616">
        <v>0</v>
      </c>
      <c r="O59" s="21">
        <f t="shared" si="10"/>
        <v>8</v>
      </c>
      <c r="P59" s="625">
        <v>8</v>
      </c>
      <c r="Q59" s="616">
        <v>0</v>
      </c>
      <c r="R59" s="616">
        <v>0</v>
      </c>
      <c r="S59" s="21">
        <f t="shared" si="11"/>
        <v>8</v>
      </c>
      <c r="T59" s="625">
        <v>8</v>
      </c>
      <c r="U59" s="616">
        <v>0</v>
      </c>
      <c r="V59" s="616">
        <v>0</v>
      </c>
      <c r="W59" s="21">
        <f t="shared" si="12"/>
        <v>8</v>
      </c>
    </row>
    <row r="60" spans="1:23" x14ac:dyDescent="0.25">
      <c r="A60" s="1933" t="s">
        <v>451</v>
      </c>
      <c r="B60" s="19" t="s">
        <v>32</v>
      </c>
      <c r="C60" s="620"/>
      <c r="D60" s="631">
        <f>2*D$3</f>
        <v>0</v>
      </c>
      <c r="E60" s="630">
        <f>IF(E$3&gt;0,0.5,0)</f>
        <v>0</v>
      </c>
      <c r="F60" s="616">
        <v>0</v>
      </c>
      <c r="G60" s="21">
        <f t="shared" si="4"/>
        <v>0</v>
      </c>
      <c r="H60" s="631">
        <f>2*H$3</f>
        <v>0</v>
      </c>
      <c r="I60" s="630">
        <f>IF(I$3&gt;0,0.5,0)</f>
        <v>0</v>
      </c>
      <c r="J60" s="616">
        <v>0</v>
      </c>
      <c r="K60" s="21">
        <f t="shared" si="9"/>
        <v>0</v>
      </c>
      <c r="L60" s="631">
        <f>2*L$3</f>
        <v>0</v>
      </c>
      <c r="M60" s="630">
        <f>IF(M$3&gt;0,0.5,0)</f>
        <v>0</v>
      </c>
      <c r="N60" s="616">
        <v>0</v>
      </c>
      <c r="O60" s="21">
        <f t="shared" si="10"/>
        <v>0</v>
      </c>
      <c r="P60" s="631">
        <f>2*P$3</f>
        <v>0</v>
      </c>
      <c r="Q60" s="630">
        <f>IF(Q$3&gt;0,0.5,0)</f>
        <v>0</v>
      </c>
      <c r="R60" s="616">
        <v>0</v>
      </c>
      <c r="S60" s="21">
        <f t="shared" si="11"/>
        <v>0</v>
      </c>
      <c r="T60" s="631">
        <f>2*T$3</f>
        <v>0</v>
      </c>
      <c r="U60" s="630">
        <f>IF(U$3&gt;0,0.5,0)</f>
        <v>0</v>
      </c>
      <c r="V60" s="616">
        <v>0</v>
      </c>
      <c r="W60" s="21">
        <f t="shared" si="12"/>
        <v>0</v>
      </c>
    </row>
    <row r="61" spans="1:23" x14ac:dyDescent="0.25">
      <c r="A61" s="1933"/>
      <c r="B61" s="19" t="s">
        <v>33</v>
      </c>
      <c r="C61" s="620"/>
      <c r="D61" s="631">
        <f>4*D$3</f>
        <v>0</v>
      </c>
      <c r="E61" s="630">
        <f>IF(E$3&gt;0,0.5,0)</f>
        <v>0</v>
      </c>
      <c r="F61" s="616">
        <v>0</v>
      </c>
      <c r="G61" s="21">
        <f t="shared" si="4"/>
        <v>0</v>
      </c>
      <c r="H61" s="631">
        <f>4*H$3</f>
        <v>0</v>
      </c>
      <c r="I61" s="630">
        <f>IF(I$3&gt;0,0.5,0)</f>
        <v>0</v>
      </c>
      <c r="J61" s="616">
        <v>0</v>
      </c>
      <c r="K61" s="21">
        <f t="shared" si="9"/>
        <v>0</v>
      </c>
      <c r="L61" s="631">
        <f>4*L$3</f>
        <v>0</v>
      </c>
      <c r="M61" s="630">
        <f>IF(M$3&gt;0,0.5,0)</f>
        <v>0</v>
      </c>
      <c r="N61" s="616">
        <v>0</v>
      </c>
      <c r="O61" s="21">
        <f t="shared" si="10"/>
        <v>0</v>
      </c>
      <c r="P61" s="631">
        <f>4*P$3</f>
        <v>0</v>
      </c>
      <c r="Q61" s="630">
        <f>IF(Q$3&gt;0,0.5,0)</f>
        <v>0</v>
      </c>
      <c r="R61" s="616">
        <v>0</v>
      </c>
      <c r="S61" s="21">
        <f t="shared" si="11"/>
        <v>0</v>
      </c>
      <c r="T61" s="631">
        <f>4*T$3</f>
        <v>0</v>
      </c>
      <c r="U61" s="630">
        <f>IF(U$3&gt;0,0.5,0)</f>
        <v>0</v>
      </c>
      <c r="V61" s="616">
        <v>0</v>
      </c>
      <c r="W61" s="21">
        <f t="shared" si="12"/>
        <v>0</v>
      </c>
    </row>
    <row r="62" spans="1:23" x14ac:dyDescent="0.25">
      <c r="A62" s="1933"/>
      <c r="B62" s="19" t="s">
        <v>34</v>
      </c>
      <c r="C62" s="620"/>
      <c r="D62" s="631">
        <f>6*D$3</f>
        <v>0</v>
      </c>
      <c r="E62" s="630">
        <f>IF(E$3&gt;0,0.5,0)</f>
        <v>0</v>
      </c>
      <c r="F62" s="616">
        <v>0</v>
      </c>
      <c r="G62" s="21">
        <f t="shared" si="4"/>
        <v>0</v>
      </c>
      <c r="H62" s="631">
        <f>6*H$3</f>
        <v>0</v>
      </c>
      <c r="I62" s="630">
        <f>IF(I$3&gt;0,0.5,0)</f>
        <v>0</v>
      </c>
      <c r="J62" s="616">
        <v>0</v>
      </c>
      <c r="K62" s="21">
        <f t="shared" si="9"/>
        <v>0</v>
      </c>
      <c r="L62" s="631">
        <f>6*L$3</f>
        <v>0</v>
      </c>
      <c r="M62" s="630">
        <f>IF(M$3&gt;0,0.5,0)</f>
        <v>0</v>
      </c>
      <c r="N62" s="616">
        <v>0</v>
      </c>
      <c r="O62" s="21">
        <f t="shared" si="10"/>
        <v>0</v>
      </c>
      <c r="P62" s="631">
        <f>6*P$3</f>
        <v>0</v>
      </c>
      <c r="Q62" s="630">
        <f>IF(Q$3&gt;0,0.5,0)</f>
        <v>0</v>
      </c>
      <c r="R62" s="616">
        <v>0</v>
      </c>
      <c r="S62" s="21">
        <f t="shared" si="11"/>
        <v>0</v>
      </c>
      <c r="T62" s="631">
        <f>6*T$3</f>
        <v>0</v>
      </c>
      <c r="U62" s="630">
        <f>IF(U$3&gt;0,0.5,0)</f>
        <v>0</v>
      </c>
      <c r="V62" s="616">
        <v>0</v>
      </c>
      <c r="W62" s="21">
        <f t="shared" si="12"/>
        <v>0</v>
      </c>
    </row>
    <row r="63" spans="1:23" x14ac:dyDescent="0.25">
      <c r="A63" s="1933" t="s">
        <v>452</v>
      </c>
      <c r="B63" s="19" t="s">
        <v>32</v>
      </c>
      <c r="C63" s="620"/>
      <c r="D63" s="631">
        <f>0.5+(0.25*D$3)</f>
        <v>0.5</v>
      </c>
      <c r="E63" s="630">
        <f>IF(E$3&gt;0,0.5,0)</f>
        <v>0</v>
      </c>
      <c r="F63" s="616">
        <v>0</v>
      </c>
      <c r="G63" s="21">
        <f t="shared" si="4"/>
        <v>0.5</v>
      </c>
      <c r="H63" s="631">
        <f>0.5+(0.25*H$3)</f>
        <v>0.5</v>
      </c>
      <c r="I63" s="630">
        <f>IF(I$3&gt;0,0.5,0)</f>
        <v>0</v>
      </c>
      <c r="J63" s="616">
        <v>0</v>
      </c>
      <c r="K63" s="21">
        <f t="shared" si="9"/>
        <v>0.5</v>
      </c>
      <c r="L63" s="631">
        <f>0.5+(0.25*L$3)</f>
        <v>0.5</v>
      </c>
      <c r="M63" s="630">
        <f>IF(M$3&gt;0,0.5,0)</f>
        <v>0</v>
      </c>
      <c r="N63" s="616">
        <v>0</v>
      </c>
      <c r="O63" s="21">
        <f t="shared" si="10"/>
        <v>0.5</v>
      </c>
      <c r="P63" s="631">
        <f>0.5+(0.25*P$3)</f>
        <v>0.5</v>
      </c>
      <c r="Q63" s="630">
        <f>IF(Q$3&gt;0,0.5,0)</f>
        <v>0</v>
      </c>
      <c r="R63" s="616">
        <v>0</v>
      </c>
      <c r="S63" s="21">
        <f t="shared" si="11"/>
        <v>0.5</v>
      </c>
      <c r="T63" s="631">
        <f>0.5+(0.25*T$3)</f>
        <v>0.5</v>
      </c>
      <c r="U63" s="630">
        <f>IF(U$3&gt;0,0.5,0)</f>
        <v>0</v>
      </c>
      <c r="V63" s="616">
        <v>0</v>
      </c>
      <c r="W63" s="21">
        <f t="shared" si="12"/>
        <v>0.5</v>
      </c>
    </row>
    <row r="64" spans="1:23" x14ac:dyDescent="0.25">
      <c r="A64" s="1933"/>
      <c r="B64" s="19" t="s">
        <v>33</v>
      </c>
      <c r="C64" s="620"/>
      <c r="D64" s="631">
        <f>0.75+(0.25*D$3)</f>
        <v>0.75</v>
      </c>
      <c r="E64" s="630">
        <f>IF(E$3&gt;0,1,0)</f>
        <v>0</v>
      </c>
      <c r="F64" s="616">
        <v>0</v>
      </c>
      <c r="G64" s="21">
        <f t="shared" si="4"/>
        <v>0.75</v>
      </c>
      <c r="H64" s="631">
        <f>0.75+(0.25*H$3)</f>
        <v>0.75</v>
      </c>
      <c r="I64" s="630">
        <f>IF(I$3&gt;0,1,0)</f>
        <v>0</v>
      </c>
      <c r="J64" s="616">
        <v>0</v>
      </c>
      <c r="K64" s="21">
        <f t="shared" si="9"/>
        <v>0.75</v>
      </c>
      <c r="L64" s="631">
        <f>0.75+(0.25*L$3)</f>
        <v>0.75</v>
      </c>
      <c r="M64" s="630">
        <f>IF(M$3&gt;0,1,0)</f>
        <v>0</v>
      </c>
      <c r="N64" s="616">
        <v>0</v>
      </c>
      <c r="O64" s="21">
        <f t="shared" si="10"/>
        <v>0.75</v>
      </c>
      <c r="P64" s="631">
        <f>0.75+(0.25*P$3)</f>
        <v>0.75</v>
      </c>
      <c r="Q64" s="630">
        <f>IF(Q$3&gt;0,1,0)</f>
        <v>0</v>
      </c>
      <c r="R64" s="616">
        <v>0</v>
      </c>
      <c r="S64" s="21">
        <f t="shared" si="11"/>
        <v>0.75</v>
      </c>
      <c r="T64" s="631">
        <f>0.75+(0.25*T$3)</f>
        <v>0.75</v>
      </c>
      <c r="U64" s="630">
        <f>IF(U$3&gt;0,1,0)</f>
        <v>0</v>
      </c>
      <c r="V64" s="616">
        <v>0</v>
      </c>
      <c r="W64" s="21">
        <f t="shared" si="12"/>
        <v>0.75</v>
      </c>
    </row>
    <row r="65" spans="1:23" x14ac:dyDescent="0.25">
      <c r="A65" s="1933"/>
      <c r="B65" s="19" t="s">
        <v>34</v>
      </c>
      <c r="C65" s="620"/>
      <c r="D65" s="631">
        <f>1+(0.25*D$3)</f>
        <v>1</v>
      </c>
      <c r="E65" s="630">
        <f>IF(E$3&gt;0,1.5,0)</f>
        <v>0</v>
      </c>
      <c r="F65" s="616">
        <v>0</v>
      </c>
      <c r="G65" s="21">
        <f t="shared" si="4"/>
        <v>1</v>
      </c>
      <c r="H65" s="631">
        <f>1+(0.25*H$3)</f>
        <v>1</v>
      </c>
      <c r="I65" s="630">
        <f>IF(I$3&gt;0,1.5,0)</f>
        <v>0</v>
      </c>
      <c r="J65" s="616">
        <v>0</v>
      </c>
      <c r="K65" s="21">
        <f t="shared" si="9"/>
        <v>1</v>
      </c>
      <c r="L65" s="631">
        <f>1+(0.25*L$3)</f>
        <v>1</v>
      </c>
      <c r="M65" s="630">
        <f>IF(M$3&gt;0,1.5,0)</f>
        <v>0</v>
      </c>
      <c r="N65" s="616">
        <v>0</v>
      </c>
      <c r="O65" s="21">
        <f t="shared" si="10"/>
        <v>1</v>
      </c>
      <c r="P65" s="631">
        <f>1+(0.25*P$3)</f>
        <v>1</v>
      </c>
      <c r="Q65" s="630">
        <f>IF(Q$3&gt;0,1.5,0)</f>
        <v>0</v>
      </c>
      <c r="R65" s="616">
        <v>0</v>
      </c>
      <c r="S65" s="21">
        <f t="shared" si="11"/>
        <v>1</v>
      </c>
      <c r="T65" s="631">
        <f>1+(0.25*T$3)</f>
        <v>1</v>
      </c>
      <c r="U65" s="630">
        <f>IF(U$3&gt;0,1.5,0)</f>
        <v>0</v>
      </c>
      <c r="V65" s="616">
        <v>0</v>
      </c>
      <c r="W65" s="21">
        <f t="shared" si="12"/>
        <v>1</v>
      </c>
    </row>
    <row r="66" spans="1:23" x14ac:dyDescent="0.25">
      <c r="A66" s="1936" t="s">
        <v>533</v>
      </c>
      <c r="B66" s="19" t="s">
        <v>32</v>
      </c>
      <c r="C66" s="620"/>
      <c r="D66" s="631">
        <f>4+(0.5*D$3)</f>
        <v>4</v>
      </c>
      <c r="E66" s="631">
        <f t="shared" ref="E66:E71" si="13">IF(D$3&gt;0, 0.5,0)</f>
        <v>0</v>
      </c>
      <c r="F66" s="616">
        <v>0</v>
      </c>
      <c r="G66" s="21">
        <f t="shared" si="4"/>
        <v>4</v>
      </c>
      <c r="H66" s="631">
        <f>4+(0.5*H$3)</f>
        <v>4</v>
      </c>
      <c r="I66" s="631">
        <f t="shared" ref="I66:I71" si="14">IF(H$3&gt;0, 0.5,0)</f>
        <v>0</v>
      </c>
      <c r="J66" s="616">
        <v>0</v>
      </c>
      <c r="K66" s="21">
        <f t="shared" si="9"/>
        <v>4</v>
      </c>
      <c r="L66" s="631">
        <f>4+(0.5*L$3)</f>
        <v>4</v>
      </c>
      <c r="M66" s="631">
        <f t="shared" ref="M66:M71" si="15">IF(L$3&gt;0, 0.5,0)</f>
        <v>0</v>
      </c>
      <c r="N66" s="616">
        <v>0</v>
      </c>
      <c r="O66" s="21">
        <f t="shared" si="10"/>
        <v>4</v>
      </c>
      <c r="P66" s="631">
        <f>4+(0.5*P$3)</f>
        <v>4</v>
      </c>
      <c r="Q66" s="631">
        <f t="shared" ref="Q66:Q71" si="16">IF(P$3&gt;0, 0.5,0)</f>
        <v>0</v>
      </c>
      <c r="R66" s="616">
        <v>0</v>
      </c>
      <c r="S66" s="21">
        <f t="shared" si="11"/>
        <v>4</v>
      </c>
      <c r="T66" s="631">
        <f>4+(0.5*T$3)</f>
        <v>4</v>
      </c>
      <c r="U66" s="631">
        <f t="shared" ref="U66:U71" si="17">IF(T$3&gt;0, 0.5,0)</f>
        <v>0</v>
      </c>
      <c r="V66" s="616">
        <v>0</v>
      </c>
      <c r="W66" s="21">
        <f t="shared" si="12"/>
        <v>4</v>
      </c>
    </row>
    <row r="67" spans="1:23" x14ac:dyDescent="0.25">
      <c r="A67" s="1936"/>
      <c r="B67" s="19" t="s">
        <v>33</v>
      </c>
      <c r="C67" s="620"/>
      <c r="D67" s="631">
        <f>6+(0.5*D$3)</f>
        <v>6</v>
      </c>
      <c r="E67" s="631">
        <f t="shared" si="13"/>
        <v>0</v>
      </c>
      <c r="F67" s="616">
        <v>0</v>
      </c>
      <c r="G67" s="21">
        <f t="shared" si="4"/>
        <v>6</v>
      </c>
      <c r="H67" s="631">
        <f>6+(0.5*H$3)</f>
        <v>6</v>
      </c>
      <c r="I67" s="631">
        <f t="shared" si="14"/>
        <v>0</v>
      </c>
      <c r="J67" s="616">
        <v>0</v>
      </c>
      <c r="K67" s="21">
        <f t="shared" si="9"/>
        <v>6</v>
      </c>
      <c r="L67" s="631">
        <f>6+(0.5*L$3)</f>
        <v>6</v>
      </c>
      <c r="M67" s="631">
        <f t="shared" si="15"/>
        <v>0</v>
      </c>
      <c r="N67" s="616">
        <v>0</v>
      </c>
      <c r="O67" s="21">
        <f t="shared" si="10"/>
        <v>6</v>
      </c>
      <c r="P67" s="631">
        <f>6+(0.5*P$3)</f>
        <v>6</v>
      </c>
      <c r="Q67" s="631">
        <f t="shared" si="16"/>
        <v>0</v>
      </c>
      <c r="R67" s="616">
        <v>0</v>
      </c>
      <c r="S67" s="21">
        <f t="shared" si="11"/>
        <v>6</v>
      </c>
      <c r="T67" s="631">
        <f>6+(0.5*T$3)</f>
        <v>6</v>
      </c>
      <c r="U67" s="631">
        <f t="shared" si="17"/>
        <v>0</v>
      </c>
      <c r="V67" s="616">
        <v>0</v>
      </c>
      <c r="W67" s="21">
        <f t="shared" si="12"/>
        <v>6</v>
      </c>
    </row>
    <row r="68" spans="1:23" x14ac:dyDescent="0.25">
      <c r="A68" s="1936"/>
      <c r="B68" s="19" t="s">
        <v>34</v>
      </c>
      <c r="C68" s="620"/>
      <c r="D68" s="631">
        <f>8+(0.5*D$3)</f>
        <v>8</v>
      </c>
      <c r="E68" s="631">
        <f t="shared" si="13"/>
        <v>0</v>
      </c>
      <c r="F68" s="616">
        <v>0</v>
      </c>
      <c r="G68" s="21">
        <f t="shared" si="4"/>
        <v>8</v>
      </c>
      <c r="H68" s="631">
        <f>8+(0.5*H$3)</f>
        <v>8</v>
      </c>
      <c r="I68" s="631">
        <f t="shared" si="14"/>
        <v>0</v>
      </c>
      <c r="J68" s="616">
        <v>0</v>
      </c>
      <c r="K68" s="21">
        <f t="shared" si="9"/>
        <v>8</v>
      </c>
      <c r="L68" s="631">
        <f>8+(0.5*L$3)</f>
        <v>8</v>
      </c>
      <c r="M68" s="631">
        <f t="shared" si="15"/>
        <v>0</v>
      </c>
      <c r="N68" s="616">
        <v>0</v>
      </c>
      <c r="O68" s="21">
        <f t="shared" si="10"/>
        <v>8</v>
      </c>
      <c r="P68" s="631">
        <f>8+(0.5*P$3)</f>
        <v>8</v>
      </c>
      <c r="Q68" s="631">
        <f t="shared" si="16"/>
        <v>0</v>
      </c>
      <c r="R68" s="616">
        <v>0</v>
      </c>
      <c r="S68" s="21">
        <f t="shared" si="11"/>
        <v>8</v>
      </c>
      <c r="T68" s="631">
        <f>8+(0.5*T$3)</f>
        <v>8</v>
      </c>
      <c r="U68" s="631">
        <f t="shared" si="17"/>
        <v>0</v>
      </c>
      <c r="V68" s="616">
        <v>0</v>
      </c>
      <c r="W68" s="21">
        <f t="shared" si="12"/>
        <v>8</v>
      </c>
    </row>
    <row r="69" spans="1:23" x14ac:dyDescent="0.25">
      <c r="A69" s="1933" t="s">
        <v>534</v>
      </c>
      <c r="B69" s="19" t="s">
        <v>32</v>
      </c>
      <c r="C69" s="620"/>
      <c r="D69" s="631">
        <f>4+(0.5*D$3)</f>
        <v>4</v>
      </c>
      <c r="E69" s="631">
        <f t="shared" si="13"/>
        <v>0</v>
      </c>
      <c r="F69" s="616">
        <v>0</v>
      </c>
      <c r="G69" s="21">
        <f t="shared" si="4"/>
        <v>4</v>
      </c>
      <c r="H69" s="631">
        <f>4+(0.5*H$3)</f>
        <v>4</v>
      </c>
      <c r="I69" s="631">
        <f t="shared" si="14"/>
        <v>0</v>
      </c>
      <c r="J69" s="616">
        <v>0</v>
      </c>
      <c r="K69" s="21">
        <f t="shared" si="9"/>
        <v>4</v>
      </c>
      <c r="L69" s="631">
        <f>4+(0.5*L$3)</f>
        <v>4</v>
      </c>
      <c r="M69" s="631">
        <f t="shared" si="15"/>
        <v>0</v>
      </c>
      <c r="N69" s="616">
        <v>0</v>
      </c>
      <c r="O69" s="21">
        <f t="shared" si="10"/>
        <v>4</v>
      </c>
      <c r="P69" s="631">
        <f>4+(0.5*P$3)</f>
        <v>4</v>
      </c>
      <c r="Q69" s="631">
        <f t="shared" si="16"/>
        <v>0</v>
      </c>
      <c r="R69" s="616">
        <v>0</v>
      </c>
      <c r="S69" s="21">
        <f t="shared" si="11"/>
        <v>4</v>
      </c>
      <c r="T69" s="631">
        <f>4+(0.5*T$3)</f>
        <v>4</v>
      </c>
      <c r="U69" s="631">
        <f t="shared" si="17"/>
        <v>0</v>
      </c>
      <c r="V69" s="616">
        <v>0</v>
      </c>
      <c r="W69" s="21">
        <f t="shared" si="12"/>
        <v>4</v>
      </c>
    </row>
    <row r="70" spans="1:23" x14ac:dyDescent="0.25">
      <c r="A70" s="1933"/>
      <c r="B70" s="19" t="s">
        <v>33</v>
      </c>
      <c r="C70" s="620"/>
      <c r="D70" s="631">
        <f>6+(0.5*D$3)</f>
        <v>6</v>
      </c>
      <c r="E70" s="631">
        <f t="shared" si="13"/>
        <v>0</v>
      </c>
      <c r="F70" s="616">
        <v>0</v>
      </c>
      <c r="G70" s="21">
        <f t="shared" si="4"/>
        <v>6</v>
      </c>
      <c r="H70" s="631">
        <f>6+(0.5*H$3)</f>
        <v>6</v>
      </c>
      <c r="I70" s="631">
        <f t="shared" si="14"/>
        <v>0</v>
      </c>
      <c r="J70" s="616">
        <v>0</v>
      </c>
      <c r="K70" s="21">
        <f t="shared" si="9"/>
        <v>6</v>
      </c>
      <c r="L70" s="631">
        <f>6+(0.5*L$3)</f>
        <v>6</v>
      </c>
      <c r="M70" s="631">
        <f t="shared" si="15"/>
        <v>0</v>
      </c>
      <c r="N70" s="616">
        <v>0</v>
      </c>
      <c r="O70" s="21">
        <f t="shared" si="10"/>
        <v>6</v>
      </c>
      <c r="P70" s="631">
        <f>6+(0.5*P$3)</f>
        <v>6</v>
      </c>
      <c r="Q70" s="631">
        <f t="shared" si="16"/>
        <v>0</v>
      </c>
      <c r="R70" s="616">
        <v>0</v>
      </c>
      <c r="S70" s="21">
        <f t="shared" si="11"/>
        <v>6</v>
      </c>
      <c r="T70" s="631">
        <f>6+(0.5*T$3)</f>
        <v>6</v>
      </c>
      <c r="U70" s="631">
        <f t="shared" si="17"/>
        <v>0</v>
      </c>
      <c r="V70" s="616">
        <v>0</v>
      </c>
      <c r="W70" s="21">
        <f t="shared" si="12"/>
        <v>6</v>
      </c>
    </row>
    <row r="71" spans="1:23" x14ac:dyDescent="0.25">
      <c r="A71" s="1933"/>
      <c r="B71" s="19" t="s">
        <v>34</v>
      </c>
      <c r="C71" s="620"/>
      <c r="D71" s="631">
        <f>8+(0.5*D$3)</f>
        <v>8</v>
      </c>
      <c r="E71" s="631">
        <f t="shared" si="13"/>
        <v>0</v>
      </c>
      <c r="F71" s="616">
        <v>0</v>
      </c>
      <c r="G71" s="21">
        <f t="shared" si="4"/>
        <v>8</v>
      </c>
      <c r="H71" s="631">
        <f>8+(0.5*H$3)</f>
        <v>8</v>
      </c>
      <c r="I71" s="631">
        <f t="shared" si="14"/>
        <v>0</v>
      </c>
      <c r="J71" s="616">
        <v>0</v>
      </c>
      <c r="K71" s="21">
        <f t="shared" si="9"/>
        <v>8</v>
      </c>
      <c r="L71" s="631">
        <f>8+(0.5*L$3)</f>
        <v>8</v>
      </c>
      <c r="M71" s="631">
        <f t="shared" si="15"/>
        <v>0</v>
      </c>
      <c r="N71" s="616">
        <v>0</v>
      </c>
      <c r="O71" s="21">
        <f t="shared" si="10"/>
        <v>8</v>
      </c>
      <c r="P71" s="631">
        <f>8+(0.5*P$3)</f>
        <v>8</v>
      </c>
      <c r="Q71" s="631">
        <f t="shared" si="16"/>
        <v>0</v>
      </c>
      <c r="R71" s="616">
        <v>0</v>
      </c>
      <c r="S71" s="21">
        <f t="shared" si="11"/>
        <v>8</v>
      </c>
      <c r="T71" s="631">
        <f>8+(0.5*T$3)</f>
        <v>8</v>
      </c>
      <c r="U71" s="631">
        <f t="shared" si="17"/>
        <v>0</v>
      </c>
      <c r="V71" s="616">
        <v>0</v>
      </c>
      <c r="W71" s="21">
        <f t="shared" si="12"/>
        <v>8</v>
      </c>
    </row>
    <row r="72" spans="1:23" x14ac:dyDescent="0.25">
      <c r="A72" s="1933" t="s">
        <v>20</v>
      </c>
      <c r="B72" s="19" t="s">
        <v>32</v>
      </c>
      <c r="C72" s="620"/>
      <c r="D72" s="625">
        <v>8</v>
      </c>
      <c r="E72" s="615">
        <v>1</v>
      </c>
      <c r="F72" s="623">
        <v>1</v>
      </c>
      <c r="G72" s="21">
        <f t="shared" si="4"/>
        <v>10</v>
      </c>
      <c r="H72" s="625">
        <v>8</v>
      </c>
      <c r="I72" s="615">
        <v>1</v>
      </c>
      <c r="J72" s="623">
        <v>1</v>
      </c>
      <c r="K72" s="21">
        <f t="shared" si="9"/>
        <v>10</v>
      </c>
      <c r="L72" s="625">
        <v>8</v>
      </c>
      <c r="M72" s="615">
        <v>1</v>
      </c>
      <c r="N72" s="623">
        <v>1</v>
      </c>
      <c r="O72" s="21">
        <f t="shared" si="10"/>
        <v>10</v>
      </c>
      <c r="P72" s="625">
        <v>8</v>
      </c>
      <c r="Q72" s="615">
        <v>1</v>
      </c>
      <c r="R72" s="623">
        <v>1</v>
      </c>
      <c r="S72" s="21">
        <f t="shared" si="11"/>
        <v>10</v>
      </c>
      <c r="T72" s="625">
        <v>8</v>
      </c>
      <c r="U72" s="615">
        <v>1</v>
      </c>
      <c r="V72" s="623">
        <v>1</v>
      </c>
      <c r="W72" s="21">
        <f t="shared" si="12"/>
        <v>10</v>
      </c>
    </row>
    <row r="73" spans="1:23" x14ac:dyDescent="0.25">
      <c r="A73" s="1933"/>
      <c r="B73" s="19" t="s">
        <v>33</v>
      </c>
      <c r="C73" s="620"/>
      <c r="D73" s="625">
        <v>10</v>
      </c>
      <c r="E73" s="615">
        <v>2</v>
      </c>
      <c r="F73" s="623">
        <v>2</v>
      </c>
      <c r="G73" s="21">
        <f t="shared" si="4"/>
        <v>14</v>
      </c>
      <c r="H73" s="625">
        <v>10</v>
      </c>
      <c r="I73" s="615">
        <v>2</v>
      </c>
      <c r="J73" s="623">
        <v>2</v>
      </c>
      <c r="K73" s="21">
        <f t="shared" si="9"/>
        <v>14</v>
      </c>
      <c r="L73" s="625">
        <v>10</v>
      </c>
      <c r="M73" s="615">
        <v>2</v>
      </c>
      <c r="N73" s="623">
        <v>2</v>
      </c>
      <c r="O73" s="21">
        <f t="shared" si="10"/>
        <v>14</v>
      </c>
      <c r="P73" s="625">
        <v>10</v>
      </c>
      <c r="Q73" s="615">
        <v>2</v>
      </c>
      <c r="R73" s="623">
        <v>2</v>
      </c>
      <c r="S73" s="21">
        <f t="shared" si="11"/>
        <v>14</v>
      </c>
      <c r="T73" s="625">
        <v>10</v>
      </c>
      <c r="U73" s="615">
        <v>2</v>
      </c>
      <c r="V73" s="623">
        <v>2</v>
      </c>
      <c r="W73" s="21">
        <f t="shared" si="12"/>
        <v>14</v>
      </c>
    </row>
    <row r="74" spans="1:23" x14ac:dyDescent="0.25">
      <c r="A74" s="1933"/>
      <c r="B74" s="19" t="s">
        <v>34</v>
      </c>
      <c r="C74" s="620"/>
      <c r="D74" s="625">
        <v>12</v>
      </c>
      <c r="E74" s="615">
        <v>3</v>
      </c>
      <c r="F74" s="623">
        <v>3</v>
      </c>
      <c r="G74" s="21">
        <f t="shared" si="4"/>
        <v>18</v>
      </c>
      <c r="H74" s="625">
        <v>12</v>
      </c>
      <c r="I74" s="615">
        <v>3</v>
      </c>
      <c r="J74" s="623">
        <v>3</v>
      </c>
      <c r="K74" s="21">
        <f t="shared" si="9"/>
        <v>18</v>
      </c>
      <c r="L74" s="625">
        <v>12</v>
      </c>
      <c r="M74" s="615">
        <v>3</v>
      </c>
      <c r="N74" s="623">
        <v>3</v>
      </c>
      <c r="O74" s="21">
        <f t="shared" si="10"/>
        <v>18</v>
      </c>
      <c r="P74" s="625">
        <v>12</v>
      </c>
      <c r="Q74" s="615">
        <v>3</v>
      </c>
      <c r="R74" s="623">
        <v>3</v>
      </c>
      <c r="S74" s="21">
        <f t="shared" si="11"/>
        <v>18</v>
      </c>
      <c r="T74" s="625">
        <v>12</v>
      </c>
      <c r="U74" s="615">
        <v>3</v>
      </c>
      <c r="V74" s="623">
        <v>3</v>
      </c>
      <c r="W74" s="21">
        <f t="shared" si="12"/>
        <v>18</v>
      </c>
    </row>
    <row r="75" spans="1:23" x14ac:dyDescent="0.25">
      <c r="A75" s="1933" t="s">
        <v>21</v>
      </c>
      <c r="B75" s="19" t="s">
        <v>32</v>
      </c>
      <c r="C75" s="620"/>
      <c r="D75" s="38" t="s">
        <v>90</v>
      </c>
      <c r="E75" s="38" t="s">
        <v>90</v>
      </c>
      <c r="F75" s="38" t="s">
        <v>90</v>
      </c>
      <c r="G75" s="21">
        <f t="shared" si="4"/>
        <v>0</v>
      </c>
      <c r="H75" s="38" t="s">
        <v>90</v>
      </c>
      <c r="I75" s="38" t="s">
        <v>90</v>
      </c>
      <c r="J75" s="38" t="s">
        <v>90</v>
      </c>
      <c r="K75" s="21">
        <f t="shared" si="9"/>
        <v>0</v>
      </c>
      <c r="L75" s="38" t="s">
        <v>90</v>
      </c>
      <c r="M75" s="38" t="s">
        <v>90</v>
      </c>
      <c r="N75" s="38" t="s">
        <v>90</v>
      </c>
      <c r="O75" s="21">
        <f t="shared" si="10"/>
        <v>0</v>
      </c>
      <c r="P75" s="38" t="s">
        <v>90</v>
      </c>
      <c r="Q75" s="38" t="s">
        <v>90</v>
      </c>
      <c r="R75" s="38" t="s">
        <v>90</v>
      </c>
      <c r="S75" s="21">
        <f t="shared" si="11"/>
        <v>0</v>
      </c>
      <c r="T75" s="38" t="s">
        <v>90</v>
      </c>
      <c r="U75" s="38" t="s">
        <v>90</v>
      </c>
      <c r="V75" s="38" t="s">
        <v>90</v>
      </c>
      <c r="W75" s="21">
        <f t="shared" si="12"/>
        <v>0</v>
      </c>
    </row>
    <row r="76" spans="1:23" x14ac:dyDescent="0.25">
      <c r="A76" s="1933"/>
      <c r="B76" s="19" t="s">
        <v>33</v>
      </c>
      <c r="C76" s="620"/>
      <c r="D76" s="38" t="s">
        <v>90</v>
      </c>
      <c r="E76" s="38" t="s">
        <v>90</v>
      </c>
      <c r="F76" s="38" t="s">
        <v>90</v>
      </c>
      <c r="G76" s="21">
        <f t="shared" si="4"/>
        <v>0</v>
      </c>
      <c r="H76" s="38" t="s">
        <v>90</v>
      </c>
      <c r="I76" s="38" t="s">
        <v>90</v>
      </c>
      <c r="J76" s="38" t="s">
        <v>90</v>
      </c>
      <c r="K76" s="21">
        <f t="shared" si="9"/>
        <v>0</v>
      </c>
      <c r="L76" s="38" t="s">
        <v>90</v>
      </c>
      <c r="M76" s="38" t="s">
        <v>90</v>
      </c>
      <c r="N76" s="38" t="s">
        <v>90</v>
      </c>
      <c r="O76" s="21">
        <f t="shared" si="10"/>
        <v>0</v>
      </c>
      <c r="P76" s="38" t="s">
        <v>90</v>
      </c>
      <c r="Q76" s="38" t="s">
        <v>90</v>
      </c>
      <c r="R76" s="38" t="s">
        <v>90</v>
      </c>
      <c r="S76" s="21">
        <f t="shared" si="11"/>
        <v>0</v>
      </c>
      <c r="T76" s="38" t="s">
        <v>90</v>
      </c>
      <c r="U76" s="38" t="s">
        <v>90</v>
      </c>
      <c r="V76" s="38" t="s">
        <v>90</v>
      </c>
      <c r="W76" s="21">
        <f t="shared" si="12"/>
        <v>0</v>
      </c>
    </row>
    <row r="77" spans="1:23" x14ac:dyDescent="0.25">
      <c r="A77" s="1933"/>
      <c r="B77" s="13" t="s">
        <v>34</v>
      </c>
      <c r="C77" s="624"/>
      <c r="D77" s="38" t="s">
        <v>90</v>
      </c>
      <c r="E77" s="38" t="s">
        <v>90</v>
      </c>
      <c r="F77" s="38" t="s">
        <v>90</v>
      </c>
      <c r="G77" s="21">
        <f t="shared" si="4"/>
        <v>0</v>
      </c>
      <c r="H77" s="38" t="s">
        <v>90</v>
      </c>
      <c r="I77" s="38" t="s">
        <v>90</v>
      </c>
      <c r="J77" s="38" t="s">
        <v>90</v>
      </c>
      <c r="K77" s="21">
        <f t="shared" si="9"/>
        <v>0</v>
      </c>
      <c r="L77" s="38" t="s">
        <v>90</v>
      </c>
      <c r="M77" s="38" t="s">
        <v>90</v>
      </c>
      <c r="N77" s="38" t="s">
        <v>90</v>
      </c>
      <c r="O77" s="21">
        <f t="shared" si="10"/>
        <v>0</v>
      </c>
      <c r="P77" s="38" t="s">
        <v>90</v>
      </c>
      <c r="Q77" s="38" t="s">
        <v>90</v>
      </c>
      <c r="R77" s="38" t="s">
        <v>90</v>
      </c>
      <c r="S77" s="21">
        <f t="shared" si="11"/>
        <v>0</v>
      </c>
      <c r="T77" s="38" t="s">
        <v>90</v>
      </c>
      <c r="U77" s="38" t="s">
        <v>90</v>
      </c>
      <c r="V77" s="38" t="s">
        <v>90</v>
      </c>
      <c r="W77" s="21">
        <f t="shared" si="12"/>
        <v>0</v>
      </c>
    </row>
    <row r="78" spans="1:23" x14ac:dyDescent="0.25">
      <c r="A78" s="1933" t="s">
        <v>181</v>
      </c>
      <c r="B78" s="19" t="s">
        <v>32</v>
      </c>
      <c r="C78" s="620"/>
      <c r="D78" s="631">
        <f t="shared" ref="D78:E83" si="18">0.25*D$3</f>
        <v>0</v>
      </c>
      <c r="E78" s="631">
        <f t="shared" si="18"/>
        <v>0</v>
      </c>
      <c r="F78" s="646">
        <v>0</v>
      </c>
      <c r="G78" s="21">
        <f t="shared" si="4"/>
        <v>0</v>
      </c>
      <c r="H78" s="631">
        <f t="shared" ref="H78:I83" si="19">0.25*H$3</f>
        <v>0</v>
      </c>
      <c r="I78" s="631">
        <f t="shared" si="19"/>
        <v>0</v>
      </c>
      <c r="J78" s="646">
        <v>0</v>
      </c>
      <c r="K78" s="21">
        <f t="shared" si="9"/>
        <v>0</v>
      </c>
      <c r="L78" s="631">
        <f t="shared" ref="L78:M83" si="20">0.25*L$3</f>
        <v>0</v>
      </c>
      <c r="M78" s="631">
        <f t="shared" si="20"/>
        <v>0</v>
      </c>
      <c r="N78" s="646">
        <v>0</v>
      </c>
      <c r="O78" s="21">
        <f t="shared" si="10"/>
        <v>0</v>
      </c>
      <c r="P78" s="631">
        <f t="shared" ref="P78:Q83" si="21">0.25*P$3</f>
        <v>0</v>
      </c>
      <c r="Q78" s="631">
        <f t="shared" si="21"/>
        <v>0</v>
      </c>
      <c r="R78" s="646">
        <v>0</v>
      </c>
      <c r="S78" s="21">
        <f t="shared" si="11"/>
        <v>0</v>
      </c>
      <c r="T78" s="631">
        <f t="shared" ref="T78:U83" si="22">0.25*T$3</f>
        <v>0</v>
      </c>
      <c r="U78" s="631">
        <f t="shared" si="22"/>
        <v>0</v>
      </c>
      <c r="V78" s="646">
        <v>0</v>
      </c>
      <c r="W78" s="21">
        <f t="shared" si="12"/>
        <v>0</v>
      </c>
    </row>
    <row r="79" spans="1:23" x14ac:dyDescent="0.25">
      <c r="A79" s="1933"/>
      <c r="B79" s="19" t="s">
        <v>33</v>
      </c>
      <c r="C79" s="620"/>
      <c r="D79" s="631">
        <f t="shared" si="18"/>
        <v>0</v>
      </c>
      <c r="E79" s="631">
        <f t="shared" si="18"/>
        <v>0</v>
      </c>
      <c r="F79" s="646">
        <v>0</v>
      </c>
      <c r="G79" s="21">
        <f t="shared" si="4"/>
        <v>0</v>
      </c>
      <c r="H79" s="631">
        <f t="shared" si="19"/>
        <v>0</v>
      </c>
      <c r="I79" s="631">
        <f t="shared" si="19"/>
        <v>0</v>
      </c>
      <c r="J79" s="646">
        <v>0</v>
      </c>
      <c r="K79" s="21">
        <f t="shared" si="9"/>
        <v>0</v>
      </c>
      <c r="L79" s="631">
        <f t="shared" si="20"/>
        <v>0</v>
      </c>
      <c r="M79" s="631">
        <f t="shared" si="20"/>
        <v>0</v>
      </c>
      <c r="N79" s="646">
        <v>0</v>
      </c>
      <c r="O79" s="21">
        <f t="shared" si="10"/>
        <v>0</v>
      </c>
      <c r="P79" s="631">
        <f t="shared" si="21"/>
        <v>0</v>
      </c>
      <c r="Q79" s="631">
        <f t="shared" si="21"/>
        <v>0</v>
      </c>
      <c r="R79" s="646">
        <v>0</v>
      </c>
      <c r="S79" s="21">
        <f t="shared" si="11"/>
        <v>0</v>
      </c>
      <c r="T79" s="631">
        <f t="shared" si="22"/>
        <v>0</v>
      </c>
      <c r="U79" s="631">
        <f t="shared" si="22"/>
        <v>0</v>
      </c>
      <c r="V79" s="646">
        <v>0</v>
      </c>
      <c r="W79" s="21">
        <f t="shared" si="12"/>
        <v>0</v>
      </c>
    </row>
    <row r="80" spans="1:23" x14ac:dyDescent="0.25">
      <c r="A80" s="1933"/>
      <c r="B80" s="19" t="s">
        <v>34</v>
      </c>
      <c r="C80" s="620"/>
      <c r="D80" s="631">
        <f t="shared" si="18"/>
        <v>0</v>
      </c>
      <c r="E80" s="631">
        <f t="shared" si="18"/>
        <v>0</v>
      </c>
      <c r="F80" s="646">
        <v>0</v>
      </c>
      <c r="G80" s="21">
        <f t="shared" si="4"/>
        <v>0</v>
      </c>
      <c r="H80" s="631">
        <f t="shared" si="19"/>
        <v>0</v>
      </c>
      <c r="I80" s="631">
        <f t="shared" si="19"/>
        <v>0</v>
      </c>
      <c r="J80" s="646">
        <v>0</v>
      </c>
      <c r="K80" s="21">
        <f t="shared" si="9"/>
        <v>0</v>
      </c>
      <c r="L80" s="631">
        <f t="shared" si="20"/>
        <v>0</v>
      </c>
      <c r="M80" s="631">
        <f t="shared" si="20"/>
        <v>0</v>
      </c>
      <c r="N80" s="646">
        <v>0</v>
      </c>
      <c r="O80" s="21">
        <f t="shared" si="10"/>
        <v>0</v>
      </c>
      <c r="P80" s="631">
        <f t="shared" si="21"/>
        <v>0</v>
      </c>
      <c r="Q80" s="631">
        <f t="shared" si="21"/>
        <v>0</v>
      </c>
      <c r="R80" s="646">
        <v>0</v>
      </c>
      <c r="S80" s="21">
        <f t="shared" si="11"/>
        <v>0</v>
      </c>
      <c r="T80" s="631">
        <f t="shared" si="22"/>
        <v>0</v>
      </c>
      <c r="U80" s="631">
        <f t="shared" si="22"/>
        <v>0</v>
      </c>
      <c r="V80" s="646">
        <v>0</v>
      </c>
      <c r="W80" s="21">
        <f t="shared" si="12"/>
        <v>0</v>
      </c>
    </row>
    <row r="81" spans="1:23" x14ac:dyDescent="0.25">
      <c r="A81" s="1933" t="s">
        <v>182</v>
      </c>
      <c r="B81" s="19" t="s">
        <v>32</v>
      </c>
      <c r="C81" s="620"/>
      <c r="D81" s="631">
        <f t="shared" si="18"/>
        <v>0</v>
      </c>
      <c r="E81" s="631">
        <f t="shared" si="18"/>
        <v>0</v>
      </c>
      <c r="F81" s="646">
        <v>0</v>
      </c>
      <c r="G81" s="21">
        <f t="shared" si="4"/>
        <v>0</v>
      </c>
      <c r="H81" s="631">
        <f t="shared" si="19"/>
        <v>0</v>
      </c>
      <c r="I81" s="631">
        <f t="shared" si="19"/>
        <v>0</v>
      </c>
      <c r="J81" s="646">
        <v>0</v>
      </c>
      <c r="K81" s="21">
        <f t="shared" si="9"/>
        <v>0</v>
      </c>
      <c r="L81" s="631">
        <f t="shared" si="20"/>
        <v>0</v>
      </c>
      <c r="M81" s="631">
        <f t="shared" si="20"/>
        <v>0</v>
      </c>
      <c r="N81" s="646">
        <v>0</v>
      </c>
      <c r="O81" s="21">
        <f t="shared" si="10"/>
        <v>0</v>
      </c>
      <c r="P81" s="631">
        <f t="shared" si="21"/>
        <v>0</v>
      </c>
      <c r="Q81" s="631">
        <f t="shared" si="21"/>
        <v>0</v>
      </c>
      <c r="R81" s="646">
        <v>0</v>
      </c>
      <c r="S81" s="21">
        <f t="shared" si="11"/>
        <v>0</v>
      </c>
      <c r="T81" s="631">
        <f t="shared" si="22"/>
        <v>0</v>
      </c>
      <c r="U81" s="631">
        <f t="shared" si="22"/>
        <v>0</v>
      </c>
      <c r="V81" s="646">
        <v>0</v>
      </c>
      <c r="W81" s="21">
        <f t="shared" si="12"/>
        <v>0</v>
      </c>
    </row>
    <row r="82" spans="1:23" x14ac:dyDescent="0.25">
      <c r="A82" s="1933"/>
      <c r="B82" s="19" t="s">
        <v>33</v>
      </c>
      <c r="C82" s="620"/>
      <c r="D82" s="631">
        <f t="shared" si="18"/>
        <v>0</v>
      </c>
      <c r="E82" s="631">
        <f t="shared" si="18"/>
        <v>0</v>
      </c>
      <c r="F82" s="646">
        <v>0</v>
      </c>
      <c r="G82" s="21">
        <f t="shared" si="4"/>
        <v>0</v>
      </c>
      <c r="H82" s="631">
        <f t="shared" si="19"/>
        <v>0</v>
      </c>
      <c r="I82" s="631">
        <f t="shared" si="19"/>
        <v>0</v>
      </c>
      <c r="J82" s="646">
        <v>0</v>
      </c>
      <c r="K82" s="21">
        <f t="shared" si="9"/>
        <v>0</v>
      </c>
      <c r="L82" s="631">
        <f t="shared" si="20"/>
        <v>0</v>
      </c>
      <c r="M82" s="631">
        <f t="shared" si="20"/>
        <v>0</v>
      </c>
      <c r="N82" s="646">
        <v>0</v>
      </c>
      <c r="O82" s="21">
        <f t="shared" si="10"/>
        <v>0</v>
      </c>
      <c r="P82" s="631">
        <f t="shared" si="21"/>
        <v>0</v>
      </c>
      <c r="Q82" s="631">
        <f t="shared" si="21"/>
        <v>0</v>
      </c>
      <c r="R82" s="646">
        <v>0</v>
      </c>
      <c r="S82" s="21">
        <f t="shared" si="11"/>
        <v>0</v>
      </c>
      <c r="T82" s="631">
        <f t="shared" si="22"/>
        <v>0</v>
      </c>
      <c r="U82" s="631">
        <f t="shared" si="22"/>
        <v>0</v>
      </c>
      <c r="V82" s="646">
        <v>0</v>
      </c>
      <c r="W82" s="21">
        <f t="shared" si="12"/>
        <v>0</v>
      </c>
    </row>
    <row r="83" spans="1:23" x14ac:dyDescent="0.25">
      <c r="A83" s="1933"/>
      <c r="B83" s="19" t="s">
        <v>34</v>
      </c>
      <c r="C83" s="620"/>
      <c r="D83" s="631">
        <f t="shared" si="18"/>
        <v>0</v>
      </c>
      <c r="E83" s="631">
        <f t="shared" si="18"/>
        <v>0</v>
      </c>
      <c r="F83" s="646">
        <v>0</v>
      </c>
      <c r="G83" s="21">
        <f t="shared" si="4"/>
        <v>0</v>
      </c>
      <c r="H83" s="631">
        <f t="shared" si="19"/>
        <v>0</v>
      </c>
      <c r="I83" s="631">
        <f t="shared" si="19"/>
        <v>0</v>
      </c>
      <c r="J83" s="646">
        <v>0</v>
      </c>
      <c r="K83" s="21">
        <f t="shared" si="9"/>
        <v>0</v>
      </c>
      <c r="L83" s="631">
        <f t="shared" si="20"/>
        <v>0</v>
      </c>
      <c r="M83" s="631">
        <f t="shared" si="20"/>
        <v>0</v>
      </c>
      <c r="N83" s="646">
        <v>0</v>
      </c>
      <c r="O83" s="21">
        <f t="shared" si="10"/>
        <v>0</v>
      </c>
      <c r="P83" s="631">
        <f t="shared" si="21"/>
        <v>0</v>
      </c>
      <c r="Q83" s="631">
        <f t="shared" si="21"/>
        <v>0</v>
      </c>
      <c r="R83" s="646">
        <v>0</v>
      </c>
      <c r="S83" s="21">
        <f t="shared" si="11"/>
        <v>0</v>
      </c>
      <c r="T83" s="631">
        <f t="shared" si="22"/>
        <v>0</v>
      </c>
      <c r="U83" s="631">
        <f t="shared" si="22"/>
        <v>0</v>
      </c>
      <c r="V83" s="646">
        <v>0</v>
      </c>
      <c r="W83" s="21">
        <f t="shared" si="12"/>
        <v>0</v>
      </c>
    </row>
    <row r="84" spans="1:23" x14ac:dyDescent="0.25">
      <c r="A84" s="1935" t="s">
        <v>183</v>
      </c>
      <c r="B84" s="19" t="s">
        <v>32</v>
      </c>
      <c r="C84" s="620"/>
      <c r="D84" s="631">
        <f t="shared" ref="D84:E86" si="23">0.1*D$3</f>
        <v>0</v>
      </c>
      <c r="E84" s="631">
        <f t="shared" si="23"/>
        <v>0</v>
      </c>
      <c r="F84" s="646">
        <v>0</v>
      </c>
      <c r="G84" s="21">
        <f t="shared" si="4"/>
        <v>0</v>
      </c>
      <c r="H84" s="631">
        <f t="shared" ref="H84:I86" si="24">0.1*H$3</f>
        <v>0</v>
      </c>
      <c r="I84" s="631">
        <f t="shared" si="24"/>
        <v>0</v>
      </c>
      <c r="J84" s="646">
        <v>0</v>
      </c>
      <c r="K84" s="21">
        <f t="shared" si="9"/>
        <v>0</v>
      </c>
      <c r="L84" s="631">
        <f t="shared" ref="L84:M86" si="25">0.1*L$3</f>
        <v>0</v>
      </c>
      <c r="M84" s="631">
        <f t="shared" si="25"/>
        <v>0</v>
      </c>
      <c r="N84" s="646">
        <v>0</v>
      </c>
      <c r="O84" s="21">
        <f t="shared" si="10"/>
        <v>0</v>
      </c>
      <c r="P84" s="631">
        <f t="shared" ref="P84:Q86" si="26">0.1*P$3</f>
        <v>0</v>
      </c>
      <c r="Q84" s="631">
        <f t="shared" si="26"/>
        <v>0</v>
      </c>
      <c r="R84" s="646">
        <v>0</v>
      </c>
      <c r="S84" s="21">
        <f t="shared" si="11"/>
        <v>0</v>
      </c>
      <c r="T84" s="631">
        <f t="shared" ref="T84:U86" si="27">0.1*T$3</f>
        <v>0</v>
      </c>
      <c r="U84" s="631">
        <f t="shared" si="27"/>
        <v>0</v>
      </c>
      <c r="V84" s="646">
        <v>0</v>
      </c>
      <c r="W84" s="21">
        <f t="shared" si="12"/>
        <v>0</v>
      </c>
    </row>
    <row r="85" spans="1:23" x14ac:dyDescent="0.25">
      <c r="A85" s="1935"/>
      <c r="B85" s="19" t="s">
        <v>33</v>
      </c>
      <c r="C85" s="620"/>
      <c r="D85" s="631">
        <f t="shared" si="23"/>
        <v>0</v>
      </c>
      <c r="E85" s="631">
        <f t="shared" si="23"/>
        <v>0</v>
      </c>
      <c r="F85" s="646">
        <v>0</v>
      </c>
      <c r="G85" s="21">
        <f t="shared" si="4"/>
        <v>0</v>
      </c>
      <c r="H85" s="631">
        <f t="shared" si="24"/>
        <v>0</v>
      </c>
      <c r="I85" s="631">
        <f t="shared" si="24"/>
        <v>0</v>
      </c>
      <c r="J85" s="646">
        <v>0</v>
      </c>
      <c r="K85" s="21">
        <f t="shared" si="9"/>
        <v>0</v>
      </c>
      <c r="L85" s="631">
        <f t="shared" si="25"/>
        <v>0</v>
      </c>
      <c r="M85" s="631">
        <f t="shared" si="25"/>
        <v>0</v>
      </c>
      <c r="N85" s="646">
        <v>0</v>
      </c>
      <c r="O85" s="21">
        <f t="shared" si="10"/>
        <v>0</v>
      </c>
      <c r="P85" s="631">
        <f t="shared" si="26"/>
        <v>0</v>
      </c>
      <c r="Q85" s="631">
        <f t="shared" si="26"/>
        <v>0</v>
      </c>
      <c r="R85" s="646">
        <v>0</v>
      </c>
      <c r="S85" s="21">
        <f t="shared" si="11"/>
        <v>0</v>
      </c>
      <c r="T85" s="631">
        <f t="shared" si="27"/>
        <v>0</v>
      </c>
      <c r="U85" s="631">
        <f t="shared" si="27"/>
        <v>0</v>
      </c>
      <c r="V85" s="646">
        <v>0</v>
      </c>
      <c r="W85" s="21">
        <f t="shared" si="12"/>
        <v>0</v>
      </c>
    </row>
    <row r="86" spans="1:23" ht="15.75" thickBot="1" x14ac:dyDescent="0.3">
      <c r="A86" s="1935"/>
      <c r="B86" s="13" t="s">
        <v>34</v>
      </c>
      <c r="C86" s="621"/>
      <c r="D86" s="682">
        <f t="shared" si="23"/>
        <v>0</v>
      </c>
      <c r="E86" s="682">
        <f t="shared" si="23"/>
        <v>0</v>
      </c>
      <c r="F86" s="663">
        <v>0</v>
      </c>
      <c r="G86" s="77">
        <f t="shared" si="4"/>
        <v>0</v>
      </c>
      <c r="H86" s="682">
        <f t="shared" si="24"/>
        <v>0</v>
      </c>
      <c r="I86" s="682">
        <f t="shared" si="24"/>
        <v>0</v>
      </c>
      <c r="J86" s="663">
        <v>0</v>
      </c>
      <c r="K86" s="77">
        <f t="shared" si="9"/>
        <v>0</v>
      </c>
      <c r="L86" s="682">
        <f t="shared" si="25"/>
        <v>0</v>
      </c>
      <c r="M86" s="682">
        <f t="shared" si="25"/>
        <v>0</v>
      </c>
      <c r="N86" s="663">
        <v>0</v>
      </c>
      <c r="O86" s="77">
        <f t="shared" si="10"/>
        <v>0</v>
      </c>
      <c r="P86" s="682">
        <f t="shared" si="26"/>
        <v>0</v>
      </c>
      <c r="Q86" s="682">
        <f t="shared" si="26"/>
        <v>0</v>
      </c>
      <c r="R86" s="663">
        <v>0</v>
      </c>
      <c r="S86" s="77">
        <f t="shared" si="11"/>
        <v>0</v>
      </c>
      <c r="T86" s="682">
        <f t="shared" si="27"/>
        <v>0</v>
      </c>
      <c r="U86" s="682">
        <f t="shared" si="27"/>
        <v>0</v>
      </c>
      <c r="V86" s="663">
        <v>0</v>
      </c>
      <c r="W86" s="77">
        <f t="shared" si="12"/>
        <v>0</v>
      </c>
    </row>
    <row r="87" spans="1:23" ht="16.5" thickBot="1" x14ac:dyDescent="0.3">
      <c r="A87" s="330" t="s">
        <v>22</v>
      </c>
      <c r="B87" s="329"/>
      <c r="C87" s="329"/>
      <c r="D87" s="329"/>
      <c r="E87" s="329"/>
      <c r="F87" s="329"/>
      <c r="G87" s="329"/>
      <c r="H87" s="329"/>
      <c r="I87" s="329"/>
      <c r="J87" s="329"/>
      <c r="K87" s="329"/>
      <c r="L87" s="329"/>
      <c r="M87" s="329"/>
      <c r="N87" s="329"/>
      <c r="O87" s="329"/>
      <c r="P87" s="329"/>
      <c r="Q87" s="329"/>
      <c r="R87" s="329"/>
      <c r="S87" s="329"/>
      <c r="T87" s="329"/>
      <c r="U87" s="329"/>
      <c r="V87" s="329"/>
      <c r="W87" s="328"/>
    </row>
    <row r="88" spans="1:23" x14ac:dyDescent="0.25">
      <c r="A88" s="1932" t="s">
        <v>23</v>
      </c>
      <c r="B88" s="404" t="s">
        <v>32</v>
      </c>
      <c r="C88" s="324"/>
      <c r="D88" s="625">
        <v>0.25</v>
      </c>
      <c r="E88" s="400">
        <v>0</v>
      </c>
      <c r="F88" s="428">
        <v>0</v>
      </c>
      <c r="G88" s="230">
        <f t="shared" si="4"/>
        <v>0.25</v>
      </c>
      <c r="H88" s="625">
        <v>0.25</v>
      </c>
      <c r="I88" s="713">
        <v>0</v>
      </c>
      <c r="J88" s="679">
        <v>0</v>
      </c>
      <c r="K88" s="230">
        <f t="shared" ref="K88:K93" si="28" xml:space="preserve"> SUM(H88:J88) + $C88</f>
        <v>0.25</v>
      </c>
      <c r="L88" s="625">
        <v>0.25</v>
      </c>
      <c r="M88" s="713">
        <v>0</v>
      </c>
      <c r="N88" s="679">
        <v>0</v>
      </c>
      <c r="O88" s="230">
        <f t="shared" ref="O88:O93" si="29" xml:space="preserve"> SUM(L88:N88) + $C88</f>
        <v>0.25</v>
      </c>
      <c r="P88" s="625">
        <v>0.25</v>
      </c>
      <c r="Q88" s="713">
        <v>0</v>
      </c>
      <c r="R88" s="679">
        <v>0</v>
      </c>
      <c r="S88" s="230">
        <f t="shared" ref="S88:S93" si="30" xml:space="preserve"> SUM(P88:R88) + $C88</f>
        <v>0.25</v>
      </c>
      <c r="T88" s="625">
        <v>0.25</v>
      </c>
      <c r="U88" s="713">
        <v>0</v>
      </c>
      <c r="V88" s="679">
        <v>0</v>
      </c>
      <c r="W88" s="230">
        <f t="shared" ref="W88:W93" si="31" xml:space="preserve"> SUM(T88:V88) + $C88</f>
        <v>0.25</v>
      </c>
    </row>
    <row r="89" spans="1:23" x14ac:dyDescent="0.25">
      <c r="A89" s="1932"/>
      <c r="B89" s="19" t="s">
        <v>33</v>
      </c>
      <c r="C89" s="22"/>
      <c r="D89" s="625">
        <v>0.25</v>
      </c>
      <c r="E89" s="15">
        <v>0</v>
      </c>
      <c r="F89" s="33">
        <v>0</v>
      </c>
      <c r="G89" s="21">
        <f t="shared" si="4"/>
        <v>0.25</v>
      </c>
      <c r="H89" s="625">
        <v>0.25</v>
      </c>
      <c r="I89" s="616">
        <v>0</v>
      </c>
      <c r="J89" s="623">
        <v>0</v>
      </c>
      <c r="K89" s="21">
        <f t="shared" si="28"/>
        <v>0.25</v>
      </c>
      <c r="L89" s="625">
        <v>0.25</v>
      </c>
      <c r="M89" s="616">
        <v>0</v>
      </c>
      <c r="N89" s="623">
        <v>0</v>
      </c>
      <c r="O89" s="21">
        <f t="shared" si="29"/>
        <v>0.25</v>
      </c>
      <c r="P89" s="625">
        <v>0.25</v>
      </c>
      <c r="Q89" s="616">
        <v>0</v>
      </c>
      <c r="R89" s="623">
        <v>0</v>
      </c>
      <c r="S89" s="21">
        <f t="shared" si="30"/>
        <v>0.25</v>
      </c>
      <c r="T89" s="625">
        <v>0.25</v>
      </c>
      <c r="U89" s="616">
        <v>0</v>
      </c>
      <c r="V89" s="623">
        <v>0</v>
      </c>
      <c r="W89" s="21">
        <f t="shared" si="31"/>
        <v>0.25</v>
      </c>
    </row>
    <row r="90" spans="1:23" x14ac:dyDescent="0.25">
      <c r="A90" s="1932"/>
      <c r="B90" s="19" t="s">
        <v>34</v>
      </c>
      <c r="C90" s="22"/>
      <c r="D90" s="625">
        <v>0.25</v>
      </c>
      <c r="E90" s="15">
        <v>0</v>
      </c>
      <c r="F90" s="33">
        <v>0</v>
      </c>
      <c r="G90" s="21">
        <f t="shared" si="4"/>
        <v>0.25</v>
      </c>
      <c r="H90" s="625">
        <v>0.25</v>
      </c>
      <c r="I90" s="616">
        <v>0</v>
      </c>
      <c r="J90" s="623">
        <v>0</v>
      </c>
      <c r="K90" s="21">
        <f t="shared" si="28"/>
        <v>0.25</v>
      </c>
      <c r="L90" s="625">
        <v>0.25</v>
      </c>
      <c r="M90" s="616">
        <v>0</v>
      </c>
      <c r="N90" s="623">
        <v>0</v>
      </c>
      <c r="O90" s="21">
        <f t="shared" si="29"/>
        <v>0.25</v>
      </c>
      <c r="P90" s="625">
        <v>0.25</v>
      </c>
      <c r="Q90" s="616">
        <v>0</v>
      </c>
      <c r="R90" s="623">
        <v>0</v>
      </c>
      <c r="S90" s="21">
        <f t="shared" si="30"/>
        <v>0.25</v>
      </c>
      <c r="T90" s="625">
        <v>0.25</v>
      </c>
      <c r="U90" s="616">
        <v>0</v>
      </c>
      <c r="V90" s="623">
        <v>0</v>
      </c>
      <c r="W90" s="21">
        <f t="shared" si="31"/>
        <v>0.25</v>
      </c>
    </row>
    <row r="91" spans="1:23" x14ac:dyDescent="0.25">
      <c r="A91" s="1974" t="s">
        <v>24</v>
      </c>
      <c r="B91" s="19" t="s">
        <v>32</v>
      </c>
      <c r="C91" s="22"/>
      <c r="D91" s="640">
        <v>2</v>
      </c>
      <c r="E91" s="631">
        <f>IF(D$3&gt;0, 2,0)</f>
        <v>0</v>
      </c>
      <c r="F91" s="716">
        <f>IF(F$3 = 1, 1, 2)</f>
        <v>2</v>
      </c>
      <c r="G91" s="21">
        <f t="shared" si="4"/>
        <v>4</v>
      </c>
      <c r="H91" s="640">
        <v>2</v>
      </c>
      <c r="I91" s="631">
        <f>IF(H$3&gt;0, 2,0)</f>
        <v>0</v>
      </c>
      <c r="J91" s="716">
        <f>IF(J$3 = 1, 1, 2)</f>
        <v>2</v>
      </c>
      <c r="K91" s="21">
        <f t="shared" si="28"/>
        <v>4</v>
      </c>
      <c r="L91" s="640">
        <v>2</v>
      </c>
      <c r="M91" s="631">
        <f>IF(L$3&gt;0, 2,0)</f>
        <v>0</v>
      </c>
      <c r="N91" s="716">
        <f>IF(N$3 = 1, 1, 2)</f>
        <v>2</v>
      </c>
      <c r="O91" s="21">
        <f t="shared" si="29"/>
        <v>4</v>
      </c>
      <c r="P91" s="640">
        <v>2</v>
      </c>
      <c r="Q91" s="631">
        <f>IF(P$3&gt;0, 2,0)</f>
        <v>0</v>
      </c>
      <c r="R91" s="716">
        <f>IF(R$3 = 1, 1, 2)</f>
        <v>2</v>
      </c>
      <c r="S91" s="21">
        <f t="shared" si="30"/>
        <v>4</v>
      </c>
      <c r="T91" s="640">
        <v>2</v>
      </c>
      <c r="U91" s="631">
        <f>IF(T$3&gt;0, 2,0)</f>
        <v>0</v>
      </c>
      <c r="V91" s="716">
        <f>IF(V$3 = 1, 1, 2)</f>
        <v>2</v>
      </c>
      <c r="W91" s="21">
        <f t="shared" si="31"/>
        <v>4</v>
      </c>
    </row>
    <row r="92" spans="1:23" x14ac:dyDescent="0.25">
      <c r="A92" s="1974"/>
      <c r="B92" s="19" t="s">
        <v>33</v>
      </c>
      <c r="C92" s="22"/>
      <c r="D92" s="640">
        <v>4</v>
      </c>
      <c r="E92" s="631">
        <f>IF(D$3&gt;0, 2,0)</f>
        <v>0</v>
      </c>
      <c r="F92" s="716">
        <f>IF(F$3 = 1, 1, 3)</f>
        <v>3</v>
      </c>
      <c r="G92" s="21">
        <f t="shared" si="4"/>
        <v>7</v>
      </c>
      <c r="H92" s="640">
        <v>4</v>
      </c>
      <c r="I92" s="631">
        <f>IF(H$3&gt;0, 2,0)</f>
        <v>0</v>
      </c>
      <c r="J92" s="716">
        <f>IF(J$3 = 1, 1, 3)</f>
        <v>3</v>
      </c>
      <c r="K92" s="21">
        <f t="shared" si="28"/>
        <v>7</v>
      </c>
      <c r="L92" s="640">
        <v>4</v>
      </c>
      <c r="M92" s="631">
        <f>IF(L$3&gt;0, 2,0)</f>
        <v>0</v>
      </c>
      <c r="N92" s="716">
        <f>IF(N$3 = 1, 1, 3)</f>
        <v>3</v>
      </c>
      <c r="O92" s="21">
        <f t="shared" si="29"/>
        <v>7</v>
      </c>
      <c r="P92" s="640">
        <v>4</v>
      </c>
      <c r="Q92" s="631">
        <f>IF(P$3&gt;0, 2,0)</f>
        <v>0</v>
      </c>
      <c r="R92" s="716">
        <f>IF(R$3 = 1, 1, 3)</f>
        <v>3</v>
      </c>
      <c r="S92" s="21">
        <f t="shared" si="30"/>
        <v>7</v>
      </c>
      <c r="T92" s="640">
        <v>4</v>
      </c>
      <c r="U92" s="631">
        <f>IF(T$3&gt;0, 2,0)</f>
        <v>0</v>
      </c>
      <c r="V92" s="716">
        <f>IF(V$3 = 1, 1, 3)</f>
        <v>3</v>
      </c>
      <c r="W92" s="21">
        <f t="shared" si="31"/>
        <v>7</v>
      </c>
    </row>
    <row r="93" spans="1:23" x14ac:dyDescent="0.25">
      <c r="A93" s="1974"/>
      <c r="B93" s="19" t="s">
        <v>34</v>
      </c>
      <c r="C93" s="22"/>
      <c r="D93" s="640">
        <v>6</v>
      </c>
      <c r="E93" s="631">
        <f>IF(D$3&gt;0, 2,0)</f>
        <v>0</v>
      </c>
      <c r="F93" s="716">
        <f>IF(F$3 = 1, 1, 4)</f>
        <v>4</v>
      </c>
      <c r="G93" s="21">
        <f t="shared" si="4"/>
        <v>10</v>
      </c>
      <c r="H93" s="640">
        <v>6</v>
      </c>
      <c r="I93" s="631">
        <f>IF(H$3&gt;0, 2,0)</f>
        <v>0</v>
      </c>
      <c r="J93" s="716">
        <f>IF(J$3 = 1, 1, 4)</f>
        <v>4</v>
      </c>
      <c r="K93" s="21">
        <f t="shared" si="28"/>
        <v>10</v>
      </c>
      <c r="L93" s="640">
        <v>6</v>
      </c>
      <c r="M93" s="631">
        <f>IF(L$3&gt;0, 2,0)</f>
        <v>0</v>
      </c>
      <c r="N93" s="716">
        <f>IF(N$3 = 1, 1, 4)</f>
        <v>4</v>
      </c>
      <c r="O93" s="21">
        <f t="shared" si="29"/>
        <v>10</v>
      </c>
      <c r="P93" s="640">
        <v>6</v>
      </c>
      <c r="Q93" s="631">
        <f>IF(P$3&gt;0, 2,0)</f>
        <v>0</v>
      </c>
      <c r="R93" s="716">
        <f>IF(R$3 = 1, 1, 4)</f>
        <v>4</v>
      </c>
      <c r="S93" s="21">
        <f t="shared" si="30"/>
        <v>10</v>
      </c>
      <c r="T93" s="640">
        <v>6</v>
      </c>
      <c r="U93" s="631">
        <f>IF(T$3&gt;0, 2,0)</f>
        <v>0</v>
      </c>
      <c r="V93" s="716">
        <f>IF(V$3 = 1, 1, 4)</f>
        <v>4</v>
      </c>
      <c r="W93" s="21">
        <f t="shared" si="31"/>
        <v>10</v>
      </c>
    </row>
    <row r="94" spans="1:23" x14ac:dyDescent="0.25">
      <c r="A94" s="1974" t="s">
        <v>25</v>
      </c>
      <c r="B94" s="19" t="s">
        <v>32</v>
      </c>
      <c r="C94" s="22"/>
      <c r="D94" s="640">
        <v>1</v>
      </c>
      <c r="E94" s="631">
        <f t="shared" ref="E94:E105" si="32">IF(D$3&gt;0, 1,0)</f>
        <v>0</v>
      </c>
      <c r="F94" s="716">
        <f>IF(F$3 = 1, 1, 2)</f>
        <v>2</v>
      </c>
      <c r="G94" s="21">
        <f t="shared" ref="G94:G105" si="33" xml:space="preserve"> SUM(D94:F94) + $C94</f>
        <v>3</v>
      </c>
      <c r="H94" s="640">
        <v>1</v>
      </c>
      <c r="I94" s="631">
        <f t="shared" ref="I94:I105" si="34">IF(H$3&gt;0, 1,0)</f>
        <v>0</v>
      </c>
      <c r="J94" s="716">
        <f>IF(J$3 = 1, 1, 2)</f>
        <v>2</v>
      </c>
      <c r="K94" s="21">
        <f t="shared" ref="K94:K105" si="35" xml:space="preserve"> SUM(H94:J94) + $C94</f>
        <v>3</v>
      </c>
      <c r="L94" s="640">
        <v>1</v>
      </c>
      <c r="M94" s="631">
        <f t="shared" ref="M94:M105" si="36">IF(L$3&gt;0, 1,0)</f>
        <v>0</v>
      </c>
      <c r="N94" s="716">
        <f>IF(N$3 = 1, 1, 2)</f>
        <v>2</v>
      </c>
      <c r="O94" s="21">
        <f t="shared" ref="O94:O105" si="37" xml:space="preserve"> SUM(L94:N94) + $C94</f>
        <v>3</v>
      </c>
      <c r="P94" s="640">
        <v>1</v>
      </c>
      <c r="Q94" s="631">
        <f t="shared" ref="Q94:Q105" si="38">IF(P$3&gt;0, 1,0)</f>
        <v>0</v>
      </c>
      <c r="R94" s="716">
        <f>IF(R$3 = 1, 1, 2)</f>
        <v>2</v>
      </c>
      <c r="S94" s="21">
        <f t="shared" ref="S94:S105" si="39" xml:space="preserve"> SUM(P94:R94) + $C94</f>
        <v>3</v>
      </c>
      <c r="T94" s="640">
        <v>1</v>
      </c>
      <c r="U94" s="631">
        <f t="shared" ref="U94:U105" si="40">IF(T$3&gt;0, 1,0)</f>
        <v>0</v>
      </c>
      <c r="V94" s="716">
        <f>IF(V$3 = 1, 1, 2)</f>
        <v>2</v>
      </c>
      <c r="W94" s="21">
        <f t="shared" ref="W94:W105" si="41" xml:space="preserve"> SUM(T94:V94) + $C94</f>
        <v>3</v>
      </c>
    </row>
    <row r="95" spans="1:23" x14ac:dyDescent="0.25">
      <c r="A95" s="1974"/>
      <c r="B95" s="19" t="s">
        <v>33</v>
      </c>
      <c r="C95" s="22"/>
      <c r="D95" s="640">
        <v>2</v>
      </c>
      <c r="E95" s="631">
        <f t="shared" si="32"/>
        <v>0</v>
      </c>
      <c r="F95" s="716">
        <f>IF(F$3 = 1, 1, 3)</f>
        <v>3</v>
      </c>
      <c r="G95" s="21">
        <f t="shared" si="33"/>
        <v>5</v>
      </c>
      <c r="H95" s="640">
        <v>2</v>
      </c>
      <c r="I95" s="631">
        <f t="shared" si="34"/>
        <v>0</v>
      </c>
      <c r="J95" s="716">
        <f>IF(J$3 = 1, 1, 3)</f>
        <v>3</v>
      </c>
      <c r="K95" s="21">
        <f t="shared" si="35"/>
        <v>5</v>
      </c>
      <c r="L95" s="640">
        <v>2</v>
      </c>
      <c r="M95" s="631">
        <f t="shared" si="36"/>
        <v>0</v>
      </c>
      <c r="N95" s="716">
        <f>IF(N$3 = 1, 1, 3)</f>
        <v>3</v>
      </c>
      <c r="O95" s="21">
        <f t="shared" si="37"/>
        <v>5</v>
      </c>
      <c r="P95" s="640">
        <v>2</v>
      </c>
      <c r="Q95" s="631">
        <f t="shared" si="38"/>
        <v>0</v>
      </c>
      <c r="R95" s="716">
        <f>IF(R$3 = 1, 1, 3)</f>
        <v>3</v>
      </c>
      <c r="S95" s="21">
        <f t="shared" si="39"/>
        <v>5</v>
      </c>
      <c r="T95" s="640">
        <v>2</v>
      </c>
      <c r="U95" s="631">
        <f t="shared" si="40"/>
        <v>0</v>
      </c>
      <c r="V95" s="716">
        <f>IF(V$3 = 1, 1, 3)</f>
        <v>3</v>
      </c>
      <c r="W95" s="21">
        <f t="shared" si="41"/>
        <v>5</v>
      </c>
    </row>
    <row r="96" spans="1:23" x14ac:dyDescent="0.25">
      <c r="A96" s="1974"/>
      <c r="B96" s="19" t="s">
        <v>34</v>
      </c>
      <c r="C96" s="22"/>
      <c r="D96" s="640">
        <v>4</v>
      </c>
      <c r="E96" s="631">
        <f t="shared" si="32"/>
        <v>0</v>
      </c>
      <c r="F96" s="716">
        <f>IF(F$3 = 1, 1, 4)</f>
        <v>4</v>
      </c>
      <c r="G96" s="21">
        <f t="shared" si="33"/>
        <v>8</v>
      </c>
      <c r="H96" s="640">
        <v>4</v>
      </c>
      <c r="I96" s="631">
        <f t="shared" si="34"/>
        <v>0</v>
      </c>
      <c r="J96" s="716">
        <f>IF(J$3 = 1, 1, 4)</f>
        <v>4</v>
      </c>
      <c r="K96" s="21">
        <f t="shared" si="35"/>
        <v>8</v>
      </c>
      <c r="L96" s="640">
        <v>4</v>
      </c>
      <c r="M96" s="631">
        <f t="shared" si="36"/>
        <v>0</v>
      </c>
      <c r="N96" s="716">
        <f>IF(N$3 = 1, 1, 4)</f>
        <v>4</v>
      </c>
      <c r="O96" s="21">
        <f t="shared" si="37"/>
        <v>8</v>
      </c>
      <c r="P96" s="640">
        <v>4</v>
      </c>
      <c r="Q96" s="631">
        <f t="shared" si="38"/>
        <v>0</v>
      </c>
      <c r="R96" s="716">
        <f>IF(R$3 = 1, 1, 4)</f>
        <v>4</v>
      </c>
      <c r="S96" s="21">
        <f t="shared" si="39"/>
        <v>8</v>
      </c>
      <c r="T96" s="640">
        <v>4</v>
      </c>
      <c r="U96" s="631">
        <f t="shared" si="40"/>
        <v>0</v>
      </c>
      <c r="V96" s="716">
        <f>IF(V$3 = 1, 1, 4)</f>
        <v>4</v>
      </c>
      <c r="W96" s="21">
        <f t="shared" si="41"/>
        <v>8</v>
      </c>
    </row>
    <row r="97" spans="1:23" x14ac:dyDescent="0.25">
      <c r="A97" s="1974" t="s">
        <v>26</v>
      </c>
      <c r="B97" s="19" t="s">
        <v>32</v>
      </c>
      <c r="C97" s="22"/>
      <c r="D97" s="640">
        <v>2</v>
      </c>
      <c r="E97" s="631">
        <f t="shared" si="32"/>
        <v>0</v>
      </c>
      <c r="F97" s="716">
        <f>IF(F$3 = 1, 1, 2)</f>
        <v>2</v>
      </c>
      <c r="G97" s="21">
        <f t="shared" si="33"/>
        <v>4</v>
      </c>
      <c r="H97" s="640">
        <v>2</v>
      </c>
      <c r="I97" s="631">
        <f t="shared" si="34"/>
        <v>0</v>
      </c>
      <c r="J97" s="716">
        <f>IF(J$3 = 1, 1, 2)</f>
        <v>2</v>
      </c>
      <c r="K97" s="21">
        <f t="shared" si="35"/>
        <v>4</v>
      </c>
      <c r="L97" s="640">
        <v>2</v>
      </c>
      <c r="M97" s="631">
        <f t="shared" si="36"/>
        <v>0</v>
      </c>
      <c r="N97" s="716">
        <f>IF(N$3 = 1, 1, 2)</f>
        <v>2</v>
      </c>
      <c r="O97" s="21">
        <f t="shared" si="37"/>
        <v>4</v>
      </c>
      <c r="P97" s="640">
        <v>2</v>
      </c>
      <c r="Q97" s="631">
        <f t="shared" si="38"/>
        <v>0</v>
      </c>
      <c r="R97" s="716">
        <f>IF(R$3 = 1, 1, 2)</f>
        <v>2</v>
      </c>
      <c r="S97" s="21">
        <f t="shared" si="39"/>
        <v>4</v>
      </c>
      <c r="T97" s="640">
        <v>2</v>
      </c>
      <c r="U97" s="631">
        <f t="shared" si="40"/>
        <v>0</v>
      </c>
      <c r="V97" s="716">
        <f>IF(V$3 = 1, 1, 2)</f>
        <v>2</v>
      </c>
      <c r="W97" s="21">
        <f t="shared" si="41"/>
        <v>4</v>
      </c>
    </row>
    <row r="98" spans="1:23" x14ac:dyDescent="0.25">
      <c r="A98" s="1974"/>
      <c r="B98" s="19" t="s">
        <v>33</v>
      </c>
      <c r="C98" s="22"/>
      <c r="D98" s="640">
        <v>3</v>
      </c>
      <c r="E98" s="631">
        <f t="shared" si="32"/>
        <v>0</v>
      </c>
      <c r="F98" s="716">
        <f>IF(F$3 = 1, 1, 3)</f>
        <v>3</v>
      </c>
      <c r="G98" s="21">
        <f t="shared" si="33"/>
        <v>6</v>
      </c>
      <c r="H98" s="640">
        <v>3</v>
      </c>
      <c r="I98" s="631">
        <f t="shared" si="34"/>
        <v>0</v>
      </c>
      <c r="J98" s="716">
        <f>IF(J$3 = 1, 1, 3)</f>
        <v>3</v>
      </c>
      <c r="K98" s="21">
        <f t="shared" si="35"/>
        <v>6</v>
      </c>
      <c r="L98" s="640">
        <v>3</v>
      </c>
      <c r="M98" s="631">
        <f t="shared" si="36"/>
        <v>0</v>
      </c>
      <c r="N98" s="716">
        <f>IF(N$3 = 1, 1, 3)</f>
        <v>3</v>
      </c>
      <c r="O98" s="21">
        <f t="shared" si="37"/>
        <v>6</v>
      </c>
      <c r="P98" s="640">
        <v>3</v>
      </c>
      <c r="Q98" s="631">
        <f t="shared" si="38"/>
        <v>0</v>
      </c>
      <c r="R98" s="716">
        <f>IF(R$3 = 1, 1, 3)</f>
        <v>3</v>
      </c>
      <c r="S98" s="21">
        <f t="shared" si="39"/>
        <v>6</v>
      </c>
      <c r="T98" s="640">
        <v>3</v>
      </c>
      <c r="U98" s="631">
        <f t="shared" si="40"/>
        <v>0</v>
      </c>
      <c r="V98" s="716">
        <f>IF(V$3 = 1, 1, 3)</f>
        <v>3</v>
      </c>
      <c r="W98" s="21">
        <f t="shared" si="41"/>
        <v>6</v>
      </c>
    </row>
    <row r="99" spans="1:23" x14ac:dyDescent="0.25">
      <c r="A99" s="1974"/>
      <c r="B99" s="19" t="s">
        <v>34</v>
      </c>
      <c r="C99" s="22"/>
      <c r="D99" s="640">
        <v>4</v>
      </c>
      <c r="E99" s="631">
        <f t="shared" si="32"/>
        <v>0</v>
      </c>
      <c r="F99" s="716">
        <f>IF(F$3 = 1, 1, 4)</f>
        <v>4</v>
      </c>
      <c r="G99" s="21">
        <f t="shared" si="33"/>
        <v>8</v>
      </c>
      <c r="H99" s="640">
        <v>4</v>
      </c>
      <c r="I99" s="631">
        <f t="shared" si="34"/>
        <v>0</v>
      </c>
      <c r="J99" s="716">
        <f>IF(J$3 = 1, 1, 4)</f>
        <v>4</v>
      </c>
      <c r="K99" s="21">
        <f t="shared" si="35"/>
        <v>8</v>
      </c>
      <c r="L99" s="640">
        <v>4</v>
      </c>
      <c r="M99" s="631">
        <f t="shared" si="36"/>
        <v>0</v>
      </c>
      <c r="N99" s="716">
        <f>IF(N$3 = 1, 1, 4)</f>
        <v>4</v>
      </c>
      <c r="O99" s="21">
        <f t="shared" si="37"/>
        <v>8</v>
      </c>
      <c r="P99" s="640">
        <v>4</v>
      </c>
      <c r="Q99" s="631">
        <f t="shared" si="38"/>
        <v>0</v>
      </c>
      <c r="R99" s="716">
        <f>IF(R$3 = 1, 1, 4)</f>
        <v>4</v>
      </c>
      <c r="S99" s="21">
        <f t="shared" si="39"/>
        <v>8</v>
      </c>
      <c r="T99" s="640">
        <v>4</v>
      </c>
      <c r="U99" s="631">
        <f t="shared" si="40"/>
        <v>0</v>
      </c>
      <c r="V99" s="716">
        <f>IF(V$3 = 1, 1, 4)</f>
        <v>4</v>
      </c>
      <c r="W99" s="21">
        <f t="shared" si="41"/>
        <v>8</v>
      </c>
    </row>
    <row r="100" spans="1:23" x14ac:dyDescent="0.25">
      <c r="A100" s="1974" t="s">
        <v>27</v>
      </c>
      <c r="B100" s="19" t="s">
        <v>32</v>
      </c>
      <c r="C100" s="22"/>
      <c r="D100" s="640">
        <v>1</v>
      </c>
      <c r="E100" s="631">
        <f t="shared" si="32"/>
        <v>0</v>
      </c>
      <c r="F100" s="617">
        <v>0</v>
      </c>
      <c r="G100" s="21">
        <f t="shared" si="33"/>
        <v>1</v>
      </c>
      <c r="H100" s="640">
        <v>1</v>
      </c>
      <c r="I100" s="631">
        <f t="shared" si="34"/>
        <v>0</v>
      </c>
      <c r="J100" s="617">
        <v>0</v>
      </c>
      <c r="K100" s="21">
        <f t="shared" si="35"/>
        <v>1</v>
      </c>
      <c r="L100" s="640">
        <v>1</v>
      </c>
      <c r="M100" s="631">
        <f t="shared" si="36"/>
        <v>0</v>
      </c>
      <c r="N100" s="617">
        <v>0</v>
      </c>
      <c r="O100" s="21">
        <f t="shared" si="37"/>
        <v>1</v>
      </c>
      <c r="P100" s="640">
        <v>1</v>
      </c>
      <c r="Q100" s="631">
        <f t="shared" si="38"/>
        <v>0</v>
      </c>
      <c r="R100" s="617">
        <v>0</v>
      </c>
      <c r="S100" s="21">
        <f t="shared" si="39"/>
        <v>1</v>
      </c>
      <c r="T100" s="640">
        <v>1</v>
      </c>
      <c r="U100" s="631">
        <f t="shared" si="40"/>
        <v>0</v>
      </c>
      <c r="V100" s="617">
        <v>0</v>
      </c>
      <c r="W100" s="21">
        <f t="shared" si="41"/>
        <v>1</v>
      </c>
    </row>
    <row r="101" spans="1:23" x14ac:dyDescent="0.25">
      <c r="A101" s="1974"/>
      <c r="B101" s="19" t="s">
        <v>33</v>
      </c>
      <c r="C101" s="22"/>
      <c r="D101" s="640">
        <v>2</v>
      </c>
      <c r="E101" s="631">
        <f t="shared" si="32"/>
        <v>0</v>
      </c>
      <c r="F101" s="617">
        <v>0</v>
      </c>
      <c r="G101" s="21">
        <f t="shared" si="33"/>
        <v>2</v>
      </c>
      <c r="H101" s="640">
        <v>2</v>
      </c>
      <c r="I101" s="631">
        <f t="shared" si="34"/>
        <v>0</v>
      </c>
      <c r="J101" s="617">
        <v>0</v>
      </c>
      <c r="K101" s="21">
        <f t="shared" si="35"/>
        <v>2</v>
      </c>
      <c r="L101" s="640">
        <v>2</v>
      </c>
      <c r="M101" s="631">
        <f t="shared" si="36"/>
        <v>0</v>
      </c>
      <c r="N101" s="617">
        <v>0</v>
      </c>
      <c r="O101" s="21">
        <f t="shared" si="37"/>
        <v>2</v>
      </c>
      <c r="P101" s="640">
        <v>2</v>
      </c>
      <c r="Q101" s="631">
        <f t="shared" si="38"/>
        <v>0</v>
      </c>
      <c r="R101" s="617">
        <v>0</v>
      </c>
      <c r="S101" s="21">
        <f t="shared" si="39"/>
        <v>2</v>
      </c>
      <c r="T101" s="640">
        <v>2</v>
      </c>
      <c r="U101" s="631">
        <f t="shared" si="40"/>
        <v>0</v>
      </c>
      <c r="V101" s="617">
        <v>0</v>
      </c>
      <c r="W101" s="21">
        <f t="shared" si="41"/>
        <v>2</v>
      </c>
    </row>
    <row r="102" spans="1:23" x14ac:dyDescent="0.25">
      <c r="A102" s="1974"/>
      <c r="B102" s="19" t="s">
        <v>34</v>
      </c>
      <c r="C102" s="22"/>
      <c r="D102" s="640">
        <v>3</v>
      </c>
      <c r="E102" s="631">
        <f t="shared" si="32"/>
        <v>0</v>
      </c>
      <c r="F102" s="617">
        <v>0</v>
      </c>
      <c r="G102" s="21">
        <f t="shared" si="33"/>
        <v>3</v>
      </c>
      <c r="H102" s="640">
        <v>3</v>
      </c>
      <c r="I102" s="631">
        <f t="shared" si="34"/>
        <v>0</v>
      </c>
      <c r="J102" s="617">
        <v>0</v>
      </c>
      <c r="K102" s="21">
        <f t="shared" si="35"/>
        <v>3</v>
      </c>
      <c r="L102" s="640">
        <v>3</v>
      </c>
      <c r="M102" s="631">
        <f t="shared" si="36"/>
        <v>0</v>
      </c>
      <c r="N102" s="617">
        <v>0</v>
      </c>
      <c r="O102" s="21">
        <f t="shared" si="37"/>
        <v>3</v>
      </c>
      <c r="P102" s="640">
        <v>3</v>
      </c>
      <c r="Q102" s="631">
        <f t="shared" si="38"/>
        <v>0</v>
      </c>
      <c r="R102" s="617">
        <v>0</v>
      </c>
      <c r="S102" s="21">
        <f t="shared" si="39"/>
        <v>3</v>
      </c>
      <c r="T102" s="640">
        <v>3</v>
      </c>
      <c r="U102" s="631">
        <f t="shared" si="40"/>
        <v>0</v>
      </c>
      <c r="V102" s="617">
        <v>0</v>
      </c>
      <c r="W102" s="21">
        <f t="shared" si="41"/>
        <v>3</v>
      </c>
    </row>
    <row r="103" spans="1:23" x14ac:dyDescent="0.25">
      <c r="A103" s="1907" t="s">
        <v>28</v>
      </c>
      <c r="B103" s="19" t="s">
        <v>32</v>
      </c>
      <c r="C103" s="22"/>
      <c r="D103" s="640">
        <v>2</v>
      </c>
      <c r="E103" s="631">
        <f t="shared" si="32"/>
        <v>0</v>
      </c>
      <c r="F103" s="716">
        <f>IF(F$3 = 1, 1, 2)</f>
        <v>2</v>
      </c>
      <c r="G103" s="21">
        <f t="shared" si="33"/>
        <v>4</v>
      </c>
      <c r="H103" s="640">
        <v>2</v>
      </c>
      <c r="I103" s="631">
        <f t="shared" si="34"/>
        <v>0</v>
      </c>
      <c r="J103" s="716">
        <f>IF(J$3 = 1, 1, 2)</f>
        <v>2</v>
      </c>
      <c r="K103" s="21">
        <f t="shared" si="35"/>
        <v>4</v>
      </c>
      <c r="L103" s="640">
        <v>2</v>
      </c>
      <c r="M103" s="631">
        <f t="shared" si="36"/>
        <v>0</v>
      </c>
      <c r="N103" s="716">
        <f>IF(N$3 = 1, 1, 2)</f>
        <v>2</v>
      </c>
      <c r="O103" s="21">
        <f t="shared" si="37"/>
        <v>4</v>
      </c>
      <c r="P103" s="640">
        <v>2</v>
      </c>
      <c r="Q103" s="631">
        <f t="shared" si="38"/>
        <v>0</v>
      </c>
      <c r="R103" s="716">
        <f>IF(R$3 = 1, 1, 2)</f>
        <v>2</v>
      </c>
      <c r="S103" s="21">
        <f t="shared" si="39"/>
        <v>4</v>
      </c>
      <c r="T103" s="640">
        <v>2</v>
      </c>
      <c r="U103" s="631">
        <f t="shared" si="40"/>
        <v>0</v>
      </c>
      <c r="V103" s="716">
        <f>IF(V$3 = 1, 1, 2)</f>
        <v>2</v>
      </c>
      <c r="W103" s="21">
        <f t="shared" si="41"/>
        <v>4</v>
      </c>
    </row>
    <row r="104" spans="1:23" x14ac:dyDescent="0.25">
      <c r="A104" s="1907"/>
      <c r="B104" s="19" t="s">
        <v>33</v>
      </c>
      <c r="C104" s="22"/>
      <c r="D104" s="640">
        <v>2</v>
      </c>
      <c r="E104" s="631">
        <f t="shared" si="32"/>
        <v>0</v>
      </c>
      <c r="F104" s="716">
        <f>IF(F$3 = 1, 1, 3)</f>
        <v>3</v>
      </c>
      <c r="G104" s="21">
        <f t="shared" si="33"/>
        <v>5</v>
      </c>
      <c r="H104" s="640">
        <v>2</v>
      </c>
      <c r="I104" s="631">
        <f t="shared" si="34"/>
        <v>0</v>
      </c>
      <c r="J104" s="716">
        <f>IF(J$3 = 1, 1, 3)</f>
        <v>3</v>
      </c>
      <c r="K104" s="21">
        <f t="shared" si="35"/>
        <v>5</v>
      </c>
      <c r="L104" s="640">
        <v>2</v>
      </c>
      <c r="M104" s="631">
        <f t="shared" si="36"/>
        <v>0</v>
      </c>
      <c r="N104" s="716">
        <f>IF(N$3 = 1, 1, 3)</f>
        <v>3</v>
      </c>
      <c r="O104" s="21">
        <f t="shared" si="37"/>
        <v>5</v>
      </c>
      <c r="P104" s="640">
        <v>2</v>
      </c>
      <c r="Q104" s="631">
        <f t="shared" si="38"/>
        <v>0</v>
      </c>
      <c r="R104" s="716">
        <f>IF(R$3 = 1, 1, 3)</f>
        <v>3</v>
      </c>
      <c r="S104" s="21">
        <f t="shared" si="39"/>
        <v>5</v>
      </c>
      <c r="T104" s="640">
        <v>2</v>
      </c>
      <c r="U104" s="631">
        <f t="shared" si="40"/>
        <v>0</v>
      </c>
      <c r="V104" s="716">
        <f>IF(V$3 = 1, 1, 3)</f>
        <v>3</v>
      </c>
      <c r="W104" s="21">
        <f t="shared" si="41"/>
        <v>5</v>
      </c>
    </row>
    <row r="105" spans="1:23" ht="15.75" thickBot="1" x14ac:dyDescent="0.3">
      <c r="A105" s="1975"/>
      <c r="B105" s="20" t="s">
        <v>34</v>
      </c>
      <c r="C105" s="23"/>
      <c r="D105" s="649">
        <v>2</v>
      </c>
      <c r="E105" s="407">
        <f t="shared" si="32"/>
        <v>0</v>
      </c>
      <c r="F105" s="715">
        <f>IF(F$3 = 1, 1, 4)</f>
        <v>4</v>
      </c>
      <c r="G105" s="24">
        <f t="shared" si="33"/>
        <v>6</v>
      </c>
      <c r="H105" s="649">
        <v>2</v>
      </c>
      <c r="I105" s="407">
        <f t="shared" si="34"/>
        <v>0</v>
      </c>
      <c r="J105" s="715">
        <f>IF(J$3 = 1, 1, 4)</f>
        <v>4</v>
      </c>
      <c r="K105" s="24">
        <f t="shared" si="35"/>
        <v>6</v>
      </c>
      <c r="L105" s="649">
        <v>2</v>
      </c>
      <c r="M105" s="407">
        <f t="shared" si="36"/>
        <v>0</v>
      </c>
      <c r="N105" s="715">
        <f>IF(N$3 = 1, 1, 4)</f>
        <v>4</v>
      </c>
      <c r="O105" s="24">
        <f t="shared" si="37"/>
        <v>6</v>
      </c>
      <c r="P105" s="649">
        <v>2</v>
      </c>
      <c r="Q105" s="407">
        <f t="shared" si="38"/>
        <v>0</v>
      </c>
      <c r="R105" s="715">
        <f>IF(R$3 = 1, 1, 4)</f>
        <v>4</v>
      </c>
      <c r="S105" s="24">
        <f t="shared" si="39"/>
        <v>6</v>
      </c>
      <c r="T105" s="649">
        <v>2</v>
      </c>
      <c r="U105" s="407">
        <f t="shared" si="40"/>
        <v>0</v>
      </c>
      <c r="V105" s="715">
        <f>IF(V$3 = 1, 1, 4)</f>
        <v>4</v>
      </c>
      <c r="W105" s="24">
        <f t="shared" si="41"/>
        <v>6</v>
      </c>
    </row>
    <row r="107" spans="1:23" x14ac:dyDescent="0.25">
      <c r="A107" s="125" t="s">
        <v>89</v>
      </c>
    </row>
  </sheetData>
  <customSheetViews>
    <customSheetView guid="{B91A3F61-3B23-46E3-9B55-19B17EB6638A}" state="hidden" topLeftCell="B1">
      <pageMargins left="0.7" right="0.7" top="0.75" bottom="0.75" header="0.3" footer="0.3"/>
    </customSheetView>
    <customSheetView guid="{F5CB9414-DBF4-48FF-9213-FFE745451535}" state="hidden" topLeftCell="B1">
      <pageMargins left="0.7" right="0.7" top="0.75" bottom="0.75" header="0.3" footer="0.3"/>
    </customSheetView>
    <customSheetView guid="{A1A876F1-3EAA-4E5F-BD51-8B131AB8854B}" state="hidden" topLeftCell="B1">
      <pageMargins left="0.7" right="0.7" top="0.75" bottom="0.75" header="0.3" footer="0.3"/>
    </customSheetView>
    <customSheetView guid="{18A094BB-EA3E-4938-9069-21F549B37E23}" state="hidden" topLeftCell="B1">
      <pageMargins left="0.7" right="0.7" top="0.75" bottom="0.75" header="0.3" footer="0.3"/>
    </customSheetView>
  </customSheetViews>
  <mergeCells count="43">
    <mergeCell ref="K2:K3"/>
    <mergeCell ref="H1:K1"/>
    <mergeCell ref="T1:W1"/>
    <mergeCell ref="W2:W3"/>
    <mergeCell ref="L1:O1"/>
    <mergeCell ref="O2:O3"/>
    <mergeCell ref="P1:S1"/>
    <mergeCell ref="S2:S3"/>
    <mergeCell ref="A54:A56"/>
    <mergeCell ref="A19:A21"/>
    <mergeCell ref="A22:A24"/>
    <mergeCell ref="A25:A27"/>
    <mergeCell ref="A28:A30"/>
    <mergeCell ref="A31:A33"/>
    <mergeCell ref="A34:A36"/>
    <mergeCell ref="A38:A40"/>
    <mergeCell ref="A42:A44"/>
    <mergeCell ref="A45:A47"/>
    <mergeCell ref="A48:A50"/>
    <mergeCell ref="A51:A53"/>
    <mergeCell ref="A100:A102"/>
    <mergeCell ref="A103:A105"/>
    <mergeCell ref="A57:A59"/>
    <mergeCell ref="A72:A74"/>
    <mergeCell ref="A75:A77"/>
    <mergeCell ref="A88:A90"/>
    <mergeCell ref="A91:A93"/>
    <mergeCell ref="A94:A96"/>
    <mergeCell ref="A78:A80"/>
    <mergeCell ref="A81:A83"/>
    <mergeCell ref="A84:A86"/>
    <mergeCell ref="A97:A99"/>
    <mergeCell ref="A60:A62"/>
    <mergeCell ref="A63:A65"/>
    <mergeCell ref="A66:A68"/>
    <mergeCell ref="A69:A71"/>
    <mergeCell ref="A16:A18"/>
    <mergeCell ref="D1:G1"/>
    <mergeCell ref="C2:C3"/>
    <mergeCell ref="G2:G3"/>
    <mergeCell ref="A8:A10"/>
    <mergeCell ref="A12:A14"/>
    <mergeCell ref="A5:A7"/>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Лист12"/>
  <dimension ref="A1:W107"/>
  <sheetViews>
    <sheetView topLeftCell="D79" zoomScale="70" zoomScaleNormal="70" workbookViewId="0">
      <selection activeCell="I113" sqref="I113"/>
    </sheetView>
  </sheetViews>
  <sheetFormatPr defaultRowHeight="15" x14ac:dyDescent="0.25"/>
  <cols>
    <col min="1" max="1" width="53.42578125" bestFit="1" customWidth="1"/>
    <col min="2" max="2" width="23.5703125" bestFit="1" customWidth="1"/>
    <col min="4" max="4" width="57.85546875" bestFit="1" customWidth="1"/>
    <col min="5" max="5" width="38.7109375" customWidth="1"/>
    <col min="6" max="6" width="39.28515625" bestFit="1" customWidth="1"/>
    <col min="8" max="8" width="57.85546875" bestFit="1" customWidth="1"/>
    <col min="9" max="9" width="38.7109375" customWidth="1"/>
    <col min="10" max="10" width="39.28515625" bestFit="1" customWidth="1"/>
    <col min="12" max="12" width="57.85546875" bestFit="1" customWidth="1"/>
    <col min="13" max="13" width="38.7109375" customWidth="1"/>
    <col min="14" max="14" width="39.28515625" bestFit="1" customWidth="1"/>
    <col min="16" max="16" width="57.85546875" bestFit="1" customWidth="1"/>
    <col min="17" max="17" width="38.7109375" customWidth="1"/>
    <col min="18" max="18" width="39.28515625" bestFit="1" customWidth="1"/>
    <col min="20" max="20" width="57.85546875" bestFit="1" customWidth="1"/>
    <col min="21" max="21" width="38.7109375" customWidth="1"/>
    <col min="22" max="22" width="39.28515625" bestFit="1" customWidth="1"/>
  </cols>
  <sheetData>
    <row r="1" spans="1:23" ht="16.5" thickBot="1" x14ac:dyDescent="0.3">
      <c r="A1" s="465" t="s">
        <v>91</v>
      </c>
      <c r="B1" s="35"/>
      <c r="C1" s="43"/>
      <c r="D1" s="1939" t="str">
        <f>'Служебный АСУТП'!S2</f>
        <v>Базис.WorkPlace</v>
      </c>
      <c r="E1" s="1940"/>
      <c r="F1" s="1940"/>
      <c r="G1" s="1941"/>
      <c r="H1" s="1980" t="str">
        <f>'Служебный АСУТП'!S3</f>
        <v>Termidesk VDI</v>
      </c>
      <c r="I1" s="1947"/>
      <c r="J1" s="1947"/>
      <c r="K1" s="1947"/>
      <c r="L1" s="1947" t="str">
        <f>'Служебный АСУТП'!S4</f>
        <v>Space VDI</v>
      </c>
      <c r="M1" s="1947"/>
      <c r="N1" s="1947"/>
      <c r="O1" s="1947"/>
      <c r="P1" s="1947" t="str">
        <f>'Служебный АСУТП'!S5</f>
        <v>Горизонт-ВС VDI</v>
      </c>
      <c r="Q1" s="1947"/>
      <c r="R1" s="1947"/>
      <c r="S1" s="1947"/>
      <c r="T1" s="1947" t="str">
        <f>'Служебный АСУТП'!S6</f>
        <v>РУСТЭК.VDI</v>
      </c>
      <c r="U1" s="1947"/>
      <c r="V1" s="1947"/>
      <c r="W1" s="1947"/>
    </row>
    <row r="2" spans="1:23" ht="15.75" x14ac:dyDescent="0.25">
      <c r="B2" s="41" t="s">
        <v>37</v>
      </c>
      <c r="C2" s="1945" t="s">
        <v>35</v>
      </c>
      <c r="D2" s="684" t="s">
        <v>580</v>
      </c>
      <c r="E2" s="645" t="s">
        <v>578</v>
      </c>
      <c r="F2" s="645" t="s">
        <v>579</v>
      </c>
      <c r="G2" s="1942" t="s">
        <v>38</v>
      </c>
      <c r="H2" s="684" t="s">
        <v>580</v>
      </c>
      <c r="I2" s="645" t="s">
        <v>578</v>
      </c>
      <c r="J2" s="645" t="s">
        <v>579</v>
      </c>
      <c r="K2" s="1942" t="s">
        <v>38</v>
      </c>
      <c r="L2" s="684" t="s">
        <v>580</v>
      </c>
      <c r="M2" s="645" t="s">
        <v>578</v>
      </c>
      <c r="N2" s="645" t="s">
        <v>579</v>
      </c>
      <c r="O2" s="1942" t="s">
        <v>38</v>
      </c>
      <c r="P2" s="684" t="s">
        <v>580</v>
      </c>
      <c r="Q2" s="645" t="s">
        <v>578</v>
      </c>
      <c r="R2" s="645" t="s">
        <v>579</v>
      </c>
      <c r="S2" s="1942" t="s">
        <v>38</v>
      </c>
      <c r="T2" s="684" t="s">
        <v>580</v>
      </c>
      <c r="U2" s="645" t="s">
        <v>578</v>
      </c>
      <c r="V2" s="645" t="s">
        <v>579</v>
      </c>
      <c r="W2" s="1942" t="s">
        <v>38</v>
      </c>
    </row>
    <row r="3" spans="1:23"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c r="P3" s="37">
        <f>INDEX(ТрЗ_ОП!$P$11:$P$102,MATCH(P2,ТрЗ_ОП!$O$11:$O$102,0))</f>
        <v>0</v>
      </c>
      <c r="Q3" s="37">
        <f>INDEX(ТрЗ_ОП!$P$11:$P$102,MATCH(Q2,ТрЗ_ОП!$O$11:$O$102,0))</f>
        <v>0</v>
      </c>
      <c r="R3" s="37">
        <f>INDEX(ТрЗ_ОП!$P$11:$P$102,MATCH(R2,ТрЗ_ОП!$O$11:$O$102,0))</f>
        <v>0</v>
      </c>
      <c r="S3" s="1942"/>
      <c r="T3" s="37">
        <f>INDEX(ТрЗ_ОП!$P$11:$P$102,MATCH(T2,ТрЗ_ОП!$O$11:$O$102,0))</f>
        <v>0</v>
      </c>
      <c r="U3" s="37">
        <f>INDEX(ТрЗ_ОП!$P$11:$P$102,MATCH(U2,ТрЗ_ОП!$O$11:$O$102,0))</f>
        <v>0</v>
      </c>
      <c r="V3" s="37">
        <f>INDEX(ТрЗ_ОП!$P$11:$P$102,MATCH(V2,ТрЗ_ОП!$O$11:$O$102,0))</f>
        <v>0</v>
      </c>
      <c r="W3" s="1942"/>
    </row>
    <row r="4" spans="1:23" ht="16.5" thickBot="1" x14ac:dyDescent="0.3">
      <c r="A4" s="326" t="s">
        <v>448</v>
      </c>
      <c r="B4" s="327"/>
      <c r="C4" s="327"/>
      <c r="D4" s="327"/>
      <c r="E4" s="327"/>
      <c r="F4" s="327"/>
      <c r="G4" s="327"/>
      <c r="H4" s="327"/>
      <c r="I4" s="327"/>
      <c r="J4" s="327"/>
      <c r="K4" s="327"/>
      <c r="L4" s="327"/>
      <c r="M4" s="327"/>
      <c r="N4" s="327"/>
      <c r="O4" s="327"/>
      <c r="P4" s="327"/>
      <c r="Q4" s="327"/>
      <c r="R4" s="327"/>
      <c r="S4" s="327"/>
      <c r="T4" s="327"/>
      <c r="U4" s="327"/>
      <c r="V4" s="327"/>
      <c r="W4" s="396"/>
    </row>
    <row r="5" spans="1:23" x14ac:dyDescent="0.25">
      <c r="A5" s="1932" t="s">
        <v>0</v>
      </c>
      <c r="B5" s="404" t="s">
        <v>32</v>
      </c>
      <c r="C5" s="324"/>
      <c r="D5" s="661">
        <v>2</v>
      </c>
      <c r="E5" s="661">
        <v>0.5</v>
      </c>
      <c r="F5" s="661">
        <v>0</v>
      </c>
      <c r="G5" s="230">
        <f xml:space="preserve"> SUM(D5:F5) + $C5</f>
        <v>2.5</v>
      </c>
      <c r="H5" s="661">
        <v>2</v>
      </c>
      <c r="I5" s="661">
        <v>0.5</v>
      </c>
      <c r="J5" s="661">
        <v>0</v>
      </c>
      <c r="K5" s="230">
        <f t="shared" ref="K5:K10" si="0" xml:space="preserve"> SUM(H5:J5) + $C5</f>
        <v>2.5</v>
      </c>
      <c r="L5" s="661">
        <v>2</v>
      </c>
      <c r="M5" s="661">
        <v>0.5</v>
      </c>
      <c r="N5" s="661">
        <v>0</v>
      </c>
      <c r="O5" s="230">
        <f t="shared" ref="O5:O10" si="1" xml:space="preserve"> SUM(L5:N5) + $C5</f>
        <v>2.5</v>
      </c>
      <c r="P5" s="661">
        <v>2</v>
      </c>
      <c r="Q5" s="661">
        <v>0.5</v>
      </c>
      <c r="R5" s="661">
        <v>0</v>
      </c>
      <c r="S5" s="230">
        <f t="shared" ref="S5:S10" si="2" xml:space="preserve"> SUM(P5:R5) + $C5</f>
        <v>2.5</v>
      </c>
      <c r="T5" s="661">
        <v>2</v>
      </c>
      <c r="U5" s="661">
        <v>0.5</v>
      </c>
      <c r="V5" s="661">
        <v>0</v>
      </c>
      <c r="W5" s="230">
        <f t="shared" ref="W5:W10" si="3" xml:space="preserve"> SUM(T5:V5) + $C5</f>
        <v>2.5</v>
      </c>
    </row>
    <row r="6" spans="1:23" x14ac:dyDescent="0.25">
      <c r="A6" s="1932"/>
      <c r="B6" s="19" t="s">
        <v>33</v>
      </c>
      <c r="C6" s="22"/>
      <c r="D6" s="615">
        <v>4</v>
      </c>
      <c r="E6" s="615">
        <v>0.5</v>
      </c>
      <c r="F6" s="615">
        <v>0</v>
      </c>
      <c r="G6" s="21">
        <f xml:space="preserve"> SUM(D6:F6) + $C6</f>
        <v>4.5</v>
      </c>
      <c r="H6" s="615">
        <v>4</v>
      </c>
      <c r="I6" s="615">
        <v>0.5</v>
      </c>
      <c r="J6" s="615">
        <v>0</v>
      </c>
      <c r="K6" s="21">
        <f t="shared" si="0"/>
        <v>4.5</v>
      </c>
      <c r="L6" s="615">
        <v>4</v>
      </c>
      <c r="M6" s="615">
        <v>0.5</v>
      </c>
      <c r="N6" s="615">
        <v>0</v>
      </c>
      <c r="O6" s="21">
        <f t="shared" si="1"/>
        <v>4.5</v>
      </c>
      <c r="P6" s="615">
        <v>4</v>
      </c>
      <c r="Q6" s="615">
        <v>0.5</v>
      </c>
      <c r="R6" s="615">
        <v>0</v>
      </c>
      <c r="S6" s="21">
        <f t="shared" si="2"/>
        <v>4.5</v>
      </c>
      <c r="T6" s="615">
        <v>4</v>
      </c>
      <c r="U6" s="615">
        <v>0.5</v>
      </c>
      <c r="V6" s="615">
        <v>0</v>
      </c>
      <c r="W6" s="21">
        <f t="shared" si="3"/>
        <v>4.5</v>
      </c>
    </row>
    <row r="7" spans="1:23" x14ac:dyDescent="0.25">
      <c r="A7" s="1973"/>
      <c r="B7" s="19" t="s">
        <v>34</v>
      </c>
      <c r="C7" s="22"/>
      <c r="D7" s="615">
        <v>8</v>
      </c>
      <c r="E7" s="615">
        <v>0.5</v>
      </c>
      <c r="F7" s="615">
        <v>0</v>
      </c>
      <c r="G7" s="21">
        <f xml:space="preserve"> SUM(D7:F7) + $C7</f>
        <v>8.5</v>
      </c>
      <c r="H7" s="615">
        <v>8</v>
      </c>
      <c r="I7" s="615">
        <v>0.5</v>
      </c>
      <c r="J7" s="615">
        <v>0</v>
      </c>
      <c r="K7" s="21">
        <f t="shared" si="0"/>
        <v>8.5</v>
      </c>
      <c r="L7" s="615">
        <v>8</v>
      </c>
      <c r="M7" s="615">
        <v>0.5</v>
      </c>
      <c r="N7" s="615">
        <v>0</v>
      </c>
      <c r="O7" s="21">
        <f t="shared" si="1"/>
        <v>8.5</v>
      </c>
      <c r="P7" s="615">
        <v>8</v>
      </c>
      <c r="Q7" s="615">
        <v>0.5</v>
      </c>
      <c r="R7" s="615">
        <v>0</v>
      </c>
      <c r="S7" s="21">
        <f t="shared" si="2"/>
        <v>8.5</v>
      </c>
      <c r="T7" s="615">
        <v>8</v>
      </c>
      <c r="U7" s="615">
        <v>0.5</v>
      </c>
      <c r="V7" s="615">
        <v>0</v>
      </c>
      <c r="W7" s="21">
        <f t="shared" si="3"/>
        <v>8.5</v>
      </c>
    </row>
    <row r="8" spans="1:23" x14ac:dyDescent="0.25">
      <c r="A8" s="1932" t="s">
        <v>449</v>
      </c>
      <c r="B8" s="404" t="s">
        <v>32</v>
      </c>
      <c r="C8" s="324"/>
      <c r="D8" s="615">
        <v>2</v>
      </c>
      <c r="E8" s="615">
        <v>0.5</v>
      </c>
      <c r="F8" s="615">
        <v>0</v>
      </c>
      <c r="G8" s="21">
        <f xml:space="preserve"> SUM(D8:F8) + $C8</f>
        <v>2.5</v>
      </c>
      <c r="H8" s="615">
        <v>2</v>
      </c>
      <c r="I8" s="615">
        <v>0.5</v>
      </c>
      <c r="J8" s="615">
        <v>0</v>
      </c>
      <c r="K8" s="21">
        <f t="shared" si="0"/>
        <v>2.5</v>
      </c>
      <c r="L8" s="615">
        <v>2</v>
      </c>
      <c r="M8" s="615">
        <v>0.5</v>
      </c>
      <c r="N8" s="615">
        <v>0</v>
      </c>
      <c r="O8" s="21">
        <f t="shared" si="1"/>
        <v>2.5</v>
      </c>
      <c r="P8" s="615">
        <v>2</v>
      </c>
      <c r="Q8" s="615">
        <v>0.5</v>
      </c>
      <c r="R8" s="615">
        <v>0</v>
      </c>
      <c r="S8" s="21">
        <f t="shared" si="2"/>
        <v>2.5</v>
      </c>
      <c r="T8" s="615">
        <v>2</v>
      </c>
      <c r="U8" s="615">
        <v>0.5</v>
      </c>
      <c r="V8" s="615">
        <v>0</v>
      </c>
      <c r="W8" s="21">
        <f t="shared" si="3"/>
        <v>2.5</v>
      </c>
    </row>
    <row r="9" spans="1:23" x14ac:dyDescent="0.25">
      <c r="A9" s="1932"/>
      <c r="B9" s="19" t="s">
        <v>33</v>
      </c>
      <c r="C9" s="22"/>
      <c r="D9" s="615">
        <v>4</v>
      </c>
      <c r="E9" s="615">
        <v>0.5</v>
      </c>
      <c r="F9" s="615">
        <v>0</v>
      </c>
      <c r="G9" s="21">
        <f t="shared" ref="G9:G93" si="4" xml:space="preserve"> SUM(D9:F9) + $C9</f>
        <v>4.5</v>
      </c>
      <c r="H9" s="615">
        <v>4</v>
      </c>
      <c r="I9" s="615">
        <v>0.5</v>
      </c>
      <c r="J9" s="615">
        <v>0</v>
      </c>
      <c r="K9" s="21">
        <f t="shared" si="0"/>
        <v>4.5</v>
      </c>
      <c r="L9" s="615">
        <v>4</v>
      </c>
      <c r="M9" s="615">
        <v>0.5</v>
      </c>
      <c r="N9" s="615">
        <v>0</v>
      </c>
      <c r="O9" s="21">
        <f t="shared" si="1"/>
        <v>4.5</v>
      </c>
      <c r="P9" s="615">
        <v>4</v>
      </c>
      <c r="Q9" s="615">
        <v>0.5</v>
      </c>
      <c r="R9" s="615">
        <v>0</v>
      </c>
      <c r="S9" s="21">
        <f t="shared" si="2"/>
        <v>4.5</v>
      </c>
      <c r="T9" s="615">
        <v>4</v>
      </c>
      <c r="U9" s="615">
        <v>0.5</v>
      </c>
      <c r="V9" s="615">
        <v>0</v>
      </c>
      <c r="W9" s="21">
        <f t="shared" si="3"/>
        <v>4.5</v>
      </c>
    </row>
    <row r="10" spans="1:23" ht="15.75" thickBot="1" x14ac:dyDescent="0.3">
      <c r="A10" s="1932"/>
      <c r="B10" s="13" t="s">
        <v>34</v>
      </c>
      <c r="C10" s="34"/>
      <c r="D10" s="673">
        <v>8</v>
      </c>
      <c r="E10" s="673">
        <v>0.5</v>
      </c>
      <c r="F10" s="673">
        <v>0</v>
      </c>
      <c r="G10" s="77">
        <f t="shared" si="4"/>
        <v>8.5</v>
      </c>
      <c r="H10" s="673">
        <v>8</v>
      </c>
      <c r="I10" s="673">
        <v>0.5</v>
      </c>
      <c r="J10" s="673">
        <v>0</v>
      </c>
      <c r="K10" s="77">
        <f t="shared" si="0"/>
        <v>8.5</v>
      </c>
      <c r="L10" s="673">
        <v>8</v>
      </c>
      <c r="M10" s="673">
        <v>0.5</v>
      </c>
      <c r="N10" s="673">
        <v>0</v>
      </c>
      <c r="O10" s="77">
        <f t="shared" si="1"/>
        <v>8.5</v>
      </c>
      <c r="P10" s="673">
        <v>8</v>
      </c>
      <c r="Q10" s="673">
        <v>0.5</v>
      </c>
      <c r="R10" s="673">
        <v>0</v>
      </c>
      <c r="S10" s="77">
        <f t="shared" si="2"/>
        <v>8.5</v>
      </c>
      <c r="T10" s="673">
        <v>8</v>
      </c>
      <c r="U10" s="673">
        <v>0.5</v>
      </c>
      <c r="V10" s="673">
        <v>0</v>
      </c>
      <c r="W10" s="77">
        <f t="shared" si="3"/>
        <v>8.5</v>
      </c>
    </row>
    <row r="11" spans="1:23" ht="16.5" thickBot="1" x14ac:dyDescent="0.3">
      <c r="A11" s="326" t="s">
        <v>1</v>
      </c>
      <c r="B11" s="327"/>
      <c r="C11" s="327"/>
      <c r="D11" s="327"/>
      <c r="E11" s="327"/>
      <c r="F11" s="327"/>
      <c r="G11" s="327"/>
      <c r="H11" s="327"/>
      <c r="I11" s="327"/>
      <c r="J11" s="327"/>
      <c r="K11" s="327"/>
      <c r="L11" s="327"/>
      <c r="M11" s="327"/>
      <c r="N11" s="327"/>
      <c r="O11" s="327"/>
      <c r="P11" s="327"/>
      <c r="Q11" s="327"/>
      <c r="R11" s="327"/>
      <c r="S11" s="327"/>
      <c r="T11" s="327"/>
      <c r="U11" s="327"/>
      <c r="V11" s="327"/>
      <c r="W11" s="396"/>
    </row>
    <row r="12" spans="1:23" x14ac:dyDescent="0.25">
      <c r="A12" s="1932" t="s">
        <v>2</v>
      </c>
      <c r="B12" s="404" t="s">
        <v>32</v>
      </c>
      <c r="C12" s="324"/>
      <c r="D12" s="674">
        <f>D$22*0.7</f>
        <v>4.1999999999999993</v>
      </c>
      <c r="E12" s="674">
        <f>E22*0.7</f>
        <v>0</v>
      </c>
      <c r="F12" s="674">
        <f>F$22*1</f>
        <v>0</v>
      </c>
      <c r="G12" s="230">
        <f t="shared" si="4"/>
        <v>4.1999999999999993</v>
      </c>
      <c r="H12" s="674">
        <f>H$22*0.7</f>
        <v>5.6</v>
      </c>
      <c r="I12" s="674">
        <f>I22*0.7</f>
        <v>0</v>
      </c>
      <c r="J12" s="674">
        <f>J$22*1</f>
        <v>0</v>
      </c>
      <c r="K12" s="230">
        <f xml:space="preserve"> SUM(H12:J12) + $C12</f>
        <v>5.6</v>
      </c>
      <c r="L12" s="674">
        <f>L$22*0.7</f>
        <v>5.6</v>
      </c>
      <c r="M12" s="674">
        <f>M22*0.7</f>
        <v>0</v>
      </c>
      <c r="N12" s="674">
        <f>N$22*1</f>
        <v>0</v>
      </c>
      <c r="O12" s="230">
        <f xml:space="preserve"> SUM(L12:N12) + $C12</f>
        <v>5.6</v>
      </c>
      <c r="P12" s="674">
        <f>P$22*0.7</f>
        <v>5.6</v>
      </c>
      <c r="Q12" s="674">
        <f>Q22*0.7</f>
        <v>0</v>
      </c>
      <c r="R12" s="674">
        <f>R$22*1</f>
        <v>0</v>
      </c>
      <c r="S12" s="230">
        <f xml:space="preserve"> SUM(P12:R12) + $C12</f>
        <v>5.6</v>
      </c>
      <c r="T12" s="674">
        <f>T$22*0.7</f>
        <v>5.6</v>
      </c>
      <c r="U12" s="674">
        <f>U22*0.7</f>
        <v>0</v>
      </c>
      <c r="V12" s="674">
        <f>V$22*1</f>
        <v>0</v>
      </c>
      <c r="W12" s="230">
        <f xml:space="preserve"> SUM(T12:V12) + $C12</f>
        <v>5.6</v>
      </c>
    </row>
    <row r="13" spans="1:23" x14ac:dyDescent="0.25">
      <c r="A13" s="1932"/>
      <c r="B13" s="19" t="s">
        <v>33</v>
      </c>
      <c r="C13" s="22"/>
      <c r="D13" s="630">
        <f>D$23*0.7</f>
        <v>5.6</v>
      </c>
      <c r="E13" s="630">
        <f>E23*0.7</f>
        <v>0</v>
      </c>
      <c r="F13" s="674">
        <f>F$23*1</f>
        <v>0</v>
      </c>
      <c r="G13" s="21">
        <f t="shared" si="4"/>
        <v>5.6</v>
      </c>
      <c r="H13" s="630">
        <f>H$23*0.7</f>
        <v>8.3999999999999986</v>
      </c>
      <c r="I13" s="630">
        <f>I23*0.7</f>
        <v>0</v>
      </c>
      <c r="J13" s="674">
        <f>J$23*1</f>
        <v>0</v>
      </c>
      <c r="K13" s="21">
        <f xml:space="preserve"> SUM(H13:J13) + $C13</f>
        <v>8.3999999999999986</v>
      </c>
      <c r="L13" s="630">
        <f>L$23*0.7</f>
        <v>8.3999999999999986</v>
      </c>
      <c r="M13" s="630">
        <f>M23*0.7</f>
        <v>0</v>
      </c>
      <c r="N13" s="674">
        <f>N$23*1</f>
        <v>0</v>
      </c>
      <c r="O13" s="21">
        <f xml:space="preserve"> SUM(L13:N13) + $C13</f>
        <v>8.3999999999999986</v>
      </c>
      <c r="P13" s="630">
        <f>P$23*0.7</f>
        <v>8.3999999999999986</v>
      </c>
      <c r="Q13" s="630">
        <f>Q23*0.7</f>
        <v>0</v>
      </c>
      <c r="R13" s="674">
        <f>R$23*1</f>
        <v>0</v>
      </c>
      <c r="S13" s="21">
        <f xml:space="preserve"> SUM(P13:R13) + $C13</f>
        <v>8.3999999999999986</v>
      </c>
      <c r="T13" s="630">
        <f>T$23*0.7</f>
        <v>8.3999999999999986</v>
      </c>
      <c r="U13" s="630">
        <f>U23*0.7</f>
        <v>0</v>
      </c>
      <c r="V13" s="674">
        <f>V$23*1</f>
        <v>0</v>
      </c>
      <c r="W13" s="21">
        <f xml:space="preserve"> SUM(T13:V13) + $C13</f>
        <v>8.3999999999999986</v>
      </c>
    </row>
    <row r="14" spans="1:23" ht="15.75" thickBot="1" x14ac:dyDescent="0.3">
      <c r="A14" s="1932"/>
      <c r="B14" s="13" t="s">
        <v>34</v>
      </c>
      <c r="C14" s="34"/>
      <c r="D14" s="675">
        <f>D$24*0.7</f>
        <v>8.3999999999999986</v>
      </c>
      <c r="E14" s="675">
        <f>E24*0.7</f>
        <v>0</v>
      </c>
      <c r="F14" s="674">
        <f>F$24*1</f>
        <v>0</v>
      </c>
      <c r="G14" s="77">
        <f t="shared" si="4"/>
        <v>8.3999999999999986</v>
      </c>
      <c r="H14" s="675">
        <f>H$24*0.7</f>
        <v>9.7999999999999989</v>
      </c>
      <c r="I14" s="675">
        <f>I24*0.7</f>
        <v>0</v>
      </c>
      <c r="J14" s="674">
        <f>J$24*1</f>
        <v>0</v>
      </c>
      <c r="K14" s="77">
        <f xml:space="preserve"> SUM(H14:J14) + $C14</f>
        <v>9.7999999999999989</v>
      </c>
      <c r="L14" s="675">
        <f>L$24*0.7</f>
        <v>9.7999999999999989</v>
      </c>
      <c r="M14" s="675">
        <f>M24*0.7</f>
        <v>0</v>
      </c>
      <c r="N14" s="674">
        <f>N$24*1</f>
        <v>0</v>
      </c>
      <c r="O14" s="77">
        <f xml:space="preserve"> SUM(L14:N14) + $C14</f>
        <v>9.7999999999999989</v>
      </c>
      <c r="P14" s="675">
        <f>P$24*0.7</f>
        <v>9.7999999999999989</v>
      </c>
      <c r="Q14" s="675">
        <f>Q24*0.7</f>
        <v>0</v>
      </c>
      <c r="R14" s="674">
        <f>R$24*1</f>
        <v>0</v>
      </c>
      <c r="S14" s="77">
        <f xml:space="preserve"> SUM(P14:R14) + $C14</f>
        <v>9.7999999999999989</v>
      </c>
      <c r="T14" s="675">
        <f>T$24*0.7</f>
        <v>9.7999999999999989</v>
      </c>
      <c r="U14" s="675">
        <f>U24*0.7</f>
        <v>0</v>
      </c>
      <c r="V14" s="674">
        <f>V$24*1</f>
        <v>0</v>
      </c>
      <c r="W14" s="77">
        <f xml:space="preserve"> SUM(T14:V14) + $C14</f>
        <v>9.7999999999999989</v>
      </c>
    </row>
    <row r="15" spans="1:23" ht="16.5" thickBot="1" x14ac:dyDescent="0.3">
      <c r="A15" s="330" t="s">
        <v>3</v>
      </c>
      <c r="B15" s="329"/>
      <c r="C15" s="329"/>
      <c r="D15" s="329"/>
      <c r="E15" s="329"/>
      <c r="F15" s="327"/>
      <c r="G15" s="327"/>
      <c r="H15" s="329"/>
      <c r="I15" s="329"/>
      <c r="J15" s="327"/>
      <c r="K15" s="327"/>
      <c r="L15" s="329"/>
      <c r="M15" s="329"/>
      <c r="N15" s="327"/>
      <c r="O15" s="327"/>
      <c r="P15" s="329"/>
      <c r="Q15" s="329"/>
      <c r="R15" s="327"/>
      <c r="S15" s="327"/>
      <c r="T15" s="329"/>
      <c r="U15" s="329"/>
      <c r="V15" s="327"/>
      <c r="W15" s="396"/>
    </row>
    <row r="16" spans="1:23" x14ac:dyDescent="0.25">
      <c r="A16" s="1944" t="s">
        <v>4</v>
      </c>
      <c r="B16" s="325" t="s">
        <v>32</v>
      </c>
      <c r="C16" s="324"/>
      <c r="D16" s="678">
        <v>0.25</v>
      </c>
      <c r="E16" s="660">
        <v>0</v>
      </c>
      <c r="F16" s="679">
        <v>0</v>
      </c>
      <c r="G16" s="230">
        <f t="shared" si="4"/>
        <v>0.25</v>
      </c>
      <c r="H16" s="678">
        <v>0.25</v>
      </c>
      <c r="I16" s="660">
        <v>0</v>
      </c>
      <c r="J16" s="679">
        <v>0</v>
      </c>
      <c r="K16" s="230">
        <f t="shared" ref="K16:K36" si="5" xml:space="preserve"> SUM(H16:J16) + $C16</f>
        <v>0.25</v>
      </c>
      <c r="L16" s="678">
        <v>0.25</v>
      </c>
      <c r="M16" s="660">
        <v>0</v>
      </c>
      <c r="N16" s="679">
        <v>0</v>
      </c>
      <c r="O16" s="230">
        <f t="shared" ref="O16:O36" si="6" xml:space="preserve"> SUM(L16:N16) + $C16</f>
        <v>0.25</v>
      </c>
      <c r="P16" s="678">
        <v>0.25</v>
      </c>
      <c r="Q16" s="660">
        <v>0</v>
      </c>
      <c r="R16" s="679">
        <v>0</v>
      </c>
      <c r="S16" s="230">
        <f t="shared" ref="S16:S36" si="7" xml:space="preserve"> SUM(P16:R16) + $C16</f>
        <v>0.25</v>
      </c>
      <c r="T16" s="678">
        <v>0.25</v>
      </c>
      <c r="U16" s="660">
        <v>0</v>
      </c>
      <c r="V16" s="679">
        <v>0</v>
      </c>
      <c r="W16" s="230">
        <f t="shared" ref="W16:W36" si="8" xml:space="preserve"> SUM(T16:V16) + $C16</f>
        <v>0.25</v>
      </c>
    </row>
    <row r="17" spans="1:23" x14ac:dyDescent="0.25">
      <c r="A17" s="1937"/>
      <c r="B17" s="18" t="s">
        <v>33</v>
      </c>
      <c r="C17" s="22"/>
      <c r="D17" s="678">
        <v>0.25</v>
      </c>
      <c r="E17" s="616">
        <v>0</v>
      </c>
      <c r="F17" s="623">
        <v>0</v>
      </c>
      <c r="G17" s="21">
        <f t="shared" si="4"/>
        <v>0.25</v>
      </c>
      <c r="H17" s="678">
        <v>0.25</v>
      </c>
      <c r="I17" s="616">
        <v>0</v>
      </c>
      <c r="J17" s="623">
        <v>0</v>
      </c>
      <c r="K17" s="21">
        <f t="shared" si="5"/>
        <v>0.25</v>
      </c>
      <c r="L17" s="678">
        <v>0.25</v>
      </c>
      <c r="M17" s="616">
        <v>0</v>
      </c>
      <c r="N17" s="623">
        <v>0</v>
      </c>
      <c r="O17" s="21">
        <f t="shared" si="6"/>
        <v>0.25</v>
      </c>
      <c r="P17" s="678">
        <v>0.25</v>
      </c>
      <c r="Q17" s="616">
        <v>0</v>
      </c>
      <c r="R17" s="623">
        <v>0</v>
      </c>
      <c r="S17" s="21">
        <f t="shared" si="7"/>
        <v>0.25</v>
      </c>
      <c r="T17" s="678">
        <v>0.25</v>
      </c>
      <c r="U17" s="616">
        <v>0</v>
      </c>
      <c r="V17" s="623">
        <v>0</v>
      </c>
      <c r="W17" s="21">
        <f t="shared" si="8"/>
        <v>0.25</v>
      </c>
    </row>
    <row r="18" spans="1:23" x14ac:dyDescent="0.25">
      <c r="A18" s="1937"/>
      <c r="B18" s="18" t="s">
        <v>34</v>
      </c>
      <c r="C18" s="22"/>
      <c r="D18" s="678">
        <v>0.25</v>
      </c>
      <c r="E18" s="616">
        <v>0</v>
      </c>
      <c r="F18" s="623">
        <v>0</v>
      </c>
      <c r="G18" s="21">
        <f t="shared" si="4"/>
        <v>0.25</v>
      </c>
      <c r="H18" s="678">
        <v>0.25</v>
      </c>
      <c r="I18" s="616">
        <v>0</v>
      </c>
      <c r="J18" s="623">
        <v>0</v>
      </c>
      <c r="K18" s="21">
        <f t="shared" si="5"/>
        <v>0.25</v>
      </c>
      <c r="L18" s="678">
        <v>0.25</v>
      </c>
      <c r="M18" s="616">
        <v>0</v>
      </c>
      <c r="N18" s="623">
        <v>0</v>
      </c>
      <c r="O18" s="21">
        <f t="shared" si="6"/>
        <v>0.25</v>
      </c>
      <c r="P18" s="678">
        <v>0.25</v>
      </c>
      <c r="Q18" s="616">
        <v>0</v>
      </c>
      <c r="R18" s="623">
        <v>0</v>
      </c>
      <c r="S18" s="21">
        <f t="shared" si="7"/>
        <v>0.25</v>
      </c>
      <c r="T18" s="678">
        <v>0.25</v>
      </c>
      <c r="U18" s="616">
        <v>0</v>
      </c>
      <c r="V18" s="623">
        <v>0</v>
      </c>
      <c r="W18" s="21">
        <f t="shared" si="8"/>
        <v>0.25</v>
      </c>
    </row>
    <row r="19" spans="1:23" x14ac:dyDescent="0.25">
      <c r="A19" s="1937" t="s">
        <v>5</v>
      </c>
      <c r="B19" s="19" t="s">
        <v>32</v>
      </c>
      <c r="C19" s="22"/>
      <c r="D19" s="625">
        <v>1</v>
      </c>
      <c r="E19" s="616">
        <v>0</v>
      </c>
      <c r="F19" s="623">
        <v>0</v>
      </c>
      <c r="G19" s="21">
        <f t="shared" si="4"/>
        <v>1</v>
      </c>
      <c r="H19" s="38">
        <v>1</v>
      </c>
      <c r="I19" s="15">
        <v>0</v>
      </c>
      <c r="J19" s="33">
        <v>0</v>
      </c>
      <c r="K19" s="21">
        <f t="shared" si="5"/>
        <v>1</v>
      </c>
      <c r="L19" s="38">
        <v>1</v>
      </c>
      <c r="M19" s="15">
        <v>0</v>
      </c>
      <c r="N19" s="33">
        <v>0</v>
      </c>
      <c r="O19" s="21">
        <f t="shared" si="6"/>
        <v>1</v>
      </c>
      <c r="P19" s="38">
        <v>1</v>
      </c>
      <c r="Q19" s="15">
        <v>0</v>
      </c>
      <c r="R19" s="33">
        <v>0</v>
      </c>
      <c r="S19" s="21">
        <f t="shared" si="7"/>
        <v>1</v>
      </c>
      <c r="T19" s="38">
        <v>1</v>
      </c>
      <c r="U19" s="15">
        <v>0</v>
      </c>
      <c r="V19" s="33">
        <v>0</v>
      </c>
      <c r="W19" s="21">
        <f t="shared" si="8"/>
        <v>1</v>
      </c>
    </row>
    <row r="20" spans="1:23" x14ac:dyDescent="0.25">
      <c r="A20" s="1937"/>
      <c r="B20" s="19" t="s">
        <v>33</v>
      </c>
      <c r="C20" s="22"/>
      <c r="D20" s="625">
        <v>2</v>
      </c>
      <c r="E20" s="616">
        <v>0</v>
      </c>
      <c r="F20" s="623">
        <v>0</v>
      </c>
      <c r="G20" s="21">
        <f t="shared" si="4"/>
        <v>2</v>
      </c>
      <c r="H20" s="38">
        <v>2</v>
      </c>
      <c r="I20" s="15">
        <v>0</v>
      </c>
      <c r="J20" s="33">
        <v>0</v>
      </c>
      <c r="K20" s="21">
        <f t="shared" si="5"/>
        <v>2</v>
      </c>
      <c r="L20" s="38">
        <v>2</v>
      </c>
      <c r="M20" s="15">
        <v>0</v>
      </c>
      <c r="N20" s="33">
        <v>0</v>
      </c>
      <c r="O20" s="21">
        <f t="shared" si="6"/>
        <v>2</v>
      </c>
      <c r="P20" s="38">
        <v>2</v>
      </c>
      <c r="Q20" s="15">
        <v>0</v>
      </c>
      <c r="R20" s="33">
        <v>0</v>
      </c>
      <c r="S20" s="21">
        <f t="shared" si="7"/>
        <v>2</v>
      </c>
      <c r="T20" s="38">
        <v>2</v>
      </c>
      <c r="U20" s="15">
        <v>0</v>
      </c>
      <c r="V20" s="33">
        <v>0</v>
      </c>
      <c r="W20" s="21">
        <f t="shared" si="8"/>
        <v>2</v>
      </c>
    </row>
    <row r="21" spans="1:23" x14ac:dyDescent="0.25">
      <c r="A21" s="1937"/>
      <c r="B21" s="19" t="s">
        <v>34</v>
      </c>
      <c r="C21" s="22"/>
      <c r="D21" s="625">
        <v>3</v>
      </c>
      <c r="E21" s="616">
        <v>0</v>
      </c>
      <c r="F21" s="623">
        <v>0</v>
      </c>
      <c r="G21" s="21">
        <f t="shared" si="4"/>
        <v>3</v>
      </c>
      <c r="H21" s="38">
        <v>3</v>
      </c>
      <c r="I21" s="15">
        <v>0</v>
      </c>
      <c r="J21" s="33">
        <v>0</v>
      </c>
      <c r="K21" s="21">
        <f t="shared" si="5"/>
        <v>3</v>
      </c>
      <c r="L21" s="38">
        <v>3</v>
      </c>
      <c r="M21" s="15">
        <v>0</v>
      </c>
      <c r="N21" s="33">
        <v>0</v>
      </c>
      <c r="O21" s="21">
        <f t="shared" si="6"/>
        <v>3</v>
      </c>
      <c r="P21" s="38">
        <v>3</v>
      </c>
      <c r="Q21" s="15">
        <v>0</v>
      </c>
      <c r="R21" s="33">
        <v>0</v>
      </c>
      <c r="S21" s="21">
        <f t="shared" si="7"/>
        <v>3</v>
      </c>
      <c r="T21" s="38">
        <v>3</v>
      </c>
      <c r="U21" s="15">
        <v>0</v>
      </c>
      <c r="V21" s="33">
        <v>0</v>
      </c>
      <c r="W21" s="21">
        <f t="shared" si="8"/>
        <v>3</v>
      </c>
    </row>
    <row r="22" spans="1:23" x14ac:dyDescent="0.25">
      <c r="A22" s="1937" t="s">
        <v>6</v>
      </c>
      <c r="B22" s="19" t="s">
        <v>32</v>
      </c>
      <c r="C22" s="22"/>
      <c r="D22" s="615">
        <v>6</v>
      </c>
      <c r="E22" s="630">
        <f>1*E$3</f>
        <v>0</v>
      </c>
      <c r="F22" s="630">
        <f>0.2*F$3</f>
        <v>0</v>
      </c>
      <c r="G22" s="21">
        <f t="shared" si="4"/>
        <v>6</v>
      </c>
      <c r="H22" s="11">
        <v>8</v>
      </c>
      <c r="I22" s="123">
        <f>1*$E$3</f>
        <v>0</v>
      </c>
      <c r="J22" s="11">
        <v>0</v>
      </c>
      <c r="K22" s="21">
        <f t="shared" si="5"/>
        <v>8</v>
      </c>
      <c r="L22" s="11">
        <v>8</v>
      </c>
      <c r="M22" s="123">
        <f>1*$E$3</f>
        <v>0</v>
      </c>
      <c r="N22" s="11">
        <v>0</v>
      </c>
      <c r="O22" s="21">
        <f t="shared" si="6"/>
        <v>8</v>
      </c>
      <c r="P22" s="11">
        <v>8</v>
      </c>
      <c r="Q22" s="123">
        <f>1*$E$3</f>
        <v>0</v>
      </c>
      <c r="R22" s="11">
        <v>0</v>
      </c>
      <c r="S22" s="21">
        <f t="shared" si="7"/>
        <v>8</v>
      </c>
      <c r="T22" s="11">
        <v>8</v>
      </c>
      <c r="U22" s="123">
        <f>1*$E$3</f>
        <v>0</v>
      </c>
      <c r="V22" s="11">
        <v>0</v>
      </c>
      <c r="W22" s="21">
        <f t="shared" si="8"/>
        <v>8</v>
      </c>
    </row>
    <row r="23" spans="1:23" x14ac:dyDescent="0.25">
      <c r="A23" s="1937"/>
      <c r="B23" s="19" t="s">
        <v>33</v>
      </c>
      <c r="C23" s="22"/>
      <c r="D23" s="615">
        <v>8</v>
      </c>
      <c r="E23" s="630">
        <f>1*E$3</f>
        <v>0</v>
      </c>
      <c r="F23" s="630">
        <f>0.2*F$3</f>
        <v>0</v>
      </c>
      <c r="G23" s="21">
        <f t="shared" si="4"/>
        <v>8</v>
      </c>
      <c r="H23" s="11">
        <v>12</v>
      </c>
      <c r="I23" s="123">
        <f>1*$E$3</f>
        <v>0</v>
      </c>
      <c r="J23" s="11">
        <v>0</v>
      </c>
      <c r="K23" s="21">
        <f t="shared" si="5"/>
        <v>12</v>
      </c>
      <c r="L23" s="11">
        <v>12</v>
      </c>
      <c r="M23" s="123">
        <f>1*$E$3</f>
        <v>0</v>
      </c>
      <c r="N23" s="11">
        <v>0</v>
      </c>
      <c r="O23" s="21">
        <f t="shared" si="6"/>
        <v>12</v>
      </c>
      <c r="P23" s="11">
        <v>12</v>
      </c>
      <c r="Q23" s="123">
        <f>1*$E$3</f>
        <v>0</v>
      </c>
      <c r="R23" s="11">
        <v>0</v>
      </c>
      <c r="S23" s="21">
        <f t="shared" si="7"/>
        <v>12</v>
      </c>
      <c r="T23" s="11">
        <v>12</v>
      </c>
      <c r="U23" s="123">
        <f>1*$E$3</f>
        <v>0</v>
      </c>
      <c r="V23" s="11">
        <v>0</v>
      </c>
      <c r="W23" s="21">
        <f t="shared" si="8"/>
        <v>12</v>
      </c>
    </row>
    <row r="24" spans="1:23" x14ac:dyDescent="0.25">
      <c r="A24" s="1937"/>
      <c r="B24" s="19" t="s">
        <v>34</v>
      </c>
      <c r="C24" s="22"/>
      <c r="D24" s="615">
        <v>12</v>
      </c>
      <c r="E24" s="630">
        <f>1*E$3</f>
        <v>0</v>
      </c>
      <c r="F24" s="630">
        <f>0.2*F$3</f>
        <v>0</v>
      </c>
      <c r="G24" s="21">
        <f t="shared" si="4"/>
        <v>12</v>
      </c>
      <c r="H24" s="11">
        <v>14</v>
      </c>
      <c r="I24" s="123">
        <f>1*$E$3</f>
        <v>0</v>
      </c>
      <c r="J24" s="11">
        <v>0</v>
      </c>
      <c r="K24" s="21">
        <f t="shared" si="5"/>
        <v>14</v>
      </c>
      <c r="L24" s="11">
        <v>14</v>
      </c>
      <c r="M24" s="123">
        <f>1*$E$3</f>
        <v>0</v>
      </c>
      <c r="N24" s="11">
        <v>0</v>
      </c>
      <c r="O24" s="21">
        <f t="shared" si="6"/>
        <v>14</v>
      </c>
      <c r="P24" s="11">
        <v>14</v>
      </c>
      <c r="Q24" s="123">
        <f>1*$E$3</f>
        <v>0</v>
      </c>
      <c r="R24" s="11">
        <v>0</v>
      </c>
      <c r="S24" s="21">
        <f t="shared" si="7"/>
        <v>14</v>
      </c>
      <c r="T24" s="11">
        <v>14</v>
      </c>
      <c r="U24" s="123">
        <f>1*$E$3</f>
        <v>0</v>
      </c>
      <c r="V24" s="11">
        <v>0</v>
      </c>
      <c r="W24" s="21">
        <f t="shared" si="8"/>
        <v>14</v>
      </c>
    </row>
    <row r="25" spans="1:23" x14ac:dyDescent="0.25">
      <c r="A25" s="1937" t="s">
        <v>7</v>
      </c>
      <c r="B25" s="19" t="s">
        <v>32</v>
      </c>
      <c r="C25" s="22"/>
      <c r="D25" s="625">
        <v>3</v>
      </c>
      <c r="E25" s="616">
        <v>0</v>
      </c>
      <c r="F25" s="623">
        <v>0</v>
      </c>
      <c r="G25" s="21">
        <f t="shared" si="4"/>
        <v>3</v>
      </c>
      <c r="H25" s="38">
        <v>4</v>
      </c>
      <c r="I25" s="15">
        <v>0</v>
      </c>
      <c r="J25" s="33">
        <v>0</v>
      </c>
      <c r="K25" s="21">
        <f t="shared" si="5"/>
        <v>4</v>
      </c>
      <c r="L25" s="38">
        <v>4</v>
      </c>
      <c r="M25" s="15">
        <v>0</v>
      </c>
      <c r="N25" s="33">
        <v>0</v>
      </c>
      <c r="O25" s="21">
        <f t="shared" si="6"/>
        <v>4</v>
      </c>
      <c r="P25" s="38">
        <v>4</v>
      </c>
      <c r="Q25" s="15">
        <v>0</v>
      </c>
      <c r="R25" s="33">
        <v>0</v>
      </c>
      <c r="S25" s="21">
        <f t="shared" si="7"/>
        <v>4</v>
      </c>
      <c r="T25" s="38">
        <v>4</v>
      </c>
      <c r="U25" s="15">
        <v>0</v>
      </c>
      <c r="V25" s="33">
        <v>0</v>
      </c>
      <c r="W25" s="21">
        <f t="shared" si="8"/>
        <v>4</v>
      </c>
    </row>
    <row r="26" spans="1:23" x14ac:dyDescent="0.25">
      <c r="A26" s="1937"/>
      <c r="B26" s="19" t="s">
        <v>33</v>
      </c>
      <c r="C26" s="22"/>
      <c r="D26" s="625">
        <v>4</v>
      </c>
      <c r="E26" s="616">
        <v>0</v>
      </c>
      <c r="F26" s="623">
        <v>0</v>
      </c>
      <c r="G26" s="21">
        <f t="shared" si="4"/>
        <v>4</v>
      </c>
      <c r="H26" s="38">
        <v>6</v>
      </c>
      <c r="I26" s="15">
        <v>0</v>
      </c>
      <c r="J26" s="33">
        <v>0</v>
      </c>
      <c r="K26" s="21">
        <f t="shared" si="5"/>
        <v>6</v>
      </c>
      <c r="L26" s="38">
        <v>6</v>
      </c>
      <c r="M26" s="15">
        <v>0</v>
      </c>
      <c r="N26" s="33">
        <v>0</v>
      </c>
      <c r="O26" s="21">
        <f t="shared" si="6"/>
        <v>6</v>
      </c>
      <c r="P26" s="38">
        <v>6</v>
      </c>
      <c r="Q26" s="15">
        <v>0</v>
      </c>
      <c r="R26" s="33">
        <v>0</v>
      </c>
      <c r="S26" s="21">
        <f t="shared" si="7"/>
        <v>6</v>
      </c>
      <c r="T26" s="38">
        <v>6</v>
      </c>
      <c r="U26" s="15">
        <v>0</v>
      </c>
      <c r="V26" s="33">
        <v>0</v>
      </c>
      <c r="W26" s="21">
        <f t="shared" si="8"/>
        <v>6</v>
      </c>
    </row>
    <row r="27" spans="1:23" x14ac:dyDescent="0.25">
      <c r="A27" s="1937"/>
      <c r="B27" s="19" t="s">
        <v>34</v>
      </c>
      <c r="C27" s="22"/>
      <c r="D27" s="625">
        <v>6</v>
      </c>
      <c r="E27" s="616">
        <v>0</v>
      </c>
      <c r="F27" s="623">
        <v>0</v>
      </c>
      <c r="G27" s="21">
        <f t="shared" si="4"/>
        <v>6</v>
      </c>
      <c r="H27" s="38">
        <v>8</v>
      </c>
      <c r="I27" s="15">
        <v>0</v>
      </c>
      <c r="J27" s="33">
        <v>0</v>
      </c>
      <c r="K27" s="21">
        <f t="shared" si="5"/>
        <v>8</v>
      </c>
      <c r="L27" s="38">
        <v>8</v>
      </c>
      <c r="M27" s="15">
        <v>0</v>
      </c>
      <c r="N27" s="33">
        <v>0</v>
      </c>
      <c r="O27" s="21">
        <f t="shared" si="6"/>
        <v>8</v>
      </c>
      <c r="P27" s="38">
        <v>8</v>
      </c>
      <c r="Q27" s="15">
        <v>0</v>
      </c>
      <c r="R27" s="33">
        <v>0</v>
      </c>
      <c r="S27" s="21">
        <f t="shared" si="7"/>
        <v>8</v>
      </c>
      <c r="T27" s="38">
        <v>8</v>
      </c>
      <c r="U27" s="15">
        <v>0</v>
      </c>
      <c r="V27" s="33">
        <v>0</v>
      </c>
      <c r="W27" s="21">
        <f t="shared" si="8"/>
        <v>8</v>
      </c>
    </row>
    <row r="28" spans="1:23" x14ac:dyDescent="0.25">
      <c r="A28" s="1937" t="s">
        <v>8</v>
      </c>
      <c r="B28" s="19" t="s">
        <v>32</v>
      </c>
      <c r="C28" s="22"/>
      <c r="D28" s="625">
        <v>3</v>
      </c>
      <c r="E28" s="629">
        <f>0.2*E$3</f>
        <v>0</v>
      </c>
      <c r="F28" s="623">
        <v>0</v>
      </c>
      <c r="G28" s="21">
        <f t="shared" si="4"/>
        <v>3</v>
      </c>
      <c r="H28" s="38">
        <v>3</v>
      </c>
      <c r="I28" s="15">
        <v>0</v>
      </c>
      <c r="J28" s="33">
        <v>0</v>
      </c>
      <c r="K28" s="21">
        <f t="shared" si="5"/>
        <v>3</v>
      </c>
      <c r="L28" s="38">
        <v>3</v>
      </c>
      <c r="M28" s="15">
        <v>0</v>
      </c>
      <c r="N28" s="33">
        <v>0</v>
      </c>
      <c r="O28" s="21">
        <f t="shared" si="6"/>
        <v>3</v>
      </c>
      <c r="P28" s="38">
        <v>3</v>
      </c>
      <c r="Q28" s="15">
        <v>0</v>
      </c>
      <c r="R28" s="33">
        <v>0</v>
      </c>
      <c r="S28" s="21">
        <f t="shared" si="7"/>
        <v>3</v>
      </c>
      <c r="T28" s="38">
        <v>3</v>
      </c>
      <c r="U28" s="15">
        <v>0</v>
      </c>
      <c r="V28" s="33">
        <v>0</v>
      </c>
      <c r="W28" s="21">
        <f t="shared" si="8"/>
        <v>3</v>
      </c>
    </row>
    <row r="29" spans="1:23" x14ac:dyDescent="0.25">
      <c r="A29" s="1937"/>
      <c r="B29" s="19" t="s">
        <v>33</v>
      </c>
      <c r="C29" s="22"/>
      <c r="D29" s="625">
        <v>4</v>
      </c>
      <c r="E29" s="629">
        <f>0.2*E$3</f>
        <v>0</v>
      </c>
      <c r="F29" s="623">
        <v>0</v>
      </c>
      <c r="G29" s="21">
        <f t="shared" si="4"/>
        <v>4</v>
      </c>
      <c r="H29" s="38">
        <v>4</v>
      </c>
      <c r="I29" s="15">
        <v>0</v>
      </c>
      <c r="J29" s="33">
        <v>0</v>
      </c>
      <c r="K29" s="21">
        <f t="shared" si="5"/>
        <v>4</v>
      </c>
      <c r="L29" s="38">
        <v>4</v>
      </c>
      <c r="M29" s="15">
        <v>0</v>
      </c>
      <c r="N29" s="33">
        <v>0</v>
      </c>
      <c r="O29" s="21">
        <f t="shared" si="6"/>
        <v>4</v>
      </c>
      <c r="P29" s="38">
        <v>4</v>
      </c>
      <c r="Q29" s="15">
        <v>0</v>
      </c>
      <c r="R29" s="33">
        <v>0</v>
      </c>
      <c r="S29" s="21">
        <f t="shared" si="7"/>
        <v>4</v>
      </c>
      <c r="T29" s="38">
        <v>4</v>
      </c>
      <c r="U29" s="15">
        <v>0</v>
      </c>
      <c r="V29" s="33">
        <v>0</v>
      </c>
      <c r="W29" s="21">
        <f t="shared" si="8"/>
        <v>4</v>
      </c>
    </row>
    <row r="30" spans="1:23" x14ac:dyDescent="0.25">
      <c r="A30" s="1937"/>
      <c r="B30" s="19" t="s">
        <v>34</v>
      </c>
      <c r="C30" s="22"/>
      <c r="D30" s="625">
        <v>6</v>
      </c>
      <c r="E30" s="629">
        <f>0.2*E$3</f>
        <v>0</v>
      </c>
      <c r="F30" s="623">
        <v>0</v>
      </c>
      <c r="G30" s="21">
        <f t="shared" si="4"/>
        <v>6</v>
      </c>
      <c r="H30" s="38">
        <v>6</v>
      </c>
      <c r="I30" s="15">
        <v>0</v>
      </c>
      <c r="J30" s="33">
        <v>0</v>
      </c>
      <c r="K30" s="21">
        <f t="shared" si="5"/>
        <v>6</v>
      </c>
      <c r="L30" s="38">
        <v>6</v>
      </c>
      <c r="M30" s="15">
        <v>0</v>
      </c>
      <c r="N30" s="33">
        <v>0</v>
      </c>
      <c r="O30" s="21">
        <f t="shared" si="6"/>
        <v>6</v>
      </c>
      <c r="P30" s="38">
        <v>6</v>
      </c>
      <c r="Q30" s="15">
        <v>0</v>
      </c>
      <c r="R30" s="33">
        <v>0</v>
      </c>
      <c r="S30" s="21">
        <f t="shared" si="7"/>
        <v>6</v>
      </c>
      <c r="T30" s="38">
        <v>6</v>
      </c>
      <c r="U30" s="15">
        <v>0</v>
      </c>
      <c r="V30" s="33">
        <v>0</v>
      </c>
      <c r="W30" s="21">
        <f t="shared" si="8"/>
        <v>6</v>
      </c>
    </row>
    <row r="31" spans="1:23" x14ac:dyDescent="0.25">
      <c r="A31" s="1937" t="s">
        <v>9</v>
      </c>
      <c r="B31" s="19" t="s">
        <v>32</v>
      </c>
      <c r="C31" s="22"/>
      <c r="D31" s="631">
        <f>3+(0.5*D$3)</f>
        <v>3</v>
      </c>
      <c r="E31" s="616">
        <v>0</v>
      </c>
      <c r="F31" s="616">
        <v>0</v>
      </c>
      <c r="G31" s="21">
        <f t="shared" si="4"/>
        <v>3</v>
      </c>
      <c r="H31" s="124">
        <f>3+(0.5*$D$3)</f>
        <v>3</v>
      </c>
      <c r="I31" s="15">
        <v>0</v>
      </c>
      <c r="J31" s="15">
        <v>0</v>
      </c>
      <c r="K31" s="21">
        <f t="shared" si="5"/>
        <v>3</v>
      </c>
      <c r="L31" s="124">
        <f>3+(0.5*$D$3)</f>
        <v>3</v>
      </c>
      <c r="M31" s="15">
        <v>0</v>
      </c>
      <c r="N31" s="15">
        <v>0</v>
      </c>
      <c r="O31" s="21">
        <f t="shared" si="6"/>
        <v>3</v>
      </c>
      <c r="P31" s="124">
        <f>3+(0.5*$D$3)</f>
        <v>3</v>
      </c>
      <c r="Q31" s="15">
        <v>0</v>
      </c>
      <c r="R31" s="15">
        <v>0</v>
      </c>
      <c r="S31" s="21">
        <f t="shared" si="7"/>
        <v>3</v>
      </c>
      <c r="T31" s="124">
        <f>3+(0.5*$D$3)</f>
        <v>3</v>
      </c>
      <c r="U31" s="15">
        <v>0</v>
      </c>
      <c r="V31" s="15">
        <v>0</v>
      </c>
      <c r="W31" s="21">
        <f t="shared" si="8"/>
        <v>3</v>
      </c>
    </row>
    <row r="32" spans="1:23" x14ac:dyDescent="0.25">
      <c r="A32" s="1937"/>
      <c r="B32" s="19" t="s">
        <v>33</v>
      </c>
      <c r="C32" s="22"/>
      <c r="D32" s="631">
        <f>4+(0.5*D$3)</f>
        <v>4</v>
      </c>
      <c r="E32" s="616">
        <v>0</v>
      </c>
      <c r="F32" s="616">
        <v>0</v>
      </c>
      <c r="G32" s="21">
        <f t="shared" si="4"/>
        <v>4</v>
      </c>
      <c r="H32" s="124">
        <f>3+(0.5*$D$3)</f>
        <v>3</v>
      </c>
      <c r="I32" s="15">
        <v>0</v>
      </c>
      <c r="J32" s="15">
        <v>0</v>
      </c>
      <c r="K32" s="21">
        <f t="shared" si="5"/>
        <v>3</v>
      </c>
      <c r="L32" s="124">
        <f>3+(0.5*$D$3)</f>
        <v>3</v>
      </c>
      <c r="M32" s="15">
        <v>0</v>
      </c>
      <c r="N32" s="15">
        <v>0</v>
      </c>
      <c r="O32" s="21">
        <f t="shared" si="6"/>
        <v>3</v>
      </c>
      <c r="P32" s="124">
        <f>3+(0.5*$D$3)</f>
        <v>3</v>
      </c>
      <c r="Q32" s="15">
        <v>0</v>
      </c>
      <c r="R32" s="15">
        <v>0</v>
      </c>
      <c r="S32" s="21">
        <f t="shared" si="7"/>
        <v>3</v>
      </c>
      <c r="T32" s="124">
        <f>3+(0.5*$D$3)</f>
        <v>3</v>
      </c>
      <c r="U32" s="15">
        <v>0</v>
      </c>
      <c r="V32" s="15">
        <v>0</v>
      </c>
      <c r="W32" s="21">
        <f t="shared" si="8"/>
        <v>3</v>
      </c>
    </row>
    <row r="33" spans="1:23" x14ac:dyDescent="0.25">
      <c r="A33" s="1937"/>
      <c r="B33" s="19" t="s">
        <v>34</v>
      </c>
      <c r="C33" s="22"/>
      <c r="D33" s="631">
        <f>5+(0.5*D$3)</f>
        <v>5</v>
      </c>
      <c r="E33" s="616">
        <v>0</v>
      </c>
      <c r="F33" s="616">
        <v>0</v>
      </c>
      <c r="G33" s="21">
        <f t="shared" si="4"/>
        <v>5</v>
      </c>
      <c r="H33" s="124">
        <f>5+(0.5*$D$3)</f>
        <v>5</v>
      </c>
      <c r="I33" s="15">
        <v>0</v>
      </c>
      <c r="J33" s="15">
        <v>0</v>
      </c>
      <c r="K33" s="21">
        <f t="shared" si="5"/>
        <v>5</v>
      </c>
      <c r="L33" s="124">
        <f>5+(0.5*$D$3)</f>
        <v>5</v>
      </c>
      <c r="M33" s="15">
        <v>0</v>
      </c>
      <c r="N33" s="15">
        <v>0</v>
      </c>
      <c r="O33" s="21">
        <f t="shared" si="6"/>
        <v>5</v>
      </c>
      <c r="P33" s="124">
        <f>5+(0.5*$D$3)</f>
        <v>5</v>
      </c>
      <c r="Q33" s="15">
        <v>0</v>
      </c>
      <c r="R33" s="15">
        <v>0</v>
      </c>
      <c r="S33" s="21">
        <f t="shared" si="7"/>
        <v>5</v>
      </c>
      <c r="T33" s="124">
        <f>5+(0.5*$D$3)</f>
        <v>5</v>
      </c>
      <c r="U33" s="15">
        <v>0</v>
      </c>
      <c r="V33" s="15">
        <v>0</v>
      </c>
      <c r="W33" s="21">
        <f t="shared" si="8"/>
        <v>5</v>
      </c>
    </row>
    <row r="34" spans="1:23" x14ac:dyDescent="0.25">
      <c r="A34" s="1937" t="s">
        <v>10</v>
      </c>
      <c r="B34" s="19" t="s">
        <v>32</v>
      </c>
      <c r="C34" s="22"/>
      <c r="D34" s="625">
        <v>2</v>
      </c>
      <c r="E34" s="616">
        <v>0</v>
      </c>
      <c r="F34" s="616">
        <v>0</v>
      </c>
      <c r="G34" s="21">
        <f t="shared" si="4"/>
        <v>2</v>
      </c>
      <c r="H34" s="38">
        <v>2</v>
      </c>
      <c r="I34" s="15">
        <v>0</v>
      </c>
      <c r="J34" s="15">
        <v>0</v>
      </c>
      <c r="K34" s="21">
        <f t="shared" si="5"/>
        <v>2</v>
      </c>
      <c r="L34" s="38">
        <v>2</v>
      </c>
      <c r="M34" s="15">
        <v>0</v>
      </c>
      <c r="N34" s="15">
        <v>0</v>
      </c>
      <c r="O34" s="21">
        <f t="shared" si="6"/>
        <v>2</v>
      </c>
      <c r="P34" s="38">
        <v>2</v>
      </c>
      <c r="Q34" s="15">
        <v>0</v>
      </c>
      <c r="R34" s="15">
        <v>0</v>
      </c>
      <c r="S34" s="21">
        <f t="shared" si="7"/>
        <v>2</v>
      </c>
      <c r="T34" s="38">
        <v>2</v>
      </c>
      <c r="U34" s="15">
        <v>0</v>
      </c>
      <c r="V34" s="15">
        <v>0</v>
      </c>
      <c r="W34" s="21">
        <f t="shared" si="8"/>
        <v>2</v>
      </c>
    </row>
    <row r="35" spans="1:23" x14ac:dyDescent="0.25">
      <c r="A35" s="1937"/>
      <c r="B35" s="19" t="s">
        <v>33</v>
      </c>
      <c r="C35" s="22"/>
      <c r="D35" s="625">
        <v>2</v>
      </c>
      <c r="E35" s="616">
        <v>0</v>
      </c>
      <c r="F35" s="616">
        <v>0</v>
      </c>
      <c r="G35" s="21">
        <f t="shared" si="4"/>
        <v>2</v>
      </c>
      <c r="H35" s="38">
        <v>2</v>
      </c>
      <c r="I35" s="15">
        <v>0</v>
      </c>
      <c r="J35" s="15">
        <v>0</v>
      </c>
      <c r="K35" s="21">
        <f t="shared" si="5"/>
        <v>2</v>
      </c>
      <c r="L35" s="38">
        <v>2</v>
      </c>
      <c r="M35" s="15">
        <v>0</v>
      </c>
      <c r="N35" s="15">
        <v>0</v>
      </c>
      <c r="O35" s="21">
        <f t="shared" si="6"/>
        <v>2</v>
      </c>
      <c r="P35" s="38">
        <v>2</v>
      </c>
      <c r="Q35" s="15">
        <v>0</v>
      </c>
      <c r="R35" s="15">
        <v>0</v>
      </c>
      <c r="S35" s="21">
        <f t="shared" si="7"/>
        <v>2</v>
      </c>
      <c r="T35" s="38">
        <v>2</v>
      </c>
      <c r="U35" s="15">
        <v>0</v>
      </c>
      <c r="V35" s="15">
        <v>0</v>
      </c>
      <c r="W35" s="21">
        <f t="shared" si="8"/>
        <v>2</v>
      </c>
    </row>
    <row r="36" spans="1:23" ht="15.75" thickBot="1" x14ac:dyDescent="0.3">
      <c r="A36" s="1938"/>
      <c r="B36" s="13" t="s">
        <v>34</v>
      </c>
      <c r="C36" s="34"/>
      <c r="D36" s="626">
        <v>2</v>
      </c>
      <c r="E36" s="659">
        <v>0</v>
      </c>
      <c r="F36" s="659">
        <v>0</v>
      </c>
      <c r="G36" s="77">
        <f t="shared" si="4"/>
        <v>2</v>
      </c>
      <c r="H36" s="39">
        <v>2</v>
      </c>
      <c r="I36" s="399">
        <v>0</v>
      </c>
      <c r="J36" s="399">
        <v>0</v>
      </c>
      <c r="K36" s="77">
        <f t="shared" si="5"/>
        <v>2</v>
      </c>
      <c r="L36" s="39">
        <v>2</v>
      </c>
      <c r="M36" s="399">
        <v>0</v>
      </c>
      <c r="N36" s="399">
        <v>0</v>
      </c>
      <c r="O36" s="77">
        <f t="shared" si="6"/>
        <v>2</v>
      </c>
      <c r="P36" s="39">
        <v>2</v>
      </c>
      <c r="Q36" s="399">
        <v>0</v>
      </c>
      <c r="R36" s="399">
        <v>0</v>
      </c>
      <c r="S36" s="77">
        <f t="shared" si="7"/>
        <v>2</v>
      </c>
      <c r="T36" s="39">
        <v>2</v>
      </c>
      <c r="U36" s="399">
        <v>0</v>
      </c>
      <c r="V36" s="399">
        <v>0</v>
      </c>
      <c r="W36" s="77">
        <f t="shared" si="8"/>
        <v>2</v>
      </c>
    </row>
    <row r="37" spans="1:23" ht="16.5" thickBot="1" x14ac:dyDescent="0.3">
      <c r="A37" s="330" t="s">
        <v>11</v>
      </c>
      <c r="B37" s="329"/>
      <c r="C37" s="329"/>
      <c r="D37" s="329"/>
      <c r="E37" s="329"/>
      <c r="F37" s="327"/>
      <c r="G37" s="327"/>
      <c r="H37" s="329"/>
      <c r="I37" s="329"/>
      <c r="J37" s="327"/>
      <c r="K37" s="327"/>
      <c r="L37" s="329"/>
      <c r="M37" s="329"/>
      <c r="N37" s="327"/>
      <c r="O37" s="327"/>
      <c r="P37" s="329"/>
      <c r="Q37" s="329"/>
      <c r="R37" s="327"/>
      <c r="S37" s="327"/>
      <c r="T37" s="329"/>
      <c r="U37" s="329"/>
      <c r="V37" s="327"/>
      <c r="W37" s="396"/>
    </row>
    <row r="38" spans="1:23" x14ac:dyDescent="0.25">
      <c r="A38" s="1907" t="s">
        <v>12</v>
      </c>
      <c r="B38" s="404" t="s">
        <v>32</v>
      </c>
      <c r="C38" s="324"/>
      <c r="D38" s="661">
        <v>6</v>
      </c>
      <c r="E38" s="674">
        <f>1*E$3</f>
        <v>0</v>
      </c>
      <c r="F38" s="674">
        <f>0.1*F$3</f>
        <v>0</v>
      </c>
      <c r="G38" s="230">
        <f t="shared" si="4"/>
        <v>6</v>
      </c>
      <c r="H38" s="661">
        <v>6</v>
      </c>
      <c r="I38" s="674">
        <f>1*I$3</f>
        <v>0</v>
      </c>
      <c r="J38" s="674">
        <f>0.1*J$3</f>
        <v>0</v>
      </c>
      <c r="K38" s="230">
        <f xml:space="preserve"> SUM(H38:J38) + $C38</f>
        <v>6</v>
      </c>
      <c r="L38" s="661">
        <v>6</v>
      </c>
      <c r="M38" s="674">
        <f>1*M$3</f>
        <v>0</v>
      </c>
      <c r="N38" s="674">
        <f>0.1*N$3</f>
        <v>0</v>
      </c>
      <c r="O38" s="230">
        <f xml:space="preserve"> SUM(L38:N38) + $C38</f>
        <v>6</v>
      </c>
      <c r="P38" s="661">
        <v>6</v>
      </c>
      <c r="Q38" s="674">
        <f>1*Q$3</f>
        <v>0</v>
      </c>
      <c r="R38" s="674">
        <f>0.1*R$3</f>
        <v>0</v>
      </c>
      <c r="S38" s="230">
        <f xml:space="preserve"> SUM(P38:R38) + $C38</f>
        <v>6</v>
      </c>
      <c r="T38" s="661">
        <v>6</v>
      </c>
      <c r="U38" s="674">
        <f>1*U$3</f>
        <v>0</v>
      </c>
      <c r="V38" s="674">
        <f>0.1*V$3</f>
        <v>0</v>
      </c>
      <c r="W38" s="230">
        <f xml:space="preserve"> SUM(T38:V38) + $C38</f>
        <v>6</v>
      </c>
    </row>
    <row r="39" spans="1:23" x14ac:dyDescent="0.25">
      <c r="A39" s="1907"/>
      <c r="B39" s="19" t="s">
        <v>33</v>
      </c>
      <c r="C39" s="22"/>
      <c r="D39" s="615">
        <v>8</v>
      </c>
      <c r="E39" s="630">
        <f>1*E$3</f>
        <v>0</v>
      </c>
      <c r="F39" s="630">
        <f>0.1*F$3</f>
        <v>0</v>
      </c>
      <c r="G39" s="21">
        <f t="shared" si="4"/>
        <v>8</v>
      </c>
      <c r="H39" s="615">
        <v>8</v>
      </c>
      <c r="I39" s="630">
        <f>1*I$3</f>
        <v>0</v>
      </c>
      <c r="J39" s="630">
        <f>0.1*J$3</f>
        <v>0</v>
      </c>
      <c r="K39" s="21">
        <f xml:space="preserve"> SUM(H39:J39) + $C39</f>
        <v>8</v>
      </c>
      <c r="L39" s="615">
        <v>8</v>
      </c>
      <c r="M39" s="630">
        <f>1*M$3</f>
        <v>0</v>
      </c>
      <c r="N39" s="630">
        <f>0.1*N$3</f>
        <v>0</v>
      </c>
      <c r="O39" s="21">
        <f xml:space="preserve"> SUM(L39:N39) + $C39</f>
        <v>8</v>
      </c>
      <c r="P39" s="615">
        <v>8</v>
      </c>
      <c r="Q39" s="630">
        <f>1*Q$3</f>
        <v>0</v>
      </c>
      <c r="R39" s="630">
        <f>0.1*R$3</f>
        <v>0</v>
      </c>
      <c r="S39" s="21">
        <f xml:space="preserve"> SUM(P39:R39) + $C39</f>
        <v>8</v>
      </c>
      <c r="T39" s="615">
        <v>8</v>
      </c>
      <c r="U39" s="630">
        <f>1*U$3</f>
        <v>0</v>
      </c>
      <c r="V39" s="630">
        <f>0.1*V$3</f>
        <v>0</v>
      </c>
      <c r="W39" s="21">
        <f xml:space="preserve"> SUM(T39:V39) + $C39</f>
        <v>8</v>
      </c>
    </row>
    <row r="40" spans="1:23" ht="15.75" thickBot="1" x14ac:dyDescent="0.3">
      <c r="A40" s="1907"/>
      <c r="B40" s="13" t="s">
        <v>34</v>
      </c>
      <c r="C40" s="34"/>
      <c r="D40" s="673">
        <v>12</v>
      </c>
      <c r="E40" s="675">
        <f>1*E$3</f>
        <v>0</v>
      </c>
      <c r="F40" s="675">
        <f>0.1*F$3</f>
        <v>0</v>
      </c>
      <c r="G40" s="77">
        <f t="shared" si="4"/>
        <v>12</v>
      </c>
      <c r="H40" s="673">
        <v>12</v>
      </c>
      <c r="I40" s="675">
        <f>1*I$3</f>
        <v>0</v>
      </c>
      <c r="J40" s="675">
        <f>0.1*J$3</f>
        <v>0</v>
      </c>
      <c r="K40" s="77">
        <f xml:space="preserve"> SUM(H40:J40) + $C40</f>
        <v>12</v>
      </c>
      <c r="L40" s="673">
        <v>12</v>
      </c>
      <c r="M40" s="675">
        <f>1*M$3</f>
        <v>0</v>
      </c>
      <c r="N40" s="675">
        <f>0.1*N$3</f>
        <v>0</v>
      </c>
      <c r="O40" s="77">
        <f xml:space="preserve"> SUM(L40:N40) + $C40</f>
        <v>12</v>
      </c>
      <c r="P40" s="673">
        <v>12</v>
      </c>
      <c r="Q40" s="675">
        <f>1*Q$3</f>
        <v>0</v>
      </c>
      <c r="R40" s="675">
        <f>0.1*R$3</f>
        <v>0</v>
      </c>
      <c r="S40" s="77">
        <f xml:space="preserve"> SUM(P40:R40) + $C40</f>
        <v>12</v>
      </c>
      <c r="T40" s="673">
        <v>12</v>
      </c>
      <c r="U40" s="675">
        <f>1*U$3</f>
        <v>0</v>
      </c>
      <c r="V40" s="675">
        <f>0.1*V$3</f>
        <v>0</v>
      </c>
      <c r="W40" s="77">
        <f xml:space="preserve"> SUM(T40:V40) + $C40</f>
        <v>12</v>
      </c>
    </row>
    <row r="41" spans="1:23" ht="16.5" thickBot="1" x14ac:dyDescent="0.3">
      <c r="A41" s="330" t="s">
        <v>13</v>
      </c>
      <c r="B41" s="329"/>
      <c r="C41" s="329"/>
      <c r="D41" s="329"/>
      <c r="E41" s="329"/>
      <c r="F41" s="327"/>
      <c r="G41" s="327"/>
      <c r="H41" s="329"/>
      <c r="I41" s="329"/>
      <c r="J41" s="327"/>
      <c r="K41" s="327"/>
      <c r="L41" s="329"/>
      <c r="M41" s="329"/>
      <c r="N41" s="327"/>
      <c r="O41" s="327"/>
      <c r="P41" s="329"/>
      <c r="Q41" s="329"/>
      <c r="R41" s="327"/>
      <c r="S41" s="327"/>
      <c r="T41" s="329"/>
      <c r="U41" s="329"/>
      <c r="V41" s="327"/>
      <c r="W41" s="396"/>
    </row>
    <row r="42" spans="1:23" x14ac:dyDescent="0.25">
      <c r="A42" s="1907" t="s">
        <v>14</v>
      </c>
      <c r="B42" s="404" t="s">
        <v>32</v>
      </c>
      <c r="C42" s="324"/>
      <c r="D42" s="427">
        <v>1</v>
      </c>
      <c r="E42" s="400">
        <v>0</v>
      </c>
      <c r="F42" s="400">
        <v>0</v>
      </c>
      <c r="G42" s="230">
        <f t="shared" si="4"/>
        <v>1</v>
      </c>
      <c r="H42" s="678">
        <v>1</v>
      </c>
      <c r="I42" s="660">
        <v>0</v>
      </c>
      <c r="J42" s="660">
        <v>0</v>
      </c>
      <c r="K42" s="230">
        <f t="shared" ref="K42:K86" si="9" xml:space="preserve"> SUM(H42:J42) + $C42</f>
        <v>1</v>
      </c>
      <c r="L42" s="678">
        <v>1</v>
      </c>
      <c r="M42" s="660">
        <v>0</v>
      </c>
      <c r="N42" s="660">
        <v>0</v>
      </c>
      <c r="O42" s="230">
        <f t="shared" ref="O42:O86" si="10" xml:space="preserve"> SUM(L42:N42) + $C42</f>
        <v>1</v>
      </c>
      <c r="P42" s="678">
        <v>1</v>
      </c>
      <c r="Q42" s="660">
        <v>0</v>
      </c>
      <c r="R42" s="660">
        <v>0</v>
      </c>
      <c r="S42" s="230">
        <f t="shared" ref="S42:S86" si="11" xml:space="preserve"> SUM(P42:R42) + $C42</f>
        <v>1</v>
      </c>
      <c r="T42" s="678">
        <v>1</v>
      </c>
      <c r="U42" s="660">
        <v>0</v>
      </c>
      <c r="V42" s="660">
        <v>0</v>
      </c>
      <c r="W42" s="230">
        <f t="shared" ref="W42:W86" si="12" xml:space="preserve"> SUM(T42:V42) + $C42</f>
        <v>1</v>
      </c>
    </row>
    <row r="43" spans="1:23" x14ac:dyDescent="0.25">
      <c r="A43" s="1907"/>
      <c r="B43" s="19" t="s">
        <v>33</v>
      </c>
      <c r="C43" s="22"/>
      <c r="D43" s="38">
        <v>2</v>
      </c>
      <c r="E43" s="15">
        <v>0</v>
      </c>
      <c r="F43" s="15">
        <v>0</v>
      </c>
      <c r="G43" s="21">
        <f t="shared" si="4"/>
        <v>2</v>
      </c>
      <c r="H43" s="625">
        <v>2</v>
      </c>
      <c r="I43" s="616">
        <v>0</v>
      </c>
      <c r="J43" s="616">
        <v>0</v>
      </c>
      <c r="K43" s="21">
        <f t="shared" si="9"/>
        <v>2</v>
      </c>
      <c r="L43" s="625">
        <v>2</v>
      </c>
      <c r="M43" s="616">
        <v>0</v>
      </c>
      <c r="N43" s="616">
        <v>0</v>
      </c>
      <c r="O43" s="21">
        <f t="shared" si="10"/>
        <v>2</v>
      </c>
      <c r="P43" s="625">
        <v>2</v>
      </c>
      <c r="Q43" s="616">
        <v>0</v>
      </c>
      <c r="R43" s="616">
        <v>0</v>
      </c>
      <c r="S43" s="21">
        <f t="shared" si="11"/>
        <v>2</v>
      </c>
      <c r="T43" s="625">
        <v>2</v>
      </c>
      <c r="U43" s="616">
        <v>0</v>
      </c>
      <c r="V43" s="616">
        <v>0</v>
      </c>
      <c r="W43" s="21">
        <f t="shared" si="12"/>
        <v>2</v>
      </c>
    </row>
    <row r="44" spans="1:23" x14ac:dyDescent="0.25">
      <c r="A44" s="1907"/>
      <c r="B44" s="19" t="s">
        <v>34</v>
      </c>
      <c r="C44" s="22"/>
      <c r="D44" s="38">
        <v>3</v>
      </c>
      <c r="E44" s="15">
        <v>0</v>
      </c>
      <c r="F44" s="15">
        <v>0</v>
      </c>
      <c r="G44" s="21">
        <f t="shared" si="4"/>
        <v>3</v>
      </c>
      <c r="H44" s="625">
        <v>3</v>
      </c>
      <c r="I44" s="616">
        <v>0</v>
      </c>
      <c r="J44" s="616">
        <v>0</v>
      </c>
      <c r="K44" s="21">
        <f t="shared" si="9"/>
        <v>3</v>
      </c>
      <c r="L44" s="625">
        <v>3</v>
      </c>
      <c r="M44" s="616">
        <v>0</v>
      </c>
      <c r="N44" s="616">
        <v>0</v>
      </c>
      <c r="O44" s="21">
        <f t="shared" si="10"/>
        <v>3</v>
      </c>
      <c r="P44" s="625">
        <v>3</v>
      </c>
      <c r="Q44" s="616">
        <v>0</v>
      </c>
      <c r="R44" s="616">
        <v>0</v>
      </c>
      <c r="S44" s="21">
        <f t="shared" si="11"/>
        <v>3</v>
      </c>
      <c r="T44" s="625">
        <v>3</v>
      </c>
      <c r="U44" s="616">
        <v>0</v>
      </c>
      <c r="V44" s="616">
        <v>0</v>
      </c>
      <c r="W44" s="21">
        <f t="shared" si="12"/>
        <v>3</v>
      </c>
    </row>
    <row r="45" spans="1:23" x14ac:dyDescent="0.25">
      <c r="A45" s="1974" t="s">
        <v>15</v>
      </c>
      <c r="B45" s="19" t="s">
        <v>32</v>
      </c>
      <c r="C45" s="22"/>
      <c r="D45" s="625">
        <v>3</v>
      </c>
      <c r="E45" s="616">
        <v>0</v>
      </c>
      <c r="F45" s="616">
        <v>0</v>
      </c>
      <c r="G45" s="21">
        <f t="shared" si="4"/>
        <v>3</v>
      </c>
      <c r="H45" s="625">
        <v>3</v>
      </c>
      <c r="I45" s="616">
        <v>0</v>
      </c>
      <c r="J45" s="616">
        <v>0</v>
      </c>
      <c r="K45" s="21">
        <f t="shared" si="9"/>
        <v>3</v>
      </c>
      <c r="L45" s="625">
        <v>3</v>
      </c>
      <c r="M45" s="616">
        <v>0</v>
      </c>
      <c r="N45" s="616">
        <v>0</v>
      </c>
      <c r="O45" s="21">
        <f t="shared" si="10"/>
        <v>3</v>
      </c>
      <c r="P45" s="625">
        <v>3</v>
      </c>
      <c r="Q45" s="616">
        <v>0</v>
      </c>
      <c r="R45" s="616">
        <v>0</v>
      </c>
      <c r="S45" s="21">
        <f t="shared" si="11"/>
        <v>3</v>
      </c>
      <c r="T45" s="625">
        <v>3</v>
      </c>
      <c r="U45" s="616">
        <v>0</v>
      </c>
      <c r="V45" s="616">
        <v>0</v>
      </c>
      <c r="W45" s="21">
        <f t="shared" si="12"/>
        <v>3</v>
      </c>
    </row>
    <row r="46" spans="1:23" x14ac:dyDescent="0.25">
      <c r="A46" s="1974"/>
      <c r="B46" s="19" t="s">
        <v>33</v>
      </c>
      <c r="C46" s="22"/>
      <c r="D46" s="625">
        <v>5</v>
      </c>
      <c r="E46" s="616">
        <v>0</v>
      </c>
      <c r="F46" s="616">
        <v>0</v>
      </c>
      <c r="G46" s="21">
        <f t="shared" si="4"/>
        <v>5</v>
      </c>
      <c r="H46" s="625">
        <v>5</v>
      </c>
      <c r="I46" s="616">
        <v>0</v>
      </c>
      <c r="J46" s="616">
        <v>0</v>
      </c>
      <c r="K46" s="21">
        <f t="shared" si="9"/>
        <v>5</v>
      </c>
      <c r="L46" s="625">
        <v>5</v>
      </c>
      <c r="M46" s="616">
        <v>0</v>
      </c>
      <c r="N46" s="616">
        <v>0</v>
      </c>
      <c r="O46" s="21">
        <f t="shared" si="10"/>
        <v>5</v>
      </c>
      <c r="P46" s="625">
        <v>5</v>
      </c>
      <c r="Q46" s="616">
        <v>0</v>
      </c>
      <c r="R46" s="616">
        <v>0</v>
      </c>
      <c r="S46" s="21">
        <f t="shared" si="11"/>
        <v>5</v>
      </c>
      <c r="T46" s="625">
        <v>5</v>
      </c>
      <c r="U46" s="616">
        <v>0</v>
      </c>
      <c r="V46" s="616">
        <v>0</v>
      </c>
      <c r="W46" s="21">
        <f t="shared" si="12"/>
        <v>5</v>
      </c>
    </row>
    <row r="47" spans="1:23" x14ac:dyDescent="0.25">
      <c r="A47" s="1974"/>
      <c r="B47" s="19" t="s">
        <v>34</v>
      </c>
      <c r="C47" s="22"/>
      <c r="D47" s="625">
        <v>7</v>
      </c>
      <c r="E47" s="616">
        <v>0</v>
      </c>
      <c r="F47" s="616">
        <v>0</v>
      </c>
      <c r="G47" s="21">
        <f t="shared" si="4"/>
        <v>7</v>
      </c>
      <c r="H47" s="625">
        <v>7</v>
      </c>
      <c r="I47" s="616">
        <v>0</v>
      </c>
      <c r="J47" s="616">
        <v>0</v>
      </c>
      <c r="K47" s="21">
        <f t="shared" si="9"/>
        <v>7</v>
      </c>
      <c r="L47" s="625">
        <v>7</v>
      </c>
      <c r="M47" s="616">
        <v>0</v>
      </c>
      <c r="N47" s="616">
        <v>0</v>
      </c>
      <c r="O47" s="21">
        <f t="shared" si="10"/>
        <v>7</v>
      </c>
      <c r="P47" s="625">
        <v>7</v>
      </c>
      <c r="Q47" s="616">
        <v>0</v>
      </c>
      <c r="R47" s="616">
        <v>0</v>
      </c>
      <c r="S47" s="21">
        <f t="shared" si="11"/>
        <v>7</v>
      </c>
      <c r="T47" s="625">
        <v>7</v>
      </c>
      <c r="U47" s="616">
        <v>0</v>
      </c>
      <c r="V47" s="616">
        <v>0</v>
      </c>
      <c r="W47" s="21">
        <f t="shared" si="12"/>
        <v>7</v>
      </c>
    </row>
    <row r="48" spans="1:23" x14ac:dyDescent="0.25">
      <c r="A48" s="1974" t="s">
        <v>16</v>
      </c>
      <c r="B48" s="19" t="s">
        <v>32</v>
      </c>
      <c r="C48" s="22"/>
      <c r="D48" s="635">
        <v>1</v>
      </c>
      <c r="E48" s="616">
        <v>0</v>
      </c>
      <c r="F48" s="623">
        <v>0</v>
      </c>
      <c r="G48" s="21">
        <f t="shared" si="4"/>
        <v>1</v>
      </c>
      <c r="H48" s="635">
        <v>1</v>
      </c>
      <c r="I48" s="616">
        <v>0</v>
      </c>
      <c r="J48" s="623">
        <v>0</v>
      </c>
      <c r="K48" s="21">
        <f t="shared" si="9"/>
        <v>1</v>
      </c>
      <c r="L48" s="635">
        <v>1</v>
      </c>
      <c r="M48" s="616">
        <v>0</v>
      </c>
      <c r="N48" s="623">
        <v>0</v>
      </c>
      <c r="O48" s="21">
        <f t="shared" si="10"/>
        <v>1</v>
      </c>
      <c r="P48" s="635">
        <v>1</v>
      </c>
      <c r="Q48" s="616">
        <v>0</v>
      </c>
      <c r="R48" s="623">
        <v>0</v>
      </c>
      <c r="S48" s="21">
        <f t="shared" si="11"/>
        <v>1</v>
      </c>
      <c r="T48" s="635">
        <v>1</v>
      </c>
      <c r="U48" s="616">
        <v>0</v>
      </c>
      <c r="V48" s="623">
        <v>0</v>
      </c>
      <c r="W48" s="21">
        <f t="shared" si="12"/>
        <v>1</v>
      </c>
    </row>
    <row r="49" spans="1:23" x14ac:dyDescent="0.25">
      <c r="A49" s="1974"/>
      <c r="B49" s="19" t="s">
        <v>33</v>
      </c>
      <c r="C49" s="22"/>
      <c r="D49" s="635">
        <v>2</v>
      </c>
      <c r="E49" s="616">
        <v>0</v>
      </c>
      <c r="F49" s="623">
        <v>0</v>
      </c>
      <c r="G49" s="21">
        <f t="shared" si="4"/>
        <v>2</v>
      </c>
      <c r="H49" s="635">
        <v>2</v>
      </c>
      <c r="I49" s="616">
        <v>0</v>
      </c>
      <c r="J49" s="623">
        <v>0</v>
      </c>
      <c r="K49" s="21">
        <f t="shared" si="9"/>
        <v>2</v>
      </c>
      <c r="L49" s="635">
        <v>2</v>
      </c>
      <c r="M49" s="616">
        <v>0</v>
      </c>
      <c r="N49" s="623">
        <v>0</v>
      </c>
      <c r="O49" s="21">
        <f t="shared" si="10"/>
        <v>2</v>
      </c>
      <c r="P49" s="635">
        <v>2</v>
      </c>
      <c r="Q49" s="616">
        <v>0</v>
      </c>
      <c r="R49" s="623">
        <v>0</v>
      </c>
      <c r="S49" s="21">
        <f t="shared" si="11"/>
        <v>2</v>
      </c>
      <c r="T49" s="635">
        <v>2</v>
      </c>
      <c r="U49" s="616">
        <v>0</v>
      </c>
      <c r="V49" s="623">
        <v>0</v>
      </c>
      <c r="W49" s="21">
        <f t="shared" si="12"/>
        <v>2</v>
      </c>
    </row>
    <row r="50" spans="1:23" x14ac:dyDescent="0.25">
      <c r="A50" s="1974"/>
      <c r="B50" s="19" t="s">
        <v>34</v>
      </c>
      <c r="C50" s="22"/>
      <c r="D50" s="635">
        <v>3</v>
      </c>
      <c r="E50" s="616">
        <v>0</v>
      </c>
      <c r="F50" s="623">
        <v>0</v>
      </c>
      <c r="G50" s="21">
        <f t="shared" si="4"/>
        <v>3</v>
      </c>
      <c r="H50" s="635">
        <v>3</v>
      </c>
      <c r="I50" s="616">
        <v>0</v>
      </c>
      <c r="J50" s="623">
        <v>0</v>
      </c>
      <c r="K50" s="21">
        <f t="shared" si="9"/>
        <v>3</v>
      </c>
      <c r="L50" s="635">
        <v>3</v>
      </c>
      <c r="M50" s="616">
        <v>0</v>
      </c>
      <c r="N50" s="623">
        <v>0</v>
      </c>
      <c r="O50" s="21">
        <f t="shared" si="10"/>
        <v>3</v>
      </c>
      <c r="P50" s="635">
        <v>3</v>
      </c>
      <c r="Q50" s="616">
        <v>0</v>
      </c>
      <c r="R50" s="623">
        <v>0</v>
      </c>
      <c r="S50" s="21">
        <f t="shared" si="11"/>
        <v>3</v>
      </c>
      <c r="T50" s="635">
        <v>3</v>
      </c>
      <c r="U50" s="616">
        <v>0</v>
      </c>
      <c r="V50" s="623">
        <v>0</v>
      </c>
      <c r="W50" s="21">
        <f t="shared" si="12"/>
        <v>3</v>
      </c>
    </row>
    <row r="51" spans="1:23" x14ac:dyDescent="0.25">
      <c r="A51" s="1974" t="s">
        <v>17</v>
      </c>
      <c r="B51" s="19" t="s">
        <v>32</v>
      </c>
      <c r="C51" s="22"/>
      <c r="D51" s="635">
        <v>1</v>
      </c>
      <c r="E51" s="616">
        <v>0</v>
      </c>
      <c r="F51" s="616">
        <v>0</v>
      </c>
      <c r="G51" s="21">
        <f t="shared" si="4"/>
        <v>1</v>
      </c>
      <c r="H51" s="635">
        <v>1</v>
      </c>
      <c r="I51" s="616">
        <v>0</v>
      </c>
      <c r="J51" s="616">
        <v>0</v>
      </c>
      <c r="K51" s="21">
        <f t="shared" si="9"/>
        <v>1</v>
      </c>
      <c r="L51" s="635">
        <v>1</v>
      </c>
      <c r="M51" s="616">
        <v>0</v>
      </c>
      <c r="N51" s="616">
        <v>0</v>
      </c>
      <c r="O51" s="21">
        <f t="shared" si="10"/>
        <v>1</v>
      </c>
      <c r="P51" s="635">
        <v>1</v>
      </c>
      <c r="Q51" s="616">
        <v>0</v>
      </c>
      <c r="R51" s="616">
        <v>0</v>
      </c>
      <c r="S51" s="21">
        <f t="shared" si="11"/>
        <v>1</v>
      </c>
      <c r="T51" s="635">
        <v>1</v>
      </c>
      <c r="U51" s="616">
        <v>0</v>
      </c>
      <c r="V51" s="616">
        <v>0</v>
      </c>
      <c r="W51" s="21">
        <f t="shared" si="12"/>
        <v>1</v>
      </c>
    </row>
    <row r="52" spans="1:23" x14ac:dyDescent="0.25">
      <c r="A52" s="1974"/>
      <c r="B52" s="19" t="s">
        <v>33</v>
      </c>
      <c r="C52" s="22"/>
      <c r="D52" s="635">
        <v>2</v>
      </c>
      <c r="E52" s="616">
        <v>0</v>
      </c>
      <c r="F52" s="616">
        <v>0</v>
      </c>
      <c r="G52" s="21">
        <f t="shared" si="4"/>
        <v>2</v>
      </c>
      <c r="H52" s="635">
        <v>2</v>
      </c>
      <c r="I52" s="616">
        <v>0</v>
      </c>
      <c r="J52" s="616">
        <v>0</v>
      </c>
      <c r="K52" s="21">
        <f t="shared" si="9"/>
        <v>2</v>
      </c>
      <c r="L52" s="635">
        <v>2</v>
      </c>
      <c r="M52" s="616">
        <v>0</v>
      </c>
      <c r="N52" s="616">
        <v>0</v>
      </c>
      <c r="O52" s="21">
        <f t="shared" si="10"/>
        <v>2</v>
      </c>
      <c r="P52" s="635">
        <v>2</v>
      </c>
      <c r="Q52" s="616">
        <v>0</v>
      </c>
      <c r="R52" s="616">
        <v>0</v>
      </c>
      <c r="S52" s="21">
        <f t="shared" si="11"/>
        <v>2</v>
      </c>
      <c r="T52" s="635">
        <v>2</v>
      </c>
      <c r="U52" s="616">
        <v>0</v>
      </c>
      <c r="V52" s="616">
        <v>0</v>
      </c>
      <c r="W52" s="21">
        <f t="shared" si="12"/>
        <v>2</v>
      </c>
    </row>
    <row r="53" spans="1:23" x14ac:dyDescent="0.25">
      <c r="A53" s="1974"/>
      <c r="B53" s="19" t="s">
        <v>34</v>
      </c>
      <c r="C53" s="22"/>
      <c r="D53" s="635">
        <v>3</v>
      </c>
      <c r="E53" s="616">
        <v>0</v>
      </c>
      <c r="F53" s="616">
        <v>0</v>
      </c>
      <c r="G53" s="21">
        <f t="shared" si="4"/>
        <v>3</v>
      </c>
      <c r="H53" s="635">
        <v>3</v>
      </c>
      <c r="I53" s="616">
        <v>0</v>
      </c>
      <c r="J53" s="616">
        <v>0</v>
      </c>
      <c r="K53" s="21">
        <f t="shared" si="9"/>
        <v>3</v>
      </c>
      <c r="L53" s="635">
        <v>3</v>
      </c>
      <c r="M53" s="616">
        <v>0</v>
      </c>
      <c r="N53" s="616">
        <v>0</v>
      </c>
      <c r="O53" s="21">
        <f t="shared" si="10"/>
        <v>3</v>
      </c>
      <c r="P53" s="635">
        <v>3</v>
      </c>
      <c r="Q53" s="616">
        <v>0</v>
      </c>
      <c r="R53" s="616">
        <v>0</v>
      </c>
      <c r="S53" s="21">
        <f t="shared" si="11"/>
        <v>3</v>
      </c>
      <c r="T53" s="635">
        <v>3</v>
      </c>
      <c r="U53" s="616">
        <v>0</v>
      </c>
      <c r="V53" s="616">
        <v>0</v>
      </c>
      <c r="W53" s="21">
        <f t="shared" si="12"/>
        <v>3</v>
      </c>
    </row>
    <row r="54" spans="1:23" x14ac:dyDescent="0.25">
      <c r="A54" s="1974" t="s">
        <v>18</v>
      </c>
      <c r="B54" s="19" t="s">
        <v>32</v>
      </c>
      <c r="C54" s="22"/>
      <c r="D54" s="631">
        <f>0.5*D$3</f>
        <v>0</v>
      </c>
      <c r="E54" s="616">
        <v>0</v>
      </c>
      <c r="F54" s="616">
        <v>0</v>
      </c>
      <c r="G54" s="21">
        <f t="shared" si="4"/>
        <v>0</v>
      </c>
      <c r="H54" s="631">
        <f>0.5*H$3</f>
        <v>0</v>
      </c>
      <c r="I54" s="616">
        <v>0</v>
      </c>
      <c r="J54" s="616">
        <v>0</v>
      </c>
      <c r="K54" s="21">
        <f t="shared" si="9"/>
        <v>0</v>
      </c>
      <c r="L54" s="631">
        <f>0.5*L$3</f>
        <v>0</v>
      </c>
      <c r="M54" s="616">
        <v>0</v>
      </c>
      <c r="N54" s="616">
        <v>0</v>
      </c>
      <c r="O54" s="21">
        <f t="shared" si="10"/>
        <v>0</v>
      </c>
      <c r="P54" s="631">
        <f>0.5*P$3</f>
        <v>0</v>
      </c>
      <c r="Q54" s="616">
        <v>0</v>
      </c>
      <c r="R54" s="616">
        <v>0</v>
      </c>
      <c r="S54" s="21">
        <f t="shared" si="11"/>
        <v>0</v>
      </c>
      <c r="T54" s="631">
        <f>0.5*T$3</f>
        <v>0</v>
      </c>
      <c r="U54" s="616">
        <v>0</v>
      </c>
      <c r="V54" s="616">
        <v>0</v>
      </c>
      <c r="W54" s="21">
        <f t="shared" si="12"/>
        <v>0</v>
      </c>
    </row>
    <row r="55" spans="1:23" x14ac:dyDescent="0.25">
      <c r="A55" s="1974"/>
      <c r="B55" s="19" t="s">
        <v>33</v>
      </c>
      <c r="C55" s="22"/>
      <c r="D55" s="631">
        <f>0.5*D$3</f>
        <v>0</v>
      </c>
      <c r="E55" s="616">
        <v>0</v>
      </c>
      <c r="F55" s="616">
        <v>0</v>
      </c>
      <c r="G55" s="21">
        <f t="shared" si="4"/>
        <v>0</v>
      </c>
      <c r="H55" s="631">
        <f>0.5*H$3</f>
        <v>0</v>
      </c>
      <c r="I55" s="616">
        <v>0</v>
      </c>
      <c r="J55" s="616">
        <v>0</v>
      </c>
      <c r="K55" s="21">
        <f t="shared" si="9"/>
        <v>0</v>
      </c>
      <c r="L55" s="631">
        <f>0.5*L$3</f>
        <v>0</v>
      </c>
      <c r="M55" s="616">
        <v>0</v>
      </c>
      <c r="N55" s="616">
        <v>0</v>
      </c>
      <c r="O55" s="21">
        <f t="shared" si="10"/>
        <v>0</v>
      </c>
      <c r="P55" s="631">
        <f>0.5*P$3</f>
        <v>0</v>
      </c>
      <c r="Q55" s="616">
        <v>0</v>
      </c>
      <c r="R55" s="616">
        <v>0</v>
      </c>
      <c r="S55" s="21">
        <f t="shared" si="11"/>
        <v>0</v>
      </c>
      <c r="T55" s="631">
        <f>0.5*T$3</f>
        <v>0</v>
      </c>
      <c r="U55" s="616">
        <v>0</v>
      </c>
      <c r="V55" s="616">
        <v>0</v>
      </c>
      <c r="W55" s="21">
        <f t="shared" si="12"/>
        <v>0</v>
      </c>
    </row>
    <row r="56" spans="1:23" x14ac:dyDescent="0.25">
      <c r="A56" s="1974"/>
      <c r="B56" s="19" t="s">
        <v>34</v>
      </c>
      <c r="C56" s="22"/>
      <c r="D56" s="631">
        <f>0.5*D$3</f>
        <v>0</v>
      </c>
      <c r="E56" s="616">
        <v>0</v>
      </c>
      <c r="F56" s="616">
        <v>0</v>
      </c>
      <c r="G56" s="21">
        <f t="shared" si="4"/>
        <v>0</v>
      </c>
      <c r="H56" s="631">
        <f>0.5*H$3</f>
        <v>0</v>
      </c>
      <c r="I56" s="616">
        <v>0</v>
      </c>
      <c r="J56" s="616">
        <v>0</v>
      </c>
      <c r="K56" s="21">
        <f t="shared" si="9"/>
        <v>0</v>
      </c>
      <c r="L56" s="631">
        <f>0.5*L$3</f>
        <v>0</v>
      </c>
      <c r="M56" s="616">
        <v>0</v>
      </c>
      <c r="N56" s="616">
        <v>0</v>
      </c>
      <c r="O56" s="21">
        <f t="shared" si="10"/>
        <v>0</v>
      </c>
      <c r="P56" s="631">
        <f>0.5*P$3</f>
        <v>0</v>
      </c>
      <c r="Q56" s="616">
        <v>0</v>
      </c>
      <c r="R56" s="616">
        <v>0</v>
      </c>
      <c r="S56" s="21">
        <f t="shared" si="11"/>
        <v>0</v>
      </c>
      <c r="T56" s="631">
        <f>0.5*T$3</f>
        <v>0</v>
      </c>
      <c r="U56" s="616">
        <v>0</v>
      </c>
      <c r="V56" s="616">
        <v>0</v>
      </c>
      <c r="W56" s="21">
        <f t="shared" si="12"/>
        <v>0</v>
      </c>
    </row>
    <row r="57" spans="1:23" x14ac:dyDescent="0.25">
      <c r="A57" s="1974" t="s">
        <v>19</v>
      </c>
      <c r="B57" s="19" t="s">
        <v>32</v>
      </c>
      <c r="C57" s="22"/>
      <c r="D57" s="625">
        <v>2</v>
      </c>
      <c r="E57" s="616">
        <v>0</v>
      </c>
      <c r="F57" s="616">
        <v>0</v>
      </c>
      <c r="G57" s="21">
        <f t="shared" si="4"/>
        <v>2</v>
      </c>
      <c r="H57" s="625">
        <v>2</v>
      </c>
      <c r="I57" s="616">
        <v>0</v>
      </c>
      <c r="J57" s="616">
        <v>0</v>
      </c>
      <c r="K57" s="21">
        <f t="shared" si="9"/>
        <v>2</v>
      </c>
      <c r="L57" s="625">
        <v>2</v>
      </c>
      <c r="M57" s="616">
        <v>0</v>
      </c>
      <c r="N57" s="616">
        <v>0</v>
      </c>
      <c r="O57" s="21">
        <f t="shared" si="10"/>
        <v>2</v>
      </c>
      <c r="P57" s="625">
        <v>2</v>
      </c>
      <c r="Q57" s="616">
        <v>0</v>
      </c>
      <c r="R57" s="616">
        <v>0</v>
      </c>
      <c r="S57" s="21">
        <f t="shared" si="11"/>
        <v>2</v>
      </c>
      <c r="T57" s="625">
        <v>2</v>
      </c>
      <c r="U57" s="616">
        <v>0</v>
      </c>
      <c r="V57" s="616">
        <v>0</v>
      </c>
      <c r="W57" s="21">
        <f t="shared" si="12"/>
        <v>2</v>
      </c>
    </row>
    <row r="58" spans="1:23" x14ac:dyDescent="0.25">
      <c r="A58" s="1974"/>
      <c r="B58" s="19" t="s">
        <v>33</v>
      </c>
      <c r="C58" s="22"/>
      <c r="D58" s="625">
        <v>4</v>
      </c>
      <c r="E58" s="616">
        <v>0</v>
      </c>
      <c r="F58" s="616">
        <v>0</v>
      </c>
      <c r="G58" s="21">
        <f t="shared" si="4"/>
        <v>4</v>
      </c>
      <c r="H58" s="625">
        <v>4</v>
      </c>
      <c r="I58" s="616">
        <v>0</v>
      </c>
      <c r="J58" s="616">
        <v>0</v>
      </c>
      <c r="K58" s="21">
        <f t="shared" si="9"/>
        <v>4</v>
      </c>
      <c r="L58" s="625">
        <v>4</v>
      </c>
      <c r="M58" s="616">
        <v>0</v>
      </c>
      <c r="N58" s="616">
        <v>0</v>
      </c>
      <c r="O58" s="21">
        <f t="shared" si="10"/>
        <v>4</v>
      </c>
      <c r="P58" s="625">
        <v>4</v>
      </c>
      <c r="Q58" s="616">
        <v>0</v>
      </c>
      <c r="R58" s="616">
        <v>0</v>
      </c>
      <c r="S58" s="21">
        <f t="shared" si="11"/>
        <v>4</v>
      </c>
      <c r="T58" s="625">
        <v>4</v>
      </c>
      <c r="U58" s="616">
        <v>0</v>
      </c>
      <c r="V58" s="616">
        <v>0</v>
      </c>
      <c r="W58" s="21">
        <f t="shared" si="12"/>
        <v>4</v>
      </c>
    </row>
    <row r="59" spans="1:23" x14ac:dyDescent="0.25">
      <c r="A59" s="1974"/>
      <c r="B59" s="19" t="s">
        <v>34</v>
      </c>
      <c r="C59" s="22"/>
      <c r="D59" s="625">
        <v>6</v>
      </c>
      <c r="E59" s="616">
        <v>0</v>
      </c>
      <c r="F59" s="616">
        <v>0</v>
      </c>
      <c r="G59" s="21">
        <f t="shared" si="4"/>
        <v>6</v>
      </c>
      <c r="H59" s="625">
        <v>6</v>
      </c>
      <c r="I59" s="616">
        <v>0</v>
      </c>
      <c r="J59" s="616">
        <v>0</v>
      </c>
      <c r="K59" s="21">
        <f t="shared" si="9"/>
        <v>6</v>
      </c>
      <c r="L59" s="625">
        <v>6</v>
      </c>
      <c r="M59" s="616">
        <v>0</v>
      </c>
      <c r="N59" s="616">
        <v>0</v>
      </c>
      <c r="O59" s="21">
        <f t="shared" si="10"/>
        <v>6</v>
      </c>
      <c r="P59" s="625">
        <v>6</v>
      </c>
      <c r="Q59" s="616">
        <v>0</v>
      </c>
      <c r="R59" s="616">
        <v>0</v>
      </c>
      <c r="S59" s="21">
        <f t="shared" si="11"/>
        <v>6</v>
      </c>
      <c r="T59" s="625">
        <v>6</v>
      </c>
      <c r="U59" s="616">
        <v>0</v>
      </c>
      <c r="V59" s="616">
        <v>0</v>
      </c>
      <c r="W59" s="21">
        <f t="shared" si="12"/>
        <v>6</v>
      </c>
    </row>
    <row r="60" spans="1:23" x14ac:dyDescent="0.25">
      <c r="A60" s="1974" t="s">
        <v>20</v>
      </c>
      <c r="B60" s="19" t="s">
        <v>32</v>
      </c>
      <c r="C60" s="22"/>
      <c r="D60" s="625">
        <v>4</v>
      </c>
      <c r="E60" s="630">
        <f>0.5*E$3</f>
        <v>0</v>
      </c>
      <c r="F60" s="623">
        <v>0</v>
      </c>
      <c r="G60" s="21">
        <f t="shared" si="4"/>
        <v>4</v>
      </c>
      <c r="H60" s="625">
        <v>4</v>
      </c>
      <c r="I60" s="630">
        <f>0.5*I$3</f>
        <v>0</v>
      </c>
      <c r="J60" s="623">
        <v>0</v>
      </c>
      <c r="K60" s="21">
        <f t="shared" si="9"/>
        <v>4</v>
      </c>
      <c r="L60" s="625">
        <v>4</v>
      </c>
      <c r="M60" s="630">
        <f>0.5*M$3</f>
        <v>0</v>
      </c>
      <c r="N60" s="623">
        <v>0</v>
      </c>
      <c r="O60" s="21">
        <f t="shared" si="10"/>
        <v>4</v>
      </c>
      <c r="P60" s="625">
        <v>4</v>
      </c>
      <c r="Q60" s="630">
        <f>0.5*Q$3</f>
        <v>0</v>
      </c>
      <c r="R60" s="623">
        <v>0</v>
      </c>
      <c r="S60" s="21">
        <f t="shared" si="11"/>
        <v>4</v>
      </c>
      <c r="T60" s="625">
        <v>4</v>
      </c>
      <c r="U60" s="630">
        <f>0.5*U$3</f>
        <v>0</v>
      </c>
      <c r="V60" s="623">
        <v>0</v>
      </c>
      <c r="W60" s="21">
        <f t="shared" si="12"/>
        <v>4</v>
      </c>
    </row>
    <row r="61" spans="1:23" x14ac:dyDescent="0.25">
      <c r="A61" s="1974"/>
      <c r="B61" s="19" t="s">
        <v>33</v>
      </c>
      <c r="C61" s="22"/>
      <c r="D61" s="625">
        <v>6</v>
      </c>
      <c r="E61" s="630">
        <f>0.5*E$3</f>
        <v>0</v>
      </c>
      <c r="F61" s="623">
        <v>0</v>
      </c>
      <c r="G61" s="21">
        <f t="shared" si="4"/>
        <v>6</v>
      </c>
      <c r="H61" s="625">
        <v>6</v>
      </c>
      <c r="I61" s="630">
        <f>0.5*I$3</f>
        <v>0</v>
      </c>
      <c r="J61" s="623">
        <v>0</v>
      </c>
      <c r="K61" s="21">
        <f t="shared" si="9"/>
        <v>6</v>
      </c>
      <c r="L61" s="625">
        <v>6</v>
      </c>
      <c r="M61" s="630">
        <f>0.5*M$3</f>
        <v>0</v>
      </c>
      <c r="N61" s="623">
        <v>0</v>
      </c>
      <c r="O61" s="21">
        <f t="shared" si="10"/>
        <v>6</v>
      </c>
      <c r="P61" s="625">
        <v>6</v>
      </c>
      <c r="Q61" s="630">
        <f>0.5*Q$3</f>
        <v>0</v>
      </c>
      <c r="R61" s="623">
        <v>0</v>
      </c>
      <c r="S61" s="21">
        <f t="shared" si="11"/>
        <v>6</v>
      </c>
      <c r="T61" s="625">
        <v>6</v>
      </c>
      <c r="U61" s="630">
        <f>0.5*U$3</f>
        <v>0</v>
      </c>
      <c r="V61" s="623">
        <v>0</v>
      </c>
      <c r="W61" s="21">
        <f t="shared" si="12"/>
        <v>6</v>
      </c>
    </row>
    <row r="62" spans="1:23" x14ac:dyDescent="0.25">
      <c r="A62" s="1974"/>
      <c r="B62" s="19" t="s">
        <v>34</v>
      </c>
      <c r="C62" s="22"/>
      <c r="D62" s="625">
        <v>8</v>
      </c>
      <c r="E62" s="630">
        <f>0.5*E$3</f>
        <v>0</v>
      </c>
      <c r="F62" s="623">
        <v>0</v>
      </c>
      <c r="G62" s="21">
        <f t="shared" si="4"/>
        <v>8</v>
      </c>
      <c r="H62" s="625">
        <v>8</v>
      </c>
      <c r="I62" s="630">
        <f>0.5*I$3</f>
        <v>0</v>
      </c>
      <c r="J62" s="623">
        <v>0</v>
      </c>
      <c r="K62" s="21">
        <f t="shared" si="9"/>
        <v>8</v>
      </c>
      <c r="L62" s="625">
        <v>8</v>
      </c>
      <c r="M62" s="630">
        <f>0.5*M$3</f>
        <v>0</v>
      </c>
      <c r="N62" s="623">
        <v>0</v>
      </c>
      <c r="O62" s="21">
        <f t="shared" si="10"/>
        <v>8</v>
      </c>
      <c r="P62" s="625">
        <v>8</v>
      </c>
      <c r="Q62" s="630">
        <f>0.5*Q$3</f>
        <v>0</v>
      </c>
      <c r="R62" s="623">
        <v>0</v>
      </c>
      <c r="S62" s="21">
        <f t="shared" si="11"/>
        <v>8</v>
      </c>
      <c r="T62" s="625">
        <v>8</v>
      </c>
      <c r="U62" s="630">
        <f>0.5*U$3</f>
        <v>0</v>
      </c>
      <c r="V62" s="623">
        <v>0</v>
      </c>
      <c r="W62" s="21">
        <f t="shared" si="12"/>
        <v>8</v>
      </c>
    </row>
    <row r="63" spans="1:23" x14ac:dyDescent="0.25">
      <c r="A63" s="1974" t="s">
        <v>451</v>
      </c>
      <c r="B63" s="19" t="s">
        <v>32</v>
      </c>
      <c r="C63" s="22"/>
      <c r="D63" s="625">
        <v>2</v>
      </c>
      <c r="E63" s="637">
        <v>0</v>
      </c>
      <c r="F63" s="265">
        <v>0</v>
      </c>
      <c r="G63" s="21">
        <f t="shared" si="4"/>
        <v>2</v>
      </c>
      <c r="H63" s="625">
        <v>2</v>
      </c>
      <c r="I63" s="637">
        <v>0</v>
      </c>
      <c r="J63" s="265">
        <v>0</v>
      </c>
      <c r="K63" s="21">
        <f t="shared" si="9"/>
        <v>2</v>
      </c>
      <c r="L63" s="625">
        <v>2</v>
      </c>
      <c r="M63" s="637">
        <v>0</v>
      </c>
      <c r="N63" s="265">
        <v>0</v>
      </c>
      <c r="O63" s="21">
        <f t="shared" si="10"/>
        <v>2</v>
      </c>
      <c r="P63" s="625">
        <v>2</v>
      </c>
      <c r="Q63" s="637">
        <v>0</v>
      </c>
      <c r="R63" s="265">
        <v>0</v>
      </c>
      <c r="S63" s="21">
        <f t="shared" si="11"/>
        <v>2</v>
      </c>
      <c r="T63" s="625">
        <v>2</v>
      </c>
      <c r="U63" s="637">
        <v>0</v>
      </c>
      <c r="V63" s="265">
        <v>0</v>
      </c>
      <c r="W63" s="21">
        <f t="shared" si="12"/>
        <v>2</v>
      </c>
    </row>
    <row r="64" spans="1:23" x14ac:dyDescent="0.25">
      <c r="A64" s="1974"/>
      <c r="B64" s="19" t="s">
        <v>33</v>
      </c>
      <c r="C64" s="22"/>
      <c r="D64" s="625">
        <v>2</v>
      </c>
      <c r="E64" s="637">
        <v>0</v>
      </c>
      <c r="F64" s="265">
        <v>0</v>
      </c>
      <c r="G64" s="21">
        <f t="shared" si="4"/>
        <v>2</v>
      </c>
      <c r="H64" s="625">
        <v>2</v>
      </c>
      <c r="I64" s="637">
        <v>0</v>
      </c>
      <c r="J64" s="265">
        <v>0</v>
      </c>
      <c r="K64" s="21">
        <f t="shared" si="9"/>
        <v>2</v>
      </c>
      <c r="L64" s="625">
        <v>2</v>
      </c>
      <c r="M64" s="637">
        <v>0</v>
      </c>
      <c r="N64" s="265">
        <v>0</v>
      </c>
      <c r="O64" s="21">
        <f t="shared" si="10"/>
        <v>2</v>
      </c>
      <c r="P64" s="625">
        <v>2</v>
      </c>
      <c r="Q64" s="637">
        <v>0</v>
      </c>
      <c r="R64" s="265">
        <v>0</v>
      </c>
      <c r="S64" s="21">
        <f t="shared" si="11"/>
        <v>2</v>
      </c>
      <c r="T64" s="625">
        <v>2</v>
      </c>
      <c r="U64" s="637">
        <v>0</v>
      </c>
      <c r="V64" s="265">
        <v>0</v>
      </c>
      <c r="W64" s="21">
        <f t="shared" si="12"/>
        <v>2</v>
      </c>
    </row>
    <row r="65" spans="1:23" x14ac:dyDescent="0.25">
      <c r="A65" s="1974"/>
      <c r="B65" s="19" t="s">
        <v>34</v>
      </c>
      <c r="C65" s="22"/>
      <c r="D65" s="625">
        <v>2</v>
      </c>
      <c r="E65" s="637">
        <v>0</v>
      </c>
      <c r="F65" s="265">
        <v>0</v>
      </c>
      <c r="G65" s="21">
        <f t="shared" si="4"/>
        <v>2</v>
      </c>
      <c r="H65" s="625">
        <v>2</v>
      </c>
      <c r="I65" s="637">
        <v>0</v>
      </c>
      <c r="J65" s="265">
        <v>0</v>
      </c>
      <c r="K65" s="21">
        <f t="shared" si="9"/>
        <v>2</v>
      </c>
      <c r="L65" s="625">
        <v>2</v>
      </c>
      <c r="M65" s="637">
        <v>0</v>
      </c>
      <c r="N65" s="265">
        <v>0</v>
      </c>
      <c r="O65" s="21">
        <f t="shared" si="10"/>
        <v>2</v>
      </c>
      <c r="P65" s="625">
        <v>2</v>
      </c>
      <c r="Q65" s="637">
        <v>0</v>
      </c>
      <c r="R65" s="265">
        <v>0</v>
      </c>
      <c r="S65" s="21">
        <f t="shared" si="11"/>
        <v>2</v>
      </c>
      <c r="T65" s="625">
        <v>2</v>
      </c>
      <c r="U65" s="637">
        <v>0</v>
      </c>
      <c r="V65" s="265">
        <v>0</v>
      </c>
      <c r="W65" s="21">
        <f t="shared" si="12"/>
        <v>2</v>
      </c>
    </row>
    <row r="66" spans="1:23" x14ac:dyDescent="0.25">
      <c r="A66" s="1974" t="s">
        <v>452</v>
      </c>
      <c r="B66" s="19" t="s">
        <v>32</v>
      </c>
      <c r="C66" s="22"/>
      <c r="D66" s="625">
        <v>2</v>
      </c>
      <c r="E66" s="637">
        <v>0</v>
      </c>
      <c r="F66" s="265">
        <v>0</v>
      </c>
      <c r="G66" s="21">
        <f t="shared" si="4"/>
        <v>2</v>
      </c>
      <c r="H66" s="625">
        <v>2</v>
      </c>
      <c r="I66" s="637">
        <v>0</v>
      </c>
      <c r="J66" s="265">
        <v>0</v>
      </c>
      <c r="K66" s="21">
        <f t="shared" si="9"/>
        <v>2</v>
      </c>
      <c r="L66" s="625">
        <v>2</v>
      </c>
      <c r="M66" s="637">
        <v>0</v>
      </c>
      <c r="N66" s="265">
        <v>0</v>
      </c>
      <c r="O66" s="21">
        <f t="shared" si="10"/>
        <v>2</v>
      </c>
      <c r="P66" s="625">
        <v>2</v>
      </c>
      <c r="Q66" s="637">
        <v>0</v>
      </c>
      <c r="R66" s="265">
        <v>0</v>
      </c>
      <c r="S66" s="21">
        <f t="shared" si="11"/>
        <v>2</v>
      </c>
      <c r="T66" s="625">
        <v>2</v>
      </c>
      <c r="U66" s="637">
        <v>0</v>
      </c>
      <c r="V66" s="265">
        <v>0</v>
      </c>
      <c r="W66" s="21">
        <f t="shared" si="12"/>
        <v>2</v>
      </c>
    </row>
    <row r="67" spans="1:23" x14ac:dyDescent="0.25">
      <c r="A67" s="1974"/>
      <c r="B67" s="19" t="s">
        <v>33</v>
      </c>
      <c r="C67" s="22"/>
      <c r="D67" s="625">
        <v>2</v>
      </c>
      <c r="E67" s="637">
        <v>0</v>
      </c>
      <c r="F67" s="265">
        <v>0</v>
      </c>
      <c r="G67" s="21">
        <f t="shared" si="4"/>
        <v>2</v>
      </c>
      <c r="H67" s="625">
        <v>2</v>
      </c>
      <c r="I67" s="637">
        <v>0</v>
      </c>
      <c r="J67" s="265">
        <v>0</v>
      </c>
      <c r="K67" s="21">
        <f t="shared" si="9"/>
        <v>2</v>
      </c>
      <c r="L67" s="625">
        <v>2</v>
      </c>
      <c r="M67" s="637">
        <v>0</v>
      </c>
      <c r="N67" s="265">
        <v>0</v>
      </c>
      <c r="O67" s="21">
        <f t="shared" si="10"/>
        <v>2</v>
      </c>
      <c r="P67" s="625">
        <v>2</v>
      </c>
      <c r="Q67" s="637">
        <v>0</v>
      </c>
      <c r="R67" s="265">
        <v>0</v>
      </c>
      <c r="S67" s="21">
        <f t="shared" si="11"/>
        <v>2</v>
      </c>
      <c r="T67" s="625">
        <v>2</v>
      </c>
      <c r="U67" s="637">
        <v>0</v>
      </c>
      <c r="V67" s="265">
        <v>0</v>
      </c>
      <c r="W67" s="21">
        <f t="shared" si="12"/>
        <v>2</v>
      </c>
    </row>
    <row r="68" spans="1:23" x14ac:dyDescent="0.25">
      <c r="A68" s="1974"/>
      <c r="B68" s="19" t="s">
        <v>34</v>
      </c>
      <c r="C68" s="22"/>
      <c r="D68" s="625">
        <v>2</v>
      </c>
      <c r="E68" s="637">
        <v>0</v>
      </c>
      <c r="F68" s="265">
        <v>0</v>
      </c>
      <c r="G68" s="21">
        <f t="shared" si="4"/>
        <v>2</v>
      </c>
      <c r="H68" s="625">
        <v>2</v>
      </c>
      <c r="I68" s="637">
        <v>0</v>
      </c>
      <c r="J68" s="265">
        <v>0</v>
      </c>
      <c r="K68" s="21">
        <f t="shared" si="9"/>
        <v>2</v>
      </c>
      <c r="L68" s="625">
        <v>2</v>
      </c>
      <c r="M68" s="637">
        <v>0</v>
      </c>
      <c r="N68" s="265">
        <v>0</v>
      </c>
      <c r="O68" s="21">
        <f t="shared" si="10"/>
        <v>2</v>
      </c>
      <c r="P68" s="625">
        <v>2</v>
      </c>
      <c r="Q68" s="637">
        <v>0</v>
      </c>
      <c r="R68" s="265">
        <v>0</v>
      </c>
      <c r="S68" s="21">
        <f t="shared" si="11"/>
        <v>2</v>
      </c>
      <c r="T68" s="625">
        <v>2</v>
      </c>
      <c r="U68" s="637">
        <v>0</v>
      </c>
      <c r="V68" s="265">
        <v>0</v>
      </c>
      <c r="W68" s="21">
        <f t="shared" si="12"/>
        <v>2</v>
      </c>
    </row>
    <row r="69" spans="1:23" x14ac:dyDescent="0.25">
      <c r="A69" s="1993" t="s">
        <v>533</v>
      </c>
      <c r="B69" s="19" t="s">
        <v>32</v>
      </c>
      <c r="C69" s="22"/>
      <c r="D69" s="625">
        <v>2</v>
      </c>
      <c r="E69" s="628">
        <f t="shared" ref="E69:F74" si="13">0.5*E$3</f>
        <v>0</v>
      </c>
      <c r="F69" s="628">
        <f t="shared" si="13"/>
        <v>0</v>
      </c>
      <c r="G69" s="21">
        <f t="shared" si="4"/>
        <v>2</v>
      </c>
      <c r="H69" s="625">
        <v>2</v>
      </c>
      <c r="I69" s="628">
        <f t="shared" ref="I69:J74" si="14">0.5*I$3</f>
        <v>0</v>
      </c>
      <c r="J69" s="628">
        <f t="shared" si="14"/>
        <v>0</v>
      </c>
      <c r="K69" s="21">
        <f t="shared" si="9"/>
        <v>2</v>
      </c>
      <c r="L69" s="625">
        <v>2</v>
      </c>
      <c r="M69" s="628">
        <f t="shared" ref="M69:N74" si="15">0.5*M$3</f>
        <v>0</v>
      </c>
      <c r="N69" s="628">
        <f t="shared" si="15"/>
        <v>0</v>
      </c>
      <c r="O69" s="21">
        <f t="shared" si="10"/>
        <v>2</v>
      </c>
      <c r="P69" s="625">
        <v>2</v>
      </c>
      <c r="Q69" s="628">
        <f t="shared" ref="Q69:R74" si="16">0.5*Q$3</f>
        <v>0</v>
      </c>
      <c r="R69" s="628">
        <f t="shared" si="16"/>
        <v>0</v>
      </c>
      <c r="S69" s="21">
        <f t="shared" si="11"/>
        <v>2</v>
      </c>
      <c r="T69" s="625">
        <v>2</v>
      </c>
      <c r="U69" s="628">
        <f t="shared" ref="U69:V74" si="17">0.5*U$3</f>
        <v>0</v>
      </c>
      <c r="V69" s="628">
        <f t="shared" si="17"/>
        <v>0</v>
      </c>
      <c r="W69" s="21">
        <f t="shared" si="12"/>
        <v>2</v>
      </c>
    </row>
    <row r="70" spans="1:23" x14ac:dyDescent="0.25">
      <c r="A70" s="1993"/>
      <c r="B70" s="19" t="s">
        <v>33</v>
      </c>
      <c r="C70" s="22"/>
      <c r="D70" s="625">
        <v>3</v>
      </c>
      <c r="E70" s="628">
        <f t="shared" si="13"/>
        <v>0</v>
      </c>
      <c r="F70" s="628">
        <f t="shared" si="13"/>
        <v>0</v>
      </c>
      <c r="G70" s="21">
        <f t="shared" si="4"/>
        <v>3</v>
      </c>
      <c r="H70" s="625">
        <v>3</v>
      </c>
      <c r="I70" s="628">
        <f t="shared" si="14"/>
        <v>0</v>
      </c>
      <c r="J70" s="628">
        <f t="shared" si="14"/>
        <v>0</v>
      </c>
      <c r="K70" s="21">
        <f t="shared" si="9"/>
        <v>3</v>
      </c>
      <c r="L70" s="625">
        <v>3</v>
      </c>
      <c r="M70" s="628">
        <f t="shared" si="15"/>
        <v>0</v>
      </c>
      <c r="N70" s="628">
        <f t="shared" si="15"/>
        <v>0</v>
      </c>
      <c r="O70" s="21">
        <f t="shared" si="10"/>
        <v>3</v>
      </c>
      <c r="P70" s="625">
        <v>3</v>
      </c>
      <c r="Q70" s="628">
        <f t="shared" si="16"/>
        <v>0</v>
      </c>
      <c r="R70" s="628">
        <f t="shared" si="16"/>
        <v>0</v>
      </c>
      <c r="S70" s="21">
        <f t="shared" si="11"/>
        <v>3</v>
      </c>
      <c r="T70" s="625">
        <v>3</v>
      </c>
      <c r="U70" s="628">
        <f t="shared" si="17"/>
        <v>0</v>
      </c>
      <c r="V70" s="628">
        <f t="shared" si="17"/>
        <v>0</v>
      </c>
      <c r="W70" s="21">
        <f t="shared" si="12"/>
        <v>3</v>
      </c>
    </row>
    <row r="71" spans="1:23" x14ac:dyDescent="0.25">
      <c r="A71" s="1993"/>
      <c r="B71" s="19" t="s">
        <v>34</v>
      </c>
      <c r="C71" s="22"/>
      <c r="D71" s="625">
        <v>4</v>
      </c>
      <c r="E71" s="628">
        <f t="shared" si="13"/>
        <v>0</v>
      </c>
      <c r="F71" s="628">
        <f t="shared" si="13"/>
        <v>0</v>
      </c>
      <c r="G71" s="21">
        <f t="shared" si="4"/>
        <v>4</v>
      </c>
      <c r="H71" s="625">
        <v>4</v>
      </c>
      <c r="I71" s="628">
        <f t="shared" si="14"/>
        <v>0</v>
      </c>
      <c r="J71" s="628">
        <f t="shared" si="14"/>
        <v>0</v>
      </c>
      <c r="K71" s="21">
        <f t="shared" si="9"/>
        <v>4</v>
      </c>
      <c r="L71" s="625">
        <v>4</v>
      </c>
      <c r="M71" s="628">
        <f t="shared" si="15"/>
        <v>0</v>
      </c>
      <c r="N71" s="628">
        <f t="shared" si="15"/>
        <v>0</v>
      </c>
      <c r="O71" s="21">
        <f t="shared" si="10"/>
        <v>4</v>
      </c>
      <c r="P71" s="625">
        <v>4</v>
      </c>
      <c r="Q71" s="628">
        <f t="shared" si="16"/>
        <v>0</v>
      </c>
      <c r="R71" s="628">
        <f t="shared" si="16"/>
        <v>0</v>
      </c>
      <c r="S71" s="21">
        <f t="shared" si="11"/>
        <v>4</v>
      </c>
      <c r="T71" s="625">
        <v>4</v>
      </c>
      <c r="U71" s="628">
        <f t="shared" si="17"/>
        <v>0</v>
      </c>
      <c r="V71" s="628">
        <f t="shared" si="17"/>
        <v>0</v>
      </c>
      <c r="W71" s="21">
        <f t="shared" si="12"/>
        <v>4</v>
      </c>
    </row>
    <row r="72" spans="1:23" x14ac:dyDescent="0.25">
      <c r="A72" s="1974" t="s">
        <v>534</v>
      </c>
      <c r="B72" s="19" t="s">
        <v>32</v>
      </c>
      <c r="C72" s="22"/>
      <c r="D72" s="625">
        <v>2</v>
      </c>
      <c r="E72" s="628">
        <f t="shared" si="13"/>
        <v>0</v>
      </c>
      <c r="F72" s="628">
        <f t="shared" si="13"/>
        <v>0</v>
      </c>
      <c r="G72" s="21">
        <f t="shared" si="4"/>
        <v>2</v>
      </c>
      <c r="H72" s="625">
        <v>2</v>
      </c>
      <c r="I72" s="628">
        <f t="shared" si="14"/>
        <v>0</v>
      </c>
      <c r="J72" s="628">
        <f t="shared" si="14"/>
        <v>0</v>
      </c>
      <c r="K72" s="21">
        <f t="shared" si="9"/>
        <v>2</v>
      </c>
      <c r="L72" s="625">
        <v>2</v>
      </c>
      <c r="M72" s="628">
        <f t="shared" si="15"/>
        <v>0</v>
      </c>
      <c r="N72" s="628">
        <f t="shared" si="15"/>
        <v>0</v>
      </c>
      <c r="O72" s="21">
        <f t="shared" si="10"/>
        <v>2</v>
      </c>
      <c r="P72" s="625">
        <v>2</v>
      </c>
      <c r="Q72" s="628">
        <f t="shared" si="16"/>
        <v>0</v>
      </c>
      <c r="R72" s="628">
        <f t="shared" si="16"/>
        <v>0</v>
      </c>
      <c r="S72" s="21">
        <f t="shared" si="11"/>
        <v>2</v>
      </c>
      <c r="T72" s="625">
        <v>2</v>
      </c>
      <c r="U72" s="628">
        <f t="shared" si="17"/>
        <v>0</v>
      </c>
      <c r="V72" s="628">
        <f t="shared" si="17"/>
        <v>0</v>
      </c>
      <c r="W72" s="21">
        <f t="shared" si="12"/>
        <v>2</v>
      </c>
    </row>
    <row r="73" spans="1:23" x14ac:dyDescent="0.25">
      <c r="A73" s="1974"/>
      <c r="B73" s="19" t="s">
        <v>33</v>
      </c>
      <c r="C73" s="22"/>
      <c r="D73" s="625">
        <v>3</v>
      </c>
      <c r="E73" s="628">
        <f t="shared" si="13"/>
        <v>0</v>
      </c>
      <c r="F73" s="628">
        <f t="shared" si="13"/>
        <v>0</v>
      </c>
      <c r="G73" s="21">
        <f t="shared" si="4"/>
        <v>3</v>
      </c>
      <c r="H73" s="625">
        <v>3</v>
      </c>
      <c r="I73" s="628">
        <f t="shared" si="14"/>
        <v>0</v>
      </c>
      <c r="J73" s="628">
        <f t="shared" si="14"/>
        <v>0</v>
      </c>
      <c r="K73" s="21">
        <f t="shared" si="9"/>
        <v>3</v>
      </c>
      <c r="L73" s="625">
        <v>3</v>
      </c>
      <c r="M73" s="628">
        <f t="shared" si="15"/>
        <v>0</v>
      </c>
      <c r="N73" s="628">
        <f t="shared" si="15"/>
        <v>0</v>
      </c>
      <c r="O73" s="21">
        <f t="shared" si="10"/>
        <v>3</v>
      </c>
      <c r="P73" s="625">
        <v>3</v>
      </c>
      <c r="Q73" s="628">
        <f t="shared" si="16"/>
        <v>0</v>
      </c>
      <c r="R73" s="628">
        <f t="shared" si="16"/>
        <v>0</v>
      </c>
      <c r="S73" s="21">
        <f t="shared" si="11"/>
        <v>3</v>
      </c>
      <c r="T73" s="625">
        <v>3</v>
      </c>
      <c r="U73" s="628">
        <f t="shared" si="17"/>
        <v>0</v>
      </c>
      <c r="V73" s="628">
        <f t="shared" si="17"/>
        <v>0</v>
      </c>
      <c r="W73" s="21">
        <f t="shared" si="12"/>
        <v>3</v>
      </c>
    </row>
    <row r="74" spans="1:23" x14ac:dyDescent="0.25">
      <c r="A74" s="1974"/>
      <c r="B74" s="19" t="s">
        <v>34</v>
      </c>
      <c r="C74" s="22"/>
      <c r="D74" s="625">
        <v>4</v>
      </c>
      <c r="E74" s="628">
        <f t="shared" si="13"/>
        <v>0</v>
      </c>
      <c r="F74" s="628">
        <f t="shared" si="13"/>
        <v>0</v>
      </c>
      <c r="G74" s="21">
        <f t="shared" si="4"/>
        <v>4</v>
      </c>
      <c r="H74" s="625">
        <v>4</v>
      </c>
      <c r="I74" s="628">
        <f t="shared" si="14"/>
        <v>0</v>
      </c>
      <c r="J74" s="628">
        <f t="shared" si="14"/>
        <v>0</v>
      </c>
      <c r="K74" s="21">
        <f t="shared" si="9"/>
        <v>4</v>
      </c>
      <c r="L74" s="625">
        <v>4</v>
      </c>
      <c r="M74" s="628">
        <f t="shared" si="15"/>
        <v>0</v>
      </c>
      <c r="N74" s="628">
        <f t="shared" si="15"/>
        <v>0</v>
      </c>
      <c r="O74" s="21">
        <f t="shared" si="10"/>
        <v>4</v>
      </c>
      <c r="P74" s="625">
        <v>4</v>
      </c>
      <c r="Q74" s="628">
        <f t="shared" si="16"/>
        <v>0</v>
      </c>
      <c r="R74" s="628">
        <f t="shared" si="16"/>
        <v>0</v>
      </c>
      <c r="S74" s="21">
        <f t="shared" si="11"/>
        <v>4</v>
      </c>
      <c r="T74" s="625">
        <v>4</v>
      </c>
      <c r="U74" s="628">
        <f t="shared" si="17"/>
        <v>0</v>
      </c>
      <c r="V74" s="628">
        <f t="shared" si="17"/>
        <v>0</v>
      </c>
      <c r="W74" s="21">
        <f t="shared" si="12"/>
        <v>4</v>
      </c>
    </row>
    <row r="75" spans="1:23" x14ac:dyDescent="0.25">
      <c r="A75" s="1974" t="s">
        <v>21</v>
      </c>
      <c r="B75" s="19" t="s">
        <v>32</v>
      </c>
      <c r="C75" s="22"/>
      <c r="D75" s="625" t="s">
        <v>90</v>
      </c>
      <c r="E75" s="625" t="s">
        <v>90</v>
      </c>
      <c r="F75" s="625" t="s">
        <v>90</v>
      </c>
      <c r="G75" s="21">
        <f t="shared" si="4"/>
        <v>0</v>
      </c>
      <c r="H75" s="625" t="s">
        <v>90</v>
      </c>
      <c r="I75" s="625" t="s">
        <v>90</v>
      </c>
      <c r="J75" s="625" t="s">
        <v>90</v>
      </c>
      <c r="K75" s="21">
        <f t="shared" si="9"/>
        <v>0</v>
      </c>
      <c r="L75" s="625" t="s">
        <v>90</v>
      </c>
      <c r="M75" s="625" t="s">
        <v>90</v>
      </c>
      <c r="N75" s="625" t="s">
        <v>90</v>
      </c>
      <c r="O75" s="21">
        <f t="shared" si="10"/>
        <v>0</v>
      </c>
      <c r="P75" s="625" t="s">
        <v>90</v>
      </c>
      <c r="Q75" s="625" t="s">
        <v>90</v>
      </c>
      <c r="R75" s="625" t="s">
        <v>90</v>
      </c>
      <c r="S75" s="21">
        <f t="shared" si="11"/>
        <v>0</v>
      </c>
      <c r="T75" s="625" t="s">
        <v>90</v>
      </c>
      <c r="U75" s="625" t="s">
        <v>90</v>
      </c>
      <c r="V75" s="625" t="s">
        <v>90</v>
      </c>
      <c r="W75" s="21">
        <f t="shared" si="12"/>
        <v>0</v>
      </c>
    </row>
    <row r="76" spans="1:23" x14ac:dyDescent="0.25">
      <c r="A76" s="1974"/>
      <c r="B76" s="19" t="s">
        <v>33</v>
      </c>
      <c r="C76" s="22"/>
      <c r="D76" s="625" t="s">
        <v>90</v>
      </c>
      <c r="E76" s="625" t="s">
        <v>90</v>
      </c>
      <c r="F76" s="625" t="s">
        <v>90</v>
      </c>
      <c r="G76" s="21">
        <f t="shared" si="4"/>
        <v>0</v>
      </c>
      <c r="H76" s="625" t="s">
        <v>90</v>
      </c>
      <c r="I76" s="625" t="s">
        <v>90</v>
      </c>
      <c r="J76" s="625" t="s">
        <v>90</v>
      </c>
      <c r="K76" s="21">
        <f t="shared" si="9"/>
        <v>0</v>
      </c>
      <c r="L76" s="625" t="s">
        <v>90</v>
      </c>
      <c r="M76" s="625" t="s">
        <v>90</v>
      </c>
      <c r="N76" s="625" t="s">
        <v>90</v>
      </c>
      <c r="O76" s="21">
        <f t="shared" si="10"/>
        <v>0</v>
      </c>
      <c r="P76" s="625" t="s">
        <v>90</v>
      </c>
      <c r="Q76" s="625" t="s">
        <v>90</v>
      </c>
      <c r="R76" s="625" t="s">
        <v>90</v>
      </c>
      <c r="S76" s="21">
        <f t="shared" si="11"/>
        <v>0</v>
      </c>
      <c r="T76" s="625" t="s">
        <v>90</v>
      </c>
      <c r="U76" s="625" t="s">
        <v>90</v>
      </c>
      <c r="V76" s="625" t="s">
        <v>90</v>
      </c>
      <c r="W76" s="21">
        <f t="shared" si="12"/>
        <v>0</v>
      </c>
    </row>
    <row r="77" spans="1:23" x14ac:dyDescent="0.25">
      <c r="A77" s="1974"/>
      <c r="B77" s="13" t="s">
        <v>34</v>
      </c>
      <c r="C77" s="34"/>
      <c r="D77" s="625" t="s">
        <v>90</v>
      </c>
      <c r="E77" s="625" t="s">
        <v>90</v>
      </c>
      <c r="F77" s="625" t="s">
        <v>90</v>
      </c>
      <c r="G77" s="21">
        <f t="shared" si="4"/>
        <v>0</v>
      </c>
      <c r="H77" s="625" t="s">
        <v>90</v>
      </c>
      <c r="I77" s="625" t="s">
        <v>90</v>
      </c>
      <c r="J77" s="625" t="s">
        <v>90</v>
      </c>
      <c r="K77" s="21">
        <f t="shared" si="9"/>
        <v>0</v>
      </c>
      <c r="L77" s="625" t="s">
        <v>90</v>
      </c>
      <c r="M77" s="625" t="s">
        <v>90</v>
      </c>
      <c r="N77" s="625" t="s">
        <v>90</v>
      </c>
      <c r="O77" s="21">
        <f t="shared" si="10"/>
        <v>0</v>
      </c>
      <c r="P77" s="625" t="s">
        <v>90</v>
      </c>
      <c r="Q77" s="625" t="s">
        <v>90</v>
      </c>
      <c r="R77" s="625" t="s">
        <v>90</v>
      </c>
      <c r="S77" s="21">
        <f t="shared" si="11"/>
        <v>0</v>
      </c>
      <c r="T77" s="625" t="s">
        <v>90</v>
      </c>
      <c r="U77" s="625" t="s">
        <v>90</v>
      </c>
      <c r="V77" s="625" t="s">
        <v>90</v>
      </c>
      <c r="W77" s="21">
        <f t="shared" si="12"/>
        <v>0</v>
      </c>
    </row>
    <row r="78" spans="1:23" x14ac:dyDescent="0.25">
      <c r="A78" s="1974" t="s">
        <v>181</v>
      </c>
      <c r="B78" s="19" t="s">
        <v>32</v>
      </c>
      <c r="C78" s="198"/>
      <c r="D78" s="648">
        <f>0.5*D$3</f>
        <v>0</v>
      </c>
      <c r="E78" s="616">
        <v>0</v>
      </c>
      <c r="F78" s="646">
        <v>0</v>
      </c>
      <c r="G78" s="21">
        <f t="shared" si="4"/>
        <v>0</v>
      </c>
      <c r="H78" s="648">
        <f>0.5*H$3</f>
        <v>0</v>
      </c>
      <c r="I78" s="616">
        <v>0</v>
      </c>
      <c r="J78" s="646">
        <v>0</v>
      </c>
      <c r="K78" s="21">
        <f t="shared" si="9"/>
        <v>0</v>
      </c>
      <c r="L78" s="648">
        <f>0.5*L$3</f>
        <v>0</v>
      </c>
      <c r="M78" s="616">
        <v>0</v>
      </c>
      <c r="N78" s="646">
        <v>0</v>
      </c>
      <c r="O78" s="21">
        <f t="shared" si="10"/>
        <v>0</v>
      </c>
      <c r="P78" s="648">
        <f>0.5*P$3</f>
        <v>0</v>
      </c>
      <c r="Q78" s="616">
        <v>0</v>
      </c>
      <c r="R78" s="646">
        <v>0</v>
      </c>
      <c r="S78" s="21">
        <f t="shared" si="11"/>
        <v>0</v>
      </c>
      <c r="T78" s="648">
        <f>0.5*T$3</f>
        <v>0</v>
      </c>
      <c r="U78" s="616">
        <v>0</v>
      </c>
      <c r="V78" s="646">
        <v>0</v>
      </c>
      <c r="W78" s="21">
        <f t="shared" si="12"/>
        <v>0</v>
      </c>
    </row>
    <row r="79" spans="1:23" x14ac:dyDescent="0.25">
      <c r="A79" s="1974"/>
      <c r="B79" s="19" t="s">
        <v>33</v>
      </c>
      <c r="C79" s="198"/>
      <c r="D79" s="648">
        <f>1*D$3</f>
        <v>0</v>
      </c>
      <c r="E79" s="616">
        <v>0</v>
      </c>
      <c r="F79" s="646">
        <v>0</v>
      </c>
      <c r="G79" s="21">
        <f t="shared" si="4"/>
        <v>0</v>
      </c>
      <c r="H79" s="648">
        <f>1*H$3</f>
        <v>0</v>
      </c>
      <c r="I79" s="616">
        <v>0</v>
      </c>
      <c r="J79" s="646">
        <v>0</v>
      </c>
      <c r="K79" s="21">
        <f t="shared" si="9"/>
        <v>0</v>
      </c>
      <c r="L79" s="648">
        <f>1*L$3</f>
        <v>0</v>
      </c>
      <c r="M79" s="616">
        <v>0</v>
      </c>
      <c r="N79" s="646">
        <v>0</v>
      </c>
      <c r="O79" s="21">
        <f t="shared" si="10"/>
        <v>0</v>
      </c>
      <c r="P79" s="648">
        <f>1*P$3</f>
        <v>0</v>
      </c>
      <c r="Q79" s="616">
        <v>0</v>
      </c>
      <c r="R79" s="646">
        <v>0</v>
      </c>
      <c r="S79" s="21">
        <f t="shared" si="11"/>
        <v>0</v>
      </c>
      <c r="T79" s="648">
        <f>1*T$3</f>
        <v>0</v>
      </c>
      <c r="U79" s="616">
        <v>0</v>
      </c>
      <c r="V79" s="646">
        <v>0</v>
      </c>
      <c r="W79" s="21">
        <f t="shared" si="12"/>
        <v>0</v>
      </c>
    </row>
    <row r="80" spans="1:23" x14ac:dyDescent="0.25">
      <c r="A80" s="1974"/>
      <c r="B80" s="19" t="s">
        <v>34</v>
      </c>
      <c r="C80" s="198"/>
      <c r="D80" s="648">
        <f>1.5*D$3</f>
        <v>0</v>
      </c>
      <c r="E80" s="616">
        <v>0</v>
      </c>
      <c r="F80" s="646">
        <v>0</v>
      </c>
      <c r="G80" s="21">
        <f t="shared" si="4"/>
        <v>0</v>
      </c>
      <c r="H80" s="648">
        <f>1.5*H$3</f>
        <v>0</v>
      </c>
      <c r="I80" s="616">
        <v>0</v>
      </c>
      <c r="J80" s="646">
        <v>0</v>
      </c>
      <c r="K80" s="21">
        <f t="shared" si="9"/>
        <v>0</v>
      </c>
      <c r="L80" s="648">
        <f>1.5*L$3</f>
        <v>0</v>
      </c>
      <c r="M80" s="616">
        <v>0</v>
      </c>
      <c r="N80" s="646">
        <v>0</v>
      </c>
      <c r="O80" s="21">
        <f t="shared" si="10"/>
        <v>0</v>
      </c>
      <c r="P80" s="648">
        <f>1.5*P$3</f>
        <v>0</v>
      </c>
      <c r="Q80" s="616">
        <v>0</v>
      </c>
      <c r="R80" s="646">
        <v>0</v>
      </c>
      <c r="S80" s="21">
        <f t="shared" si="11"/>
        <v>0</v>
      </c>
      <c r="T80" s="648">
        <f>1.5*T$3</f>
        <v>0</v>
      </c>
      <c r="U80" s="616">
        <v>0</v>
      </c>
      <c r="V80" s="646">
        <v>0</v>
      </c>
      <c r="W80" s="21">
        <f t="shared" si="12"/>
        <v>0</v>
      </c>
    </row>
    <row r="81" spans="1:23" x14ac:dyDescent="0.25">
      <c r="A81" s="1974" t="s">
        <v>182</v>
      </c>
      <c r="B81" s="19" t="s">
        <v>32</v>
      </c>
      <c r="C81" s="198"/>
      <c r="D81" s="648">
        <f>0.5*D$3</f>
        <v>0</v>
      </c>
      <c r="E81" s="616">
        <v>0</v>
      </c>
      <c r="F81" s="646">
        <v>0</v>
      </c>
      <c r="G81" s="21">
        <f t="shared" si="4"/>
        <v>0</v>
      </c>
      <c r="H81" s="648">
        <f>0.5*H$3</f>
        <v>0</v>
      </c>
      <c r="I81" s="616">
        <v>0</v>
      </c>
      <c r="J81" s="646">
        <v>0</v>
      </c>
      <c r="K81" s="21">
        <f t="shared" si="9"/>
        <v>0</v>
      </c>
      <c r="L81" s="648">
        <f>0.5*L$3</f>
        <v>0</v>
      </c>
      <c r="M81" s="616">
        <v>0</v>
      </c>
      <c r="N81" s="646">
        <v>0</v>
      </c>
      <c r="O81" s="21">
        <f t="shared" si="10"/>
        <v>0</v>
      </c>
      <c r="P81" s="648">
        <f>0.5*P$3</f>
        <v>0</v>
      </c>
      <c r="Q81" s="616">
        <v>0</v>
      </c>
      <c r="R81" s="646">
        <v>0</v>
      </c>
      <c r="S81" s="21">
        <f t="shared" si="11"/>
        <v>0</v>
      </c>
      <c r="T81" s="648">
        <f>0.5*T$3</f>
        <v>0</v>
      </c>
      <c r="U81" s="616">
        <v>0</v>
      </c>
      <c r="V81" s="646">
        <v>0</v>
      </c>
      <c r="W81" s="21">
        <f t="shared" si="12"/>
        <v>0</v>
      </c>
    </row>
    <row r="82" spans="1:23" x14ac:dyDescent="0.25">
      <c r="A82" s="1974"/>
      <c r="B82" s="19" t="s">
        <v>33</v>
      </c>
      <c r="C82" s="198"/>
      <c r="D82" s="648">
        <f>1*D$3</f>
        <v>0</v>
      </c>
      <c r="E82" s="616">
        <v>0</v>
      </c>
      <c r="F82" s="646">
        <v>0</v>
      </c>
      <c r="G82" s="21">
        <f t="shared" si="4"/>
        <v>0</v>
      </c>
      <c r="H82" s="648">
        <f>1*H$3</f>
        <v>0</v>
      </c>
      <c r="I82" s="616">
        <v>0</v>
      </c>
      <c r="J82" s="646">
        <v>0</v>
      </c>
      <c r="K82" s="21">
        <f t="shared" si="9"/>
        <v>0</v>
      </c>
      <c r="L82" s="648">
        <f>1*L$3</f>
        <v>0</v>
      </c>
      <c r="M82" s="616">
        <v>0</v>
      </c>
      <c r="N82" s="646">
        <v>0</v>
      </c>
      <c r="O82" s="21">
        <f t="shared" si="10"/>
        <v>0</v>
      </c>
      <c r="P82" s="648">
        <f>1*P$3</f>
        <v>0</v>
      </c>
      <c r="Q82" s="616">
        <v>0</v>
      </c>
      <c r="R82" s="646">
        <v>0</v>
      </c>
      <c r="S82" s="21">
        <f t="shared" si="11"/>
        <v>0</v>
      </c>
      <c r="T82" s="648">
        <f>1*T$3</f>
        <v>0</v>
      </c>
      <c r="U82" s="616">
        <v>0</v>
      </c>
      <c r="V82" s="646">
        <v>0</v>
      </c>
      <c r="W82" s="21">
        <f t="shared" si="12"/>
        <v>0</v>
      </c>
    </row>
    <row r="83" spans="1:23" x14ac:dyDescent="0.25">
      <c r="A83" s="1974"/>
      <c r="B83" s="19" t="s">
        <v>34</v>
      </c>
      <c r="C83" s="198"/>
      <c r="D83" s="648">
        <f>1.5*D$3</f>
        <v>0</v>
      </c>
      <c r="E83" s="616">
        <v>0</v>
      </c>
      <c r="F83" s="646">
        <v>0</v>
      </c>
      <c r="G83" s="21">
        <f t="shared" si="4"/>
        <v>0</v>
      </c>
      <c r="H83" s="648">
        <f>1.5*H$3</f>
        <v>0</v>
      </c>
      <c r="I83" s="616">
        <v>0</v>
      </c>
      <c r="J83" s="646">
        <v>0</v>
      </c>
      <c r="K83" s="21">
        <f t="shared" si="9"/>
        <v>0</v>
      </c>
      <c r="L83" s="648">
        <f>1.5*L$3</f>
        <v>0</v>
      </c>
      <c r="M83" s="616">
        <v>0</v>
      </c>
      <c r="N83" s="646">
        <v>0</v>
      </c>
      <c r="O83" s="21">
        <f t="shared" si="10"/>
        <v>0</v>
      </c>
      <c r="P83" s="648">
        <f>1.5*P$3</f>
        <v>0</v>
      </c>
      <c r="Q83" s="616">
        <v>0</v>
      </c>
      <c r="R83" s="646">
        <v>0</v>
      </c>
      <c r="S83" s="21">
        <f t="shared" si="11"/>
        <v>0</v>
      </c>
      <c r="T83" s="648">
        <f>1.5*T$3</f>
        <v>0</v>
      </c>
      <c r="U83" s="616">
        <v>0</v>
      </c>
      <c r="V83" s="646">
        <v>0</v>
      </c>
      <c r="W83" s="21">
        <f t="shared" si="12"/>
        <v>0</v>
      </c>
    </row>
    <row r="84" spans="1:23" x14ac:dyDescent="0.25">
      <c r="A84" s="1994" t="s">
        <v>183</v>
      </c>
      <c r="B84" s="19" t="s">
        <v>32</v>
      </c>
      <c r="C84" s="198"/>
      <c r="D84" s="648">
        <f>0.5*D$3</f>
        <v>0</v>
      </c>
      <c r="E84" s="616">
        <v>0</v>
      </c>
      <c r="F84" s="646">
        <v>0</v>
      </c>
      <c r="G84" s="21">
        <f t="shared" si="4"/>
        <v>0</v>
      </c>
      <c r="H84" s="648">
        <f>0.5*H$3</f>
        <v>0</v>
      </c>
      <c r="I84" s="616">
        <v>0</v>
      </c>
      <c r="J84" s="646">
        <v>0</v>
      </c>
      <c r="K84" s="21">
        <f t="shared" si="9"/>
        <v>0</v>
      </c>
      <c r="L84" s="648">
        <f>0.5*L$3</f>
        <v>0</v>
      </c>
      <c r="M84" s="616">
        <v>0</v>
      </c>
      <c r="N84" s="646">
        <v>0</v>
      </c>
      <c r="O84" s="21">
        <f t="shared" si="10"/>
        <v>0</v>
      </c>
      <c r="P84" s="648">
        <f>0.5*P$3</f>
        <v>0</v>
      </c>
      <c r="Q84" s="616">
        <v>0</v>
      </c>
      <c r="R84" s="646">
        <v>0</v>
      </c>
      <c r="S84" s="21">
        <f t="shared" si="11"/>
        <v>0</v>
      </c>
      <c r="T84" s="648">
        <f>0.5*T$3</f>
        <v>0</v>
      </c>
      <c r="U84" s="616">
        <v>0</v>
      </c>
      <c r="V84" s="646">
        <v>0</v>
      </c>
      <c r="W84" s="21">
        <f t="shared" si="12"/>
        <v>0</v>
      </c>
    </row>
    <row r="85" spans="1:23" x14ac:dyDescent="0.25">
      <c r="A85" s="1994"/>
      <c r="B85" s="19" t="s">
        <v>33</v>
      </c>
      <c r="C85" s="198"/>
      <c r="D85" s="648">
        <f>1*D$3</f>
        <v>0</v>
      </c>
      <c r="E85" s="616">
        <v>0</v>
      </c>
      <c r="F85" s="646">
        <v>0</v>
      </c>
      <c r="G85" s="21">
        <f t="shared" si="4"/>
        <v>0</v>
      </c>
      <c r="H85" s="648">
        <f>1*H$3</f>
        <v>0</v>
      </c>
      <c r="I85" s="616">
        <v>0</v>
      </c>
      <c r="J85" s="646">
        <v>0</v>
      </c>
      <c r="K85" s="21">
        <f t="shared" si="9"/>
        <v>0</v>
      </c>
      <c r="L85" s="648">
        <f>1*L$3</f>
        <v>0</v>
      </c>
      <c r="M85" s="616">
        <v>0</v>
      </c>
      <c r="N85" s="646">
        <v>0</v>
      </c>
      <c r="O85" s="21">
        <f t="shared" si="10"/>
        <v>0</v>
      </c>
      <c r="P85" s="648">
        <f>1*P$3</f>
        <v>0</v>
      </c>
      <c r="Q85" s="616">
        <v>0</v>
      </c>
      <c r="R85" s="646">
        <v>0</v>
      </c>
      <c r="S85" s="21">
        <f t="shared" si="11"/>
        <v>0</v>
      </c>
      <c r="T85" s="648">
        <f>1*T$3</f>
        <v>0</v>
      </c>
      <c r="U85" s="616">
        <v>0</v>
      </c>
      <c r="V85" s="646">
        <v>0</v>
      </c>
      <c r="W85" s="21">
        <f t="shared" si="12"/>
        <v>0</v>
      </c>
    </row>
    <row r="86" spans="1:23" ht="15.75" thickBot="1" x14ac:dyDescent="0.3">
      <c r="A86" s="1994"/>
      <c r="B86" s="13" t="s">
        <v>34</v>
      </c>
      <c r="C86" s="220"/>
      <c r="D86" s="648">
        <f>1.5*D$3</f>
        <v>0</v>
      </c>
      <c r="E86" s="659">
        <v>0</v>
      </c>
      <c r="F86" s="663">
        <v>0</v>
      </c>
      <c r="G86" s="77">
        <f t="shared" si="4"/>
        <v>0</v>
      </c>
      <c r="H86" s="648">
        <f>1.5*H$3</f>
        <v>0</v>
      </c>
      <c r="I86" s="659">
        <v>0</v>
      </c>
      <c r="J86" s="663">
        <v>0</v>
      </c>
      <c r="K86" s="77">
        <f t="shared" si="9"/>
        <v>0</v>
      </c>
      <c r="L86" s="648">
        <f>1.5*L$3</f>
        <v>0</v>
      </c>
      <c r="M86" s="659">
        <v>0</v>
      </c>
      <c r="N86" s="663">
        <v>0</v>
      </c>
      <c r="O86" s="77">
        <f t="shared" si="10"/>
        <v>0</v>
      </c>
      <c r="P86" s="648">
        <f>1.5*P$3</f>
        <v>0</v>
      </c>
      <c r="Q86" s="659">
        <v>0</v>
      </c>
      <c r="R86" s="663">
        <v>0</v>
      </c>
      <c r="S86" s="77">
        <f t="shared" si="11"/>
        <v>0</v>
      </c>
      <c r="T86" s="648">
        <f>1.5*T$3</f>
        <v>0</v>
      </c>
      <c r="U86" s="659">
        <v>0</v>
      </c>
      <c r="V86" s="663">
        <v>0</v>
      </c>
      <c r="W86" s="77">
        <f t="shared" si="12"/>
        <v>0</v>
      </c>
    </row>
    <row r="87" spans="1:23" ht="16.5" thickBot="1" x14ac:dyDescent="0.3">
      <c r="A87" s="330" t="s">
        <v>22</v>
      </c>
      <c r="B87" s="329"/>
      <c r="C87" s="329"/>
      <c r="D87" s="329"/>
      <c r="E87" s="329"/>
      <c r="F87" s="327"/>
      <c r="G87" s="327"/>
      <c r="H87" s="329"/>
      <c r="I87" s="329"/>
      <c r="J87" s="327"/>
      <c r="K87" s="327"/>
      <c r="L87" s="329"/>
      <c r="M87" s="329"/>
      <c r="N87" s="327"/>
      <c r="O87" s="327"/>
      <c r="P87" s="329"/>
      <c r="Q87" s="329"/>
      <c r="R87" s="327"/>
      <c r="S87" s="327"/>
      <c r="T87" s="329"/>
      <c r="U87" s="329"/>
      <c r="V87" s="327"/>
      <c r="W87" s="396"/>
    </row>
    <row r="88" spans="1:23" x14ac:dyDescent="0.25">
      <c r="A88" s="1907" t="s">
        <v>23</v>
      </c>
      <c r="B88" s="404" t="s">
        <v>32</v>
      </c>
      <c r="C88" s="324"/>
      <c r="D88" s="678">
        <v>0.25</v>
      </c>
      <c r="E88" s="660">
        <v>0</v>
      </c>
      <c r="F88" s="679">
        <v>0</v>
      </c>
      <c r="G88" s="230">
        <f t="shared" si="4"/>
        <v>0.25</v>
      </c>
      <c r="H88" s="678">
        <v>0.25</v>
      </c>
      <c r="I88" s="660">
        <v>0</v>
      </c>
      <c r="J88" s="679">
        <v>0</v>
      </c>
      <c r="K88" s="230">
        <f t="shared" ref="K88:K93" si="18" xml:space="preserve"> SUM(H88:J88) + $C88</f>
        <v>0.25</v>
      </c>
      <c r="L88" s="678">
        <v>0.25</v>
      </c>
      <c r="M88" s="660">
        <v>0</v>
      </c>
      <c r="N88" s="679">
        <v>0</v>
      </c>
      <c r="O88" s="230">
        <f t="shared" ref="O88:O93" si="19" xml:space="preserve"> SUM(L88:N88) + $C88</f>
        <v>0.25</v>
      </c>
      <c r="P88" s="678">
        <v>0.25</v>
      </c>
      <c r="Q88" s="660">
        <v>0</v>
      </c>
      <c r="R88" s="679">
        <v>0</v>
      </c>
      <c r="S88" s="230">
        <f t="shared" ref="S88:S93" si="20" xml:space="preserve"> SUM(P88:R88) + $C88</f>
        <v>0.25</v>
      </c>
      <c r="T88" s="678">
        <v>0.25</v>
      </c>
      <c r="U88" s="660">
        <v>0</v>
      </c>
      <c r="V88" s="679">
        <v>0</v>
      </c>
      <c r="W88" s="230">
        <f t="shared" ref="W88:W93" si="21" xml:space="preserve"> SUM(T88:V88) + $C88</f>
        <v>0.25</v>
      </c>
    </row>
    <row r="89" spans="1:23" x14ac:dyDescent="0.25">
      <c r="A89" s="1907"/>
      <c r="B89" s="19" t="s">
        <v>33</v>
      </c>
      <c r="C89" s="22"/>
      <c r="D89" s="678">
        <v>0.25</v>
      </c>
      <c r="E89" s="616">
        <v>0</v>
      </c>
      <c r="F89" s="623">
        <v>0</v>
      </c>
      <c r="G89" s="21">
        <f t="shared" si="4"/>
        <v>0.25</v>
      </c>
      <c r="H89" s="678">
        <v>0.25</v>
      </c>
      <c r="I89" s="616">
        <v>0</v>
      </c>
      <c r="J89" s="623">
        <v>0</v>
      </c>
      <c r="K89" s="21">
        <f t="shared" si="18"/>
        <v>0.25</v>
      </c>
      <c r="L89" s="678">
        <v>0.25</v>
      </c>
      <c r="M89" s="616">
        <v>0</v>
      </c>
      <c r="N89" s="623">
        <v>0</v>
      </c>
      <c r="O89" s="21">
        <f t="shared" si="19"/>
        <v>0.25</v>
      </c>
      <c r="P89" s="678">
        <v>0.25</v>
      </c>
      <c r="Q89" s="616">
        <v>0</v>
      </c>
      <c r="R89" s="623">
        <v>0</v>
      </c>
      <c r="S89" s="21">
        <f t="shared" si="20"/>
        <v>0.25</v>
      </c>
      <c r="T89" s="678">
        <v>0.25</v>
      </c>
      <c r="U89" s="616">
        <v>0</v>
      </c>
      <c r="V89" s="623">
        <v>0</v>
      </c>
      <c r="W89" s="21">
        <f t="shared" si="21"/>
        <v>0.25</v>
      </c>
    </row>
    <row r="90" spans="1:23" x14ac:dyDescent="0.25">
      <c r="A90" s="1907"/>
      <c r="B90" s="19" t="s">
        <v>34</v>
      </c>
      <c r="C90" s="22"/>
      <c r="D90" s="678">
        <v>0.25</v>
      </c>
      <c r="E90" s="616">
        <v>0</v>
      </c>
      <c r="F90" s="623">
        <v>0</v>
      </c>
      <c r="G90" s="21">
        <f t="shared" si="4"/>
        <v>0.25</v>
      </c>
      <c r="H90" s="678">
        <v>0.25</v>
      </c>
      <c r="I90" s="616">
        <v>0</v>
      </c>
      <c r="J90" s="623">
        <v>0</v>
      </c>
      <c r="K90" s="21">
        <f t="shared" si="18"/>
        <v>0.25</v>
      </c>
      <c r="L90" s="678">
        <v>0.25</v>
      </c>
      <c r="M90" s="616">
        <v>0</v>
      </c>
      <c r="N90" s="623">
        <v>0</v>
      </c>
      <c r="O90" s="21">
        <f t="shared" si="19"/>
        <v>0.25</v>
      </c>
      <c r="P90" s="678">
        <v>0.25</v>
      </c>
      <c r="Q90" s="616">
        <v>0</v>
      </c>
      <c r="R90" s="623">
        <v>0</v>
      </c>
      <c r="S90" s="21">
        <f t="shared" si="20"/>
        <v>0.25</v>
      </c>
      <c r="T90" s="678">
        <v>0.25</v>
      </c>
      <c r="U90" s="616">
        <v>0</v>
      </c>
      <c r="V90" s="623">
        <v>0</v>
      </c>
      <c r="W90" s="21">
        <f t="shared" si="21"/>
        <v>0.25</v>
      </c>
    </row>
    <row r="91" spans="1:23" x14ac:dyDescent="0.25">
      <c r="A91" s="1974" t="s">
        <v>24</v>
      </c>
      <c r="B91" s="19" t="s">
        <v>32</v>
      </c>
      <c r="C91" s="22"/>
      <c r="D91" s="625">
        <v>4</v>
      </c>
      <c r="E91" s="630">
        <f t="shared" ref="E91:E96" si="22">0.5*E$3</f>
        <v>0</v>
      </c>
      <c r="F91" s="630">
        <f t="shared" ref="F91:F96" si="23">0.2*F$3</f>
        <v>0</v>
      </c>
      <c r="G91" s="21">
        <f t="shared" si="4"/>
        <v>4</v>
      </c>
      <c r="H91" s="625">
        <v>4</v>
      </c>
      <c r="I91" s="630">
        <f t="shared" ref="I91:I96" si="24">0.5*I$3</f>
        <v>0</v>
      </c>
      <c r="J91" s="630">
        <f t="shared" ref="J91:J96" si="25">0.2*J$3</f>
        <v>0</v>
      </c>
      <c r="K91" s="21">
        <f t="shared" si="18"/>
        <v>4</v>
      </c>
      <c r="L91" s="625">
        <v>4</v>
      </c>
      <c r="M91" s="630">
        <f t="shared" ref="M91:M96" si="26">0.5*M$3</f>
        <v>0</v>
      </c>
      <c r="N91" s="630">
        <f t="shared" ref="N91:N96" si="27">0.2*N$3</f>
        <v>0</v>
      </c>
      <c r="O91" s="21">
        <f t="shared" si="19"/>
        <v>4</v>
      </c>
      <c r="P91" s="625">
        <v>4</v>
      </c>
      <c r="Q91" s="630">
        <f t="shared" ref="Q91:Q96" si="28">0.5*Q$3</f>
        <v>0</v>
      </c>
      <c r="R91" s="630">
        <f t="shared" ref="R91:R96" si="29">0.2*R$3</f>
        <v>0</v>
      </c>
      <c r="S91" s="21">
        <f t="shared" si="20"/>
        <v>4</v>
      </c>
      <c r="T91" s="625">
        <v>4</v>
      </c>
      <c r="U91" s="630">
        <f t="shared" ref="U91:U96" si="30">0.5*U$3</f>
        <v>0</v>
      </c>
      <c r="V91" s="630">
        <f t="shared" ref="V91:V96" si="31">0.2*V$3</f>
        <v>0</v>
      </c>
      <c r="W91" s="21">
        <f t="shared" si="21"/>
        <v>4</v>
      </c>
    </row>
    <row r="92" spans="1:23" x14ac:dyDescent="0.25">
      <c r="A92" s="1974"/>
      <c r="B92" s="19" t="s">
        <v>33</v>
      </c>
      <c r="C92" s="22"/>
      <c r="D92" s="625">
        <v>6</v>
      </c>
      <c r="E92" s="630">
        <f t="shared" si="22"/>
        <v>0</v>
      </c>
      <c r="F92" s="630">
        <f t="shared" si="23"/>
        <v>0</v>
      </c>
      <c r="G92" s="21">
        <f t="shared" si="4"/>
        <v>6</v>
      </c>
      <c r="H92" s="625">
        <v>6</v>
      </c>
      <c r="I92" s="630">
        <f t="shared" si="24"/>
        <v>0</v>
      </c>
      <c r="J92" s="630">
        <f t="shared" si="25"/>
        <v>0</v>
      </c>
      <c r="K92" s="21">
        <f t="shared" si="18"/>
        <v>6</v>
      </c>
      <c r="L92" s="625">
        <v>6</v>
      </c>
      <c r="M92" s="630">
        <f t="shared" si="26"/>
        <v>0</v>
      </c>
      <c r="N92" s="630">
        <f t="shared" si="27"/>
        <v>0</v>
      </c>
      <c r="O92" s="21">
        <f t="shared" si="19"/>
        <v>6</v>
      </c>
      <c r="P92" s="625">
        <v>6</v>
      </c>
      <c r="Q92" s="630">
        <f t="shared" si="28"/>
        <v>0</v>
      </c>
      <c r="R92" s="630">
        <f t="shared" si="29"/>
        <v>0</v>
      </c>
      <c r="S92" s="21">
        <f t="shared" si="20"/>
        <v>6</v>
      </c>
      <c r="T92" s="625">
        <v>6</v>
      </c>
      <c r="U92" s="630">
        <f t="shared" si="30"/>
        <v>0</v>
      </c>
      <c r="V92" s="630">
        <f t="shared" si="31"/>
        <v>0</v>
      </c>
      <c r="W92" s="21">
        <f t="shared" si="21"/>
        <v>6</v>
      </c>
    </row>
    <row r="93" spans="1:23" x14ac:dyDescent="0.25">
      <c r="A93" s="1974"/>
      <c r="B93" s="19" t="s">
        <v>34</v>
      </c>
      <c r="C93" s="22"/>
      <c r="D93" s="625">
        <v>8</v>
      </c>
      <c r="E93" s="630">
        <f t="shared" si="22"/>
        <v>0</v>
      </c>
      <c r="F93" s="630">
        <f t="shared" si="23"/>
        <v>0</v>
      </c>
      <c r="G93" s="21">
        <f t="shared" si="4"/>
        <v>8</v>
      </c>
      <c r="H93" s="625">
        <v>8</v>
      </c>
      <c r="I93" s="630">
        <f t="shared" si="24"/>
        <v>0</v>
      </c>
      <c r="J93" s="630">
        <f t="shared" si="25"/>
        <v>0</v>
      </c>
      <c r="K93" s="21">
        <f t="shared" si="18"/>
        <v>8</v>
      </c>
      <c r="L93" s="625">
        <v>8</v>
      </c>
      <c r="M93" s="630">
        <f t="shared" si="26"/>
        <v>0</v>
      </c>
      <c r="N93" s="630">
        <f t="shared" si="27"/>
        <v>0</v>
      </c>
      <c r="O93" s="21">
        <f t="shared" si="19"/>
        <v>8</v>
      </c>
      <c r="P93" s="625">
        <v>8</v>
      </c>
      <c r="Q93" s="630">
        <f t="shared" si="28"/>
        <v>0</v>
      </c>
      <c r="R93" s="630">
        <f t="shared" si="29"/>
        <v>0</v>
      </c>
      <c r="S93" s="21">
        <f t="shared" si="20"/>
        <v>8</v>
      </c>
      <c r="T93" s="625">
        <v>8</v>
      </c>
      <c r="U93" s="630">
        <f t="shared" si="30"/>
        <v>0</v>
      </c>
      <c r="V93" s="630">
        <f t="shared" si="31"/>
        <v>0</v>
      </c>
      <c r="W93" s="21">
        <f t="shared" si="21"/>
        <v>8</v>
      </c>
    </row>
    <row r="94" spans="1:23" x14ac:dyDescent="0.25">
      <c r="A94" s="1974" t="s">
        <v>25</v>
      </c>
      <c r="B94" s="19" t="s">
        <v>32</v>
      </c>
      <c r="C94" s="22"/>
      <c r="D94" s="625">
        <v>4</v>
      </c>
      <c r="E94" s="630">
        <f t="shared" si="22"/>
        <v>0</v>
      </c>
      <c r="F94" s="630">
        <f t="shared" si="23"/>
        <v>0</v>
      </c>
      <c r="G94" s="21">
        <f t="shared" ref="G94:G105" si="32" xml:space="preserve"> SUM(D94:F94) + $C94</f>
        <v>4</v>
      </c>
      <c r="H94" s="625">
        <v>4</v>
      </c>
      <c r="I94" s="630">
        <f t="shared" si="24"/>
        <v>0</v>
      </c>
      <c r="J94" s="630">
        <f t="shared" si="25"/>
        <v>0</v>
      </c>
      <c r="K94" s="21">
        <f t="shared" ref="K94:K105" si="33" xml:space="preserve"> SUM(H94:J94) + $C94</f>
        <v>4</v>
      </c>
      <c r="L94" s="625">
        <v>4</v>
      </c>
      <c r="M94" s="630">
        <f t="shared" si="26"/>
        <v>0</v>
      </c>
      <c r="N94" s="630">
        <f t="shared" si="27"/>
        <v>0</v>
      </c>
      <c r="O94" s="21">
        <f t="shared" ref="O94:O105" si="34" xml:space="preserve"> SUM(L94:N94) + $C94</f>
        <v>4</v>
      </c>
      <c r="P94" s="625">
        <v>4</v>
      </c>
      <c r="Q94" s="630">
        <f t="shared" si="28"/>
        <v>0</v>
      </c>
      <c r="R94" s="630">
        <f t="shared" si="29"/>
        <v>0</v>
      </c>
      <c r="S94" s="21">
        <f t="shared" ref="S94:S105" si="35" xml:space="preserve"> SUM(P94:R94) + $C94</f>
        <v>4</v>
      </c>
      <c r="T94" s="625">
        <v>4</v>
      </c>
      <c r="U94" s="630">
        <f t="shared" si="30"/>
        <v>0</v>
      </c>
      <c r="V94" s="630">
        <f t="shared" si="31"/>
        <v>0</v>
      </c>
      <c r="W94" s="21">
        <f t="shared" ref="W94:W105" si="36" xml:space="preserve"> SUM(T94:V94) + $C94</f>
        <v>4</v>
      </c>
    </row>
    <row r="95" spans="1:23" x14ac:dyDescent="0.25">
      <c r="A95" s="1974"/>
      <c r="B95" s="19" t="s">
        <v>33</v>
      </c>
      <c r="C95" s="22"/>
      <c r="D95" s="625">
        <v>4</v>
      </c>
      <c r="E95" s="630">
        <f t="shared" si="22"/>
        <v>0</v>
      </c>
      <c r="F95" s="630">
        <f t="shared" si="23"/>
        <v>0</v>
      </c>
      <c r="G95" s="21">
        <f t="shared" si="32"/>
        <v>4</v>
      </c>
      <c r="H95" s="625">
        <v>4</v>
      </c>
      <c r="I95" s="630">
        <f t="shared" si="24"/>
        <v>0</v>
      </c>
      <c r="J95" s="630">
        <f t="shared" si="25"/>
        <v>0</v>
      </c>
      <c r="K95" s="21">
        <f t="shared" si="33"/>
        <v>4</v>
      </c>
      <c r="L95" s="625">
        <v>4</v>
      </c>
      <c r="M95" s="630">
        <f t="shared" si="26"/>
        <v>0</v>
      </c>
      <c r="N95" s="630">
        <f t="shared" si="27"/>
        <v>0</v>
      </c>
      <c r="O95" s="21">
        <f t="shared" si="34"/>
        <v>4</v>
      </c>
      <c r="P95" s="625">
        <v>4</v>
      </c>
      <c r="Q95" s="630">
        <f t="shared" si="28"/>
        <v>0</v>
      </c>
      <c r="R95" s="630">
        <f t="shared" si="29"/>
        <v>0</v>
      </c>
      <c r="S95" s="21">
        <f t="shared" si="35"/>
        <v>4</v>
      </c>
      <c r="T95" s="625">
        <v>4</v>
      </c>
      <c r="U95" s="630">
        <f t="shared" si="30"/>
        <v>0</v>
      </c>
      <c r="V95" s="630">
        <f t="shared" si="31"/>
        <v>0</v>
      </c>
      <c r="W95" s="21">
        <f t="shared" si="36"/>
        <v>4</v>
      </c>
    </row>
    <row r="96" spans="1:23" x14ac:dyDescent="0.25">
      <c r="A96" s="1974"/>
      <c r="B96" s="19" t="s">
        <v>34</v>
      </c>
      <c r="C96" s="22"/>
      <c r="D96" s="625">
        <v>4</v>
      </c>
      <c r="E96" s="630">
        <f t="shared" si="22"/>
        <v>0</v>
      </c>
      <c r="F96" s="630">
        <f t="shared" si="23"/>
        <v>0</v>
      </c>
      <c r="G96" s="21">
        <f t="shared" si="32"/>
        <v>4</v>
      </c>
      <c r="H96" s="625">
        <v>4</v>
      </c>
      <c r="I96" s="630">
        <f t="shared" si="24"/>
        <v>0</v>
      </c>
      <c r="J96" s="630">
        <f t="shared" si="25"/>
        <v>0</v>
      </c>
      <c r="K96" s="21">
        <f t="shared" si="33"/>
        <v>4</v>
      </c>
      <c r="L96" s="625">
        <v>4</v>
      </c>
      <c r="M96" s="630">
        <f t="shared" si="26"/>
        <v>0</v>
      </c>
      <c r="N96" s="630">
        <f t="shared" si="27"/>
        <v>0</v>
      </c>
      <c r="O96" s="21">
        <f t="shared" si="34"/>
        <v>4</v>
      </c>
      <c r="P96" s="625">
        <v>4</v>
      </c>
      <c r="Q96" s="630">
        <f t="shared" si="28"/>
        <v>0</v>
      </c>
      <c r="R96" s="630">
        <f t="shared" si="29"/>
        <v>0</v>
      </c>
      <c r="S96" s="21">
        <f t="shared" si="35"/>
        <v>4</v>
      </c>
      <c r="T96" s="625">
        <v>4</v>
      </c>
      <c r="U96" s="630">
        <f t="shared" si="30"/>
        <v>0</v>
      </c>
      <c r="V96" s="630">
        <f t="shared" si="31"/>
        <v>0</v>
      </c>
      <c r="W96" s="21">
        <f t="shared" si="36"/>
        <v>4</v>
      </c>
    </row>
    <row r="97" spans="1:23" x14ac:dyDescent="0.25">
      <c r="A97" s="1974" t="s">
        <v>26</v>
      </c>
      <c r="B97" s="19" t="s">
        <v>32</v>
      </c>
      <c r="C97" s="22"/>
      <c r="D97" s="631">
        <f t="shared" ref="D97:D102" si="37">2+(0.5*D$3)</f>
        <v>2</v>
      </c>
      <c r="E97" s="625">
        <v>0</v>
      </c>
      <c r="F97" s="625">
        <v>0</v>
      </c>
      <c r="G97" s="21">
        <f t="shared" si="32"/>
        <v>2</v>
      </c>
      <c r="H97" s="631">
        <f t="shared" ref="H97:H102" si="38">2+(0.5*H$3)</f>
        <v>2</v>
      </c>
      <c r="I97" s="625">
        <v>0</v>
      </c>
      <c r="J97" s="625">
        <v>0</v>
      </c>
      <c r="K97" s="21">
        <f t="shared" si="33"/>
        <v>2</v>
      </c>
      <c r="L97" s="631">
        <f t="shared" ref="L97:L102" si="39">2+(0.5*L$3)</f>
        <v>2</v>
      </c>
      <c r="M97" s="625">
        <v>0</v>
      </c>
      <c r="N97" s="625">
        <v>0</v>
      </c>
      <c r="O97" s="21">
        <f t="shared" si="34"/>
        <v>2</v>
      </c>
      <c r="P97" s="631">
        <f t="shared" ref="P97:P102" si="40">2+(0.5*P$3)</f>
        <v>2</v>
      </c>
      <c r="Q97" s="625">
        <v>0</v>
      </c>
      <c r="R97" s="625">
        <v>0</v>
      </c>
      <c r="S97" s="21">
        <f t="shared" si="35"/>
        <v>2</v>
      </c>
      <c r="T97" s="631">
        <f t="shared" ref="T97:T102" si="41">2+(0.5*T$3)</f>
        <v>2</v>
      </c>
      <c r="U97" s="625">
        <v>0</v>
      </c>
      <c r="V97" s="625">
        <v>0</v>
      </c>
      <c r="W97" s="21">
        <f t="shared" si="36"/>
        <v>2</v>
      </c>
    </row>
    <row r="98" spans="1:23" x14ac:dyDescent="0.25">
      <c r="A98" s="1974"/>
      <c r="B98" s="19" t="s">
        <v>33</v>
      </c>
      <c r="C98" s="22"/>
      <c r="D98" s="631">
        <f t="shared" si="37"/>
        <v>2</v>
      </c>
      <c r="E98" s="625">
        <v>0</v>
      </c>
      <c r="F98" s="625">
        <v>0</v>
      </c>
      <c r="G98" s="21">
        <f t="shared" si="32"/>
        <v>2</v>
      </c>
      <c r="H98" s="631">
        <f t="shared" si="38"/>
        <v>2</v>
      </c>
      <c r="I98" s="625">
        <v>0</v>
      </c>
      <c r="J98" s="625">
        <v>0</v>
      </c>
      <c r="K98" s="21">
        <f t="shared" si="33"/>
        <v>2</v>
      </c>
      <c r="L98" s="631">
        <f t="shared" si="39"/>
        <v>2</v>
      </c>
      <c r="M98" s="625">
        <v>0</v>
      </c>
      <c r="N98" s="625">
        <v>0</v>
      </c>
      <c r="O98" s="21">
        <f t="shared" si="34"/>
        <v>2</v>
      </c>
      <c r="P98" s="631">
        <f t="shared" si="40"/>
        <v>2</v>
      </c>
      <c r="Q98" s="625">
        <v>0</v>
      </c>
      <c r="R98" s="625">
        <v>0</v>
      </c>
      <c r="S98" s="21">
        <f t="shared" si="35"/>
        <v>2</v>
      </c>
      <c r="T98" s="631">
        <f t="shared" si="41"/>
        <v>2</v>
      </c>
      <c r="U98" s="625">
        <v>0</v>
      </c>
      <c r="V98" s="625">
        <v>0</v>
      </c>
      <c r="W98" s="21">
        <f t="shared" si="36"/>
        <v>2</v>
      </c>
    </row>
    <row r="99" spans="1:23" x14ac:dyDescent="0.25">
      <c r="A99" s="1974"/>
      <c r="B99" s="19" t="s">
        <v>34</v>
      </c>
      <c r="C99" s="22"/>
      <c r="D99" s="631">
        <f t="shared" si="37"/>
        <v>2</v>
      </c>
      <c r="E99" s="625">
        <v>0</v>
      </c>
      <c r="F99" s="625">
        <v>0</v>
      </c>
      <c r="G99" s="21">
        <f t="shared" si="32"/>
        <v>2</v>
      </c>
      <c r="H99" s="631">
        <f t="shared" si="38"/>
        <v>2</v>
      </c>
      <c r="I99" s="625">
        <v>0</v>
      </c>
      <c r="J99" s="625">
        <v>0</v>
      </c>
      <c r="K99" s="21">
        <f t="shared" si="33"/>
        <v>2</v>
      </c>
      <c r="L99" s="631">
        <f t="shared" si="39"/>
        <v>2</v>
      </c>
      <c r="M99" s="625">
        <v>0</v>
      </c>
      <c r="N99" s="625">
        <v>0</v>
      </c>
      <c r="O99" s="21">
        <f t="shared" si="34"/>
        <v>2</v>
      </c>
      <c r="P99" s="631">
        <f t="shared" si="40"/>
        <v>2</v>
      </c>
      <c r="Q99" s="625">
        <v>0</v>
      </c>
      <c r="R99" s="625">
        <v>0</v>
      </c>
      <c r="S99" s="21">
        <f t="shared" si="35"/>
        <v>2</v>
      </c>
      <c r="T99" s="631">
        <f t="shared" si="41"/>
        <v>2</v>
      </c>
      <c r="U99" s="625">
        <v>0</v>
      </c>
      <c r="V99" s="625">
        <v>0</v>
      </c>
      <c r="W99" s="21">
        <f t="shared" si="36"/>
        <v>2</v>
      </c>
    </row>
    <row r="100" spans="1:23" x14ac:dyDescent="0.25">
      <c r="A100" s="1974" t="s">
        <v>27</v>
      </c>
      <c r="B100" s="19" t="s">
        <v>32</v>
      </c>
      <c r="C100" s="22"/>
      <c r="D100" s="631">
        <f t="shared" si="37"/>
        <v>2</v>
      </c>
      <c r="E100" s="625">
        <v>0</v>
      </c>
      <c r="F100" s="625">
        <v>0</v>
      </c>
      <c r="G100" s="21">
        <f t="shared" si="32"/>
        <v>2</v>
      </c>
      <c r="H100" s="631">
        <f t="shared" si="38"/>
        <v>2</v>
      </c>
      <c r="I100" s="625">
        <v>0</v>
      </c>
      <c r="J100" s="625">
        <v>0</v>
      </c>
      <c r="K100" s="21">
        <f t="shared" si="33"/>
        <v>2</v>
      </c>
      <c r="L100" s="631">
        <f t="shared" si="39"/>
        <v>2</v>
      </c>
      <c r="M100" s="625">
        <v>0</v>
      </c>
      <c r="N100" s="625">
        <v>0</v>
      </c>
      <c r="O100" s="21">
        <f t="shared" si="34"/>
        <v>2</v>
      </c>
      <c r="P100" s="631">
        <f t="shared" si="40"/>
        <v>2</v>
      </c>
      <c r="Q100" s="625">
        <v>0</v>
      </c>
      <c r="R100" s="625">
        <v>0</v>
      </c>
      <c r="S100" s="21">
        <f t="shared" si="35"/>
        <v>2</v>
      </c>
      <c r="T100" s="631">
        <f t="shared" si="41"/>
        <v>2</v>
      </c>
      <c r="U100" s="625">
        <v>0</v>
      </c>
      <c r="V100" s="625">
        <v>0</v>
      </c>
      <c r="W100" s="21">
        <f t="shared" si="36"/>
        <v>2</v>
      </c>
    </row>
    <row r="101" spans="1:23" x14ac:dyDescent="0.25">
      <c r="A101" s="1974"/>
      <c r="B101" s="19" t="s">
        <v>33</v>
      </c>
      <c r="C101" s="22"/>
      <c r="D101" s="631">
        <f t="shared" si="37"/>
        <v>2</v>
      </c>
      <c r="E101" s="625">
        <v>0</v>
      </c>
      <c r="F101" s="625">
        <v>0</v>
      </c>
      <c r="G101" s="21">
        <f t="shared" si="32"/>
        <v>2</v>
      </c>
      <c r="H101" s="631">
        <f t="shared" si="38"/>
        <v>2</v>
      </c>
      <c r="I101" s="625">
        <v>0</v>
      </c>
      <c r="J101" s="625">
        <v>0</v>
      </c>
      <c r="K101" s="21">
        <f t="shared" si="33"/>
        <v>2</v>
      </c>
      <c r="L101" s="631">
        <f t="shared" si="39"/>
        <v>2</v>
      </c>
      <c r="M101" s="625">
        <v>0</v>
      </c>
      <c r="N101" s="625">
        <v>0</v>
      </c>
      <c r="O101" s="21">
        <f t="shared" si="34"/>
        <v>2</v>
      </c>
      <c r="P101" s="631">
        <f t="shared" si="40"/>
        <v>2</v>
      </c>
      <c r="Q101" s="625">
        <v>0</v>
      </c>
      <c r="R101" s="625">
        <v>0</v>
      </c>
      <c r="S101" s="21">
        <f t="shared" si="35"/>
        <v>2</v>
      </c>
      <c r="T101" s="631">
        <f t="shared" si="41"/>
        <v>2</v>
      </c>
      <c r="U101" s="625">
        <v>0</v>
      </c>
      <c r="V101" s="625">
        <v>0</v>
      </c>
      <c r="W101" s="21">
        <f t="shared" si="36"/>
        <v>2</v>
      </c>
    </row>
    <row r="102" spans="1:23" x14ac:dyDescent="0.25">
      <c r="A102" s="1974"/>
      <c r="B102" s="19" t="s">
        <v>34</v>
      </c>
      <c r="C102" s="22"/>
      <c r="D102" s="631">
        <f t="shared" si="37"/>
        <v>2</v>
      </c>
      <c r="E102" s="625">
        <v>0</v>
      </c>
      <c r="F102" s="625">
        <v>0</v>
      </c>
      <c r="G102" s="21">
        <f t="shared" si="32"/>
        <v>2</v>
      </c>
      <c r="H102" s="631">
        <f t="shared" si="38"/>
        <v>2</v>
      </c>
      <c r="I102" s="625">
        <v>0</v>
      </c>
      <c r="J102" s="625">
        <v>0</v>
      </c>
      <c r="K102" s="21">
        <f t="shared" si="33"/>
        <v>2</v>
      </c>
      <c r="L102" s="631">
        <f t="shared" si="39"/>
        <v>2</v>
      </c>
      <c r="M102" s="625">
        <v>0</v>
      </c>
      <c r="N102" s="625">
        <v>0</v>
      </c>
      <c r="O102" s="21">
        <f t="shared" si="34"/>
        <v>2</v>
      </c>
      <c r="P102" s="631">
        <f t="shared" si="40"/>
        <v>2</v>
      </c>
      <c r="Q102" s="625">
        <v>0</v>
      </c>
      <c r="R102" s="625">
        <v>0</v>
      </c>
      <c r="S102" s="21">
        <f t="shared" si="35"/>
        <v>2</v>
      </c>
      <c r="T102" s="631">
        <f t="shared" si="41"/>
        <v>2</v>
      </c>
      <c r="U102" s="625">
        <v>0</v>
      </c>
      <c r="V102" s="625">
        <v>0</v>
      </c>
      <c r="W102" s="21">
        <f t="shared" si="36"/>
        <v>2</v>
      </c>
    </row>
    <row r="103" spans="1:23" x14ac:dyDescent="0.25">
      <c r="A103" s="1907" t="s">
        <v>28</v>
      </c>
      <c r="B103" s="19" t="s">
        <v>32</v>
      </c>
      <c r="C103" s="22"/>
      <c r="D103" s="625">
        <v>2</v>
      </c>
      <c r="E103" s="628">
        <f>0.5*E$3</f>
        <v>0</v>
      </c>
      <c r="F103" s="625">
        <v>0</v>
      </c>
      <c r="G103" s="21">
        <f t="shared" si="32"/>
        <v>2</v>
      </c>
      <c r="H103" s="625">
        <v>2</v>
      </c>
      <c r="I103" s="628">
        <f>0.5*I$3</f>
        <v>0</v>
      </c>
      <c r="J103" s="625">
        <v>0</v>
      </c>
      <c r="K103" s="21">
        <f t="shared" si="33"/>
        <v>2</v>
      </c>
      <c r="L103" s="625">
        <v>2</v>
      </c>
      <c r="M103" s="628">
        <f>0.5*M$3</f>
        <v>0</v>
      </c>
      <c r="N103" s="625">
        <v>0</v>
      </c>
      <c r="O103" s="21">
        <f t="shared" si="34"/>
        <v>2</v>
      </c>
      <c r="P103" s="625">
        <v>2</v>
      </c>
      <c r="Q103" s="628">
        <f>0.5*Q$3</f>
        <v>0</v>
      </c>
      <c r="R103" s="625">
        <v>0</v>
      </c>
      <c r="S103" s="21">
        <f t="shared" si="35"/>
        <v>2</v>
      </c>
      <c r="T103" s="625">
        <v>2</v>
      </c>
      <c r="U103" s="628">
        <f>0.5*U$3</f>
        <v>0</v>
      </c>
      <c r="V103" s="625">
        <v>0</v>
      </c>
      <c r="W103" s="21">
        <f t="shared" si="36"/>
        <v>2</v>
      </c>
    </row>
    <row r="104" spans="1:23" x14ac:dyDescent="0.25">
      <c r="A104" s="1907"/>
      <c r="B104" s="19" t="s">
        <v>33</v>
      </c>
      <c r="C104" s="22"/>
      <c r="D104" s="625">
        <v>3</v>
      </c>
      <c r="E104" s="628">
        <f>0.5*E$3</f>
        <v>0</v>
      </c>
      <c r="F104" s="625">
        <v>0</v>
      </c>
      <c r="G104" s="21">
        <f t="shared" si="32"/>
        <v>3</v>
      </c>
      <c r="H104" s="625">
        <v>3</v>
      </c>
      <c r="I104" s="628">
        <f>0.5*I$3</f>
        <v>0</v>
      </c>
      <c r="J104" s="625">
        <v>0</v>
      </c>
      <c r="K104" s="21">
        <f t="shared" si="33"/>
        <v>3</v>
      </c>
      <c r="L104" s="625">
        <v>3</v>
      </c>
      <c r="M104" s="628">
        <f>0.5*M$3</f>
        <v>0</v>
      </c>
      <c r="N104" s="625">
        <v>0</v>
      </c>
      <c r="O104" s="21">
        <f t="shared" si="34"/>
        <v>3</v>
      </c>
      <c r="P104" s="625">
        <v>3</v>
      </c>
      <c r="Q104" s="628">
        <f>0.5*Q$3</f>
        <v>0</v>
      </c>
      <c r="R104" s="625">
        <v>0</v>
      </c>
      <c r="S104" s="21">
        <f t="shared" si="35"/>
        <v>3</v>
      </c>
      <c r="T104" s="625">
        <v>3</v>
      </c>
      <c r="U104" s="628">
        <f>0.5*U$3</f>
        <v>0</v>
      </c>
      <c r="V104" s="625">
        <v>0</v>
      </c>
      <c r="W104" s="21">
        <f t="shared" si="36"/>
        <v>3</v>
      </c>
    </row>
    <row r="105" spans="1:23" ht="15.75" thickBot="1" x14ac:dyDescent="0.3">
      <c r="A105" s="1975"/>
      <c r="B105" s="20" t="s">
        <v>34</v>
      </c>
      <c r="C105" s="23"/>
      <c r="D105" s="649">
        <v>4</v>
      </c>
      <c r="E105" s="657">
        <f>0.5*E$3</f>
        <v>0</v>
      </c>
      <c r="F105" s="408">
        <v>0</v>
      </c>
      <c r="G105" s="24">
        <f t="shared" si="32"/>
        <v>4</v>
      </c>
      <c r="H105" s="649">
        <v>4</v>
      </c>
      <c r="I105" s="657">
        <f>0.5*I$3</f>
        <v>0</v>
      </c>
      <c r="J105" s="408">
        <v>0</v>
      </c>
      <c r="K105" s="24">
        <f t="shared" si="33"/>
        <v>4</v>
      </c>
      <c r="L105" s="649">
        <v>4</v>
      </c>
      <c r="M105" s="657">
        <f>0.5*M$3</f>
        <v>0</v>
      </c>
      <c r="N105" s="408">
        <v>0</v>
      </c>
      <c r="O105" s="24">
        <f t="shared" si="34"/>
        <v>4</v>
      </c>
      <c r="P105" s="649">
        <v>4</v>
      </c>
      <c r="Q105" s="657">
        <f>0.5*Q$3</f>
        <v>0</v>
      </c>
      <c r="R105" s="408">
        <v>0</v>
      </c>
      <c r="S105" s="24">
        <f t="shared" si="35"/>
        <v>4</v>
      </c>
      <c r="T105" s="649">
        <v>4</v>
      </c>
      <c r="U105" s="657">
        <f>0.5*U$3</f>
        <v>0</v>
      </c>
      <c r="V105" s="408">
        <v>0</v>
      </c>
      <c r="W105" s="24">
        <f t="shared" si="36"/>
        <v>4</v>
      </c>
    </row>
    <row r="107" spans="1:23" x14ac:dyDescent="0.25">
      <c r="A107" s="125" t="s">
        <v>89</v>
      </c>
    </row>
  </sheetData>
  <mergeCells count="43">
    <mergeCell ref="A94:A96"/>
    <mergeCell ref="A97:A99"/>
    <mergeCell ref="A100:A102"/>
    <mergeCell ref="A103:A105"/>
    <mergeCell ref="A75:A77"/>
    <mergeCell ref="A78:A80"/>
    <mergeCell ref="A81:A83"/>
    <mergeCell ref="A84:A86"/>
    <mergeCell ref="A88:A90"/>
    <mergeCell ref="A91:A93"/>
    <mergeCell ref="A60:A62"/>
    <mergeCell ref="A25:A27"/>
    <mergeCell ref="A28:A30"/>
    <mergeCell ref="A31:A33"/>
    <mergeCell ref="A34:A36"/>
    <mergeCell ref="A38:A40"/>
    <mergeCell ref="A42:A44"/>
    <mergeCell ref="A45:A47"/>
    <mergeCell ref="A48:A50"/>
    <mergeCell ref="A51:A53"/>
    <mergeCell ref="A54:A56"/>
    <mergeCell ref="A57:A59"/>
    <mergeCell ref="A8:A10"/>
    <mergeCell ref="A12:A14"/>
    <mergeCell ref="A16:A18"/>
    <mergeCell ref="A19:A21"/>
    <mergeCell ref="A5:A7"/>
    <mergeCell ref="A63:A65"/>
    <mergeCell ref="A66:A68"/>
    <mergeCell ref="A69:A71"/>
    <mergeCell ref="A72:A74"/>
    <mergeCell ref="T1:W1"/>
    <mergeCell ref="C2:C3"/>
    <mergeCell ref="G2:G3"/>
    <mergeCell ref="K2:K3"/>
    <mergeCell ref="O2:O3"/>
    <mergeCell ref="S2:S3"/>
    <mergeCell ref="W2:W3"/>
    <mergeCell ref="A22:A24"/>
    <mergeCell ref="D1:G1"/>
    <mergeCell ref="H1:K1"/>
    <mergeCell ref="L1:O1"/>
    <mergeCell ref="P1:S1"/>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Лист13"/>
  <dimension ref="A1:K112"/>
  <sheetViews>
    <sheetView topLeftCell="B1" zoomScale="85" zoomScaleNormal="85" workbookViewId="0">
      <selection activeCell="D2" sqref="D2"/>
    </sheetView>
  </sheetViews>
  <sheetFormatPr defaultRowHeight="15" x14ac:dyDescent="0.25"/>
  <cols>
    <col min="1" max="1" width="53.42578125" bestFit="1" customWidth="1"/>
    <col min="2" max="2" width="23.5703125" bestFit="1" customWidth="1"/>
    <col min="4" max="6" width="38.28515625" bestFit="1" customWidth="1"/>
    <col min="8" max="10" width="38.28515625" bestFit="1" customWidth="1"/>
  </cols>
  <sheetData>
    <row r="1" spans="1:11" ht="16.5" thickBot="1" x14ac:dyDescent="0.3">
      <c r="A1" s="465" t="s">
        <v>91</v>
      </c>
      <c r="B1" s="35"/>
      <c r="C1" s="43"/>
      <c r="D1" s="1939" t="str">
        <f>'Служебный АСУТП'!T2</f>
        <v xml:space="preserve">PGSQL Pro </v>
      </c>
      <c r="E1" s="1940"/>
      <c r="F1" s="1940"/>
      <c r="G1" s="1941"/>
      <c r="H1" s="1939" t="str">
        <f>'Служебный АСУТП'!T3</f>
        <v xml:space="preserve">СУБД ЛИНТЕР БАСТИОН </v>
      </c>
      <c r="I1" s="1940"/>
      <c r="J1" s="1940"/>
      <c r="K1" s="1941"/>
    </row>
    <row r="2" spans="1:11" ht="15.75" x14ac:dyDescent="0.25">
      <c r="B2" s="41" t="s">
        <v>37</v>
      </c>
      <c r="C2" s="1945" t="s">
        <v>35</v>
      </c>
      <c r="D2" s="439" t="s">
        <v>618</v>
      </c>
      <c r="E2" s="718" t="s">
        <v>618</v>
      </c>
      <c r="F2" s="718" t="s">
        <v>618</v>
      </c>
      <c r="G2" s="1942" t="s">
        <v>38</v>
      </c>
      <c r="H2" s="718" t="s">
        <v>618</v>
      </c>
      <c r="I2" s="718" t="s">
        <v>618</v>
      </c>
      <c r="J2" s="718" t="s">
        <v>618</v>
      </c>
      <c r="K2" s="1942" t="s">
        <v>38</v>
      </c>
    </row>
    <row r="3" spans="1:11"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row>
    <row r="4" spans="1:11" ht="16.5" thickBot="1" x14ac:dyDescent="0.3">
      <c r="A4" s="326" t="s">
        <v>448</v>
      </c>
      <c r="B4" s="327"/>
      <c r="C4" s="327"/>
      <c r="D4" s="327"/>
      <c r="E4" s="327"/>
      <c r="F4" s="327"/>
      <c r="G4" s="327"/>
      <c r="H4" s="327"/>
      <c r="I4" s="327"/>
      <c r="J4" s="327"/>
      <c r="K4" s="327"/>
    </row>
    <row r="5" spans="1:11" x14ac:dyDescent="0.25">
      <c r="A5" s="1932" t="s">
        <v>0</v>
      </c>
      <c r="B5" s="1723" t="s">
        <v>32</v>
      </c>
      <c r="C5" s="1724"/>
      <c r="D5" s="1725">
        <v>1</v>
      </c>
      <c r="E5" s="1725">
        <v>0</v>
      </c>
      <c r="F5" s="1725">
        <v>0</v>
      </c>
      <c r="G5" s="1727">
        <f xml:space="preserve"> SUM(D5:F5) + $C5</f>
        <v>1</v>
      </c>
      <c r="H5" s="1725">
        <v>1</v>
      </c>
      <c r="I5" s="1725">
        <v>0</v>
      </c>
      <c r="J5" s="1725">
        <v>0</v>
      </c>
      <c r="K5" s="1727">
        <f t="shared" ref="K5:K10" si="0" xml:space="preserve"> SUM(H5:J5) + $C5</f>
        <v>1</v>
      </c>
    </row>
    <row r="6" spans="1:11" x14ac:dyDescent="0.25">
      <c r="A6" s="1932"/>
      <c r="B6" s="19" t="s">
        <v>33</v>
      </c>
      <c r="C6" s="22"/>
      <c r="D6" s="11">
        <v>0.5</v>
      </c>
      <c r="E6" s="11">
        <v>0</v>
      </c>
      <c r="F6" s="11">
        <v>0</v>
      </c>
      <c r="G6" s="21">
        <f xml:space="preserve"> SUM(D6:F6) + $C6</f>
        <v>0.5</v>
      </c>
      <c r="H6" s="813">
        <v>0.5</v>
      </c>
      <c r="I6" s="813">
        <v>0</v>
      </c>
      <c r="J6" s="813">
        <v>0</v>
      </c>
      <c r="K6" s="21">
        <f t="shared" si="0"/>
        <v>0.5</v>
      </c>
    </row>
    <row r="7" spans="1:11" x14ac:dyDescent="0.25">
      <c r="A7" s="1973"/>
      <c r="B7" s="19" t="s">
        <v>34</v>
      </c>
      <c r="C7" s="22"/>
      <c r="D7" s="11">
        <v>1</v>
      </c>
      <c r="E7" s="11">
        <v>0</v>
      </c>
      <c r="F7" s="11">
        <v>0</v>
      </c>
      <c r="G7" s="21">
        <f xml:space="preserve"> SUM(D7:F7) + $C7</f>
        <v>1</v>
      </c>
      <c r="H7" s="813">
        <v>1</v>
      </c>
      <c r="I7" s="813">
        <v>0</v>
      </c>
      <c r="J7" s="813">
        <v>0</v>
      </c>
      <c r="K7" s="21">
        <f t="shared" si="0"/>
        <v>1</v>
      </c>
    </row>
    <row r="8" spans="1:11" x14ac:dyDescent="0.25">
      <c r="A8" s="1932" t="s">
        <v>449</v>
      </c>
      <c r="B8" s="1723" t="s">
        <v>32</v>
      </c>
      <c r="C8" s="1724"/>
      <c r="D8" s="1725">
        <v>1</v>
      </c>
      <c r="E8" s="1737">
        <v>0</v>
      </c>
      <c r="F8" s="1737">
        <v>0</v>
      </c>
      <c r="G8" s="1730">
        <f xml:space="preserve"> SUM(D8:F8) + $C8</f>
        <v>1</v>
      </c>
      <c r="H8" s="1725">
        <v>1</v>
      </c>
      <c r="I8" s="1737">
        <v>0</v>
      </c>
      <c r="J8" s="1737">
        <v>0</v>
      </c>
      <c r="K8" s="1730">
        <f t="shared" si="0"/>
        <v>1</v>
      </c>
    </row>
    <row r="9" spans="1:11" x14ac:dyDescent="0.25">
      <c r="A9" s="1932"/>
      <c r="B9" s="19" t="s">
        <v>33</v>
      </c>
      <c r="C9" s="22"/>
      <c r="D9" s="813">
        <v>0.5</v>
      </c>
      <c r="E9" s="11">
        <v>0</v>
      </c>
      <c r="F9" s="11">
        <v>0</v>
      </c>
      <c r="G9" s="21">
        <f t="shared" ref="G9:G93" si="1" xml:space="preserve"> SUM(D9:F9) + $C9</f>
        <v>0.5</v>
      </c>
      <c r="H9" s="813">
        <v>0.5</v>
      </c>
      <c r="I9" s="813">
        <v>0</v>
      </c>
      <c r="J9" s="813">
        <v>0</v>
      </c>
      <c r="K9" s="21">
        <f t="shared" si="0"/>
        <v>0.5</v>
      </c>
    </row>
    <row r="10" spans="1:11" ht="15.75" thickBot="1" x14ac:dyDescent="0.3">
      <c r="A10" s="1932"/>
      <c r="B10" s="13" t="s">
        <v>34</v>
      </c>
      <c r="C10" s="34"/>
      <c r="D10" s="813">
        <v>1</v>
      </c>
      <c r="E10" s="422">
        <v>0</v>
      </c>
      <c r="F10" s="422">
        <v>0</v>
      </c>
      <c r="G10" s="77">
        <f t="shared" si="1"/>
        <v>1</v>
      </c>
      <c r="H10" s="813">
        <v>1</v>
      </c>
      <c r="I10" s="832">
        <v>0</v>
      </c>
      <c r="J10" s="832">
        <v>0</v>
      </c>
      <c r="K10" s="77">
        <f t="shared" si="0"/>
        <v>1</v>
      </c>
    </row>
    <row r="11" spans="1:11" ht="16.5" thickBot="1" x14ac:dyDescent="0.3">
      <c r="A11" s="326" t="s">
        <v>1</v>
      </c>
      <c r="B11" s="327"/>
      <c r="C11" s="327"/>
      <c r="D11" s="327"/>
      <c r="E11" s="327"/>
      <c r="F11" s="327"/>
      <c r="G11" s="327"/>
      <c r="H11" s="327"/>
      <c r="I11" s="327"/>
      <c r="J11" s="327"/>
      <c r="K11" s="327"/>
    </row>
    <row r="12" spans="1:11" x14ac:dyDescent="0.25">
      <c r="A12" s="1932" t="s">
        <v>2</v>
      </c>
      <c r="B12" s="1723" t="s">
        <v>32</v>
      </c>
      <c r="C12" s="1724"/>
      <c r="D12" s="1725">
        <v>4</v>
      </c>
      <c r="E12" s="1725">
        <v>0</v>
      </c>
      <c r="F12" s="1725">
        <v>0</v>
      </c>
      <c r="G12" s="1727">
        <f t="shared" si="1"/>
        <v>4</v>
      </c>
      <c r="H12" s="1725">
        <v>4</v>
      </c>
      <c r="I12" s="1725">
        <v>0</v>
      </c>
      <c r="J12" s="1725">
        <v>0</v>
      </c>
      <c r="K12" s="1727">
        <f xml:space="preserve"> SUM(H12:J12) + $C12</f>
        <v>4</v>
      </c>
    </row>
    <row r="13" spans="1:11" x14ac:dyDescent="0.25">
      <c r="A13" s="1932"/>
      <c r="B13" s="19" t="s">
        <v>33</v>
      </c>
      <c r="C13" s="22"/>
      <c r="D13" s="11">
        <v>1</v>
      </c>
      <c r="E13" s="405">
        <v>0</v>
      </c>
      <c r="F13" s="11">
        <v>0</v>
      </c>
      <c r="G13" s="21">
        <f t="shared" si="1"/>
        <v>1</v>
      </c>
      <c r="H13" s="813">
        <v>1</v>
      </c>
      <c r="I13" s="828">
        <v>0</v>
      </c>
      <c r="J13" s="813">
        <v>0</v>
      </c>
      <c r="K13" s="21">
        <f xml:space="preserve"> SUM(H13:J13) + $C13</f>
        <v>1</v>
      </c>
    </row>
    <row r="14" spans="1:11" ht="15.75" thickBot="1" x14ac:dyDescent="0.3">
      <c r="A14" s="1932"/>
      <c r="B14" s="13" t="s">
        <v>34</v>
      </c>
      <c r="C14" s="34"/>
      <c r="D14" s="813">
        <v>2</v>
      </c>
      <c r="E14" s="405">
        <v>0</v>
      </c>
      <c r="F14" s="422">
        <v>0</v>
      </c>
      <c r="G14" s="77">
        <f t="shared" si="1"/>
        <v>2</v>
      </c>
      <c r="H14" s="813">
        <v>2</v>
      </c>
      <c r="I14" s="828">
        <v>0</v>
      </c>
      <c r="J14" s="832">
        <v>0</v>
      </c>
      <c r="K14" s="77">
        <f xml:space="preserve"> SUM(H14:J14) + $C14</f>
        <v>2</v>
      </c>
    </row>
    <row r="15" spans="1:11" ht="16.5" thickBot="1" x14ac:dyDescent="0.3">
      <c r="A15" s="330" t="s">
        <v>3</v>
      </c>
      <c r="B15" s="329"/>
      <c r="C15" s="329"/>
      <c r="D15" s="329"/>
      <c r="E15" s="329"/>
      <c r="F15" s="327"/>
      <c r="G15" s="327"/>
      <c r="H15" s="329"/>
      <c r="I15" s="329"/>
      <c r="J15" s="327"/>
      <c r="K15" s="327"/>
    </row>
    <row r="16" spans="1:11" x14ac:dyDescent="0.25">
      <c r="A16" s="1944" t="s">
        <v>4</v>
      </c>
      <c r="B16" s="1731" t="s">
        <v>32</v>
      </c>
      <c r="C16" s="1724"/>
      <c r="D16" s="1755">
        <v>0</v>
      </c>
      <c r="E16" s="1755">
        <v>0</v>
      </c>
      <c r="F16" s="1756">
        <v>0</v>
      </c>
      <c r="G16" s="1727">
        <f t="shared" si="1"/>
        <v>0</v>
      </c>
      <c r="H16" s="1755">
        <v>0</v>
      </c>
      <c r="I16" s="1755">
        <v>0</v>
      </c>
      <c r="J16" s="1756">
        <v>0</v>
      </c>
      <c r="K16" s="1727">
        <f t="shared" ref="K16:K36" si="2" xml:space="preserve"> SUM(H16:J16) + $C16</f>
        <v>0</v>
      </c>
    </row>
    <row r="17" spans="1:11" x14ac:dyDescent="0.25">
      <c r="A17" s="1937"/>
      <c r="B17" s="18" t="s">
        <v>33</v>
      </c>
      <c r="C17" s="22"/>
      <c r="D17" s="533">
        <v>0</v>
      </c>
      <c r="E17" s="15">
        <v>0</v>
      </c>
      <c r="F17" s="33">
        <v>0</v>
      </c>
      <c r="G17" s="21">
        <f t="shared" si="1"/>
        <v>0</v>
      </c>
      <c r="H17" s="918">
        <v>0</v>
      </c>
      <c r="I17" s="814">
        <v>0</v>
      </c>
      <c r="J17" s="819">
        <v>0</v>
      </c>
      <c r="K17" s="21">
        <f t="shared" si="2"/>
        <v>0</v>
      </c>
    </row>
    <row r="18" spans="1:11" x14ac:dyDescent="0.25">
      <c r="A18" s="1937"/>
      <c r="B18" s="18" t="s">
        <v>34</v>
      </c>
      <c r="C18" s="22"/>
      <c r="D18" s="533">
        <v>0</v>
      </c>
      <c r="E18" s="15">
        <v>0</v>
      </c>
      <c r="F18" s="33">
        <v>0</v>
      </c>
      <c r="G18" s="21">
        <f t="shared" si="1"/>
        <v>0</v>
      </c>
      <c r="H18" s="918">
        <v>0</v>
      </c>
      <c r="I18" s="814">
        <v>0</v>
      </c>
      <c r="J18" s="819">
        <v>0</v>
      </c>
      <c r="K18" s="21">
        <f t="shared" si="2"/>
        <v>0</v>
      </c>
    </row>
    <row r="19" spans="1:11" x14ac:dyDescent="0.25">
      <c r="A19" s="1937" t="s">
        <v>5</v>
      </c>
      <c r="B19" s="1728" t="s">
        <v>32</v>
      </c>
      <c r="C19" s="1729"/>
      <c r="D19" s="1735">
        <v>1</v>
      </c>
      <c r="E19" s="1736">
        <v>0</v>
      </c>
      <c r="F19" s="1738">
        <v>0</v>
      </c>
      <c r="G19" s="1730">
        <f t="shared" si="1"/>
        <v>1</v>
      </c>
      <c r="H19" s="1735">
        <v>1</v>
      </c>
      <c r="I19" s="1736">
        <v>0</v>
      </c>
      <c r="J19" s="1738">
        <v>0</v>
      </c>
      <c r="K19" s="1730">
        <f t="shared" si="2"/>
        <v>1</v>
      </c>
    </row>
    <row r="20" spans="1:11" x14ac:dyDescent="0.25">
      <c r="A20" s="1937"/>
      <c r="B20" s="19" t="s">
        <v>33</v>
      </c>
      <c r="C20" s="22"/>
      <c r="D20" s="38">
        <v>0.5</v>
      </c>
      <c r="E20" s="15">
        <v>0</v>
      </c>
      <c r="F20" s="33">
        <v>0</v>
      </c>
      <c r="G20" s="21">
        <f t="shared" si="1"/>
        <v>0.5</v>
      </c>
      <c r="H20" s="821">
        <v>0.5</v>
      </c>
      <c r="I20" s="814">
        <v>0</v>
      </c>
      <c r="J20" s="819">
        <v>0</v>
      </c>
      <c r="K20" s="21">
        <f t="shared" si="2"/>
        <v>0.5</v>
      </c>
    </row>
    <row r="21" spans="1:11" x14ac:dyDescent="0.25">
      <c r="A21" s="1937"/>
      <c r="B21" s="19" t="s">
        <v>34</v>
      </c>
      <c r="C21" s="22"/>
      <c r="D21" s="821">
        <v>0.5</v>
      </c>
      <c r="E21" s="15">
        <v>0</v>
      </c>
      <c r="F21" s="33">
        <v>0</v>
      </c>
      <c r="G21" s="21">
        <f t="shared" si="1"/>
        <v>0.5</v>
      </c>
      <c r="H21" s="821">
        <v>0.5</v>
      </c>
      <c r="I21" s="814">
        <v>0</v>
      </c>
      <c r="J21" s="819">
        <v>0</v>
      </c>
      <c r="K21" s="21">
        <f t="shared" si="2"/>
        <v>0.5</v>
      </c>
    </row>
    <row r="22" spans="1:11" x14ac:dyDescent="0.25">
      <c r="A22" s="1937" t="s">
        <v>6</v>
      </c>
      <c r="B22" s="1728" t="s">
        <v>32</v>
      </c>
      <c r="C22" s="1729"/>
      <c r="D22" s="1737">
        <v>4</v>
      </c>
      <c r="E22" s="1737">
        <v>0</v>
      </c>
      <c r="F22" s="1737">
        <v>0</v>
      </c>
      <c r="G22" s="1730">
        <f t="shared" si="1"/>
        <v>4</v>
      </c>
      <c r="H22" s="1737">
        <v>4</v>
      </c>
      <c r="I22" s="1737">
        <v>0</v>
      </c>
      <c r="J22" s="1737">
        <v>0</v>
      </c>
      <c r="K22" s="1730">
        <f t="shared" si="2"/>
        <v>4</v>
      </c>
    </row>
    <row r="23" spans="1:11" x14ac:dyDescent="0.25">
      <c r="A23" s="1937"/>
      <c r="B23" s="19" t="s">
        <v>33</v>
      </c>
      <c r="C23" s="22"/>
      <c r="D23" s="11">
        <v>1</v>
      </c>
      <c r="E23" s="186">
        <v>0</v>
      </c>
      <c r="F23" s="11">
        <v>0</v>
      </c>
      <c r="G23" s="21">
        <f t="shared" si="1"/>
        <v>1</v>
      </c>
      <c r="H23" s="813">
        <v>1</v>
      </c>
      <c r="I23" s="634">
        <v>0</v>
      </c>
      <c r="J23" s="813">
        <v>0</v>
      </c>
      <c r="K23" s="21">
        <f t="shared" si="2"/>
        <v>1</v>
      </c>
    </row>
    <row r="24" spans="1:11" x14ac:dyDescent="0.25">
      <c r="A24" s="1937"/>
      <c r="B24" s="19" t="s">
        <v>34</v>
      </c>
      <c r="C24" s="22"/>
      <c r="D24" s="11">
        <v>2</v>
      </c>
      <c r="E24" s="186">
        <v>0</v>
      </c>
      <c r="F24" s="11">
        <v>0</v>
      </c>
      <c r="G24" s="21">
        <f t="shared" si="1"/>
        <v>2</v>
      </c>
      <c r="H24" s="813">
        <v>2</v>
      </c>
      <c r="I24" s="634">
        <v>0</v>
      </c>
      <c r="J24" s="813">
        <v>0</v>
      </c>
      <c r="K24" s="21">
        <f t="shared" si="2"/>
        <v>2</v>
      </c>
    </row>
    <row r="25" spans="1:11" x14ac:dyDescent="0.25">
      <c r="A25" s="1937" t="s">
        <v>7</v>
      </c>
      <c r="B25" s="1728" t="s">
        <v>32</v>
      </c>
      <c r="C25" s="1729"/>
      <c r="D25" s="1735">
        <v>0</v>
      </c>
      <c r="E25" s="1736">
        <v>0</v>
      </c>
      <c r="F25" s="1738">
        <v>0</v>
      </c>
      <c r="G25" s="1730">
        <f t="shared" si="1"/>
        <v>0</v>
      </c>
      <c r="H25" s="1735">
        <v>0</v>
      </c>
      <c r="I25" s="1736">
        <v>0</v>
      </c>
      <c r="J25" s="1738">
        <v>0</v>
      </c>
      <c r="K25" s="1730">
        <f t="shared" si="2"/>
        <v>0</v>
      </c>
    </row>
    <row r="26" spans="1:11" x14ac:dyDescent="0.25">
      <c r="A26" s="1937"/>
      <c r="B26" s="19" t="s">
        <v>33</v>
      </c>
      <c r="C26" s="22"/>
      <c r="D26" s="38">
        <v>0</v>
      </c>
      <c r="E26" s="15">
        <v>0</v>
      </c>
      <c r="F26" s="33">
        <v>0</v>
      </c>
      <c r="G26" s="21">
        <f t="shared" si="1"/>
        <v>0</v>
      </c>
      <c r="H26" s="821">
        <v>0</v>
      </c>
      <c r="I26" s="814">
        <v>0</v>
      </c>
      <c r="J26" s="819">
        <v>0</v>
      </c>
      <c r="K26" s="21">
        <f t="shared" si="2"/>
        <v>0</v>
      </c>
    </row>
    <row r="27" spans="1:11" x14ac:dyDescent="0.25">
      <c r="A27" s="1937"/>
      <c r="B27" s="19" t="s">
        <v>34</v>
      </c>
      <c r="C27" s="22"/>
      <c r="D27" s="38">
        <v>0</v>
      </c>
      <c r="E27" s="15">
        <v>0</v>
      </c>
      <c r="F27" s="33">
        <v>0</v>
      </c>
      <c r="G27" s="21">
        <f t="shared" si="1"/>
        <v>0</v>
      </c>
      <c r="H27" s="821">
        <v>0</v>
      </c>
      <c r="I27" s="814">
        <v>0</v>
      </c>
      <c r="J27" s="819">
        <v>0</v>
      </c>
      <c r="K27" s="21">
        <f t="shared" si="2"/>
        <v>0</v>
      </c>
    </row>
    <row r="28" spans="1:11" x14ac:dyDescent="0.25">
      <c r="A28" s="1937" t="s">
        <v>8</v>
      </c>
      <c r="B28" s="1728" t="s">
        <v>32</v>
      </c>
      <c r="C28" s="1729"/>
      <c r="D28" s="1735">
        <v>2</v>
      </c>
      <c r="E28" s="1736">
        <v>0</v>
      </c>
      <c r="F28" s="1738">
        <v>0</v>
      </c>
      <c r="G28" s="1730">
        <f t="shared" si="1"/>
        <v>2</v>
      </c>
      <c r="H28" s="1735">
        <v>2</v>
      </c>
      <c r="I28" s="1736">
        <v>0</v>
      </c>
      <c r="J28" s="1738">
        <v>0</v>
      </c>
      <c r="K28" s="1730">
        <f t="shared" si="2"/>
        <v>2</v>
      </c>
    </row>
    <row r="29" spans="1:11" x14ac:dyDescent="0.25">
      <c r="A29" s="1937"/>
      <c r="B29" s="19" t="s">
        <v>33</v>
      </c>
      <c r="C29" s="22"/>
      <c r="D29" s="38">
        <v>0.5</v>
      </c>
      <c r="E29" s="15">
        <v>0</v>
      </c>
      <c r="F29" s="33">
        <v>0</v>
      </c>
      <c r="G29" s="21">
        <f t="shared" si="1"/>
        <v>0.5</v>
      </c>
      <c r="H29" s="821">
        <v>0.5</v>
      </c>
      <c r="I29" s="814">
        <v>0</v>
      </c>
      <c r="J29" s="819">
        <v>0</v>
      </c>
      <c r="K29" s="21">
        <f t="shared" si="2"/>
        <v>0.5</v>
      </c>
    </row>
    <row r="30" spans="1:11" x14ac:dyDescent="0.25">
      <c r="A30" s="1937"/>
      <c r="B30" s="19" t="s">
        <v>34</v>
      </c>
      <c r="C30" s="22"/>
      <c r="D30" s="38">
        <v>1.5</v>
      </c>
      <c r="E30" s="15">
        <v>0</v>
      </c>
      <c r="F30" s="33">
        <v>0</v>
      </c>
      <c r="G30" s="21">
        <f t="shared" si="1"/>
        <v>1.5</v>
      </c>
      <c r="H30" s="821">
        <v>1.5</v>
      </c>
      <c r="I30" s="814">
        <v>0</v>
      </c>
      <c r="J30" s="819">
        <v>0</v>
      </c>
      <c r="K30" s="21">
        <f t="shared" si="2"/>
        <v>1.5</v>
      </c>
    </row>
    <row r="31" spans="1:11" x14ac:dyDescent="0.25">
      <c r="A31" s="2323" t="s">
        <v>9</v>
      </c>
      <c r="B31" s="1728" t="s">
        <v>32</v>
      </c>
      <c r="C31" s="1729"/>
      <c r="D31" s="1735">
        <v>0</v>
      </c>
      <c r="E31" s="1736">
        <v>0</v>
      </c>
      <c r="F31" s="1736">
        <v>0</v>
      </c>
      <c r="G31" s="1730">
        <f t="shared" si="1"/>
        <v>0</v>
      </c>
      <c r="H31" s="1735">
        <v>0</v>
      </c>
      <c r="I31" s="1736">
        <v>0</v>
      </c>
      <c r="J31" s="1736">
        <v>0</v>
      </c>
      <c r="K31" s="1730">
        <f t="shared" si="2"/>
        <v>0</v>
      </c>
    </row>
    <row r="32" spans="1:11" x14ac:dyDescent="0.25">
      <c r="A32" s="2323"/>
      <c r="B32" s="19" t="s">
        <v>33</v>
      </c>
      <c r="C32" s="22"/>
      <c r="D32" s="523">
        <v>0</v>
      </c>
      <c r="E32" s="15">
        <v>0</v>
      </c>
      <c r="F32" s="15">
        <v>0</v>
      </c>
      <c r="G32" s="21">
        <f t="shared" si="1"/>
        <v>0</v>
      </c>
      <c r="H32" s="837">
        <v>0</v>
      </c>
      <c r="I32" s="814">
        <v>0</v>
      </c>
      <c r="J32" s="814">
        <v>0</v>
      </c>
      <c r="K32" s="21">
        <f t="shared" si="2"/>
        <v>0</v>
      </c>
    </row>
    <row r="33" spans="1:11" x14ac:dyDescent="0.25">
      <c r="A33" s="2323"/>
      <c r="B33" s="19" t="s">
        <v>34</v>
      </c>
      <c r="C33" s="22"/>
      <c r="D33" s="523">
        <v>0</v>
      </c>
      <c r="E33" s="15">
        <v>0</v>
      </c>
      <c r="F33" s="15">
        <v>0</v>
      </c>
      <c r="G33" s="21">
        <f t="shared" si="1"/>
        <v>0</v>
      </c>
      <c r="H33" s="837">
        <v>0</v>
      </c>
      <c r="I33" s="814">
        <v>0</v>
      </c>
      <c r="J33" s="814">
        <v>0</v>
      </c>
      <c r="K33" s="21">
        <f t="shared" si="2"/>
        <v>0</v>
      </c>
    </row>
    <row r="34" spans="1:11" x14ac:dyDescent="0.25">
      <c r="A34" s="1937" t="s">
        <v>10</v>
      </c>
      <c r="B34" s="1728" t="s">
        <v>32</v>
      </c>
      <c r="C34" s="1729"/>
      <c r="D34" s="1735">
        <v>0</v>
      </c>
      <c r="E34" s="1736">
        <v>0</v>
      </c>
      <c r="F34" s="1736">
        <v>0</v>
      </c>
      <c r="G34" s="1730">
        <f t="shared" si="1"/>
        <v>0</v>
      </c>
      <c r="H34" s="1735">
        <v>0</v>
      </c>
      <c r="I34" s="1736">
        <v>0</v>
      </c>
      <c r="J34" s="1736">
        <v>0</v>
      </c>
      <c r="K34" s="1730">
        <f t="shared" si="2"/>
        <v>0</v>
      </c>
    </row>
    <row r="35" spans="1:11" x14ac:dyDescent="0.25">
      <c r="A35" s="1937"/>
      <c r="B35" s="19" t="s">
        <v>33</v>
      </c>
      <c r="C35" s="22"/>
      <c r="D35" s="523">
        <v>0.5</v>
      </c>
      <c r="E35" s="15">
        <v>0</v>
      </c>
      <c r="F35" s="15">
        <v>0</v>
      </c>
      <c r="G35" s="21">
        <f t="shared" si="1"/>
        <v>0.5</v>
      </c>
      <c r="H35" s="837">
        <v>0.5</v>
      </c>
      <c r="I35" s="814">
        <v>0</v>
      </c>
      <c r="J35" s="814">
        <v>0</v>
      </c>
      <c r="K35" s="21">
        <f t="shared" si="2"/>
        <v>0.5</v>
      </c>
    </row>
    <row r="36" spans="1:11" ht="15.75" thickBot="1" x14ac:dyDescent="0.3">
      <c r="A36" s="1938"/>
      <c r="B36" s="13" t="s">
        <v>34</v>
      </c>
      <c r="C36" s="34"/>
      <c r="D36" s="837">
        <v>0.5</v>
      </c>
      <c r="E36" s="15">
        <v>0</v>
      </c>
      <c r="F36" s="15">
        <v>0</v>
      </c>
      <c r="G36" s="77">
        <f t="shared" si="1"/>
        <v>0.5</v>
      </c>
      <c r="H36" s="837">
        <v>0.5</v>
      </c>
      <c r="I36" s="814">
        <v>0</v>
      </c>
      <c r="J36" s="814">
        <v>0</v>
      </c>
      <c r="K36" s="77">
        <f t="shared" si="2"/>
        <v>0.5</v>
      </c>
    </row>
    <row r="37" spans="1:11" ht="16.5" thickBot="1" x14ac:dyDescent="0.3">
      <c r="A37" s="330" t="s">
        <v>11</v>
      </c>
      <c r="B37" s="329"/>
      <c r="C37" s="329"/>
      <c r="D37" s="329"/>
      <c r="E37" s="329"/>
      <c r="F37" s="327"/>
      <c r="G37" s="327"/>
      <c r="H37" s="329"/>
      <c r="I37" s="329"/>
      <c r="J37" s="327"/>
      <c r="K37" s="327"/>
    </row>
    <row r="38" spans="1:11" x14ac:dyDescent="0.25">
      <c r="A38" s="1932" t="s">
        <v>12</v>
      </c>
      <c r="B38" s="1723" t="s">
        <v>32</v>
      </c>
      <c r="C38" s="1724"/>
      <c r="D38" s="1725">
        <v>6</v>
      </c>
      <c r="E38" s="1725">
        <v>0</v>
      </c>
      <c r="F38" s="1725">
        <v>0</v>
      </c>
      <c r="G38" s="1727">
        <f t="shared" si="1"/>
        <v>6</v>
      </c>
      <c r="H38" s="1725">
        <v>6</v>
      </c>
      <c r="I38" s="1725">
        <v>0</v>
      </c>
      <c r="J38" s="1725">
        <v>0</v>
      </c>
      <c r="K38" s="1727">
        <f xml:space="preserve"> SUM(H38:J38) + $C38</f>
        <v>6</v>
      </c>
    </row>
    <row r="39" spans="1:11" x14ac:dyDescent="0.25">
      <c r="A39" s="1932"/>
      <c r="B39" s="19" t="s">
        <v>33</v>
      </c>
      <c r="C39" s="22"/>
      <c r="D39" s="11">
        <v>2</v>
      </c>
      <c r="E39" s="405">
        <v>0</v>
      </c>
      <c r="F39" s="11">
        <v>0</v>
      </c>
      <c r="G39" s="21">
        <f t="shared" si="1"/>
        <v>2</v>
      </c>
      <c r="H39" s="813">
        <v>2</v>
      </c>
      <c r="I39" s="828">
        <v>0</v>
      </c>
      <c r="J39" s="813">
        <v>0</v>
      </c>
      <c r="K39" s="21">
        <f xml:space="preserve"> SUM(H39:J39) + $C39</f>
        <v>2</v>
      </c>
    </row>
    <row r="40" spans="1:11" ht="15.75" thickBot="1" x14ac:dyDescent="0.3">
      <c r="A40" s="1932"/>
      <c r="B40" s="13" t="s">
        <v>34</v>
      </c>
      <c r="C40" s="34"/>
      <c r="D40" s="422">
        <v>4</v>
      </c>
      <c r="E40" s="405">
        <v>0</v>
      </c>
      <c r="F40" s="422">
        <v>0</v>
      </c>
      <c r="G40" s="77">
        <f t="shared" si="1"/>
        <v>4</v>
      </c>
      <c r="H40" s="832">
        <v>4</v>
      </c>
      <c r="I40" s="828">
        <v>0</v>
      </c>
      <c r="J40" s="832">
        <v>0</v>
      </c>
      <c r="K40" s="77">
        <f xml:space="preserve"> SUM(H40:J40) + $C40</f>
        <v>4</v>
      </c>
    </row>
    <row r="41" spans="1:11" ht="16.5" thickBot="1" x14ac:dyDescent="0.3">
      <c r="A41" s="330" t="s">
        <v>13</v>
      </c>
      <c r="B41" s="329"/>
      <c r="C41" s="329"/>
      <c r="D41" s="329"/>
      <c r="E41" s="329"/>
      <c r="F41" s="327"/>
      <c r="G41" s="327"/>
      <c r="H41" s="329"/>
      <c r="I41" s="329"/>
      <c r="J41" s="327"/>
      <c r="K41" s="327"/>
    </row>
    <row r="42" spans="1:11" x14ac:dyDescent="0.25">
      <c r="A42" s="1932" t="s">
        <v>14</v>
      </c>
      <c r="B42" s="1723" t="s">
        <v>32</v>
      </c>
      <c r="C42" s="1724"/>
      <c r="D42" s="1735">
        <v>1</v>
      </c>
      <c r="E42" s="1736">
        <v>0</v>
      </c>
      <c r="F42" s="1738">
        <v>0</v>
      </c>
      <c r="G42" s="1727">
        <f t="shared" si="1"/>
        <v>1</v>
      </c>
      <c r="H42" s="1735">
        <v>1</v>
      </c>
      <c r="I42" s="1736">
        <v>0</v>
      </c>
      <c r="J42" s="1738">
        <v>0</v>
      </c>
      <c r="K42" s="1727">
        <f t="shared" ref="K42:K86" si="3" xml:space="preserve"> SUM(H42:J42) + $C42</f>
        <v>1</v>
      </c>
    </row>
    <row r="43" spans="1:11" x14ac:dyDescent="0.25">
      <c r="A43" s="1932"/>
      <c r="B43" s="19" t="s">
        <v>33</v>
      </c>
      <c r="C43" s="22"/>
      <c r="D43" s="821">
        <v>0.5</v>
      </c>
      <c r="E43" s="15">
        <v>0</v>
      </c>
      <c r="F43" s="33">
        <v>0</v>
      </c>
      <c r="G43" s="21">
        <f t="shared" si="1"/>
        <v>0.5</v>
      </c>
      <c r="H43" s="821">
        <v>0.5</v>
      </c>
      <c r="I43" s="814">
        <v>0</v>
      </c>
      <c r="J43" s="819">
        <v>0</v>
      </c>
      <c r="K43" s="21">
        <f t="shared" si="3"/>
        <v>0.5</v>
      </c>
    </row>
    <row r="44" spans="1:11" x14ac:dyDescent="0.25">
      <c r="A44" s="1932"/>
      <c r="B44" s="19" t="s">
        <v>34</v>
      </c>
      <c r="C44" s="22"/>
      <c r="D44" s="821">
        <v>0.5</v>
      </c>
      <c r="E44" s="15">
        <v>0</v>
      </c>
      <c r="F44" s="33">
        <v>0</v>
      </c>
      <c r="G44" s="21">
        <f t="shared" si="1"/>
        <v>0.5</v>
      </c>
      <c r="H44" s="821">
        <v>0.5</v>
      </c>
      <c r="I44" s="814">
        <v>0</v>
      </c>
      <c r="J44" s="819">
        <v>0</v>
      </c>
      <c r="K44" s="21">
        <f t="shared" si="3"/>
        <v>0.5</v>
      </c>
    </row>
    <row r="45" spans="1:11" x14ac:dyDescent="0.25">
      <c r="A45" s="1933" t="s">
        <v>15</v>
      </c>
      <c r="B45" s="1728" t="s">
        <v>32</v>
      </c>
      <c r="C45" s="1729"/>
      <c r="D45" s="1735">
        <v>16</v>
      </c>
      <c r="E45" s="1736">
        <v>0</v>
      </c>
      <c r="F45" s="1736">
        <v>0</v>
      </c>
      <c r="G45" s="1730">
        <f t="shared" si="1"/>
        <v>16</v>
      </c>
      <c r="H45" s="1735">
        <v>16</v>
      </c>
      <c r="I45" s="1736">
        <v>0</v>
      </c>
      <c r="J45" s="1736">
        <v>0</v>
      </c>
      <c r="K45" s="1730">
        <f t="shared" si="3"/>
        <v>16</v>
      </c>
    </row>
    <row r="46" spans="1:11" x14ac:dyDescent="0.25">
      <c r="A46" s="1933"/>
      <c r="B46" s="19" t="s">
        <v>33</v>
      </c>
      <c r="C46" s="22"/>
      <c r="D46" s="38">
        <v>8</v>
      </c>
      <c r="E46" s="15">
        <v>0</v>
      </c>
      <c r="F46" s="15">
        <v>0</v>
      </c>
      <c r="G46" s="21">
        <f t="shared" si="1"/>
        <v>8</v>
      </c>
      <c r="H46" s="821">
        <v>8</v>
      </c>
      <c r="I46" s="814">
        <v>0</v>
      </c>
      <c r="J46" s="814">
        <v>0</v>
      </c>
      <c r="K46" s="21">
        <f t="shared" si="3"/>
        <v>8</v>
      </c>
    </row>
    <row r="47" spans="1:11" x14ac:dyDescent="0.25">
      <c r="A47" s="1933"/>
      <c r="B47" s="19" t="s">
        <v>34</v>
      </c>
      <c r="C47" s="22"/>
      <c r="D47" s="38">
        <v>12</v>
      </c>
      <c r="E47" s="15">
        <v>0</v>
      </c>
      <c r="F47" s="15">
        <v>0</v>
      </c>
      <c r="G47" s="21">
        <f t="shared" si="1"/>
        <v>12</v>
      </c>
      <c r="H47" s="821">
        <v>12</v>
      </c>
      <c r="I47" s="814">
        <v>0</v>
      </c>
      <c r="J47" s="814">
        <v>0</v>
      </c>
      <c r="K47" s="21">
        <f t="shared" si="3"/>
        <v>12</v>
      </c>
    </row>
    <row r="48" spans="1:11" x14ac:dyDescent="0.25">
      <c r="A48" s="1933" t="s">
        <v>16</v>
      </c>
      <c r="B48" s="1728" t="s">
        <v>32</v>
      </c>
      <c r="C48" s="1729"/>
      <c r="D48" s="1736">
        <v>0</v>
      </c>
      <c r="E48" s="1736">
        <v>0</v>
      </c>
      <c r="F48" s="1738">
        <v>0</v>
      </c>
      <c r="G48" s="1730">
        <f t="shared" si="1"/>
        <v>0</v>
      </c>
      <c r="H48" s="1736">
        <v>0</v>
      </c>
      <c r="I48" s="1736">
        <v>0</v>
      </c>
      <c r="J48" s="1738">
        <v>0</v>
      </c>
      <c r="K48" s="1730">
        <f t="shared" si="3"/>
        <v>0</v>
      </c>
    </row>
    <row r="49" spans="1:11" x14ac:dyDescent="0.25">
      <c r="A49" s="1933"/>
      <c r="B49" s="19" t="s">
        <v>33</v>
      </c>
      <c r="C49" s="22"/>
      <c r="D49" s="15">
        <v>0</v>
      </c>
      <c r="E49" s="15">
        <v>0</v>
      </c>
      <c r="F49" s="33">
        <v>0</v>
      </c>
      <c r="G49" s="21">
        <f t="shared" si="1"/>
        <v>0</v>
      </c>
      <c r="H49" s="814">
        <v>0</v>
      </c>
      <c r="I49" s="814">
        <v>0</v>
      </c>
      <c r="J49" s="819">
        <v>0</v>
      </c>
      <c r="K49" s="21">
        <f t="shared" si="3"/>
        <v>0</v>
      </c>
    </row>
    <row r="50" spans="1:11" x14ac:dyDescent="0.25">
      <c r="A50" s="1933"/>
      <c r="B50" s="19" t="s">
        <v>34</v>
      </c>
      <c r="C50" s="22"/>
      <c r="D50" s="15">
        <v>0</v>
      </c>
      <c r="E50" s="15">
        <v>0</v>
      </c>
      <c r="F50" s="33">
        <v>0</v>
      </c>
      <c r="G50" s="21">
        <f t="shared" si="1"/>
        <v>0</v>
      </c>
      <c r="H50" s="814">
        <v>0</v>
      </c>
      <c r="I50" s="814">
        <v>0</v>
      </c>
      <c r="J50" s="819">
        <v>0</v>
      </c>
      <c r="K50" s="21">
        <f t="shared" si="3"/>
        <v>0</v>
      </c>
    </row>
    <row r="51" spans="1:11" x14ac:dyDescent="0.25">
      <c r="A51" s="1933" t="s">
        <v>17</v>
      </c>
      <c r="B51" s="1728" t="s">
        <v>32</v>
      </c>
      <c r="C51" s="1729"/>
      <c r="D51" s="1736">
        <v>0</v>
      </c>
      <c r="E51" s="1736">
        <v>0</v>
      </c>
      <c r="F51" s="1736">
        <v>0</v>
      </c>
      <c r="G51" s="1730">
        <f t="shared" si="1"/>
        <v>0</v>
      </c>
      <c r="H51" s="1736">
        <v>0</v>
      </c>
      <c r="I51" s="1736">
        <v>0</v>
      </c>
      <c r="J51" s="1736">
        <v>0</v>
      </c>
      <c r="K51" s="1730">
        <f t="shared" si="3"/>
        <v>0</v>
      </c>
    </row>
    <row r="52" spans="1:11" x14ac:dyDescent="0.25">
      <c r="A52" s="1933"/>
      <c r="B52" s="19" t="s">
        <v>33</v>
      </c>
      <c r="C52" s="22"/>
      <c r="D52" s="15">
        <v>0</v>
      </c>
      <c r="E52" s="15">
        <v>0</v>
      </c>
      <c r="F52" s="15">
        <v>0</v>
      </c>
      <c r="G52" s="21">
        <f t="shared" si="1"/>
        <v>0</v>
      </c>
      <c r="H52" s="814">
        <v>0</v>
      </c>
      <c r="I52" s="814">
        <v>0</v>
      </c>
      <c r="J52" s="814">
        <v>0</v>
      </c>
      <c r="K52" s="21">
        <f t="shared" si="3"/>
        <v>0</v>
      </c>
    </row>
    <row r="53" spans="1:11" x14ac:dyDescent="0.25">
      <c r="A53" s="1933"/>
      <c r="B53" s="19" t="s">
        <v>34</v>
      </c>
      <c r="C53" s="22"/>
      <c r="D53" s="15">
        <v>0</v>
      </c>
      <c r="E53" s="15">
        <v>0</v>
      </c>
      <c r="F53" s="15">
        <v>0</v>
      </c>
      <c r="G53" s="21">
        <f t="shared" si="1"/>
        <v>0</v>
      </c>
      <c r="H53" s="814">
        <v>0</v>
      </c>
      <c r="I53" s="814">
        <v>0</v>
      </c>
      <c r="J53" s="814">
        <v>0</v>
      </c>
      <c r="K53" s="21">
        <f t="shared" si="3"/>
        <v>0</v>
      </c>
    </row>
    <row r="54" spans="1:11" x14ac:dyDescent="0.25">
      <c r="A54" s="1933" t="s">
        <v>18</v>
      </c>
      <c r="B54" s="1728" t="s">
        <v>32</v>
      </c>
      <c r="C54" s="1729"/>
      <c r="D54" s="1736">
        <v>0</v>
      </c>
      <c r="E54" s="1736">
        <v>0</v>
      </c>
      <c r="F54" s="1736">
        <v>0</v>
      </c>
      <c r="G54" s="1730">
        <f t="shared" si="1"/>
        <v>0</v>
      </c>
      <c r="H54" s="1736">
        <v>0</v>
      </c>
      <c r="I54" s="1736">
        <v>0</v>
      </c>
      <c r="J54" s="1736">
        <v>0</v>
      </c>
      <c r="K54" s="1730">
        <f t="shared" si="3"/>
        <v>0</v>
      </c>
    </row>
    <row r="55" spans="1:11" x14ac:dyDescent="0.25">
      <c r="A55" s="1933"/>
      <c r="B55" s="19" t="s">
        <v>33</v>
      </c>
      <c r="C55" s="22"/>
      <c r="D55" s="15">
        <v>0</v>
      </c>
      <c r="E55" s="15">
        <v>0</v>
      </c>
      <c r="F55" s="15">
        <v>0</v>
      </c>
      <c r="G55" s="21">
        <f t="shared" si="1"/>
        <v>0</v>
      </c>
      <c r="H55" s="814">
        <v>0</v>
      </c>
      <c r="I55" s="814">
        <v>0</v>
      </c>
      <c r="J55" s="814">
        <v>0</v>
      </c>
      <c r="K55" s="21">
        <f t="shared" si="3"/>
        <v>0</v>
      </c>
    </row>
    <row r="56" spans="1:11" x14ac:dyDescent="0.25">
      <c r="A56" s="1933"/>
      <c r="B56" s="19" t="s">
        <v>34</v>
      </c>
      <c r="C56" s="22"/>
      <c r="D56" s="15">
        <v>0</v>
      </c>
      <c r="E56" s="15">
        <v>0</v>
      </c>
      <c r="F56" s="15">
        <v>0</v>
      </c>
      <c r="G56" s="21">
        <f t="shared" si="1"/>
        <v>0</v>
      </c>
      <c r="H56" s="814">
        <v>0</v>
      </c>
      <c r="I56" s="814">
        <v>0</v>
      </c>
      <c r="J56" s="814">
        <v>0</v>
      </c>
      <c r="K56" s="21">
        <f t="shared" si="3"/>
        <v>0</v>
      </c>
    </row>
    <row r="57" spans="1:11" x14ac:dyDescent="0.25">
      <c r="A57" s="1933" t="s">
        <v>19</v>
      </c>
      <c r="B57" s="1728" t="s">
        <v>32</v>
      </c>
      <c r="C57" s="1729"/>
      <c r="D57" s="1735">
        <v>0.5</v>
      </c>
      <c r="E57" s="1736">
        <v>0</v>
      </c>
      <c r="F57" s="1736">
        <v>0</v>
      </c>
      <c r="G57" s="1730">
        <f t="shared" si="1"/>
        <v>0.5</v>
      </c>
      <c r="H57" s="1735">
        <v>0.5</v>
      </c>
      <c r="I57" s="1736">
        <v>0</v>
      </c>
      <c r="J57" s="1736">
        <v>0</v>
      </c>
      <c r="K57" s="1730">
        <f t="shared" si="3"/>
        <v>0.5</v>
      </c>
    </row>
    <row r="58" spans="1:11" x14ac:dyDescent="0.25">
      <c r="A58" s="1933"/>
      <c r="B58" s="19" t="s">
        <v>33</v>
      </c>
      <c r="C58" s="22"/>
      <c r="D58" s="38">
        <v>1</v>
      </c>
      <c r="E58" s="15">
        <v>0</v>
      </c>
      <c r="F58" s="15">
        <v>0</v>
      </c>
      <c r="G58" s="21">
        <f t="shared" si="1"/>
        <v>1</v>
      </c>
      <c r="H58" s="821">
        <v>1</v>
      </c>
      <c r="I58" s="814">
        <v>0</v>
      </c>
      <c r="J58" s="814">
        <v>0</v>
      </c>
      <c r="K58" s="21">
        <f t="shared" si="3"/>
        <v>1</v>
      </c>
    </row>
    <row r="59" spans="1:11" x14ac:dyDescent="0.25">
      <c r="A59" s="1933"/>
      <c r="B59" s="19" t="s">
        <v>34</v>
      </c>
      <c r="C59" s="22"/>
      <c r="D59" s="38">
        <v>2</v>
      </c>
      <c r="E59" s="15">
        <v>0</v>
      </c>
      <c r="F59" s="15">
        <v>0</v>
      </c>
      <c r="G59" s="21">
        <f t="shared" si="1"/>
        <v>2</v>
      </c>
      <c r="H59" s="821">
        <v>2</v>
      </c>
      <c r="I59" s="814">
        <v>0</v>
      </c>
      <c r="J59" s="814">
        <v>0</v>
      </c>
      <c r="K59" s="21">
        <f t="shared" si="3"/>
        <v>2</v>
      </c>
    </row>
    <row r="60" spans="1:11" x14ac:dyDescent="0.25">
      <c r="A60" s="1933" t="s">
        <v>20</v>
      </c>
      <c r="B60" s="1728" t="s">
        <v>32</v>
      </c>
      <c r="C60" s="1729"/>
      <c r="D60" s="1735">
        <v>8</v>
      </c>
      <c r="E60" s="1736">
        <v>0</v>
      </c>
      <c r="F60" s="1738">
        <v>0</v>
      </c>
      <c r="G60" s="1730">
        <f t="shared" si="1"/>
        <v>8</v>
      </c>
      <c r="H60" s="1735">
        <v>8</v>
      </c>
      <c r="I60" s="1736">
        <v>0</v>
      </c>
      <c r="J60" s="1738">
        <v>0</v>
      </c>
      <c r="K60" s="1730">
        <f t="shared" si="3"/>
        <v>8</v>
      </c>
    </row>
    <row r="61" spans="1:11" x14ac:dyDescent="0.25">
      <c r="A61" s="1933"/>
      <c r="B61" s="19" t="s">
        <v>33</v>
      </c>
      <c r="C61" s="22"/>
      <c r="D61" s="38">
        <v>2</v>
      </c>
      <c r="E61" s="15">
        <v>0</v>
      </c>
      <c r="F61" s="33">
        <v>0</v>
      </c>
      <c r="G61" s="21">
        <f t="shared" si="1"/>
        <v>2</v>
      </c>
      <c r="H61" s="821">
        <v>2</v>
      </c>
      <c r="I61" s="814">
        <v>0</v>
      </c>
      <c r="J61" s="819">
        <v>0</v>
      </c>
      <c r="K61" s="21">
        <f t="shared" si="3"/>
        <v>2</v>
      </c>
    </row>
    <row r="62" spans="1:11" x14ac:dyDescent="0.25">
      <c r="A62" s="1933"/>
      <c r="B62" s="19" t="s">
        <v>34</v>
      </c>
      <c r="C62" s="22"/>
      <c r="D62" s="38">
        <v>4</v>
      </c>
      <c r="E62" s="15">
        <v>0</v>
      </c>
      <c r="F62" s="33">
        <v>0</v>
      </c>
      <c r="G62" s="21">
        <f t="shared" si="1"/>
        <v>4</v>
      </c>
      <c r="H62" s="821">
        <v>4</v>
      </c>
      <c r="I62" s="814">
        <v>0</v>
      </c>
      <c r="J62" s="819">
        <v>0</v>
      </c>
      <c r="K62" s="21">
        <f t="shared" si="3"/>
        <v>4</v>
      </c>
    </row>
    <row r="63" spans="1:11" x14ac:dyDescent="0.25">
      <c r="A63" s="1933" t="s">
        <v>451</v>
      </c>
      <c r="B63" s="1728" t="s">
        <v>32</v>
      </c>
      <c r="C63" s="1729"/>
      <c r="D63" s="1736">
        <v>0</v>
      </c>
      <c r="E63" s="1736">
        <v>0</v>
      </c>
      <c r="F63" s="1736">
        <v>0</v>
      </c>
      <c r="G63" s="1730">
        <f t="shared" si="1"/>
        <v>0</v>
      </c>
      <c r="H63" s="1736">
        <v>0</v>
      </c>
      <c r="I63" s="1736">
        <v>0</v>
      </c>
      <c r="J63" s="1736">
        <v>0</v>
      </c>
      <c r="K63" s="1730">
        <f t="shared" si="3"/>
        <v>0</v>
      </c>
    </row>
    <row r="64" spans="1:11" x14ac:dyDescent="0.25">
      <c r="A64" s="1933"/>
      <c r="B64" s="19" t="s">
        <v>33</v>
      </c>
      <c r="C64" s="22"/>
      <c r="D64" s="15">
        <v>0</v>
      </c>
      <c r="E64" s="15">
        <v>0</v>
      </c>
      <c r="F64" s="15">
        <v>0</v>
      </c>
      <c r="G64" s="21">
        <f t="shared" si="1"/>
        <v>0</v>
      </c>
      <c r="H64" s="814">
        <v>0</v>
      </c>
      <c r="I64" s="814">
        <v>0</v>
      </c>
      <c r="J64" s="814">
        <v>0</v>
      </c>
      <c r="K64" s="21">
        <f t="shared" si="3"/>
        <v>0</v>
      </c>
    </row>
    <row r="65" spans="1:11" x14ac:dyDescent="0.25">
      <c r="A65" s="1933"/>
      <c r="B65" s="19" t="s">
        <v>34</v>
      </c>
      <c r="C65" s="22"/>
      <c r="D65" s="15">
        <v>0</v>
      </c>
      <c r="E65" s="15">
        <v>0</v>
      </c>
      <c r="F65" s="15">
        <v>0</v>
      </c>
      <c r="G65" s="21">
        <f t="shared" si="1"/>
        <v>0</v>
      </c>
      <c r="H65" s="814">
        <v>0</v>
      </c>
      <c r="I65" s="814">
        <v>0</v>
      </c>
      <c r="J65" s="814">
        <v>0</v>
      </c>
      <c r="K65" s="21">
        <f t="shared" si="3"/>
        <v>0</v>
      </c>
    </row>
    <row r="66" spans="1:11" x14ac:dyDescent="0.25">
      <c r="A66" s="1933" t="s">
        <v>452</v>
      </c>
      <c r="B66" s="1728" t="s">
        <v>32</v>
      </c>
      <c r="C66" s="1729"/>
      <c r="D66" s="1736">
        <v>0</v>
      </c>
      <c r="E66" s="1736">
        <v>0</v>
      </c>
      <c r="F66" s="1736">
        <v>0</v>
      </c>
      <c r="G66" s="1730">
        <f t="shared" si="1"/>
        <v>0</v>
      </c>
      <c r="H66" s="1736">
        <v>0</v>
      </c>
      <c r="I66" s="1736">
        <v>0</v>
      </c>
      <c r="J66" s="1736">
        <v>0</v>
      </c>
      <c r="K66" s="1730">
        <f t="shared" si="3"/>
        <v>0</v>
      </c>
    </row>
    <row r="67" spans="1:11" x14ac:dyDescent="0.25">
      <c r="A67" s="1933"/>
      <c r="B67" s="19" t="s">
        <v>33</v>
      </c>
      <c r="C67" s="22"/>
      <c r="D67" s="15">
        <v>0</v>
      </c>
      <c r="E67" s="15">
        <v>0</v>
      </c>
      <c r="F67" s="15">
        <v>0</v>
      </c>
      <c r="G67" s="21">
        <f t="shared" si="1"/>
        <v>0</v>
      </c>
      <c r="H67" s="814">
        <v>0</v>
      </c>
      <c r="I67" s="814">
        <v>0</v>
      </c>
      <c r="J67" s="814">
        <v>0</v>
      </c>
      <c r="K67" s="21">
        <f t="shared" si="3"/>
        <v>0</v>
      </c>
    </row>
    <row r="68" spans="1:11" x14ac:dyDescent="0.25">
      <c r="A68" s="1933"/>
      <c r="B68" s="19" t="s">
        <v>34</v>
      </c>
      <c r="C68" s="22"/>
      <c r="D68" s="15">
        <v>0</v>
      </c>
      <c r="E68" s="15">
        <v>0</v>
      </c>
      <c r="F68" s="15">
        <v>0</v>
      </c>
      <c r="G68" s="21">
        <f t="shared" si="1"/>
        <v>0</v>
      </c>
      <c r="H68" s="814">
        <v>0</v>
      </c>
      <c r="I68" s="814">
        <v>0</v>
      </c>
      <c r="J68" s="814">
        <v>0</v>
      </c>
      <c r="K68" s="21">
        <f t="shared" si="3"/>
        <v>0</v>
      </c>
    </row>
    <row r="69" spans="1:11" x14ac:dyDescent="0.25">
      <c r="A69" s="1936" t="s">
        <v>533</v>
      </c>
      <c r="B69" s="1728" t="s">
        <v>32</v>
      </c>
      <c r="C69" s="1729"/>
      <c r="D69" s="1736">
        <v>0</v>
      </c>
      <c r="E69" s="1736">
        <v>0</v>
      </c>
      <c r="F69" s="1736">
        <v>0</v>
      </c>
      <c r="G69" s="1730">
        <f t="shared" si="1"/>
        <v>0</v>
      </c>
      <c r="H69" s="1736">
        <v>0</v>
      </c>
      <c r="I69" s="1736">
        <v>0</v>
      </c>
      <c r="J69" s="1736">
        <v>0</v>
      </c>
      <c r="K69" s="1730">
        <f t="shared" si="3"/>
        <v>0</v>
      </c>
    </row>
    <row r="70" spans="1:11" x14ac:dyDescent="0.25">
      <c r="A70" s="1936"/>
      <c r="B70" s="19" t="s">
        <v>33</v>
      </c>
      <c r="C70" s="22"/>
      <c r="D70" s="15">
        <v>0</v>
      </c>
      <c r="E70" s="15">
        <v>0</v>
      </c>
      <c r="F70" s="15">
        <v>0</v>
      </c>
      <c r="G70" s="21">
        <f t="shared" si="1"/>
        <v>0</v>
      </c>
      <c r="H70" s="814">
        <v>0</v>
      </c>
      <c r="I70" s="814">
        <v>0</v>
      </c>
      <c r="J70" s="814">
        <v>0</v>
      </c>
      <c r="K70" s="21">
        <f t="shared" si="3"/>
        <v>0</v>
      </c>
    </row>
    <row r="71" spans="1:11" x14ac:dyDescent="0.25">
      <c r="A71" s="1936"/>
      <c r="B71" s="19" t="s">
        <v>34</v>
      </c>
      <c r="C71" s="22"/>
      <c r="D71" s="15">
        <v>0</v>
      </c>
      <c r="E71" s="15">
        <v>0</v>
      </c>
      <c r="F71" s="15">
        <v>0</v>
      </c>
      <c r="G71" s="21">
        <f t="shared" si="1"/>
        <v>0</v>
      </c>
      <c r="H71" s="814">
        <v>0</v>
      </c>
      <c r="I71" s="814">
        <v>0</v>
      </c>
      <c r="J71" s="814">
        <v>0</v>
      </c>
      <c r="K71" s="21">
        <f t="shared" si="3"/>
        <v>0</v>
      </c>
    </row>
    <row r="72" spans="1:11" x14ac:dyDescent="0.25">
      <c r="A72" s="1933" t="s">
        <v>534</v>
      </c>
      <c r="B72" s="1728" t="s">
        <v>32</v>
      </c>
      <c r="C72" s="1729"/>
      <c r="D72" s="1736">
        <v>0</v>
      </c>
      <c r="E72" s="1736">
        <v>0</v>
      </c>
      <c r="F72" s="1736">
        <v>0</v>
      </c>
      <c r="G72" s="1730">
        <f t="shared" si="1"/>
        <v>0</v>
      </c>
      <c r="H72" s="1736">
        <v>0</v>
      </c>
      <c r="I72" s="1736">
        <v>0</v>
      </c>
      <c r="J72" s="1736">
        <v>0</v>
      </c>
      <c r="K72" s="1730">
        <f t="shared" si="3"/>
        <v>0</v>
      </c>
    </row>
    <row r="73" spans="1:11" x14ac:dyDescent="0.25">
      <c r="A73" s="1933"/>
      <c r="B73" s="19" t="s">
        <v>33</v>
      </c>
      <c r="C73" s="22"/>
      <c r="D73" s="15">
        <v>0</v>
      </c>
      <c r="E73" s="15">
        <v>0</v>
      </c>
      <c r="F73" s="15">
        <v>0</v>
      </c>
      <c r="G73" s="21">
        <f t="shared" si="1"/>
        <v>0</v>
      </c>
      <c r="H73" s="814">
        <v>0</v>
      </c>
      <c r="I73" s="814">
        <v>0</v>
      </c>
      <c r="J73" s="814">
        <v>0</v>
      </c>
      <c r="K73" s="21">
        <f t="shared" si="3"/>
        <v>0</v>
      </c>
    </row>
    <row r="74" spans="1:11" x14ac:dyDescent="0.25">
      <c r="A74" s="1933"/>
      <c r="B74" s="19" t="s">
        <v>34</v>
      </c>
      <c r="C74" s="22"/>
      <c r="D74" s="15">
        <v>0</v>
      </c>
      <c r="E74" s="15">
        <v>0</v>
      </c>
      <c r="F74" s="15">
        <v>0</v>
      </c>
      <c r="G74" s="21">
        <f t="shared" si="1"/>
        <v>0</v>
      </c>
      <c r="H74" s="814">
        <v>0</v>
      </c>
      <c r="I74" s="814">
        <v>0</v>
      </c>
      <c r="J74" s="814">
        <v>0</v>
      </c>
      <c r="K74" s="21">
        <f t="shared" si="3"/>
        <v>0</v>
      </c>
    </row>
    <row r="75" spans="1:11" x14ac:dyDescent="0.25">
      <c r="A75" s="1933" t="s">
        <v>21</v>
      </c>
      <c r="B75" s="1728" t="s">
        <v>32</v>
      </c>
      <c r="C75" s="1729"/>
      <c r="D75" s="1735" t="s">
        <v>90</v>
      </c>
      <c r="E75" s="1735" t="s">
        <v>90</v>
      </c>
      <c r="F75" s="1735" t="s">
        <v>90</v>
      </c>
      <c r="G75" s="1730">
        <f t="shared" si="1"/>
        <v>0</v>
      </c>
      <c r="H75" s="1735" t="s">
        <v>90</v>
      </c>
      <c r="I75" s="1735" t="s">
        <v>90</v>
      </c>
      <c r="J75" s="1735" t="s">
        <v>90</v>
      </c>
      <c r="K75" s="1730">
        <f t="shared" si="3"/>
        <v>0</v>
      </c>
    </row>
    <row r="76" spans="1:11" x14ac:dyDescent="0.25">
      <c r="A76" s="1933"/>
      <c r="B76" s="19" t="s">
        <v>33</v>
      </c>
      <c r="C76" s="22"/>
      <c r="D76" s="38" t="s">
        <v>90</v>
      </c>
      <c r="E76" s="38" t="s">
        <v>90</v>
      </c>
      <c r="F76" s="38" t="s">
        <v>90</v>
      </c>
      <c r="G76" s="21">
        <f t="shared" si="1"/>
        <v>0</v>
      </c>
      <c r="H76" s="821" t="s">
        <v>90</v>
      </c>
      <c r="I76" s="821" t="s">
        <v>90</v>
      </c>
      <c r="J76" s="821" t="s">
        <v>90</v>
      </c>
      <c r="K76" s="21">
        <f t="shared" si="3"/>
        <v>0</v>
      </c>
    </row>
    <row r="77" spans="1:11" x14ac:dyDescent="0.25">
      <c r="A77" s="1933"/>
      <c r="B77" s="13" t="s">
        <v>34</v>
      </c>
      <c r="C77" s="34"/>
      <c r="D77" s="38" t="s">
        <v>90</v>
      </c>
      <c r="E77" s="38" t="s">
        <v>90</v>
      </c>
      <c r="F77" s="38" t="s">
        <v>90</v>
      </c>
      <c r="G77" s="21">
        <f t="shared" si="1"/>
        <v>0</v>
      </c>
      <c r="H77" s="821" t="s">
        <v>90</v>
      </c>
      <c r="I77" s="821" t="s">
        <v>90</v>
      </c>
      <c r="J77" s="821" t="s">
        <v>90</v>
      </c>
      <c r="K77" s="21">
        <f t="shared" si="3"/>
        <v>0</v>
      </c>
    </row>
    <row r="78" spans="1:11" x14ac:dyDescent="0.25">
      <c r="A78" s="1933" t="s">
        <v>181</v>
      </c>
      <c r="B78" s="1728" t="s">
        <v>32</v>
      </c>
      <c r="C78" s="1757"/>
      <c r="D78" s="1736">
        <v>0</v>
      </c>
      <c r="E78" s="1736">
        <v>0</v>
      </c>
      <c r="F78" s="1736">
        <v>0</v>
      </c>
      <c r="G78" s="1730">
        <f t="shared" si="1"/>
        <v>0</v>
      </c>
      <c r="H78" s="1736">
        <v>0</v>
      </c>
      <c r="I78" s="1736">
        <v>0</v>
      </c>
      <c r="J78" s="1736">
        <v>0</v>
      </c>
      <c r="K78" s="1730">
        <f t="shared" si="3"/>
        <v>0</v>
      </c>
    </row>
    <row r="79" spans="1:11" x14ac:dyDescent="0.25">
      <c r="A79" s="1933"/>
      <c r="B79" s="19" t="s">
        <v>33</v>
      </c>
      <c r="C79" s="198"/>
      <c r="D79" s="15">
        <v>0</v>
      </c>
      <c r="E79" s="15">
        <v>0</v>
      </c>
      <c r="F79" s="15">
        <v>0</v>
      </c>
      <c r="G79" s="21">
        <f t="shared" si="1"/>
        <v>0</v>
      </c>
      <c r="H79" s="814">
        <v>0</v>
      </c>
      <c r="I79" s="814">
        <v>0</v>
      </c>
      <c r="J79" s="814">
        <v>0</v>
      </c>
      <c r="K79" s="21">
        <f t="shared" si="3"/>
        <v>0</v>
      </c>
    </row>
    <row r="80" spans="1:11" x14ac:dyDescent="0.25">
      <c r="A80" s="1933"/>
      <c r="B80" s="19" t="s">
        <v>34</v>
      </c>
      <c r="C80" s="198"/>
      <c r="D80" s="15">
        <v>0</v>
      </c>
      <c r="E80" s="15">
        <v>0</v>
      </c>
      <c r="F80" s="15">
        <v>0</v>
      </c>
      <c r="G80" s="21">
        <f t="shared" si="1"/>
        <v>0</v>
      </c>
      <c r="H80" s="814">
        <v>0</v>
      </c>
      <c r="I80" s="814">
        <v>0</v>
      </c>
      <c r="J80" s="814">
        <v>0</v>
      </c>
      <c r="K80" s="21">
        <f t="shared" si="3"/>
        <v>0</v>
      </c>
    </row>
    <row r="81" spans="1:11" x14ac:dyDescent="0.25">
      <c r="A81" s="1933" t="s">
        <v>182</v>
      </c>
      <c r="B81" s="1728" t="s">
        <v>32</v>
      </c>
      <c r="C81" s="1757"/>
      <c r="D81" s="1736">
        <v>0</v>
      </c>
      <c r="E81" s="1736">
        <v>0</v>
      </c>
      <c r="F81" s="1736">
        <v>0</v>
      </c>
      <c r="G81" s="1730">
        <f t="shared" si="1"/>
        <v>0</v>
      </c>
      <c r="H81" s="1736">
        <v>0</v>
      </c>
      <c r="I81" s="1736">
        <v>0</v>
      </c>
      <c r="J81" s="1736">
        <v>0</v>
      </c>
      <c r="K81" s="1730">
        <f t="shared" si="3"/>
        <v>0</v>
      </c>
    </row>
    <row r="82" spans="1:11" x14ac:dyDescent="0.25">
      <c r="A82" s="1933"/>
      <c r="B82" s="19" t="s">
        <v>33</v>
      </c>
      <c r="C82" s="198"/>
      <c r="D82" s="15">
        <v>0</v>
      </c>
      <c r="E82" s="15">
        <v>0</v>
      </c>
      <c r="F82" s="15">
        <v>0</v>
      </c>
      <c r="G82" s="21">
        <f t="shared" si="1"/>
        <v>0</v>
      </c>
      <c r="H82" s="814">
        <v>0</v>
      </c>
      <c r="I82" s="814">
        <v>0</v>
      </c>
      <c r="J82" s="814">
        <v>0</v>
      </c>
      <c r="K82" s="21">
        <f t="shared" si="3"/>
        <v>0</v>
      </c>
    </row>
    <row r="83" spans="1:11" x14ac:dyDescent="0.25">
      <c r="A83" s="1933"/>
      <c r="B83" s="19" t="s">
        <v>34</v>
      </c>
      <c r="C83" s="198"/>
      <c r="D83" s="15">
        <v>0</v>
      </c>
      <c r="E83" s="15">
        <v>0</v>
      </c>
      <c r="F83" s="15">
        <v>0</v>
      </c>
      <c r="G83" s="21">
        <f t="shared" si="1"/>
        <v>0</v>
      </c>
      <c r="H83" s="814">
        <v>0</v>
      </c>
      <c r="I83" s="814">
        <v>0</v>
      </c>
      <c r="J83" s="814">
        <v>0</v>
      </c>
      <c r="K83" s="21">
        <f t="shared" si="3"/>
        <v>0</v>
      </c>
    </row>
    <row r="84" spans="1:11" x14ac:dyDescent="0.25">
      <c r="A84" s="1935" t="s">
        <v>183</v>
      </c>
      <c r="B84" s="1728" t="s">
        <v>32</v>
      </c>
      <c r="C84" s="1757"/>
      <c r="D84" s="1736">
        <v>0</v>
      </c>
      <c r="E84" s="1736">
        <v>0</v>
      </c>
      <c r="F84" s="1736">
        <v>0</v>
      </c>
      <c r="G84" s="1730">
        <f t="shared" si="1"/>
        <v>0</v>
      </c>
      <c r="H84" s="1736">
        <v>0</v>
      </c>
      <c r="I84" s="1736">
        <v>0</v>
      </c>
      <c r="J84" s="1736">
        <v>0</v>
      </c>
      <c r="K84" s="1730">
        <f t="shared" si="3"/>
        <v>0</v>
      </c>
    </row>
    <row r="85" spans="1:11" x14ac:dyDescent="0.25">
      <c r="A85" s="1935"/>
      <c r="B85" s="19" t="s">
        <v>33</v>
      </c>
      <c r="C85" s="198"/>
      <c r="D85" s="15">
        <v>0</v>
      </c>
      <c r="E85" s="15">
        <v>0</v>
      </c>
      <c r="F85" s="15">
        <v>0</v>
      </c>
      <c r="G85" s="21">
        <f t="shared" si="1"/>
        <v>0</v>
      </c>
      <c r="H85" s="814">
        <v>0</v>
      </c>
      <c r="I85" s="814">
        <v>0</v>
      </c>
      <c r="J85" s="814">
        <v>0</v>
      </c>
      <c r="K85" s="21">
        <f t="shared" si="3"/>
        <v>0</v>
      </c>
    </row>
    <row r="86" spans="1:11" ht="15.75" thickBot="1" x14ac:dyDescent="0.3">
      <c r="A86" s="1935"/>
      <c r="B86" s="13" t="s">
        <v>34</v>
      </c>
      <c r="C86" s="220"/>
      <c r="D86" s="15">
        <v>0</v>
      </c>
      <c r="E86" s="15">
        <v>0</v>
      </c>
      <c r="F86" s="15">
        <v>0</v>
      </c>
      <c r="G86" s="77">
        <f t="shared" si="1"/>
        <v>0</v>
      </c>
      <c r="H86" s="814">
        <v>0</v>
      </c>
      <c r="I86" s="814">
        <v>0</v>
      </c>
      <c r="J86" s="814">
        <v>0</v>
      </c>
      <c r="K86" s="77">
        <f t="shared" si="3"/>
        <v>0</v>
      </c>
    </row>
    <row r="87" spans="1:11" ht="16.5" thickBot="1" x14ac:dyDescent="0.3">
      <c r="A87" s="330" t="s">
        <v>22</v>
      </c>
      <c r="B87" s="329"/>
      <c r="C87" s="329"/>
      <c r="D87" s="329"/>
      <c r="E87" s="329"/>
      <c r="F87" s="327"/>
      <c r="G87" s="327"/>
      <c r="H87" s="329"/>
      <c r="I87" s="329"/>
      <c r="J87" s="327"/>
      <c r="K87" s="327"/>
    </row>
    <row r="88" spans="1:11" ht="15.75" thickBot="1" x14ac:dyDescent="0.3">
      <c r="A88" s="1932" t="s">
        <v>23</v>
      </c>
      <c r="B88" s="1723" t="s">
        <v>32</v>
      </c>
      <c r="C88" s="1724"/>
      <c r="D88" s="1758">
        <v>0</v>
      </c>
      <c r="E88" s="1758">
        <v>0</v>
      </c>
      <c r="F88" s="1759">
        <v>0</v>
      </c>
      <c r="G88" s="1727">
        <f t="shared" si="1"/>
        <v>0</v>
      </c>
      <c r="H88" s="1758">
        <v>0</v>
      </c>
      <c r="I88" s="1758">
        <v>0</v>
      </c>
      <c r="J88" s="1759">
        <v>0</v>
      </c>
      <c r="K88" s="1727">
        <f t="shared" ref="K88:K93" si="4" xml:space="preserve"> SUM(H88:J88) + $C88</f>
        <v>0</v>
      </c>
    </row>
    <row r="89" spans="1:11" x14ac:dyDescent="0.25">
      <c r="A89" s="1932"/>
      <c r="B89" s="19" t="s">
        <v>33</v>
      </c>
      <c r="C89" s="22"/>
      <c r="D89" s="541">
        <v>0</v>
      </c>
      <c r="E89" s="479">
        <v>0</v>
      </c>
      <c r="F89" s="525">
        <v>0</v>
      </c>
      <c r="G89" s="21">
        <f t="shared" si="1"/>
        <v>0</v>
      </c>
      <c r="H89" s="541">
        <v>0</v>
      </c>
      <c r="I89" s="479">
        <v>0</v>
      </c>
      <c r="J89" s="525">
        <v>0</v>
      </c>
      <c r="K89" s="21">
        <f t="shared" si="4"/>
        <v>0</v>
      </c>
    </row>
    <row r="90" spans="1:11" x14ac:dyDescent="0.25">
      <c r="A90" s="1932"/>
      <c r="B90" s="19" t="s">
        <v>34</v>
      </c>
      <c r="C90" s="22"/>
      <c r="D90" s="411">
        <v>0</v>
      </c>
      <c r="E90" s="15">
        <v>0</v>
      </c>
      <c r="F90" s="193">
        <v>0</v>
      </c>
      <c r="G90" s="21">
        <f t="shared" si="1"/>
        <v>0</v>
      </c>
      <c r="H90" s="830">
        <v>0</v>
      </c>
      <c r="I90" s="814">
        <v>0</v>
      </c>
      <c r="J90" s="824">
        <v>0</v>
      </c>
      <c r="K90" s="21">
        <f t="shared" si="4"/>
        <v>0</v>
      </c>
    </row>
    <row r="91" spans="1:11" x14ac:dyDescent="0.25">
      <c r="A91" s="1933" t="s">
        <v>24</v>
      </c>
      <c r="B91" s="1728" t="s">
        <v>32</v>
      </c>
      <c r="C91" s="1729"/>
      <c r="D91" s="1740">
        <v>4</v>
      </c>
      <c r="E91" s="1736">
        <v>0</v>
      </c>
      <c r="F91" s="1741">
        <v>0</v>
      </c>
      <c r="G91" s="1730">
        <f t="shared" si="1"/>
        <v>4</v>
      </c>
      <c r="H91" s="1740">
        <v>4</v>
      </c>
      <c r="I91" s="1736">
        <v>0</v>
      </c>
      <c r="J91" s="1741">
        <v>0</v>
      </c>
      <c r="K91" s="1730">
        <f t="shared" si="4"/>
        <v>4</v>
      </c>
    </row>
    <row r="92" spans="1:11" x14ac:dyDescent="0.25">
      <c r="A92" s="1933"/>
      <c r="B92" s="19" t="s">
        <v>33</v>
      </c>
      <c r="C92" s="22"/>
      <c r="D92" s="190">
        <v>1</v>
      </c>
      <c r="E92" s="15">
        <v>0</v>
      </c>
      <c r="F92" s="193">
        <v>0</v>
      </c>
      <c r="G92" s="21">
        <f t="shared" si="1"/>
        <v>1</v>
      </c>
      <c r="H92" s="823">
        <v>1</v>
      </c>
      <c r="I92" s="814">
        <v>0</v>
      </c>
      <c r="J92" s="824">
        <v>0</v>
      </c>
      <c r="K92" s="21">
        <f t="shared" si="4"/>
        <v>1</v>
      </c>
    </row>
    <row r="93" spans="1:11" x14ac:dyDescent="0.25">
      <c r="A93" s="1933"/>
      <c r="B93" s="19" t="s">
        <v>34</v>
      </c>
      <c r="C93" s="22"/>
      <c r="D93" s="190">
        <v>2</v>
      </c>
      <c r="E93" s="15">
        <v>0</v>
      </c>
      <c r="F93" s="193">
        <v>0</v>
      </c>
      <c r="G93" s="21">
        <f t="shared" si="1"/>
        <v>2</v>
      </c>
      <c r="H93" s="823">
        <v>2</v>
      </c>
      <c r="I93" s="814">
        <v>0</v>
      </c>
      <c r="J93" s="824">
        <v>0</v>
      </c>
      <c r="K93" s="21">
        <f t="shared" si="4"/>
        <v>2</v>
      </c>
    </row>
    <row r="94" spans="1:11" x14ac:dyDescent="0.25">
      <c r="A94" s="1933" t="s">
        <v>25</v>
      </c>
      <c r="B94" s="1728" t="s">
        <v>32</v>
      </c>
      <c r="C94" s="1729"/>
      <c r="D94" s="1740">
        <v>2</v>
      </c>
      <c r="E94" s="1736">
        <v>0</v>
      </c>
      <c r="F94" s="1741">
        <v>0</v>
      </c>
      <c r="G94" s="1730">
        <f t="shared" ref="G94:G105" si="5" xml:space="preserve"> SUM(D94:F94) + $C94</f>
        <v>2</v>
      </c>
      <c r="H94" s="1740">
        <v>2</v>
      </c>
      <c r="I94" s="1736">
        <v>0</v>
      </c>
      <c r="J94" s="1741">
        <v>0</v>
      </c>
      <c r="K94" s="1730">
        <f t="shared" ref="K94:K105" si="6" xml:space="preserve"> SUM(H94:J94) + $C94</f>
        <v>2</v>
      </c>
    </row>
    <row r="95" spans="1:11" x14ac:dyDescent="0.25">
      <c r="A95" s="1933"/>
      <c r="B95" s="19" t="s">
        <v>33</v>
      </c>
      <c r="C95" s="22"/>
      <c r="D95" s="190">
        <v>1</v>
      </c>
      <c r="E95" s="15">
        <v>0</v>
      </c>
      <c r="F95" s="193">
        <v>0</v>
      </c>
      <c r="G95" s="21">
        <f t="shared" si="5"/>
        <v>1</v>
      </c>
      <c r="H95" s="823">
        <v>1</v>
      </c>
      <c r="I95" s="814">
        <v>0</v>
      </c>
      <c r="J95" s="824">
        <v>0</v>
      </c>
      <c r="K95" s="21">
        <f t="shared" si="6"/>
        <v>1</v>
      </c>
    </row>
    <row r="96" spans="1:11" x14ac:dyDescent="0.25">
      <c r="A96" s="1933"/>
      <c r="B96" s="19" t="s">
        <v>34</v>
      </c>
      <c r="C96" s="22"/>
      <c r="D96" s="190">
        <v>2</v>
      </c>
      <c r="E96" s="15">
        <v>0</v>
      </c>
      <c r="F96" s="193">
        <v>0</v>
      </c>
      <c r="G96" s="21">
        <f t="shared" si="5"/>
        <v>2</v>
      </c>
      <c r="H96" s="823">
        <v>2</v>
      </c>
      <c r="I96" s="814">
        <v>0</v>
      </c>
      <c r="J96" s="824">
        <v>0</v>
      </c>
      <c r="K96" s="21">
        <f t="shared" si="6"/>
        <v>2</v>
      </c>
    </row>
    <row r="97" spans="1:11" x14ac:dyDescent="0.25">
      <c r="A97" s="1933" t="s">
        <v>26</v>
      </c>
      <c r="B97" s="1728" t="s">
        <v>32</v>
      </c>
      <c r="C97" s="1729"/>
      <c r="D97" s="1740">
        <v>6</v>
      </c>
      <c r="E97" s="1735">
        <v>0</v>
      </c>
      <c r="F97" s="1745">
        <v>0</v>
      </c>
      <c r="G97" s="1730">
        <f t="shared" si="5"/>
        <v>6</v>
      </c>
      <c r="H97" s="1740">
        <v>6</v>
      </c>
      <c r="I97" s="1735">
        <v>0</v>
      </c>
      <c r="J97" s="1745">
        <v>0</v>
      </c>
      <c r="K97" s="1730">
        <f t="shared" si="6"/>
        <v>6</v>
      </c>
    </row>
    <row r="98" spans="1:11" x14ac:dyDescent="0.25">
      <c r="A98" s="1933"/>
      <c r="B98" s="19" t="s">
        <v>33</v>
      </c>
      <c r="C98" s="22"/>
      <c r="D98" s="542">
        <v>2</v>
      </c>
      <c r="E98" s="38">
        <v>0</v>
      </c>
      <c r="F98" s="16">
        <v>0</v>
      </c>
      <c r="G98" s="21">
        <f t="shared" si="5"/>
        <v>2</v>
      </c>
      <c r="H98" s="838">
        <v>2</v>
      </c>
      <c r="I98" s="821">
        <v>0</v>
      </c>
      <c r="J98" s="815">
        <v>0</v>
      </c>
      <c r="K98" s="21">
        <f t="shared" si="6"/>
        <v>2</v>
      </c>
    </row>
    <row r="99" spans="1:11" x14ac:dyDescent="0.25">
      <c r="A99" s="1933"/>
      <c r="B99" s="19" t="s">
        <v>34</v>
      </c>
      <c r="C99" s="22"/>
      <c r="D99" s="542">
        <v>4</v>
      </c>
      <c r="E99" s="38">
        <v>0</v>
      </c>
      <c r="F99" s="16">
        <v>0</v>
      </c>
      <c r="G99" s="21">
        <f t="shared" si="5"/>
        <v>4</v>
      </c>
      <c r="H99" s="838">
        <v>4</v>
      </c>
      <c r="I99" s="821">
        <v>0</v>
      </c>
      <c r="J99" s="815">
        <v>0</v>
      </c>
      <c r="K99" s="21">
        <f t="shared" si="6"/>
        <v>4</v>
      </c>
    </row>
    <row r="100" spans="1:11" x14ac:dyDescent="0.25">
      <c r="A100" s="1933" t="s">
        <v>27</v>
      </c>
      <c r="B100" s="1728" t="s">
        <v>32</v>
      </c>
      <c r="C100" s="1729"/>
      <c r="D100" s="1740">
        <v>4</v>
      </c>
      <c r="E100" s="1735">
        <v>0</v>
      </c>
      <c r="F100" s="1745">
        <v>0</v>
      </c>
      <c r="G100" s="1730">
        <f t="shared" si="5"/>
        <v>4</v>
      </c>
      <c r="H100" s="1740">
        <v>4</v>
      </c>
      <c r="I100" s="1735">
        <v>0</v>
      </c>
      <c r="J100" s="1745">
        <v>0</v>
      </c>
      <c r="K100" s="1730">
        <f t="shared" si="6"/>
        <v>4</v>
      </c>
    </row>
    <row r="101" spans="1:11" x14ac:dyDescent="0.25">
      <c r="A101" s="1933"/>
      <c r="B101" s="19" t="s">
        <v>33</v>
      </c>
      <c r="C101" s="22"/>
      <c r="D101" s="542">
        <v>2</v>
      </c>
      <c r="E101" s="38">
        <v>0</v>
      </c>
      <c r="F101" s="16">
        <v>0</v>
      </c>
      <c r="G101" s="21">
        <f t="shared" si="5"/>
        <v>2</v>
      </c>
      <c r="H101" s="838">
        <v>2</v>
      </c>
      <c r="I101" s="821">
        <v>0</v>
      </c>
      <c r="J101" s="815">
        <v>0</v>
      </c>
      <c r="K101" s="21">
        <f t="shared" si="6"/>
        <v>2</v>
      </c>
    </row>
    <row r="102" spans="1:11" x14ac:dyDescent="0.25">
      <c r="A102" s="1933"/>
      <c r="B102" s="19" t="s">
        <v>34</v>
      </c>
      <c r="C102" s="22"/>
      <c r="D102" s="542">
        <v>4</v>
      </c>
      <c r="E102" s="38">
        <v>0</v>
      </c>
      <c r="F102" s="16">
        <v>0</v>
      </c>
      <c r="G102" s="21">
        <f t="shared" si="5"/>
        <v>4</v>
      </c>
      <c r="H102" s="838">
        <v>4</v>
      </c>
      <c r="I102" s="821">
        <v>0</v>
      </c>
      <c r="J102" s="815">
        <v>0</v>
      </c>
      <c r="K102" s="21">
        <f t="shared" si="6"/>
        <v>4</v>
      </c>
    </row>
    <row r="103" spans="1:11" x14ac:dyDescent="0.25">
      <c r="A103" s="1932" t="s">
        <v>28</v>
      </c>
      <c r="B103" s="1728" t="s">
        <v>32</v>
      </c>
      <c r="C103" s="1729"/>
      <c r="D103" s="1740">
        <v>2</v>
      </c>
      <c r="E103" s="1735">
        <v>0</v>
      </c>
      <c r="F103" s="1745">
        <v>0</v>
      </c>
      <c r="G103" s="1730">
        <f t="shared" si="5"/>
        <v>2</v>
      </c>
      <c r="H103" s="1740">
        <v>2</v>
      </c>
      <c r="I103" s="1735">
        <v>0</v>
      </c>
      <c r="J103" s="1745">
        <v>0</v>
      </c>
      <c r="K103" s="1730">
        <f t="shared" si="6"/>
        <v>2</v>
      </c>
    </row>
    <row r="104" spans="1:11" x14ac:dyDescent="0.25">
      <c r="A104" s="1932"/>
      <c r="B104" s="19" t="s">
        <v>33</v>
      </c>
      <c r="C104" s="22"/>
      <c r="D104" s="190">
        <v>0.5</v>
      </c>
      <c r="E104" s="38">
        <v>0</v>
      </c>
      <c r="F104" s="16">
        <v>0</v>
      </c>
      <c r="G104" s="21">
        <f t="shared" si="5"/>
        <v>0.5</v>
      </c>
      <c r="H104" s="823">
        <v>0.5</v>
      </c>
      <c r="I104" s="821">
        <v>0</v>
      </c>
      <c r="J104" s="815">
        <v>0</v>
      </c>
      <c r="K104" s="21">
        <f t="shared" si="6"/>
        <v>0.5</v>
      </c>
    </row>
    <row r="105" spans="1:11" ht="15.75" thickBot="1" x14ac:dyDescent="0.3">
      <c r="A105" s="1934"/>
      <c r="B105" s="20" t="s">
        <v>34</v>
      </c>
      <c r="C105" s="23"/>
      <c r="D105" s="196">
        <v>1</v>
      </c>
      <c r="E105" s="408">
        <v>0</v>
      </c>
      <c r="F105" s="17">
        <v>0</v>
      </c>
      <c r="G105" s="24">
        <f t="shared" si="5"/>
        <v>1</v>
      </c>
      <c r="H105" s="826">
        <v>1</v>
      </c>
      <c r="I105" s="829">
        <v>0</v>
      </c>
      <c r="J105" s="816">
        <v>0</v>
      </c>
      <c r="K105" s="24">
        <f t="shared" si="6"/>
        <v>1</v>
      </c>
    </row>
    <row r="107" spans="1:11" ht="15.75" x14ac:dyDescent="0.25">
      <c r="A107" s="1691" t="s">
        <v>1702</v>
      </c>
      <c r="B107" s="1691" t="s">
        <v>1703</v>
      </c>
      <c r="C107" s="1748"/>
      <c r="D107" s="1696"/>
      <c r="E107" s="1748" t="s">
        <v>1704</v>
      </c>
    </row>
    <row r="108" spans="1:11" ht="60" x14ac:dyDescent="0.25">
      <c r="A108" s="1692" t="s">
        <v>618</v>
      </c>
      <c r="B108" s="1692" t="s">
        <v>1814</v>
      </c>
      <c r="C108" s="1748"/>
      <c r="D108" s="1748"/>
      <c r="E108" s="1748"/>
    </row>
    <row r="109" spans="1:11" ht="60" x14ac:dyDescent="0.25">
      <c r="A109" s="1692" t="s">
        <v>618</v>
      </c>
      <c r="B109" s="1692" t="s">
        <v>1814</v>
      </c>
      <c r="C109" s="1748"/>
      <c r="D109" s="1748"/>
      <c r="E109" s="1748"/>
    </row>
    <row r="110" spans="1:11" ht="60" x14ac:dyDescent="0.25">
      <c r="A110" s="1692" t="s">
        <v>618</v>
      </c>
      <c r="B110" s="1692" t="s">
        <v>1814</v>
      </c>
      <c r="C110" s="1748"/>
      <c r="D110" s="1748"/>
      <c r="E110" s="1748"/>
    </row>
    <row r="111" spans="1:11" x14ac:dyDescent="0.25">
      <c r="A111" s="1748"/>
      <c r="B111" s="1748"/>
      <c r="C111" s="1748"/>
      <c r="D111" s="1748"/>
      <c r="E111" s="1748"/>
    </row>
    <row r="112" spans="1:11" x14ac:dyDescent="0.25">
      <c r="A112" s="1693" t="s">
        <v>89</v>
      </c>
      <c r="B112" s="1748" t="s">
        <v>1704</v>
      </c>
      <c r="C112" s="1748"/>
      <c r="D112" s="1748"/>
      <c r="E112" s="1748"/>
    </row>
  </sheetData>
  <autoFilter ref="A2:K105" xr:uid="{00000000-0001-0000-5200-000000000000}"/>
  <mergeCells count="37">
    <mergeCell ref="A97:A99"/>
    <mergeCell ref="A100:A102"/>
    <mergeCell ref="A103:A105"/>
    <mergeCell ref="A78:A80"/>
    <mergeCell ref="A81:A83"/>
    <mergeCell ref="A84:A86"/>
    <mergeCell ref="A88:A90"/>
    <mergeCell ref="A91:A93"/>
    <mergeCell ref="A94:A96"/>
    <mergeCell ref="A75:A77"/>
    <mergeCell ref="A28:A30"/>
    <mergeCell ref="A31:A33"/>
    <mergeCell ref="A34:A36"/>
    <mergeCell ref="A38:A40"/>
    <mergeCell ref="A42:A44"/>
    <mergeCell ref="A45:A47"/>
    <mergeCell ref="A48:A50"/>
    <mergeCell ref="A51:A53"/>
    <mergeCell ref="A54:A56"/>
    <mergeCell ref="A57:A59"/>
    <mergeCell ref="A60:A62"/>
    <mergeCell ref="A63:A65"/>
    <mergeCell ref="A66:A68"/>
    <mergeCell ref="A69:A71"/>
    <mergeCell ref="A72:A74"/>
    <mergeCell ref="A25:A27"/>
    <mergeCell ref="D1:G1"/>
    <mergeCell ref="H1:K1"/>
    <mergeCell ref="C2:C3"/>
    <mergeCell ref="G2:G3"/>
    <mergeCell ref="K2:K3"/>
    <mergeCell ref="A8:A10"/>
    <mergeCell ref="A12:A14"/>
    <mergeCell ref="A16:A18"/>
    <mergeCell ref="A19:A21"/>
    <mergeCell ref="A22:A24"/>
    <mergeCell ref="A5:A7"/>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Лист41"/>
  <dimension ref="A1:S112"/>
  <sheetViews>
    <sheetView zoomScale="70" zoomScaleNormal="70" workbookViewId="0">
      <selection activeCell="H30" sqref="H30"/>
    </sheetView>
  </sheetViews>
  <sheetFormatPr defaultRowHeight="15" x14ac:dyDescent="0.25"/>
  <cols>
    <col min="1" max="1" width="53.42578125" bestFit="1" customWidth="1"/>
    <col min="2" max="2" width="23.5703125" bestFit="1" customWidth="1"/>
    <col min="4" max="6" width="38.28515625" bestFit="1" customWidth="1"/>
    <col min="8" max="10" width="38.28515625" bestFit="1" customWidth="1"/>
    <col min="12" max="14" width="38.28515625" bestFit="1" customWidth="1"/>
    <col min="16" max="18" width="38.28515625" bestFit="1" customWidth="1"/>
  </cols>
  <sheetData>
    <row r="1" spans="1:19" ht="16.5" thickBot="1" x14ac:dyDescent="0.3">
      <c r="A1" s="465" t="s">
        <v>91</v>
      </c>
      <c r="B1" s="35"/>
      <c r="C1" s="43"/>
      <c r="D1" s="1939" t="str">
        <f>'Служебный АСУТП'!AG2</f>
        <v>Windows Security Options</v>
      </c>
      <c r="E1" s="1940"/>
      <c r="F1" s="1940"/>
      <c r="G1" s="1941"/>
      <c r="H1" s="1939" t="str">
        <f>'Служебный АСУТП'!AG3</f>
        <v>Linux Security Options</v>
      </c>
      <c r="I1" s="1940"/>
      <c r="J1" s="1940"/>
      <c r="K1" s="1941"/>
      <c r="L1" s="1939" t="str">
        <f>'Служебный АСУТП'!AG4</f>
        <v>Astra Linux</v>
      </c>
      <c r="M1" s="1940"/>
      <c r="N1" s="1940"/>
      <c r="O1" s="1941"/>
      <c r="P1" s="1939" t="str">
        <f>'Служебный АСУТП'!AG5</f>
        <v>РЕД ОС</v>
      </c>
      <c r="Q1" s="1940"/>
      <c r="R1" s="1940"/>
      <c r="S1" s="1941"/>
    </row>
    <row r="2" spans="1:19" ht="15.75" x14ac:dyDescent="0.25">
      <c r="B2" s="41" t="s">
        <v>37</v>
      </c>
      <c r="C2" s="1945" t="s">
        <v>35</v>
      </c>
      <c r="D2" s="718" t="s">
        <v>616</v>
      </c>
      <c r="E2" s="718" t="s">
        <v>616</v>
      </c>
      <c r="F2" s="718" t="s">
        <v>616</v>
      </c>
      <c r="G2" s="1942" t="s">
        <v>38</v>
      </c>
      <c r="H2" s="718" t="s">
        <v>616</v>
      </c>
      <c r="I2" s="718" t="s">
        <v>616</v>
      </c>
      <c r="J2" s="718" t="s">
        <v>616</v>
      </c>
      <c r="K2" s="1942" t="s">
        <v>38</v>
      </c>
      <c r="L2" s="718" t="s">
        <v>616</v>
      </c>
      <c r="M2" s="718" t="s">
        <v>616</v>
      </c>
      <c r="N2" s="718" t="s">
        <v>616</v>
      </c>
      <c r="O2" s="1942" t="s">
        <v>38</v>
      </c>
      <c r="P2" s="718" t="s">
        <v>616</v>
      </c>
      <c r="Q2" s="718" t="s">
        <v>616</v>
      </c>
      <c r="R2" s="718" t="s">
        <v>616</v>
      </c>
      <c r="S2" s="1942" t="s">
        <v>38</v>
      </c>
    </row>
    <row r="3" spans="1:19" ht="16.5" thickBot="1" x14ac:dyDescent="0.3">
      <c r="A3" s="12" t="s">
        <v>36</v>
      </c>
      <c r="B3" s="768">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c r="P3" s="37">
        <f>INDEX(ТрЗ_ОП!$P$11:$P$102,MATCH(P2,ТрЗ_ОП!$O$11:$O$102,0))</f>
        <v>0</v>
      </c>
      <c r="Q3" s="37">
        <f>INDEX(ТрЗ_ОП!$P$11:$P$102,MATCH(Q2,ТрЗ_ОП!$O$11:$O$102,0))</f>
        <v>0</v>
      </c>
      <c r="R3" s="37">
        <f>INDEX(ТрЗ_ОП!$P$11:$P$102,MATCH(R2,ТрЗ_ОП!$O$11:$O$102,0))</f>
        <v>0</v>
      </c>
      <c r="S3" s="1942"/>
    </row>
    <row r="4" spans="1:19" ht="16.5" thickBot="1" x14ac:dyDescent="0.3">
      <c r="A4" s="326" t="s">
        <v>448</v>
      </c>
      <c r="B4" s="327"/>
      <c r="C4" s="327"/>
      <c r="D4" s="327"/>
      <c r="E4" s="327"/>
      <c r="F4" s="327"/>
      <c r="G4" s="327"/>
      <c r="H4" s="327"/>
      <c r="I4" s="327"/>
      <c r="J4" s="327"/>
      <c r="K4" s="327"/>
      <c r="L4" s="327"/>
      <c r="M4" s="327"/>
      <c r="N4" s="327"/>
      <c r="O4" s="327"/>
      <c r="P4" s="327"/>
      <c r="Q4" s="327"/>
      <c r="R4" s="327"/>
      <c r="S4" s="396"/>
    </row>
    <row r="5" spans="1:19" x14ac:dyDescent="0.25">
      <c r="A5" s="1932" t="s">
        <v>0</v>
      </c>
      <c r="B5" s="1764" t="s">
        <v>32</v>
      </c>
      <c r="C5" s="1765"/>
      <c r="D5" s="1766">
        <v>1</v>
      </c>
      <c r="E5" s="1766">
        <v>0</v>
      </c>
      <c r="F5" s="1766">
        <v>0</v>
      </c>
      <c r="G5" s="1767">
        <f xml:space="preserve"> SUM(D5:F5) + $C5</f>
        <v>1</v>
      </c>
      <c r="H5" s="1766">
        <v>1</v>
      </c>
      <c r="I5" s="1766">
        <v>0</v>
      </c>
      <c r="J5" s="1766">
        <v>0</v>
      </c>
      <c r="K5" s="1767">
        <f t="shared" ref="K5:K10" si="0" xml:space="preserve"> SUM(H5:J5) + $C5</f>
        <v>1</v>
      </c>
      <c r="L5" s="1766">
        <v>1</v>
      </c>
      <c r="M5" s="1766">
        <v>0</v>
      </c>
      <c r="N5" s="1766">
        <v>0</v>
      </c>
      <c r="O5" s="1767">
        <f t="shared" ref="O5:O10" si="1" xml:space="preserve"> SUM(L5:N5) + $C5</f>
        <v>1</v>
      </c>
      <c r="P5" s="1766">
        <v>1</v>
      </c>
      <c r="Q5" s="1766">
        <v>0</v>
      </c>
      <c r="R5" s="1766">
        <v>0</v>
      </c>
      <c r="S5" s="1767">
        <f t="shared" ref="S5:S10" si="2" xml:space="preserve"> SUM(P5:R5) + $C5</f>
        <v>1</v>
      </c>
    </row>
    <row r="6" spans="1:19" x14ac:dyDescent="0.25">
      <c r="A6" s="1932"/>
      <c r="B6" s="19" t="s">
        <v>33</v>
      </c>
      <c r="C6" s="620"/>
      <c r="D6" s="813">
        <v>0.5</v>
      </c>
      <c r="E6" s="739">
        <v>0</v>
      </c>
      <c r="F6" s="739">
        <v>0</v>
      </c>
      <c r="G6" s="619">
        <f xml:space="preserve"> SUM(D6:F6) + $C6</f>
        <v>0.5</v>
      </c>
      <c r="H6" s="813">
        <v>0.5</v>
      </c>
      <c r="I6" s="739">
        <v>0</v>
      </c>
      <c r="J6" s="739">
        <v>0</v>
      </c>
      <c r="K6" s="619">
        <f t="shared" si="0"/>
        <v>0.5</v>
      </c>
      <c r="L6" s="813">
        <v>0.5</v>
      </c>
      <c r="M6" s="739">
        <v>0</v>
      </c>
      <c r="N6" s="739">
        <v>0</v>
      </c>
      <c r="O6" s="619">
        <f t="shared" si="1"/>
        <v>0.5</v>
      </c>
      <c r="P6" s="813">
        <v>0.5</v>
      </c>
      <c r="Q6" s="739">
        <v>0</v>
      </c>
      <c r="R6" s="739">
        <v>0</v>
      </c>
      <c r="S6" s="619">
        <f t="shared" si="2"/>
        <v>0.5</v>
      </c>
    </row>
    <row r="7" spans="1:19" x14ac:dyDescent="0.25">
      <c r="A7" s="1973"/>
      <c r="B7" s="19" t="s">
        <v>34</v>
      </c>
      <c r="C7" s="620"/>
      <c r="D7" s="813">
        <v>1</v>
      </c>
      <c r="E7" s="739">
        <v>0</v>
      </c>
      <c r="F7" s="739">
        <v>0</v>
      </c>
      <c r="G7" s="619">
        <f xml:space="preserve"> SUM(D7:F7) + $C7</f>
        <v>1</v>
      </c>
      <c r="H7" s="813">
        <v>1</v>
      </c>
      <c r="I7" s="739">
        <v>0</v>
      </c>
      <c r="J7" s="739">
        <v>0</v>
      </c>
      <c r="K7" s="619">
        <f t="shared" si="0"/>
        <v>1</v>
      </c>
      <c r="L7" s="813">
        <v>1</v>
      </c>
      <c r="M7" s="739">
        <v>0</v>
      </c>
      <c r="N7" s="739">
        <v>0</v>
      </c>
      <c r="O7" s="619">
        <f t="shared" si="1"/>
        <v>1</v>
      </c>
      <c r="P7" s="813">
        <v>1</v>
      </c>
      <c r="Q7" s="739">
        <v>0</v>
      </c>
      <c r="R7" s="739">
        <v>0</v>
      </c>
      <c r="S7" s="619">
        <f t="shared" si="2"/>
        <v>1</v>
      </c>
    </row>
    <row r="8" spans="1:19" x14ac:dyDescent="0.25">
      <c r="A8" s="1932" t="s">
        <v>449</v>
      </c>
      <c r="B8" s="1764" t="s">
        <v>32</v>
      </c>
      <c r="C8" s="1765"/>
      <c r="D8" s="1766">
        <v>1</v>
      </c>
      <c r="E8" s="1768">
        <v>0</v>
      </c>
      <c r="F8" s="1768">
        <v>0</v>
      </c>
      <c r="G8" s="1769">
        <f xml:space="preserve"> SUM(D8:F8) + $C8</f>
        <v>1</v>
      </c>
      <c r="H8" s="1766">
        <v>1</v>
      </c>
      <c r="I8" s="1768">
        <v>0</v>
      </c>
      <c r="J8" s="1768">
        <v>0</v>
      </c>
      <c r="K8" s="1769">
        <f t="shared" si="0"/>
        <v>1</v>
      </c>
      <c r="L8" s="1766">
        <v>1</v>
      </c>
      <c r="M8" s="1768">
        <v>0</v>
      </c>
      <c r="N8" s="1768">
        <v>0</v>
      </c>
      <c r="O8" s="1769">
        <f t="shared" si="1"/>
        <v>1</v>
      </c>
      <c r="P8" s="1766">
        <v>1</v>
      </c>
      <c r="Q8" s="1768">
        <v>0</v>
      </c>
      <c r="R8" s="1768">
        <v>0</v>
      </c>
      <c r="S8" s="1769">
        <f t="shared" si="2"/>
        <v>1</v>
      </c>
    </row>
    <row r="9" spans="1:19" x14ac:dyDescent="0.25">
      <c r="A9" s="1932"/>
      <c r="B9" s="19" t="s">
        <v>33</v>
      </c>
      <c r="C9" s="620"/>
      <c r="D9" s="813">
        <v>0.5</v>
      </c>
      <c r="E9" s="739">
        <v>0</v>
      </c>
      <c r="F9" s="739">
        <v>0</v>
      </c>
      <c r="G9" s="619">
        <f t="shared" ref="G9:G93" si="3" xml:space="preserve"> SUM(D9:F9) + $C9</f>
        <v>0.5</v>
      </c>
      <c r="H9" s="813">
        <v>0.5</v>
      </c>
      <c r="I9" s="739">
        <v>0</v>
      </c>
      <c r="J9" s="739">
        <v>0</v>
      </c>
      <c r="K9" s="619">
        <f t="shared" si="0"/>
        <v>0.5</v>
      </c>
      <c r="L9" s="813">
        <v>0.5</v>
      </c>
      <c r="M9" s="739">
        <v>0</v>
      </c>
      <c r="N9" s="739">
        <v>0</v>
      </c>
      <c r="O9" s="619">
        <f t="shared" si="1"/>
        <v>0.5</v>
      </c>
      <c r="P9" s="813">
        <v>0.5</v>
      </c>
      <c r="Q9" s="739">
        <v>0</v>
      </c>
      <c r="R9" s="739">
        <v>0</v>
      </c>
      <c r="S9" s="619">
        <f t="shared" si="2"/>
        <v>0.5</v>
      </c>
    </row>
    <row r="10" spans="1:19" ht="15.75" thickBot="1" x14ac:dyDescent="0.3">
      <c r="A10" s="1932"/>
      <c r="B10" s="13" t="s">
        <v>34</v>
      </c>
      <c r="C10" s="624"/>
      <c r="D10" s="813">
        <v>1</v>
      </c>
      <c r="E10" s="759">
        <v>0</v>
      </c>
      <c r="F10" s="759">
        <v>0</v>
      </c>
      <c r="G10" s="77">
        <f t="shared" si="3"/>
        <v>1</v>
      </c>
      <c r="H10" s="813">
        <v>1</v>
      </c>
      <c r="I10" s="759">
        <v>0</v>
      </c>
      <c r="J10" s="759">
        <v>0</v>
      </c>
      <c r="K10" s="77">
        <f t="shared" si="0"/>
        <v>1</v>
      </c>
      <c r="L10" s="813">
        <v>1</v>
      </c>
      <c r="M10" s="759">
        <v>0</v>
      </c>
      <c r="N10" s="759">
        <v>0</v>
      </c>
      <c r="O10" s="77">
        <f t="shared" si="1"/>
        <v>1</v>
      </c>
      <c r="P10" s="813">
        <v>1</v>
      </c>
      <c r="Q10" s="759">
        <v>0</v>
      </c>
      <c r="R10" s="759">
        <v>0</v>
      </c>
      <c r="S10" s="77">
        <f t="shared" si="2"/>
        <v>1</v>
      </c>
    </row>
    <row r="11" spans="1:19" ht="16.5" thickBot="1" x14ac:dyDescent="0.3">
      <c r="A11" s="326" t="s">
        <v>1</v>
      </c>
      <c r="B11" s="327"/>
      <c r="C11" s="327"/>
      <c r="D11" s="327"/>
      <c r="E11" s="327"/>
      <c r="F11" s="327"/>
      <c r="G11" s="327"/>
      <c r="H11" s="327"/>
      <c r="I11" s="327"/>
      <c r="J11" s="327"/>
      <c r="K11" s="327"/>
      <c r="L11" s="327"/>
      <c r="M11" s="327"/>
      <c r="N11" s="327"/>
      <c r="O11" s="327"/>
      <c r="P11" s="327"/>
      <c r="Q11" s="327"/>
      <c r="R11" s="327"/>
      <c r="S11" s="396"/>
    </row>
    <row r="12" spans="1:19" x14ac:dyDescent="0.25">
      <c r="A12" s="1932" t="s">
        <v>2</v>
      </c>
      <c r="B12" s="1764" t="s">
        <v>32</v>
      </c>
      <c r="C12" s="1765"/>
      <c r="D12" s="1766">
        <v>4</v>
      </c>
      <c r="E12" s="1766">
        <v>0</v>
      </c>
      <c r="F12" s="1766">
        <v>0</v>
      </c>
      <c r="G12" s="1767">
        <f t="shared" si="3"/>
        <v>4</v>
      </c>
      <c r="H12" s="1766">
        <v>4</v>
      </c>
      <c r="I12" s="1766">
        <v>0</v>
      </c>
      <c r="J12" s="1766">
        <v>0</v>
      </c>
      <c r="K12" s="1767">
        <f xml:space="preserve"> SUM(H12:J12) + $C12</f>
        <v>4</v>
      </c>
      <c r="L12" s="1766">
        <v>4</v>
      </c>
      <c r="M12" s="1766">
        <v>0</v>
      </c>
      <c r="N12" s="1766">
        <v>0</v>
      </c>
      <c r="O12" s="1767">
        <f xml:space="preserve"> SUM(L12:N12) + $C12</f>
        <v>4</v>
      </c>
      <c r="P12" s="1766">
        <v>4</v>
      </c>
      <c r="Q12" s="1766">
        <v>0</v>
      </c>
      <c r="R12" s="1766">
        <v>0</v>
      </c>
      <c r="S12" s="1767">
        <f xml:space="preserve"> SUM(P12:R12) + $C12</f>
        <v>4</v>
      </c>
    </row>
    <row r="13" spans="1:19" x14ac:dyDescent="0.25">
      <c r="A13" s="1932"/>
      <c r="B13" s="19" t="s">
        <v>33</v>
      </c>
      <c r="C13" s="620"/>
      <c r="D13" s="739">
        <v>1</v>
      </c>
      <c r="E13" s="756">
        <v>0</v>
      </c>
      <c r="F13" s="739">
        <v>0</v>
      </c>
      <c r="G13" s="619">
        <f t="shared" si="3"/>
        <v>1</v>
      </c>
      <c r="H13" s="739">
        <v>1</v>
      </c>
      <c r="I13" s="756">
        <v>0</v>
      </c>
      <c r="J13" s="739">
        <v>0</v>
      </c>
      <c r="K13" s="619">
        <f xml:space="preserve"> SUM(H13:J13) + $C13</f>
        <v>1</v>
      </c>
      <c r="L13" s="739">
        <v>2</v>
      </c>
      <c r="M13" s="756">
        <v>0</v>
      </c>
      <c r="N13" s="739">
        <v>0</v>
      </c>
      <c r="O13" s="619">
        <f xml:space="preserve"> SUM(L13:N13) + $C13</f>
        <v>2</v>
      </c>
      <c r="P13" s="739">
        <v>2</v>
      </c>
      <c r="Q13" s="756">
        <v>0</v>
      </c>
      <c r="R13" s="739">
        <v>0</v>
      </c>
      <c r="S13" s="619">
        <f xml:space="preserve"> SUM(P13:R13) + $C13</f>
        <v>2</v>
      </c>
    </row>
    <row r="14" spans="1:19" ht="15.75" thickBot="1" x14ac:dyDescent="0.3">
      <c r="A14" s="1932"/>
      <c r="B14" s="13" t="s">
        <v>34</v>
      </c>
      <c r="C14" s="624"/>
      <c r="D14" s="759">
        <v>2</v>
      </c>
      <c r="E14" s="756">
        <v>0</v>
      </c>
      <c r="F14" s="759">
        <v>0</v>
      </c>
      <c r="G14" s="77">
        <f t="shared" si="3"/>
        <v>2</v>
      </c>
      <c r="H14" s="759">
        <v>2</v>
      </c>
      <c r="I14" s="756">
        <v>0</v>
      </c>
      <c r="J14" s="759">
        <v>0</v>
      </c>
      <c r="K14" s="77">
        <f xml:space="preserve"> SUM(H14:J14) + $C14</f>
        <v>2</v>
      </c>
      <c r="L14" s="759">
        <v>4</v>
      </c>
      <c r="M14" s="756">
        <v>0</v>
      </c>
      <c r="N14" s="759">
        <v>0</v>
      </c>
      <c r="O14" s="77">
        <f xml:space="preserve"> SUM(L14:N14) + $C14</f>
        <v>4</v>
      </c>
      <c r="P14" s="759">
        <v>4</v>
      </c>
      <c r="Q14" s="756">
        <v>0</v>
      </c>
      <c r="R14" s="759">
        <v>0</v>
      </c>
      <c r="S14" s="77">
        <f xml:space="preserve"> SUM(P14:R14) + $C14</f>
        <v>4</v>
      </c>
    </row>
    <row r="15" spans="1:19" ht="16.5" thickBot="1" x14ac:dyDescent="0.3">
      <c r="A15" s="330" t="s">
        <v>3</v>
      </c>
      <c r="B15" s="329"/>
      <c r="C15" s="329"/>
      <c r="D15" s="329"/>
      <c r="E15" s="329"/>
      <c r="F15" s="327"/>
      <c r="G15" s="327"/>
      <c r="H15" s="329"/>
      <c r="I15" s="329"/>
      <c r="J15" s="327"/>
      <c r="K15" s="327"/>
      <c r="L15" s="329"/>
      <c r="M15" s="329"/>
      <c r="N15" s="327"/>
      <c r="O15" s="327"/>
      <c r="P15" s="329"/>
      <c r="Q15" s="329"/>
      <c r="R15" s="327"/>
      <c r="S15" s="396"/>
    </row>
    <row r="16" spans="1:19" x14ac:dyDescent="0.25">
      <c r="A16" s="1944" t="s">
        <v>4</v>
      </c>
      <c r="B16" s="1770" t="s">
        <v>32</v>
      </c>
      <c r="C16" s="1765"/>
      <c r="D16" s="1771">
        <v>0</v>
      </c>
      <c r="E16" s="1771">
        <v>0</v>
      </c>
      <c r="F16" s="1772">
        <v>0</v>
      </c>
      <c r="G16" s="1767">
        <f t="shared" si="3"/>
        <v>0</v>
      </c>
      <c r="H16" s="1771">
        <v>0</v>
      </c>
      <c r="I16" s="1771">
        <v>0</v>
      </c>
      <c r="J16" s="1772">
        <v>0</v>
      </c>
      <c r="K16" s="1767">
        <f t="shared" ref="K16:K36" si="4" xml:space="preserve"> SUM(H16:J16) + $C16</f>
        <v>0</v>
      </c>
      <c r="L16" s="1771">
        <v>0</v>
      </c>
      <c r="M16" s="1771">
        <v>0</v>
      </c>
      <c r="N16" s="1772">
        <v>0</v>
      </c>
      <c r="O16" s="1767">
        <f t="shared" ref="O16:O36" si="5" xml:space="preserve"> SUM(L16:N16) + $C16</f>
        <v>0</v>
      </c>
      <c r="P16" s="1771">
        <v>0</v>
      </c>
      <c r="Q16" s="1771">
        <v>0</v>
      </c>
      <c r="R16" s="1772">
        <v>0</v>
      </c>
      <c r="S16" s="1767">
        <f t="shared" ref="S16:S36" si="6" xml:space="preserve"> SUM(P16:R16) + $C16</f>
        <v>0</v>
      </c>
    </row>
    <row r="17" spans="1:19" x14ac:dyDescent="0.25">
      <c r="A17" s="1937"/>
      <c r="B17" s="18" t="s">
        <v>33</v>
      </c>
      <c r="C17" s="620"/>
      <c r="D17" s="767">
        <v>0</v>
      </c>
      <c r="E17" s="740">
        <v>0</v>
      </c>
      <c r="F17" s="743">
        <v>0</v>
      </c>
      <c r="G17" s="619">
        <f t="shared" si="3"/>
        <v>0</v>
      </c>
      <c r="H17" s="767">
        <v>0</v>
      </c>
      <c r="I17" s="740">
        <v>0</v>
      </c>
      <c r="J17" s="743">
        <v>0</v>
      </c>
      <c r="K17" s="619">
        <f t="shared" si="4"/>
        <v>0</v>
      </c>
      <c r="L17" s="767">
        <v>0</v>
      </c>
      <c r="M17" s="740">
        <v>0</v>
      </c>
      <c r="N17" s="743">
        <v>0</v>
      </c>
      <c r="O17" s="619">
        <f t="shared" si="5"/>
        <v>0</v>
      </c>
      <c r="P17" s="767">
        <v>0</v>
      </c>
      <c r="Q17" s="740">
        <v>0</v>
      </c>
      <c r="R17" s="743">
        <v>0</v>
      </c>
      <c r="S17" s="619">
        <f t="shared" si="6"/>
        <v>0</v>
      </c>
    </row>
    <row r="18" spans="1:19" x14ac:dyDescent="0.25">
      <c r="A18" s="1937"/>
      <c r="B18" s="18" t="s">
        <v>34</v>
      </c>
      <c r="C18" s="620"/>
      <c r="D18" s="767">
        <v>0</v>
      </c>
      <c r="E18" s="740">
        <v>0</v>
      </c>
      <c r="F18" s="743">
        <v>0</v>
      </c>
      <c r="G18" s="619">
        <f t="shared" si="3"/>
        <v>0</v>
      </c>
      <c r="H18" s="767">
        <v>0</v>
      </c>
      <c r="I18" s="740">
        <v>0</v>
      </c>
      <c r="J18" s="743">
        <v>0</v>
      </c>
      <c r="K18" s="619">
        <f t="shared" si="4"/>
        <v>0</v>
      </c>
      <c r="L18" s="767">
        <v>0</v>
      </c>
      <c r="M18" s="740">
        <v>0</v>
      </c>
      <c r="N18" s="743">
        <v>0</v>
      </c>
      <c r="O18" s="619">
        <f t="shared" si="5"/>
        <v>0</v>
      </c>
      <c r="P18" s="767">
        <v>0</v>
      </c>
      <c r="Q18" s="740">
        <v>0</v>
      </c>
      <c r="R18" s="743">
        <v>0</v>
      </c>
      <c r="S18" s="619">
        <f t="shared" si="6"/>
        <v>0</v>
      </c>
    </row>
    <row r="19" spans="1:19" x14ac:dyDescent="0.25">
      <c r="A19" s="1937" t="s">
        <v>5</v>
      </c>
      <c r="B19" s="1773" t="s">
        <v>32</v>
      </c>
      <c r="C19" s="1774"/>
      <c r="D19" s="1775">
        <v>1</v>
      </c>
      <c r="E19" s="1776">
        <v>0</v>
      </c>
      <c r="F19" s="1777">
        <v>0</v>
      </c>
      <c r="G19" s="1769">
        <f t="shared" si="3"/>
        <v>1</v>
      </c>
      <c r="H19" s="1775">
        <v>2</v>
      </c>
      <c r="I19" s="1776">
        <v>0</v>
      </c>
      <c r="J19" s="1777">
        <v>0</v>
      </c>
      <c r="K19" s="1769">
        <f t="shared" si="4"/>
        <v>2</v>
      </c>
      <c r="L19" s="1775">
        <v>2</v>
      </c>
      <c r="M19" s="1776">
        <v>0</v>
      </c>
      <c r="N19" s="1777">
        <v>0</v>
      </c>
      <c r="O19" s="1769">
        <f t="shared" si="5"/>
        <v>2</v>
      </c>
      <c r="P19" s="1775">
        <v>4</v>
      </c>
      <c r="Q19" s="1776">
        <v>0</v>
      </c>
      <c r="R19" s="1777">
        <v>0</v>
      </c>
      <c r="S19" s="1769">
        <f t="shared" si="6"/>
        <v>4</v>
      </c>
    </row>
    <row r="20" spans="1:19" x14ac:dyDescent="0.25">
      <c r="A20" s="1937"/>
      <c r="B20" s="19" t="s">
        <v>33</v>
      </c>
      <c r="C20" s="620"/>
      <c r="D20" s="744">
        <v>0</v>
      </c>
      <c r="E20" s="740">
        <v>0</v>
      </c>
      <c r="F20" s="743">
        <v>0</v>
      </c>
      <c r="G20" s="619">
        <f t="shared" si="3"/>
        <v>0</v>
      </c>
      <c r="H20" s="821">
        <v>0</v>
      </c>
      <c r="I20" s="814">
        <v>0</v>
      </c>
      <c r="J20" s="819">
        <v>0</v>
      </c>
      <c r="K20" s="619">
        <f t="shared" si="4"/>
        <v>0</v>
      </c>
      <c r="L20" s="821">
        <v>0</v>
      </c>
      <c r="M20" s="814">
        <v>0</v>
      </c>
      <c r="N20" s="819">
        <v>0</v>
      </c>
      <c r="O20" s="619">
        <f t="shared" si="5"/>
        <v>0</v>
      </c>
      <c r="P20" s="821">
        <v>0</v>
      </c>
      <c r="Q20" s="814">
        <v>0</v>
      </c>
      <c r="R20" s="819">
        <v>0</v>
      </c>
      <c r="S20" s="619">
        <f t="shared" si="6"/>
        <v>0</v>
      </c>
    </row>
    <row r="21" spans="1:19" x14ac:dyDescent="0.25">
      <c r="A21" s="1937"/>
      <c r="B21" s="19" t="s">
        <v>34</v>
      </c>
      <c r="C21" s="620"/>
      <c r="D21" s="744">
        <v>0</v>
      </c>
      <c r="E21" s="740">
        <v>0</v>
      </c>
      <c r="F21" s="743">
        <v>0</v>
      </c>
      <c r="G21" s="619">
        <f t="shared" si="3"/>
        <v>0</v>
      </c>
      <c r="H21" s="821">
        <v>0</v>
      </c>
      <c r="I21" s="814">
        <v>0</v>
      </c>
      <c r="J21" s="819">
        <v>0</v>
      </c>
      <c r="K21" s="619">
        <f t="shared" si="4"/>
        <v>0</v>
      </c>
      <c r="L21" s="821">
        <v>0</v>
      </c>
      <c r="M21" s="814">
        <v>0</v>
      </c>
      <c r="N21" s="819">
        <v>0</v>
      </c>
      <c r="O21" s="619">
        <f t="shared" si="5"/>
        <v>0</v>
      </c>
      <c r="P21" s="821">
        <v>0</v>
      </c>
      <c r="Q21" s="814">
        <v>0</v>
      </c>
      <c r="R21" s="819">
        <v>0</v>
      </c>
      <c r="S21" s="619">
        <f t="shared" si="6"/>
        <v>0</v>
      </c>
    </row>
    <row r="22" spans="1:19" x14ac:dyDescent="0.25">
      <c r="A22" s="1937" t="s">
        <v>6</v>
      </c>
      <c r="B22" s="1773" t="s">
        <v>32</v>
      </c>
      <c r="C22" s="1774"/>
      <c r="D22" s="1768">
        <v>4</v>
      </c>
      <c r="E22" s="1768">
        <v>0</v>
      </c>
      <c r="F22" s="1768">
        <v>0</v>
      </c>
      <c r="G22" s="1769">
        <f t="shared" si="3"/>
        <v>4</v>
      </c>
      <c r="H22" s="1768">
        <v>4</v>
      </c>
      <c r="I22" s="1768">
        <v>0</v>
      </c>
      <c r="J22" s="1768">
        <v>0</v>
      </c>
      <c r="K22" s="1769">
        <f t="shared" si="4"/>
        <v>4</v>
      </c>
      <c r="L22" s="1768">
        <v>4</v>
      </c>
      <c r="M22" s="1768">
        <v>0</v>
      </c>
      <c r="N22" s="1768">
        <v>0</v>
      </c>
      <c r="O22" s="1769">
        <f t="shared" si="5"/>
        <v>4</v>
      </c>
      <c r="P22" s="1768">
        <v>4</v>
      </c>
      <c r="Q22" s="1768">
        <v>0</v>
      </c>
      <c r="R22" s="1768">
        <v>0</v>
      </c>
      <c r="S22" s="1769">
        <f t="shared" si="6"/>
        <v>4</v>
      </c>
    </row>
    <row r="23" spans="1:19" x14ac:dyDescent="0.25">
      <c r="A23" s="1937"/>
      <c r="B23" s="19" t="s">
        <v>33</v>
      </c>
      <c r="C23" s="620"/>
      <c r="D23" s="739">
        <v>1</v>
      </c>
      <c r="E23" s="634">
        <v>0</v>
      </c>
      <c r="F23" s="739">
        <v>0</v>
      </c>
      <c r="G23" s="619">
        <f t="shared" si="3"/>
        <v>1</v>
      </c>
      <c r="H23" s="739">
        <v>1</v>
      </c>
      <c r="I23" s="634">
        <v>0</v>
      </c>
      <c r="J23" s="739">
        <v>0</v>
      </c>
      <c r="K23" s="619">
        <f t="shared" si="4"/>
        <v>1</v>
      </c>
      <c r="L23" s="739">
        <v>2</v>
      </c>
      <c r="M23" s="634">
        <v>0</v>
      </c>
      <c r="N23" s="739">
        <v>0</v>
      </c>
      <c r="O23" s="619">
        <f t="shared" si="5"/>
        <v>2</v>
      </c>
      <c r="P23" s="813">
        <v>2</v>
      </c>
      <c r="Q23" s="634">
        <v>0</v>
      </c>
      <c r="R23" s="739">
        <v>0</v>
      </c>
      <c r="S23" s="619">
        <f t="shared" si="6"/>
        <v>2</v>
      </c>
    </row>
    <row r="24" spans="1:19" x14ac:dyDescent="0.25">
      <c r="A24" s="1937"/>
      <c r="B24" s="19" t="s">
        <v>34</v>
      </c>
      <c r="C24" s="620"/>
      <c r="D24" s="739">
        <v>2</v>
      </c>
      <c r="E24" s="634">
        <v>0</v>
      </c>
      <c r="F24" s="739">
        <v>0</v>
      </c>
      <c r="G24" s="619">
        <f t="shared" si="3"/>
        <v>2</v>
      </c>
      <c r="H24" s="739">
        <v>2</v>
      </c>
      <c r="I24" s="634">
        <v>0</v>
      </c>
      <c r="J24" s="739">
        <v>0</v>
      </c>
      <c r="K24" s="619">
        <f t="shared" si="4"/>
        <v>2</v>
      </c>
      <c r="L24" s="739">
        <v>4</v>
      </c>
      <c r="M24" s="634">
        <v>0</v>
      </c>
      <c r="N24" s="739">
        <v>0</v>
      </c>
      <c r="O24" s="619">
        <f t="shared" si="5"/>
        <v>4</v>
      </c>
      <c r="P24" s="813">
        <v>4</v>
      </c>
      <c r="Q24" s="634">
        <v>0</v>
      </c>
      <c r="R24" s="739">
        <v>0</v>
      </c>
      <c r="S24" s="619">
        <f t="shared" si="6"/>
        <v>4</v>
      </c>
    </row>
    <row r="25" spans="1:19" x14ac:dyDescent="0.25">
      <c r="A25" s="1937" t="s">
        <v>7</v>
      </c>
      <c r="B25" s="1773" t="s">
        <v>32</v>
      </c>
      <c r="C25" s="1774"/>
      <c r="D25" s="1775">
        <v>0</v>
      </c>
      <c r="E25" s="1776">
        <v>0</v>
      </c>
      <c r="F25" s="1777">
        <v>0</v>
      </c>
      <c r="G25" s="1769">
        <f t="shared" si="3"/>
        <v>0</v>
      </c>
      <c r="H25" s="1775">
        <v>0</v>
      </c>
      <c r="I25" s="1776">
        <v>0</v>
      </c>
      <c r="J25" s="1777">
        <v>0</v>
      </c>
      <c r="K25" s="1769">
        <f t="shared" si="4"/>
        <v>0</v>
      </c>
      <c r="L25" s="1775">
        <v>0</v>
      </c>
      <c r="M25" s="1776">
        <v>0</v>
      </c>
      <c r="N25" s="1777">
        <v>0</v>
      </c>
      <c r="O25" s="1769">
        <f t="shared" si="5"/>
        <v>0</v>
      </c>
      <c r="P25" s="1775">
        <v>0</v>
      </c>
      <c r="Q25" s="1776">
        <v>0</v>
      </c>
      <c r="R25" s="1777">
        <v>0</v>
      </c>
      <c r="S25" s="1769">
        <f t="shared" si="6"/>
        <v>0</v>
      </c>
    </row>
    <row r="26" spans="1:19" x14ac:dyDescent="0.25">
      <c r="A26" s="1937"/>
      <c r="B26" s="19" t="s">
        <v>33</v>
      </c>
      <c r="C26" s="620"/>
      <c r="D26" s="744">
        <v>0</v>
      </c>
      <c r="E26" s="740">
        <v>0</v>
      </c>
      <c r="F26" s="743">
        <v>0</v>
      </c>
      <c r="G26" s="619">
        <f t="shared" si="3"/>
        <v>0</v>
      </c>
      <c r="H26" s="744">
        <v>0</v>
      </c>
      <c r="I26" s="740">
        <v>0</v>
      </c>
      <c r="J26" s="743">
        <v>0</v>
      </c>
      <c r="K26" s="619">
        <f t="shared" si="4"/>
        <v>0</v>
      </c>
      <c r="L26" s="744">
        <v>0</v>
      </c>
      <c r="M26" s="740">
        <v>0</v>
      </c>
      <c r="N26" s="743">
        <v>0</v>
      </c>
      <c r="O26" s="619">
        <f t="shared" si="5"/>
        <v>0</v>
      </c>
      <c r="P26" s="744">
        <v>0</v>
      </c>
      <c r="Q26" s="740">
        <v>0</v>
      </c>
      <c r="R26" s="743">
        <v>0</v>
      </c>
      <c r="S26" s="619">
        <f t="shared" si="6"/>
        <v>0</v>
      </c>
    </row>
    <row r="27" spans="1:19" x14ac:dyDescent="0.25">
      <c r="A27" s="1937"/>
      <c r="B27" s="19" t="s">
        <v>34</v>
      </c>
      <c r="C27" s="620"/>
      <c r="D27" s="744">
        <v>0</v>
      </c>
      <c r="E27" s="740">
        <v>0</v>
      </c>
      <c r="F27" s="743">
        <v>0</v>
      </c>
      <c r="G27" s="619">
        <f t="shared" si="3"/>
        <v>0</v>
      </c>
      <c r="H27" s="744">
        <v>0</v>
      </c>
      <c r="I27" s="740">
        <v>0</v>
      </c>
      <c r="J27" s="743">
        <v>0</v>
      </c>
      <c r="K27" s="619">
        <f t="shared" si="4"/>
        <v>0</v>
      </c>
      <c r="L27" s="744">
        <v>0</v>
      </c>
      <c r="M27" s="740">
        <v>0</v>
      </c>
      <c r="N27" s="743">
        <v>0</v>
      </c>
      <c r="O27" s="619">
        <f t="shared" si="5"/>
        <v>0</v>
      </c>
      <c r="P27" s="744">
        <v>0</v>
      </c>
      <c r="Q27" s="740">
        <v>0</v>
      </c>
      <c r="R27" s="743">
        <v>0</v>
      </c>
      <c r="S27" s="619">
        <f t="shared" si="6"/>
        <v>0</v>
      </c>
    </row>
    <row r="28" spans="1:19" x14ac:dyDescent="0.25">
      <c r="A28" s="1937" t="s">
        <v>8</v>
      </c>
      <c r="B28" s="1773" t="s">
        <v>32</v>
      </c>
      <c r="C28" s="1774"/>
      <c r="D28" s="1775">
        <v>2</v>
      </c>
      <c r="E28" s="1776">
        <v>0</v>
      </c>
      <c r="F28" s="1777">
        <v>0</v>
      </c>
      <c r="G28" s="1769">
        <f t="shared" si="3"/>
        <v>2</v>
      </c>
      <c r="H28" s="1775">
        <v>2</v>
      </c>
      <c r="I28" s="1776">
        <v>0</v>
      </c>
      <c r="J28" s="1777">
        <v>0</v>
      </c>
      <c r="K28" s="1769">
        <f t="shared" si="4"/>
        <v>2</v>
      </c>
      <c r="L28" s="1775">
        <v>4</v>
      </c>
      <c r="M28" s="1776">
        <v>0</v>
      </c>
      <c r="N28" s="1777">
        <v>0</v>
      </c>
      <c r="O28" s="1769">
        <f t="shared" si="5"/>
        <v>4</v>
      </c>
      <c r="P28" s="1775">
        <v>4</v>
      </c>
      <c r="Q28" s="1776">
        <v>0</v>
      </c>
      <c r="R28" s="1777">
        <v>0</v>
      </c>
      <c r="S28" s="1769">
        <f t="shared" si="6"/>
        <v>4</v>
      </c>
    </row>
    <row r="29" spans="1:19" x14ac:dyDescent="0.25">
      <c r="A29" s="1937"/>
      <c r="B29" s="19" t="s">
        <v>33</v>
      </c>
      <c r="C29" s="620"/>
      <c r="D29" s="744">
        <v>1</v>
      </c>
      <c r="E29" s="740">
        <v>0</v>
      </c>
      <c r="F29" s="743">
        <v>0</v>
      </c>
      <c r="G29" s="619">
        <f t="shared" si="3"/>
        <v>1</v>
      </c>
      <c r="H29" s="821">
        <v>1</v>
      </c>
      <c r="I29" s="814">
        <v>0</v>
      </c>
      <c r="J29" s="819">
        <v>0</v>
      </c>
      <c r="K29" s="619">
        <f t="shared" si="4"/>
        <v>1</v>
      </c>
      <c r="L29" s="744">
        <v>2</v>
      </c>
      <c r="M29" s="740">
        <v>0</v>
      </c>
      <c r="N29" s="743">
        <v>0</v>
      </c>
      <c r="O29" s="619">
        <f t="shared" si="5"/>
        <v>2</v>
      </c>
      <c r="P29" s="744">
        <v>2</v>
      </c>
      <c r="Q29" s="740">
        <v>0</v>
      </c>
      <c r="R29" s="743">
        <v>0</v>
      </c>
      <c r="S29" s="619">
        <f t="shared" si="6"/>
        <v>2</v>
      </c>
    </row>
    <row r="30" spans="1:19" x14ac:dyDescent="0.25">
      <c r="A30" s="1937"/>
      <c r="B30" s="19" t="s">
        <v>34</v>
      </c>
      <c r="C30" s="620"/>
      <c r="D30" s="744">
        <v>2</v>
      </c>
      <c r="E30" s="740">
        <v>0</v>
      </c>
      <c r="F30" s="743">
        <v>0</v>
      </c>
      <c r="G30" s="619">
        <f t="shared" si="3"/>
        <v>2</v>
      </c>
      <c r="H30" s="821">
        <v>2</v>
      </c>
      <c r="I30" s="814">
        <v>0</v>
      </c>
      <c r="J30" s="819">
        <v>0</v>
      </c>
      <c r="K30" s="619">
        <f t="shared" si="4"/>
        <v>2</v>
      </c>
      <c r="L30" s="744">
        <v>4</v>
      </c>
      <c r="M30" s="740">
        <v>0</v>
      </c>
      <c r="N30" s="743">
        <v>0</v>
      </c>
      <c r="O30" s="619">
        <f t="shared" si="5"/>
        <v>4</v>
      </c>
      <c r="P30" s="744">
        <v>4</v>
      </c>
      <c r="Q30" s="740">
        <v>0</v>
      </c>
      <c r="R30" s="743">
        <v>0</v>
      </c>
      <c r="S30" s="619">
        <f t="shared" si="6"/>
        <v>4</v>
      </c>
    </row>
    <row r="31" spans="1:19" x14ac:dyDescent="0.25">
      <c r="A31" s="2323" t="s">
        <v>9</v>
      </c>
      <c r="B31" s="1773" t="s">
        <v>32</v>
      </c>
      <c r="C31" s="1774"/>
      <c r="D31" s="1775">
        <v>0</v>
      </c>
      <c r="E31" s="1776">
        <v>0</v>
      </c>
      <c r="F31" s="1776">
        <v>0</v>
      </c>
      <c r="G31" s="1769">
        <f t="shared" si="3"/>
        <v>0</v>
      </c>
      <c r="H31" s="1775">
        <v>0</v>
      </c>
      <c r="I31" s="1776">
        <v>0</v>
      </c>
      <c r="J31" s="1776">
        <v>0</v>
      </c>
      <c r="K31" s="1769">
        <f t="shared" si="4"/>
        <v>0</v>
      </c>
      <c r="L31" s="1775">
        <v>0</v>
      </c>
      <c r="M31" s="1776">
        <v>0</v>
      </c>
      <c r="N31" s="1776">
        <v>0</v>
      </c>
      <c r="O31" s="1769">
        <f t="shared" si="5"/>
        <v>0</v>
      </c>
      <c r="P31" s="1775">
        <v>0</v>
      </c>
      <c r="Q31" s="1776">
        <v>0</v>
      </c>
      <c r="R31" s="1776">
        <v>0</v>
      </c>
      <c r="S31" s="1769">
        <f t="shared" si="6"/>
        <v>0</v>
      </c>
    </row>
    <row r="32" spans="1:19" x14ac:dyDescent="0.25">
      <c r="A32" s="2323"/>
      <c r="B32" s="19" t="s">
        <v>33</v>
      </c>
      <c r="C32" s="620"/>
      <c r="D32" s="689">
        <v>0</v>
      </c>
      <c r="E32" s="740">
        <v>0</v>
      </c>
      <c r="F32" s="740">
        <v>0</v>
      </c>
      <c r="G32" s="619">
        <f t="shared" si="3"/>
        <v>0</v>
      </c>
      <c r="H32" s="689">
        <v>0</v>
      </c>
      <c r="I32" s="740">
        <v>0</v>
      </c>
      <c r="J32" s="740">
        <v>0</v>
      </c>
      <c r="K32" s="619">
        <f t="shared" si="4"/>
        <v>0</v>
      </c>
      <c r="L32" s="689">
        <v>0</v>
      </c>
      <c r="M32" s="740">
        <v>0</v>
      </c>
      <c r="N32" s="740">
        <v>0</v>
      </c>
      <c r="O32" s="619">
        <f t="shared" si="5"/>
        <v>0</v>
      </c>
      <c r="P32" s="689">
        <v>0</v>
      </c>
      <c r="Q32" s="740">
        <v>0</v>
      </c>
      <c r="R32" s="740">
        <v>0</v>
      </c>
      <c r="S32" s="619">
        <f t="shared" si="6"/>
        <v>0</v>
      </c>
    </row>
    <row r="33" spans="1:19" x14ac:dyDescent="0.25">
      <c r="A33" s="2323"/>
      <c r="B33" s="19" t="s">
        <v>34</v>
      </c>
      <c r="C33" s="620"/>
      <c r="D33" s="689">
        <v>0</v>
      </c>
      <c r="E33" s="740">
        <v>0</v>
      </c>
      <c r="F33" s="740">
        <v>0</v>
      </c>
      <c r="G33" s="619">
        <f t="shared" si="3"/>
        <v>0</v>
      </c>
      <c r="H33" s="689">
        <v>0</v>
      </c>
      <c r="I33" s="740">
        <v>0</v>
      </c>
      <c r="J33" s="740">
        <v>0</v>
      </c>
      <c r="K33" s="619">
        <f t="shared" si="4"/>
        <v>0</v>
      </c>
      <c r="L33" s="689">
        <v>0</v>
      </c>
      <c r="M33" s="740">
        <v>0</v>
      </c>
      <c r="N33" s="740">
        <v>0</v>
      </c>
      <c r="O33" s="619">
        <f t="shared" si="5"/>
        <v>0</v>
      </c>
      <c r="P33" s="689">
        <v>0</v>
      </c>
      <c r="Q33" s="740">
        <v>0</v>
      </c>
      <c r="R33" s="740">
        <v>0</v>
      </c>
      <c r="S33" s="619">
        <f t="shared" si="6"/>
        <v>0</v>
      </c>
    </row>
    <row r="34" spans="1:19" x14ac:dyDescent="0.25">
      <c r="A34" s="1937" t="s">
        <v>10</v>
      </c>
      <c r="B34" s="1773" t="s">
        <v>32</v>
      </c>
      <c r="C34" s="1774"/>
      <c r="D34" s="1775">
        <v>0</v>
      </c>
      <c r="E34" s="1776">
        <v>0</v>
      </c>
      <c r="F34" s="1776">
        <v>0</v>
      </c>
      <c r="G34" s="1769">
        <f t="shared" si="3"/>
        <v>0</v>
      </c>
      <c r="H34" s="1775">
        <v>0</v>
      </c>
      <c r="I34" s="1776">
        <v>0</v>
      </c>
      <c r="J34" s="1776">
        <v>0</v>
      </c>
      <c r="K34" s="1769">
        <f t="shared" si="4"/>
        <v>0</v>
      </c>
      <c r="L34" s="1775">
        <v>0</v>
      </c>
      <c r="M34" s="1776">
        <v>0</v>
      </c>
      <c r="N34" s="1776">
        <v>0</v>
      </c>
      <c r="O34" s="1769">
        <f t="shared" si="5"/>
        <v>0</v>
      </c>
      <c r="P34" s="1775">
        <v>0</v>
      </c>
      <c r="Q34" s="1776">
        <v>0</v>
      </c>
      <c r="R34" s="1776">
        <v>0</v>
      </c>
      <c r="S34" s="1769">
        <f t="shared" si="6"/>
        <v>0</v>
      </c>
    </row>
    <row r="35" spans="1:19" x14ac:dyDescent="0.25">
      <c r="A35" s="1937"/>
      <c r="B35" s="19" t="s">
        <v>33</v>
      </c>
      <c r="C35" s="620"/>
      <c r="D35" s="689">
        <v>0</v>
      </c>
      <c r="E35" s="740">
        <v>0</v>
      </c>
      <c r="F35" s="740">
        <v>0</v>
      </c>
      <c r="G35" s="619">
        <f t="shared" si="3"/>
        <v>0</v>
      </c>
      <c r="H35" s="689">
        <v>0</v>
      </c>
      <c r="I35" s="740">
        <v>0</v>
      </c>
      <c r="J35" s="740">
        <v>0</v>
      </c>
      <c r="K35" s="619">
        <f t="shared" si="4"/>
        <v>0</v>
      </c>
      <c r="L35" s="689">
        <v>0</v>
      </c>
      <c r="M35" s="740">
        <v>0</v>
      </c>
      <c r="N35" s="740">
        <v>0</v>
      </c>
      <c r="O35" s="619">
        <f t="shared" si="5"/>
        <v>0</v>
      </c>
      <c r="P35" s="689">
        <v>0</v>
      </c>
      <c r="Q35" s="740">
        <v>0</v>
      </c>
      <c r="R35" s="740">
        <v>0</v>
      </c>
      <c r="S35" s="619">
        <f t="shared" si="6"/>
        <v>0</v>
      </c>
    </row>
    <row r="36" spans="1:19" ht="15.75" thickBot="1" x14ac:dyDescent="0.3">
      <c r="A36" s="1938"/>
      <c r="B36" s="13" t="s">
        <v>34</v>
      </c>
      <c r="C36" s="624"/>
      <c r="D36" s="689">
        <v>0</v>
      </c>
      <c r="E36" s="740">
        <v>0</v>
      </c>
      <c r="F36" s="740">
        <v>0</v>
      </c>
      <c r="G36" s="77">
        <f t="shared" si="3"/>
        <v>0</v>
      </c>
      <c r="H36" s="689">
        <v>0</v>
      </c>
      <c r="I36" s="740">
        <v>0</v>
      </c>
      <c r="J36" s="740">
        <v>0</v>
      </c>
      <c r="K36" s="77">
        <f t="shared" si="4"/>
        <v>0</v>
      </c>
      <c r="L36" s="689">
        <v>0</v>
      </c>
      <c r="M36" s="740">
        <v>0</v>
      </c>
      <c r="N36" s="740">
        <v>0</v>
      </c>
      <c r="O36" s="77">
        <f t="shared" si="5"/>
        <v>0</v>
      </c>
      <c r="P36" s="689">
        <v>0</v>
      </c>
      <c r="Q36" s="740">
        <v>0</v>
      </c>
      <c r="R36" s="740">
        <v>0</v>
      </c>
      <c r="S36" s="77">
        <f t="shared" si="6"/>
        <v>0</v>
      </c>
    </row>
    <row r="37" spans="1:19" ht="16.5" thickBot="1" x14ac:dyDescent="0.3">
      <c r="A37" s="330" t="s">
        <v>11</v>
      </c>
      <c r="B37" s="329"/>
      <c r="C37" s="329"/>
      <c r="D37" s="329"/>
      <c r="E37" s="329"/>
      <c r="F37" s="327"/>
      <c r="G37" s="327"/>
      <c r="H37" s="329"/>
      <c r="I37" s="329"/>
      <c r="J37" s="327"/>
      <c r="K37" s="327"/>
      <c r="L37" s="329"/>
      <c r="M37" s="329"/>
      <c r="N37" s="327"/>
      <c r="O37" s="327"/>
      <c r="P37" s="329"/>
      <c r="Q37" s="329"/>
      <c r="R37" s="327"/>
      <c r="S37" s="396"/>
    </row>
    <row r="38" spans="1:19" x14ac:dyDescent="0.25">
      <c r="A38" s="1932" t="s">
        <v>12</v>
      </c>
      <c r="B38" s="1764" t="s">
        <v>32</v>
      </c>
      <c r="C38" s="1765"/>
      <c r="D38" s="1766">
        <v>4</v>
      </c>
      <c r="E38" s="1766">
        <v>0</v>
      </c>
      <c r="F38" s="1766">
        <v>0</v>
      </c>
      <c r="G38" s="1767">
        <f t="shared" si="3"/>
        <v>4</v>
      </c>
      <c r="H38" s="1766">
        <v>4</v>
      </c>
      <c r="I38" s="1766">
        <v>0</v>
      </c>
      <c r="J38" s="1766">
        <v>0</v>
      </c>
      <c r="K38" s="1767">
        <f xml:space="preserve"> SUM(H38:J38) + $C38</f>
        <v>4</v>
      </c>
      <c r="L38" s="1766">
        <v>8</v>
      </c>
      <c r="M38" s="1766">
        <v>0</v>
      </c>
      <c r="N38" s="1766">
        <v>0</v>
      </c>
      <c r="O38" s="1767">
        <f xml:space="preserve"> SUM(L38:N38) + $C38</f>
        <v>8</v>
      </c>
      <c r="P38" s="1766">
        <v>8</v>
      </c>
      <c r="Q38" s="1766">
        <v>0</v>
      </c>
      <c r="R38" s="1766">
        <v>0</v>
      </c>
      <c r="S38" s="1767">
        <f xml:space="preserve"> SUM(P38:R38) + $C38</f>
        <v>8</v>
      </c>
    </row>
    <row r="39" spans="1:19" x14ac:dyDescent="0.25">
      <c r="A39" s="1932"/>
      <c r="B39" s="19" t="s">
        <v>33</v>
      </c>
      <c r="C39" s="620"/>
      <c r="D39" s="739">
        <v>2</v>
      </c>
      <c r="E39" s="756">
        <v>0</v>
      </c>
      <c r="F39" s="739">
        <v>0</v>
      </c>
      <c r="G39" s="619">
        <f t="shared" si="3"/>
        <v>2</v>
      </c>
      <c r="H39" s="813">
        <v>2</v>
      </c>
      <c r="I39" s="756">
        <v>0</v>
      </c>
      <c r="J39" s="739">
        <v>0</v>
      </c>
      <c r="K39" s="619">
        <f xml:space="preserve"> SUM(H39:J39) + $C39</f>
        <v>2</v>
      </c>
      <c r="L39" s="739">
        <v>4</v>
      </c>
      <c r="M39" s="756">
        <v>0</v>
      </c>
      <c r="N39" s="739">
        <v>0</v>
      </c>
      <c r="O39" s="619">
        <f xml:space="preserve"> SUM(L39:N39) + $C39</f>
        <v>4</v>
      </c>
      <c r="P39" s="739">
        <v>4</v>
      </c>
      <c r="Q39" s="756">
        <v>0</v>
      </c>
      <c r="R39" s="739">
        <v>0</v>
      </c>
      <c r="S39" s="619">
        <f xml:space="preserve"> SUM(P39:R39) + $C39</f>
        <v>4</v>
      </c>
    </row>
    <row r="40" spans="1:19" ht="15.75" thickBot="1" x14ac:dyDescent="0.3">
      <c r="A40" s="1932"/>
      <c r="B40" s="13" t="s">
        <v>34</v>
      </c>
      <c r="C40" s="624"/>
      <c r="D40" s="759">
        <v>4</v>
      </c>
      <c r="E40" s="756">
        <v>0</v>
      </c>
      <c r="F40" s="759">
        <v>0</v>
      </c>
      <c r="G40" s="77">
        <f t="shared" si="3"/>
        <v>4</v>
      </c>
      <c r="H40" s="832">
        <v>4</v>
      </c>
      <c r="I40" s="756">
        <v>0</v>
      </c>
      <c r="J40" s="759">
        <v>0</v>
      </c>
      <c r="K40" s="77">
        <f xml:space="preserve"> SUM(H40:J40) + $C40</f>
        <v>4</v>
      </c>
      <c r="L40" s="759">
        <v>6</v>
      </c>
      <c r="M40" s="756">
        <v>0</v>
      </c>
      <c r="N40" s="759">
        <v>0</v>
      </c>
      <c r="O40" s="77">
        <f xml:space="preserve"> SUM(L40:N40) + $C40</f>
        <v>6</v>
      </c>
      <c r="P40" s="759">
        <v>6</v>
      </c>
      <c r="Q40" s="756">
        <v>0</v>
      </c>
      <c r="R40" s="759">
        <v>0</v>
      </c>
      <c r="S40" s="77">
        <f xml:space="preserve"> SUM(P40:R40) + $C40</f>
        <v>6</v>
      </c>
    </row>
    <row r="41" spans="1:19" ht="16.5" thickBot="1" x14ac:dyDescent="0.3">
      <c r="A41" s="330" t="s">
        <v>13</v>
      </c>
      <c r="B41" s="329"/>
      <c r="C41" s="329"/>
      <c r="D41" s="329"/>
      <c r="E41" s="329"/>
      <c r="F41" s="327"/>
      <c r="G41" s="327"/>
      <c r="H41" s="329"/>
      <c r="I41" s="329"/>
      <c r="J41" s="327"/>
      <c r="K41" s="327"/>
      <c r="L41" s="329"/>
      <c r="M41" s="329"/>
      <c r="N41" s="327"/>
      <c r="O41" s="327"/>
      <c r="P41" s="329"/>
      <c r="Q41" s="329"/>
      <c r="R41" s="327"/>
      <c r="S41" s="396"/>
    </row>
    <row r="42" spans="1:19" x14ac:dyDescent="0.25">
      <c r="A42" s="1932" t="s">
        <v>14</v>
      </c>
      <c r="B42" s="1764" t="s">
        <v>32</v>
      </c>
      <c r="C42" s="1765"/>
      <c r="D42" s="1775">
        <v>0.5</v>
      </c>
      <c r="E42" s="1776">
        <v>0</v>
      </c>
      <c r="F42" s="1777">
        <v>0</v>
      </c>
      <c r="G42" s="1767">
        <f t="shared" si="3"/>
        <v>0.5</v>
      </c>
      <c r="H42" s="1775">
        <v>0.5</v>
      </c>
      <c r="I42" s="1776">
        <v>0</v>
      </c>
      <c r="J42" s="1777">
        <v>0</v>
      </c>
      <c r="K42" s="1767">
        <f t="shared" ref="K42:K86" si="7" xml:space="preserve"> SUM(H42:J42) + $C42</f>
        <v>0.5</v>
      </c>
      <c r="L42" s="1775">
        <v>2</v>
      </c>
      <c r="M42" s="1776">
        <v>0</v>
      </c>
      <c r="N42" s="1777">
        <v>0</v>
      </c>
      <c r="O42" s="1767">
        <f t="shared" ref="O42:O86" si="8" xml:space="preserve"> SUM(L42:N42) + $C42</f>
        <v>2</v>
      </c>
      <c r="P42" s="1775">
        <v>4</v>
      </c>
      <c r="Q42" s="1776">
        <v>0</v>
      </c>
      <c r="R42" s="1777">
        <v>0</v>
      </c>
      <c r="S42" s="1767">
        <f t="shared" ref="S42:S86" si="9" xml:space="preserve"> SUM(P42:R42) + $C42</f>
        <v>4</v>
      </c>
    </row>
    <row r="43" spans="1:19" x14ac:dyDescent="0.25">
      <c r="A43" s="1932"/>
      <c r="B43" s="19" t="s">
        <v>33</v>
      </c>
      <c r="C43" s="620"/>
      <c r="D43" s="744">
        <v>0</v>
      </c>
      <c r="E43" s="740">
        <v>0</v>
      </c>
      <c r="F43" s="743">
        <v>0</v>
      </c>
      <c r="G43" s="619">
        <f t="shared" si="3"/>
        <v>0</v>
      </c>
      <c r="H43" s="821">
        <v>0</v>
      </c>
      <c r="I43" s="814">
        <v>0</v>
      </c>
      <c r="J43" s="819">
        <v>0</v>
      </c>
      <c r="K43" s="619">
        <f t="shared" si="7"/>
        <v>0</v>
      </c>
      <c r="L43" s="821">
        <v>0</v>
      </c>
      <c r="M43" s="814">
        <v>0</v>
      </c>
      <c r="N43" s="819">
        <v>0</v>
      </c>
      <c r="O43" s="619">
        <f t="shared" si="8"/>
        <v>0</v>
      </c>
      <c r="P43" s="821">
        <v>0</v>
      </c>
      <c r="Q43" s="814">
        <v>0</v>
      </c>
      <c r="R43" s="819">
        <v>0</v>
      </c>
      <c r="S43" s="619">
        <f t="shared" si="9"/>
        <v>0</v>
      </c>
    </row>
    <row r="44" spans="1:19" x14ac:dyDescent="0.25">
      <c r="A44" s="1932"/>
      <c r="B44" s="19" t="s">
        <v>34</v>
      </c>
      <c r="C44" s="620"/>
      <c r="D44" s="744">
        <v>0</v>
      </c>
      <c r="E44" s="740">
        <v>0</v>
      </c>
      <c r="F44" s="743">
        <v>0</v>
      </c>
      <c r="G44" s="619">
        <f t="shared" si="3"/>
        <v>0</v>
      </c>
      <c r="H44" s="821">
        <v>0</v>
      </c>
      <c r="I44" s="814">
        <v>0</v>
      </c>
      <c r="J44" s="819">
        <v>0</v>
      </c>
      <c r="K44" s="619">
        <f t="shared" si="7"/>
        <v>0</v>
      </c>
      <c r="L44" s="821">
        <v>0</v>
      </c>
      <c r="M44" s="814">
        <v>0</v>
      </c>
      <c r="N44" s="819">
        <v>0</v>
      </c>
      <c r="O44" s="619">
        <f t="shared" si="8"/>
        <v>0</v>
      </c>
      <c r="P44" s="821">
        <v>0</v>
      </c>
      <c r="Q44" s="814">
        <v>0</v>
      </c>
      <c r="R44" s="819">
        <v>0</v>
      </c>
      <c r="S44" s="619">
        <f t="shared" si="9"/>
        <v>0</v>
      </c>
    </row>
    <row r="45" spans="1:19" x14ac:dyDescent="0.25">
      <c r="A45" s="1933" t="s">
        <v>15</v>
      </c>
      <c r="B45" s="1773" t="s">
        <v>32</v>
      </c>
      <c r="C45" s="1774"/>
      <c r="D45" s="1775">
        <v>4</v>
      </c>
      <c r="E45" s="1776">
        <v>0</v>
      </c>
      <c r="F45" s="1776">
        <v>0</v>
      </c>
      <c r="G45" s="1769">
        <f t="shared" si="3"/>
        <v>4</v>
      </c>
      <c r="H45" s="1775">
        <v>4</v>
      </c>
      <c r="I45" s="1776">
        <v>0</v>
      </c>
      <c r="J45" s="1776">
        <v>0</v>
      </c>
      <c r="K45" s="1769">
        <f t="shared" si="7"/>
        <v>4</v>
      </c>
      <c r="L45" s="1775">
        <v>20</v>
      </c>
      <c r="M45" s="1776">
        <v>0</v>
      </c>
      <c r="N45" s="1776">
        <v>0</v>
      </c>
      <c r="O45" s="1769">
        <f t="shared" si="8"/>
        <v>20</v>
      </c>
      <c r="P45" s="1775">
        <v>20</v>
      </c>
      <c r="Q45" s="1776">
        <v>0</v>
      </c>
      <c r="R45" s="1776">
        <v>0</v>
      </c>
      <c r="S45" s="1769">
        <f t="shared" si="9"/>
        <v>20</v>
      </c>
    </row>
    <row r="46" spans="1:19" x14ac:dyDescent="0.25">
      <c r="A46" s="1933"/>
      <c r="B46" s="19" t="s">
        <v>33</v>
      </c>
      <c r="C46" s="620"/>
      <c r="D46" s="744">
        <v>2</v>
      </c>
      <c r="E46" s="740">
        <v>0</v>
      </c>
      <c r="F46" s="740">
        <v>0</v>
      </c>
      <c r="G46" s="619">
        <f t="shared" si="3"/>
        <v>2</v>
      </c>
      <c r="H46" s="821">
        <v>2</v>
      </c>
      <c r="I46" s="814">
        <v>0</v>
      </c>
      <c r="J46" s="814">
        <v>0</v>
      </c>
      <c r="K46" s="619">
        <f t="shared" si="7"/>
        <v>2</v>
      </c>
      <c r="L46" s="744">
        <v>8</v>
      </c>
      <c r="M46" s="740">
        <v>0</v>
      </c>
      <c r="N46" s="740">
        <v>0</v>
      </c>
      <c r="O46" s="619">
        <f t="shared" si="8"/>
        <v>8</v>
      </c>
      <c r="P46" s="821">
        <v>8</v>
      </c>
      <c r="Q46" s="740">
        <v>0</v>
      </c>
      <c r="R46" s="740">
        <v>0</v>
      </c>
      <c r="S46" s="619">
        <f t="shared" si="9"/>
        <v>8</v>
      </c>
    </row>
    <row r="47" spans="1:19" x14ac:dyDescent="0.25">
      <c r="A47" s="1933"/>
      <c r="B47" s="19" t="s">
        <v>34</v>
      </c>
      <c r="C47" s="620"/>
      <c r="D47" s="744">
        <v>4</v>
      </c>
      <c r="E47" s="740">
        <v>0</v>
      </c>
      <c r="F47" s="740">
        <v>0</v>
      </c>
      <c r="G47" s="619">
        <f t="shared" si="3"/>
        <v>4</v>
      </c>
      <c r="H47" s="821">
        <v>4</v>
      </c>
      <c r="I47" s="814">
        <v>0</v>
      </c>
      <c r="J47" s="814">
        <v>0</v>
      </c>
      <c r="K47" s="619">
        <f t="shared" si="7"/>
        <v>4</v>
      </c>
      <c r="L47" s="744">
        <v>12</v>
      </c>
      <c r="M47" s="740">
        <v>0</v>
      </c>
      <c r="N47" s="740">
        <v>0</v>
      </c>
      <c r="O47" s="619">
        <f t="shared" si="8"/>
        <v>12</v>
      </c>
      <c r="P47" s="821">
        <v>12</v>
      </c>
      <c r="Q47" s="740">
        <v>0</v>
      </c>
      <c r="R47" s="740">
        <v>0</v>
      </c>
      <c r="S47" s="619">
        <f t="shared" si="9"/>
        <v>12</v>
      </c>
    </row>
    <row r="48" spans="1:19" x14ac:dyDescent="0.25">
      <c r="A48" s="1933" t="s">
        <v>16</v>
      </c>
      <c r="B48" s="1773" t="s">
        <v>32</v>
      </c>
      <c r="C48" s="1774"/>
      <c r="D48" s="1776">
        <v>0</v>
      </c>
      <c r="E48" s="1776">
        <v>0</v>
      </c>
      <c r="F48" s="1777">
        <v>0</v>
      </c>
      <c r="G48" s="1769">
        <f t="shared" si="3"/>
        <v>0</v>
      </c>
      <c r="H48" s="1776">
        <v>0</v>
      </c>
      <c r="I48" s="1776">
        <v>0</v>
      </c>
      <c r="J48" s="1777">
        <v>0</v>
      </c>
      <c r="K48" s="1769">
        <f t="shared" si="7"/>
        <v>0</v>
      </c>
      <c r="L48" s="1776">
        <v>0</v>
      </c>
      <c r="M48" s="1776">
        <v>0</v>
      </c>
      <c r="N48" s="1777">
        <v>0</v>
      </c>
      <c r="O48" s="1769">
        <f t="shared" si="8"/>
        <v>0</v>
      </c>
      <c r="P48" s="1776">
        <v>0</v>
      </c>
      <c r="Q48" s="1776">
        <v>0</v>
      </c>
      <c r="R48" s="1777">
        <v>0</v>
      </c>
      <c r="S48" s="1769">
        <f t="shared" si="9"/>
        <v>0</v>
      </c>
    </row>
    <row r="49" spans="1:19" x14ac:dyDescent="0.25">
      <c r="A49" s="1933"/>
      <c r="B49" s="19" t="s">
        <v>33</v>
      </c>
      <c r="C49" s="620"/>
      <c r="D49" s="740">
        <v>0</v>
      </c>
      <c r="E49" s="740">
        <v>0</v>
      </c>
      <c r="F49" s="743">
        <v>0</v>
      </c>
      <c r="G49" s="619">
        <f t="shared" si="3"/>
        <v>0</v>
      </c>
      <c r="H49" s="740">
        <v>0</v>
      </c>
      <c r="I49" s="740">
        <v>0</v>
      </c>
      <c r="J49" s="743">
        <v>0</v>
      </c>
      <c r="K49" s="619">
        <f t="shared" si="7"/>
        <v>0</v>
      </c>
      <c r="L49" s="740">
        <v>0</v>
      </c>
      <c r="M49" s="740">
        <v>0</v>
      </c>
      <c r="N49" s="743">
        <v>0</v>
      </c>
      <c r="O49" s="619">
        <f t="shared" si="8"/>
        <v>0</v>
      </c>
      <c r="P49" s="740">
        <v>0</v>
      </c>
      <c r="Q49" s="740">
        <v>0</v>
      </c>
      <c r="R49" s="743">
        <v>0</v>
      </c>
      <c r="S49" s="619">
        <f t="shared" si="9"/>
        <v>0</v>
      </c>
    </row>
    <row r="50" spans="1:19" x14ac:dyDescent="0.25">
      <c r="A50" s="1933"/>
      <c r="B50" s="19" t="s">
        <v>34</v>
      </c>
      <c r="C50" s="620"/>
      <c r="D50" s="740">
        <v>0</v>
      </c>
      <c r="E50" s="740">
        <v>0</v>
      </c>
      <c r="F50" s="743">
        <v>0</v>
      </c>
      <c r="G50" s="619">
        <f t="shared" si="3"/>
        <v>0</v>
      </c>
      <c r="H50" s="740">
        <v>0</v>
      </c>
      <c r="I50" s="740">
        <v>0</v>
      </c>
      <c r="J50" s="743">
        <v>0</v>
      </c>
      <c r="K50" s="619">
        <f t="shared" si="7"/>
        <v>0</v>
      </c>
      <c r="L50" s="740">
        <v>0</v>
      </c>
      <c r="M50" s="740">
        <v>0</v>
      </c>
      <c r="N50" s="743">
        <v>0</v>
      </c>
      <c r="O50" s="619">
        <f t="shared" si="8"/>
        <v>0</v>
      </c>
      <c r="P50" s="740">
        <v>0</v>
      </c>
      <c r="Q50" s="740">
        <v>0</v>
      </c>
      <c r="R50" s="743">
        <v>0</v>
      </c>
      <c r="S50" s="619">
        <f t="shared" si="9"/>
        <v>0</v>
      </c>
    </row>
    <row r="51" spans="1:19" x14ac:dyDescent="0.25">
      <c r="A51" s="1933" t="s">
        <v>17</v>
      </c>
      <c r="B51" s="1773" t="s">
        <v>32</v>
      </c>
      <c r="C51" s="1774"/>
      <c r="D51" s="1776">
        <v>0</v>
      </c>
      <c r="E51" s="1776">
        <v>0</v>
      </c>
      <c r="F51" s="1776">
        <v>0</v>
      </c>
      <c r="G51" s="1769">
        <f t="shared" si="3"/>
        <v>0</v>
      </c>
      <c r="H51" s="1776">
        <v>0</v>
      </c>
      <c r="I51" s="1776">
        <v>0</v>
      </c>
      <c r="J51" s="1776">
        <v>0</v>
      </c>
      <c r="K51" s="1769">
        <f t="shared" si="7"/>
        <v>0</v>
      </c>
      <c r="L51" s="1776">
        <v>0</v>
      </c>
      <c r="M51" s="1776">
        <v>0</v>
      </c>
      <c r="N51" s="1776">
        <v>0</v>
      </c>
      <c r="O51" s="1769">
        <f t="shared" si="8"/>
        <v>0</v>
      </c>
      <c r="P51" s="1776">
        <v>0</v>
      </c>
      <c r="Q51" s="1776">
        <v>0</v>
      </c>
      <c r="R51" s="1776">
        <v>0</v>
      </c>
      <c r="S51" s="1769">
        <f t="shared" si="9"/>
        <v>0</v>
      </c>
    </row>
    <row r="52" spans="1:19" x14ac:dyDescent="0.25">
      <c r="A52" s="1933"/>
      <c r="B52" s="19" t="s">
        <v>33</v>
      </c>
      <c r="C52" s="620"/>
      <c r="D52" s="740">
        <v>0</v>
      </c>
      <c r="E52" s="740">
        <v>0</v>
      </c>
      <c r="F52" s="740">
        <v>0</v>
      </c>
      <c r="G52" s="619">
        <f t="shared" si="3"/>
        <v>0</v>
      </c>
      <c r="H52" s="740">
        <v>0</v>
      </c>
      <c r="I52" s="740">
        <v>0</v>
      </c>
      <c r="J52" s="740">
        <v>0</v>
      </c>
      <c r="K52" s="619">
        <f t="shared" si="7"/>
        <v>0</v>
      </c>
      <c r="L52" s="740">
        <v>0</v>
      </c>
      <c r="M52" s="740">
        <v>0</v>
      </c>
      <c r="N52" s="740">
        <v>0</v>
      </c>
      <c r="O52" s="619">
        <f t="shared" si="8"/>
        <v>0</v>
      </c>
      <c r="P52" s="740">
        <v>0</v>
      </c>
      <c r="Q52" s="740">
        <v>0</v>
      </c>
      <c r="R52" s="740">
        <v>0</v>
      </c>
      <c r="S52" s="619">
        <f t="shared" si="9"/>
        <v>0</v>
      </c>
    </row>
    <row r="53" spans="1:19" x14ac:dyDescent="0.25">
      <c r="A53" s="1933"/>
      <c r="B53" s="19" t="s">
        <v>34</v>
      </c>
      <c r="C53" s="620"/>
      <c r="D53" s="740">
        <v>0</v>
      </c>
      <c r="E53" s="740">
        <v>0</v>
      </c>
      <c r="F53" s="740">
        <v>0</v>
      </c>
      <c r="G53" s="619">
        <f t="shared" si="3"/>
        <v>0</v>
      </c>
      <c r="H53" s="740">
        <v>0</v>
      </c>
      <c r="I53" s="740">
        <v>0</v>
      </c>
      <c r="J53" s="740">
        <v>0</v>
      </c>
      <c r="K53" s="619">
        <f t="shared" si="7"/>
        <v>0</v>
      </c>
      <c r="L53" s="740">
        <v>0</v>
      </c>
      <c r="M53" s="740">
        <v>0</v>
      </c>
      <c r="N53" s="740">
        <v>0</v>
      </c>
      <c r="O53" s="619">
        <f t="shared" si="8"/>
        <v>0</v>
      </c>
      <c r="P53" s="740">
        <v>0</v>
      </c>
      <c r="Q53" s="740">
        <v>0</v>
      </c>
      <c r="R53" s="740">
        <v>0</v>
      </c>
      <c r="S53" s="619">
        <f t="shared" si="9"/>
        <v>0</v>
      </c>
    </row>
    <row r="54" spans="1:19" x14ac:dyDescent="0.25">
      <c r="A54" s="1933" t="s">
        <v>18</v>
      </c>
      <c r="B54" s="1773" t="s">
        <v>32</v>
      </c>
      <c r="C54" s="1774"/>
      <c r="D54" s="1776">
        <v>0</v>
      </c>
      <c r="E54" s="1776">
        <v>0</v>
      </c>
      <c r="F54" s="1776">
        <v>0</v>
      </c>
      <c r="G54" s="1769">
        <f t="shared" si="3"/>
        <v>0</v>
      </c>
      <c r="H54" s="1776">
        <v>0</v>
      </c>
      <c r="I54" s="1776">
        <v>0</v>
      </c>
      <c r="J54" s="1776">
        <v>0</v>
      </c>
      <c r="K54" s="1769">
        <f t="shared" si="7"/>
        <v>0</v>
      </c>
      <c r="L54" s="1776">
        <v>0</v>
      </c>
      <c r="M54" s="1776">
        <v>0</v>
      </c>
      <c r="N54" s="1776">
        <v>0</v>
      </c>
      <c r="O54" s="1769">
        <f t="shared" si="8"/>
        <v>0</v>
      </c>
      <c r="P54" s="1776">
        <v>0</v>
      </c>
      <c r="Q54" s="1776">
        <v>0</v>
      </c>
      <c r="R54" s="1776">
        <v>0</v>
      </c>
      <c r="S54" s="1769">
        <f t="shared" si="9"/>
        <v>0</v>
      </c>
    </row>
    <row r="55" spans="1:19" x14ac:dyDescent="0.25">
      <c r="A55" s="1933"/>
      <c r="B55" s="19" t="s">
        <v>33</v>
      </c>
      <c r="C55" s="620"/>
      <c r="D55" s="740">
        <v>0</v>
      </c>
      <c r="E55" s="740">
        <v>0</v>
      </c>
      <c r="F55" s="740">
        <v>0</v>
      </c>
      <c r="G55" s="619">
        <f t="shared" si="3"/>
        <v>0</v>
      </c>
      <c r="H55" s="740">
        <v>0</v>
      </c>
      <c r="I55" s="740">
        <v>0</v>
      </c>
      <c r="J55" s="740">
        <v>0</v>
      </c>
      <c r="K55" s="619">
        <f t="shared" si="7"/>
        <v>0</v>
      </c>
      <c r="L55" s="740">
        <v>0</v>
      </c>
      <c r="M55" s="740">
        <v>0</v>
      </c>
      <c r="N55" s="740">
        <v>0</v>
      </c>
      <c r="O55" s="619">
        <f t="shared" si="8"/>
        <v>0</v>
      </c>
      <c r="P55" s="740">
        <v>0</v>
      </c>
      <c r="Q55" s="740">
        <v>0</v>
      </c>
      <c r="R55" s="740">
        <v>0</v>
      </c>
      <c r="S55" s="619">
        <f t="shared" si="9"/>
        <v>0</v>
      </c>
    </row>
    <row r="56" spans="1:19" x14ac:dyDescent="0.25">
      <c r="A56" s="1933"/>
      <c r="B56" s="19" t="s">
        <v>34</v>
      </c>
      <c r="C56" s="620"/>
      <c r="D56" s="740">
        <v>0</v>
      </c>
      <c r="E56" s="740">
        <v>0</v>
      </c>
      <c r="F56" s="740">
        <v>0</v>
      </c>
      <c r="G56" s="619">
        <f t="shared" si="3"/>
        <v>0</v>
      </c>
      <c r="H56" s="740">
        <v>0</v>
      </c>
      <c r="I56" s="740">
        <v>0</v>
      </c>
      <c r="J56" s="740">
        <v>0</v>
      </c>
      <c r="K56" s="619">
        <f t="shared" si="7"/>
        <v>0</v>
      </c>
      <c r="L56" s="740">
        <v>0</v>
      </c>
      <c r="M56" s="740">
        <v>0</v>
      </c>
      <c r="N56" s="740">
        <v>0</v>
      </c>
      <c r="O56" s="619">
        <f t="shared" si="8"/>
        <v>0</v>
      </c>
      <c r="P56" s="740">
        <v>0</v>
      </c>
      <c r="Q56" s="740">
        <v>0</v>
      </c>
      <c r="R56" s="740">
        <v>0</v>
      </c>
      <c r="S56" s="619">
        <f t="shared" si="9"/>
        <v>0</v>
      </c>
    </row>
    <row r="57" spans="1:19" x14ac:dyDescent="0.25">
      <c r="A57" s="1933" t="s">
        <v>19</v>
      </c>
      <c r="B57" s="1773" t="s">
        <v>32</v>
      </c>
      <c r="C57" s="1774"/>
      <c r="D57" s="1775">
        <v>0.5</v>
      </c>
      <c r="E57" s="1776">
        <v>0</v>
      </c>
      <c r="F57" s="1776">
        <v>0</v>
      </c>
      <c r="G57" s="1769">
        <f t="shared" si="3"/>
        <v>0.5</v>
      </c>
      <c r="H57" s="1775">
        <v>0.5</v>
      </c>
      <c r="I57" s="1776">
        <v>0</v>
      </c>
      <c r="J57" s="1776">
        <v>0</v>
      </c>
      <c r="K57" s="1769">
        <f t="shared" si="7"/>
        <v>0.5</v>
      </c>
      <c r="L57" s="1775">
        <v>0.5</v>
      </c>
      <c r="M57" s="1776">
        <v>0</v>
      </c>
      <c r="N57" s="1776">
        <v>0</v>
      </c>
      <c r="O57" s="1769">
        <f t="shared" si="8"/>
        <v>0.5</v>
      </c>
      <c r="P57" s="1775">
        <v>0.5</v>
      </c>
      <c r="Q57" s="1776">
        <v>0</v>
      </c>
      <c r="R57" s="1776">
        <v>0</v>
      </c>
      <c r="S57" s="1769">
        <f t="shared" si="9"/>
        <v>0.5</v>
      </c>
    </row>
    <row r="58" spans="1:19" x14ac:dyDescent="0.25">
      <c r="A58" s="1933"/>
      <c r="B58" s="19" t="s">
        <v>33</v>
      </c>
      <c r="C58" s="620"/>
      <c r="D58" s="744">
        <v>1</v>
      </c>
      <c r="E58" s="740">
        <v>0</v>
      </c>
      <c r="F58" s="740">
        <v>0</v>
      </c>
      <c r="G58" s="619">
        <f t="shared" si="3"/>
        <v>1</v>
      </c>
      <c r="H58" s="744">
        <v>1</v>
      </c>
      <c r="I58" s="740">
        <v>0</v>
      </c>
      <c r="J58" s="740">
        <v>0</v>
      </c>
      <c r="K58" s="619">
        <f t="shared" si="7"/>
        <v>1</v>
      </c>
      <c r="L58" s="744">
        <v>1</v>
      </c>
      <c r="M58" s="740">
        <v>0</v>
      </c>
      <c r="N58" s="740">
        <v>0</v>
      </c>
      <c r="O58" s="619">
        <f t="shared" si="8"/>
        <v>1</v>
      </c>
      <c r="P58" s="744">
        <v>1</v>
      </c>
      <c r="Q58" s="740">
        <v>0</v>
      </c>
      <c r="R58" s="740">
        <v>0</v>
      </c>
      <c r="S58" s="619">
        <f t="shared" si="9"/>
        <v>1</v>
      </c>
    </row>
    <row r="59" spans="1:19" x14ac:dyDescent="0.25">
      <c r="A59" s="1933"/>
      <c r="B59" s="19" t="s">
        <v>34</v>
      </c>
      <c r="C59" s="620"/>
      <c r="D59" s="744">
        <v>2</v>
      </c>
      <c r="E59" s="740">
        <v>0</v>
      </c>
      <c r="F59" s="740">
        <v>0</v>
      </c>
      <c r="G59" s="619">
        <f t="shared" si="3"/>
        <v>2</v>
      </c>
      <c r="H59" s="744">
        <v>2</v>
      </c>
      <c r="I59" s="740">
        <v>0</v>
      </c>
      <c r="J59" s="740">
        <v>0</v>
      </c>
      <c r="K59" s="619">
        <f t="shared" si="7"/>
        <v>2</v>
      </c>
      <c r="L59" s="744">
        <v>2</v>
      </c>
      <c r="M59" s="740">
        <v>0</v>
      </c>
      <c r="N59" s="740">
        <v>0</v>
      </c>
      <c r="O59" s="619">
        <f t="shared" si="8"/>
        <v>2</v>
      </c>
      <c r="P59" s="744">
        <v>2</v>
      </c>
      <c r="Q59" s="740">
        <v>0</v>
      </c>
      <c r="R59" s="740">
        <v>0</v>
      </c>
      <c r="S59" s="619">
        <f t="shared" si="9"/>
        <v>2</v>
      </c>
    </row>
    <row r="60" spans="1:19" x14ac:dyDescent="0.25">
      <c r="A60" s="1933" t="s">
        <v>20</v>
      </c>
      <c r="B60" s="1773" t="s">
        <v>32</v>
      </c>
      <c r="C60" s="1774"/>
      <c r="D60" s="1775">
        <v>8</v>
      </c>
      <c r="E60" s="1776">
        <v>0</v>
      </c>
      <c r="F60" s="1777">
        <v>0</v>
      </c>
      <c r="G60" s="1769">
        <f t="shared" si="3"/>
        <v>8</v>
      </c>
      <c r="H60" s="1775">
        <v>8</v>
      </c>
      <c r="I60" s="1776">
        <v>0</v>
      </c>
      <c r="J60" s="1777">
        <v>0</v>
      </c>
      <c r="K60" s="1769">
        <f t="shared" si="7"/>
        <v>8</v>
      </c>
      <c r="L60" s="1775">
        <v>10</v>
      </c>
      <c r="M60" s="1776">
        <v>0</v>
      </c>
      <c r="N60" s="1777">
        <v>0</v>
      </c>
      <c r="O60" s="1769">
        <f t="shared" si="8"/>
        <v>10</v>
      </c>
      <c r="P60" s="1775">
        <v>10</v>
      </c>
      <c r="Q60" s="1776">
        <v>0</v>
      </c>
      <c r="R60" s="1777">
        <v>0</v>
      </c>
      <c r="S60" s="1769">
        <f t="shared" si="9"/>
        <v>10</v>
      </c>
    </row>
    <row r="61" spans="1:19" x14ac:dyDescent="0.25">
      <c r="A61" s="1933"/>
      <c r="B61" s="19" t="s">
        <v>33</v>
      </c>
      <c r="C61" s="620"/>
      <c r="D61" s="744">
        <v>1</v>
      </c>
      <c r="E61" s="740">
        <v>0</v>
      </c>
      <c r="F61" s="743">
        <v>0</v>
      </c>
      <c r="G61" s="619">
        <f t="shared" si="3"/>
        <v>1</v>
      </c>
      <c r="H61" s="744">
        <v>1</v>
      </c>
      <c r="I61" s="740">
        <v>0</v>
      </c>
      <c r="J61" s="743">
        <v>0</v>
      </c>
      <c r="K61" s="619">
        <f t="shared" si="7"/>
        <v>1</v>
      </c>
      <c r="L61" s="744">
        <v>4</v>
      </c>
      <c r="M61" s="740">
        <v>0</v>
      </c>
      <c r="N61" s="743">
        <v>0</v>
      </c>
      <c r="O61" s="619">
        <f t="shared" si="8"/>
        <v>4</v>
      </c>
      <c r="P61" s="744">
        <v>4</v>
      </c>
      <c r="Q61" s="740">
        <v>0</v>
      </c>
      <c r="R61" s="743">
        <v>0</v>
      </c>
      <c r="S61" s="619">
        <f t="shared" si="9"/>
        <v>4</v>
      </c>
    </row>
    <row r="62" spans="1:19" x14ac:dyDescent="0.25">
      <c r="A62" s="1933"/>
      <c r="B62" s="19" t="s">
        <v>34</v>
      </c>
      <c r="C62" s="620"/>
      <c r="D62" s="744">
        <v>2</v>
      </c>
      <c r="E62" s="740">
        <v>0</v>
      </c>
      <c r="F62" s="743">
        <v>0</v>
      </c>
      <c r="G62" s="619">
        <f t="shared" si="3"/>
        <v>2</v>
      </c>
      <c r="H62" s="744">
        <v>2</v>
      </c>
      <c r="I62" s="740">
        <v>0</v>
      </c>
      <c r="J62" s="743">
        <v>0</v>
      </c>
      <c r="K62" s="619">
        <f t="shared" si="7"/>
        <v>2</v>
      </c>
      <c r="L62" s="744">
        <v>6</v>
      </c>
      <c r="M62" s="740">
        <v>0</v>
      </c>
      <c r="N62" s="743">
        <v>0</v>
      </c>
      <c r="O62" s="619">
        <f t="shared" si="8"/>
        <v>6</v>
      </c>
      <c r="P62" s="744">
        <v>6</v>
      </c>
      <c r="Q62" s="740">
        <v>0</v>
      </c>
      <c r="R62" s="743">
        <v>0</v>
      </c>
      <c r="S62" s="619">
        <f t="shared" si="9"/>
        <v>6</v>
      </c>
    </row>
    <row r="63" spans="1:19" x14ac:dyDescent="0.25">
      <c r="A63" s="1933" t="s">
        <v>451</v>
      </c>
      <c r="B63" s="1773" t="s">
        <v>32</v>
      </c>
      <c r="C63" s="1774"/>
      <c r="D63" s="1776">
        <v>0</v>
      </c>
      <c r="E63" s="1776">
        <v>0</v>
      </c>
      <c r="F63" s="1776">
        <v>0</v>
      </c>
      <c r="G63" s="1769">
        <f t="shared" si="3"/>
        <v>0</v>
      </c>
      <c r="H63" s="1776">
        <v>0</v>
      </c>
      <c r="I63" s="1776">
        <v>0</v>
      </c>
      <c r="J63" s="1776">
        <v>0</v>
      </c>
      <c r="K63" s="1769">
        <f t="shared" si="7"/>
        <v>0</v>
      </c>
      <c r="L63" s="1776">
        <v>0</v>
      </c>
      <c r="M63" s="1776">
        <v>0</v>
      </c>
      <c r="N63" s="1776">
        <v>0</v>
      </c>
      <c r="O63" s="1769">
        <f t="shared" si="8"/>
        <v>0</v>
      </c>
      <c r="P63" s="1776">
        <v>0</v>
      </c>
      <c r="Q63" s="1776">
        <v>0</v>
      </c>
      <c r="R63" s="1776">
        <v>0</v>
      </c>
      <c r="S63" s="1769">
        <f t="shared" si="9"/>
        <v>0</v>
      </c>
    </row>
    <row r="64" spans="1:19" x14ac:dyDescent="0.25">
      <c r="A64" s="1933"/>
      <c r="B64" s="19" t="s">
        <v>33</v>
      </c>
      <c r="C64" s="620"/>
      <c r="D64" s="740">
        <v>0</v>
      </c>
      <c r="E64" s="740">
        <v>0</v>
      </c>
      <c r="F64" s="740">
        <v>0</v>
      </c>
      <c r="G64" s="619">
        <f t="shared" si="3"/>
        <v>0</v>
      </c>
      <c r="H64" s="740">
        <v>0</v>
      </c>
      <c r="I64" s="740">
        <v>0</v>
      </c>
      <c r="J64" s="740">
        <v>0</v>
      </c>
      <c r="K64" s="619">
        <f t="shared" si="7"/>
        <v>0</v>
      </c>
      <c r="L64" s="740">
        <v>0</v>
      </c>
      <c r="M64" s="740">
        <v>0</v>
      </c>
      <c r="N64" s="740">
        <v>0</v>
      </c>
      <c r="O64" s="619">
        <f t="shared" si="8"/>
        <v>0</v>
      </c>
      <c r="P64" s="740">
        <v>0</v>
      </c>
      <c r="Q64" s="740">
        <v>0</v>
      </c>
      <c r="R64" s="740">
        <v>0</v>
      </c>
      <c r="S64" s="619">
        <f t="shared" si="9"/>
        <v>0</v>
      </c>
    </row>
    <row r="65" spans="1:19" x14ac:dyDescent="0.25">
      <c r="A65" s="1933"/>
      <c r="B65" s="19" t="s">
        <v>34</v>
      </c>
      <c r="C65" s="620"/>
      <c r="D65" s="740">
        <v>0</v>
      </c>
      <c r="E65" s="740">
        <v>0</v>
      </c>
      <c r="F65" s="740">
        <v>0</v>
      </c>
      <c r="G65" s="619">
        <f t="shared" si="3"/>
        <v>0</v>
      </c>
      <c r="H65" s="740">
        <v>0</v>
      </c>
      <c r="I65" s="740">
        <v>0</v>
      </c>
      <c r="J65" s="740">
        <v>0</v>
      </c>
      <c r="K65" s="619">
        <f t="shared" si="7"/>
        <v>0</v>
      </c>
      <c r="L65" s="740">
        <v>0</v>
      </c>
      <c r="M65" s="740">
        <v>0</v>
      </c>
      <c r="N65" s="740">
        <v>0</v>
      </c>
      <c r="O65" s="619">
        <f t="shared" si="8"/>
        <v>0</v>
      </c>
      <c r="P65" s="740">
        <v>0</v>
      </c>
      <c r="Q65" s="740">
        <v>0</v>
      </c>
      <c r="R65" s="740">
        <v>0</v>
      </c>
      <c r="S65" s="619">
        <f t="shared" si="9"/>
        <v>0</v>
      </c>
    </row>
    <row r="66" spans="1:19" x14ac:dyDescent="0.25">
      <c r="A66" s="1933" t="s">
        <v>452</v>
      </c>
      <c r="B66" s="1773" t="s">
        <v>32</v>
      </c>
      <c r="C66" s="1774"/>
      <c r="D66" s="1776">
        <v>0</v>
      </c>
      <c r="E66" s="1776">
        <v>0</v>
      </c>
      <c r="F66" s="1776">
        <v>0</v>
      </c>
      <c r="G66" s="1769">
        <f t="shared" si="3"/>
        <v>0</v>
      </c>
      <c r="H66" s="1776">
        <v>0</v>
      </c>
      <c r="I66" s="1776">
        <v>0</v>
      </c>
      <c r="J66" s="1776">
        <v>0</v>
      </c>
      <c r="K66" s="1769">
        <f t="shared" si="7"/>
        <v>0</v>
      </c>
      <c r="L66" s="1776">
        <v>0</v>
      </c>
      <c r="M66" s="1776">
        <v>0</v>
      </c>
      <c r="N66" s="1776">
        <v>0</v>
      </c>
      <c r="O66" s="1769">
        <f t="shared" si="8"/>
        <v>0</v>
      </c>
      <c r="P66" s="1776">
        <v>0</v>
      </c>
      <c r="Q66" s="1776">
        <v>0</v>
      </c>
      <c r="R66" s="1776">
        <v>0</v>
      </c>
      <c r="S66" s="1769">
        <f t="shared" si="9"/>
        <v>0</v>
      </c>
    </row>
    <row r="67" spans="1:19" x14ac:dyDescent="0.25">
      <c r="A67" s="1933"/>
      <c r="B67" s="19" t="s">
        <v>33</v>
      </c>
      <c r="C67" s="620"/>
      <c r="D67" s="740">
        <v>0</v>
      </c>
      <c r="E67" s="740">
        <v>0</v>
      </c>
      <c r="F67" s="740">
        <v>0</v>
      </c>
      <c r="G67" s="619">
        <f t="shared" si="3"/>
        <v>0</v>
      </c>
      <c r="H67" s="740">
        <v>0</v>
      </c>
      <c r="I67" s="740">
        <v>0</v>
      </c>
      <c r="J67" s="740">
        <v>0</v>
      </c>
      <c r="K67" s="619">
        <f t="shared" si="7"/>
        <v>0</v>
      </c>
      <c r="L67" s="740">
        <v>0</v>
      </c>
      <c r="M67" s="740">
        <v>0</v>
      </c>
      <c r="N67" s="740">
        <v>0</v>
      </c>
      <c r="O67" s="619">
        <f t="shared" si="8"/>
        <v>0</v>
      </c>
      <c r="P67" s="740">
        <v>0</v>
      </c>
      <c r="Q67" s="740">
        <v>0</v>
      </c>
      <c r="R67" s="740">
        <v>0</v>
      </c>
      <c r="S67" s="619">
        <f t="shared" si="9"/>
        <v>0</v>
      </c>
    </row>
    <row r="68" spans="1:19" x14ac:dyDescent="0.25">
      <c r="A68" s="1933"/>
      <c r="B68" s="19" t="s">
        <v>34</v>
      </c>
      <c r="C68" s="620"/>
      <c r="D68" s="740">
        <v>0</v>
      </c>
      <c r="E68" s="740">
        <v>0</v>
      </c>
      <c r="F68" s="740">
        <v>0</v>
      </c>
      <c r="G68" s="619">
        <f t="shared" si="3"/>
        <v>0</v>
      </c>
      <c r="H68" s="740">
        <v>0</v>
      </c>
      <c r="I68" s="740">
        <v>0</v>
      </c>
      <c r="J68" s="740">
        <v>0</v>
      </c>
      <c r="K68" s="619">
        <f t="shared" si="7"/>
        <v>0</v>
      </c>
      <c r="L68" s="740">
        <v>0</v>
      </c>
      <c r="M68" s="740">
        <v>0</v>
      </c>
      <c r="N68" s="740">
        <v>0</v>
      </c>
      <c r="O68" s="619">
        <f t="shared" si="8"/>
        <v>0</v>
      </c>
      <c r="P68" s="740">
        <v>0</v>
      </c>
      <c r="Q68" s="740">
        <v>0</v>
      </c>
      <c r="R68" s="740">
        <v>0</v>
      </c>
      <c r="S68" s="619">
        <f t="shared" si="9"/>
        <v>0</v>
      </c>
    </row>
    <row r="69" spans="1:19" x14ac:dyDescent="0.25">
      <c r="A69" s="1936" t="s">
        <v>533</v>
      </c>
      <c r="B69" s="1773" t="s">
        <v>32</v>
      </c>
      <c r="C69" s="1774"/>
      <c r="D69" s="1776">
        <v>0</v>
      </c>
      <c r="E69" s="1776">
        <v>0</v>
      </c>
      <c r="F69" s="1776">
        <v>0</v>
      </c>
      <c r="G69" s="1769">
        <f t="shared" si="3"/>
        <v>0</v>
      </c>
      <c r="H69" s="1776">
        <v>0</v>
      </c>
      <c r="I69" s="1776">
        <v>0</v>
      </c>
      <c r="J69" s="1776">
        <v>0</v>
      </c>
      <c r="K69" s="1769">
        <f t="shared" si="7"/>
        <v>0</v>
      </c>
      <c r="L69" s="1776">
        <v>0</v>
      </c>
      <c r="M69" s="1776">
        <v>0</v>
      </c>
      <c r="N69" s="1776">
        <v>0</v>
      </c>
      <c r="O69" s="1769">
        <f t="shared" si="8"/>
        <v>0</v>
      </c>
      <c r="P69" s="1776">
        <v>0</v>
      </c>
      <c r="Q69" s="1776">
        <v>0</v>
      </c>
      <c r="R69" s="1776">
        <v>0</v>
      </c>
      <c r="S69" s="1769">
        <f t="shared" si="9"/>
        <v>0</v>
      </c>
    </row>
    <row r="70" spans="1:19" x14ac:dyDescent="0.25">
      <c r="A70" s="1936"/>
      <c r="B70" s="19" t="s">
        <v>33</v>
      </c>
      <c r="C70" s="620"/>
      <c r="D70" s="740">
        <v>0</v>
      </c>
      <c r="E70" s="740">
        <v>0</v>
      </c>
      <c r="F70" s="740">
        <v>0</v>
      </c>
      <c r="G70" s="619">
        <f t="shared" si="3"/>
        <v>0</v>
      </c>
      <c r="H70" s="740">
        <v>0</v>
      </c>
      <c r="I70" s="740">
        <v>0</v>
      </c>
      <c r="J70" s="740">
        <v>0</v>
      </c>
      <c r="K70" s="619">
        <f t="shared" si="7"/>
        <v>0</v>
      </c>
      <c r="L70" s="740">
        <v>0</v>
      </c>
      <c r="M70" s="740">
        <v>0</v>
      </c>
      <c r="N70" s="740">
        <v>0</v>
      </c>
      <c r="O70" s="619">
        <f t="shared" si="8"/>
        <v>0</v>
      </c>
      <c r="P70" s="740">
        <v>0</v>
      </c>
      <c r="Q70" s="740">
        <v>0</v>
      </c>
      <c r="R70" s="740">
        <v>0</v>
      </c>
      <c r="S70" s="619">
        <f t="shared" si="9"/>
        <v>0</v>
      </c>
    </row>
    <row r="71" spans="1:19" x14ac:dyDescent="0.25">
      <c r="A71" s="1936"/>
      <c r="B71" s="19" t="s">
        <v>34</v>
      </c>
      <c r="C71" s="620"/>
      <c r="D71" s="740">
        <v>0</v>
      </c>
      <c r="E71" s="740">
        <v>0</v>
      </c>
      <c r="F71" s="740">
        <v>0</v>
      </c>
      <c r="G71" s="619">
        <f t="shared" si="3"/>
        <v>0</v>
      </c>
      <c r="H71" s="740">
        <v>0</v>
      </c>
      <c r="I71" s="740">
        <v>0</v>
      </c>
      <c r="J71" s="740">
        <v>0</v>
      </c>
      <c r="K71" s="619">
        <f t="shared" si="7"/>
        <v>0</v>
      </c>
      <c r="L71" s="740">
        <v>0</v>
      </c>
      <c r="M71" s="740">
        <v>0</v>
      </c>
      <c r="N71" s="740">
        <v>0</v>
      </c>
      <c r="O71" s="619">
        <f t="shared" si="8"/>
        <v>0</v>
      </c>
      <c r="P71" s="740">
        <v>0</v>
      </c>
      <c r="Q71" s="740">
        <v>0</v>
      </c>
      <c r="R71" s="740">
        <v>0</v>
      </c>
      <c r="S71" s="619">
        <f t="shared" si="9"/>
        <v>0</v>
      </c>
    </row>
    <row r="72" spans="1:19" x14ac:dyDescent="0.25">
      <c r="A72" s="1933" t="s">
        <v>534</v>
      </c>
      <c r="B72" s="1773" t="s">
        <v>32</v>
      </c>
      <c r="C72" s="1774"/>
      <c r="D72" s="1776">
        <v>0</v>
      </c>
      <c r="E72" s="1776">
        <v>0</v>
      </c>
      <c r="F72" s="1776">
        <v>0</v>
      </c>
      <c r="G72" s="1769">
        <f t="shared" si="3"/>
        <v>0</v>
      </c>
      <c r="H72" s="1776">
        <v>0</v>
      </c>
      <c r="I72" s="1776">
        <v>0</v>
      </c>
      <c r="J72" s="1776">
        <v>0</v>
      </c>
      <c r="K72" s="1769">
        <f t="shared" si="7"/>
        <v>0</v>
      </c>
      <c r="L72" s="1776">
        <v>0</v>
      </c>
      <c r="M72" s="1776">
        <v>0</v>
      </c>
      <c r="N72" s="1776">
        <v>0</v>
      </c>
      <c r="O72" s="1769">
        <f t="shared" si="8"/>
        <v>0</v>
      </c>
      <c r="P72" s="1776">
        <v>0</v>
      </c>
      <c r="Q72" s="1776">
        <v>0</v>
      </c>
      <c r="R72" s="1776">
        <v>0</v>
      </c>
      <c r="S72" s="1769">
        <f t="shared" si="9"/>
        <v>0</v>
      </c>
    </row>
    <row r="73" spans="1:19" x14ac:dyDescent="0.25">
      <c r="A73" s="1933"/>
      <c r="B73" s="19" t="s">
        <v>33</v>
      </c>
      <c r="C73" s="620"/>
      <c r="D73" s="740">
        <v>0</v>
      </c>
      <c r="E73" s="740">
        <v>0</v>
      </c>
      <c r="F73" s="740">
        <v>0</v>
      </c>
      <c r="G73" s="619">
        <f t="shared" si="3"/>
        <v>0</v>
      </c>
      <c r="H73" s="740">
        <v>0</v>
      </c>
      <c r="I73" s="740">
        <v>0</v>
      </c>
      <c r="J73" s="740">
        <v>0</v>
      </c>
      <c r="K73" s="619">
        <f t="shared" si="7"/>
        <v>0</v>
      </c>
      <c r="L73" s="740">
        <v>0</v>
      </c>
      <c r="M73" s="740">
        <v>0</v>
      </c>
      <c r="N73" s="740">
        <v>0</v>
      </c>
      <c r="O73" s="619">
        <f t="shared" si="8"/>
        <v>0</v>
      </c>
      <c r="P73" s="740">
        <v>0</v>
      </c>
      <c r="Q73" s="740">
        <v>0</v>
      </c>
      <c r="R73" s="740">
        <v>0</v>
      </c>
      <c r="S73" s="619">
        <f t="shared" si="9"/>
        <v>0</v>
      </c>
    </row>
    <row r="74" spans="1:19" x14ac:dyDescent="0.25">
      <c r="A74" s="1933"/>
      <c r="B74" s="19" t="s">
        <v>34</v>
      </c>
      <c r="C74" s="620"/>
      <c r="D74" s="740">
        <v>0</v>
      </c>
      <c r="E74" s="740">
        <v>0</v>
      </c>
      <c r="F74" s="740">
        <v>0</v>
      </c>
      <c r="G74" s="619">
        <f t="shared" si="3"/>
        <v>0</v>
      </c>
      <c r="H74" s="740">
        <v>0</v>
      </c>
      <c r="I74" s="740">
        <v>0</v>
      </c>
      <c r="J74" s="740">
        <v>0</v>
      </c>
      <c r="K74" s="619">
        <f t="shared" si="7"/>
        <v>0</v>
      </c>
      <c r="L74" s="740">
        <v>0</v>
      </c>
      <c r="M74" s="740">
        <v>0</v>
      </c>
      <c r="N74" s="740">
        <v>0</v>
      </c>
      <c r="O74" s="619">
        <f t="shared" si="8"/>
        <v>0</v>
      </c>
      <c r="P74" s="740">
        <v>0</v>
      </c>
      <c r="Q74" s="740">
        <v>0</v>
      </c>
      <c r="R74" s="740">
        <v>0</v>
      </c>
      <c r="S74" s="619">
        <f t="shared" si="9"/>
        <v>0</v>
      </c>
    </row>
    <row r="75" spans="1:19" x14ac:dyDescent="0.25">
      <c r="A75" s="1933" t="s">
        <v>21</v>
      </c>
      <c r="B75" s="1773" t="s">
        <v>32</v>
      </c>
      <c r="C75" s="1774"/>
      <c r="D75" s="1775" t="s">
        <v>90</v>
      </c>
      <c r="E75" s="1775" t="s">
        <v>90</v>
      </c>
      <c r="F75" s="1775" t="s">
        <v>90</v>
      </c>
      <c r="G75" s="1769">
        <f t="shared" si="3"/>
        <v>0</v>
      </c>
      <c r="H75" s="1775" t="s">
        <v>90</v>
      </c>
      <c r="I75" s="1775" t="s">
        <v>90</v>
      </c>
      <c r="J75" s="1775" t="s">
        <v>90</v>
      </c>
      <c r="K75" s="1769">
        <f t="shared" si="7"/>
        <v>0</v>
      </c>
      <c r="L75" s="1775" t="s">
        <v>90</v>
      </c>
      <c r="M75" s="1775" t="s">
        <v>90</v>
      </c>
      <c r="N75" s="1775" t="s">
        <v>90</v>
      </c>
      <c r="O75" s="1769">
        <f t="shared" si="8"/>
        <v>0</v>
      </c>
      <c r="P75" s="1775" t="s">
        <v>90</v>
      </c>
      <c r="Q75" s="1775" t="s">
        <v>90</v>
      </c>
      <c r="R75" s="1775" t="s">
        <v>90</v>
      </c>
      <c r="S75" s="1769">
        <f t="shared" si="9"/>
        <v>0</v>
      </c>
    </row>
    <row r="76" spans="1:19" x14ac:dyDescent="0.25">
      <c r="A76" s="1933"/>
      <c r="B76" s="19" t="s">
        <v>33</v>
      </c>
      <c r="C76" s="620"/>
      <c r="D76" s="744" t="s">
        <v>90</v>
      </c>
      <c r="E76" s="744" t="s">
        <v>90</v>
      </c>
      <c r="F76" s="744" t="s">
        <v>90</v>
      </c>
      <c r="G76" s="619">
        <f t="shared" si="3"/>
        <v>0</v>
      </c>
      <c r="H76" s="744" t="s">
        <v>90</v>
      </c>
      <c r="I76" s="744" t="s">
        <v>90</v>
      </c>
      <c r="J76" s="744" t="s">
        <v>90</v>
      </c>
      <c r="K76" s="619">
        <f t="shared" si="7"/>
        <v>0</v>
      </c>
      <c r="L76" s="744" t="s">
        <v>90</v>
      </c>
      <c r="M76" s="744" t="s">
        <v>90</v>
      </c>
      <c r="N76" s="744" t="s">
        <v>90</v>
      </c>
      <c r="O76" s="619">
        <f t="shared" si="8"/>
        <v>0</v>
      </c>
      <c r="P76" s="744" t="s">
        <v>90</v>
      </c>
      <c r="Q76" s="744" t="s">
        <v>90</v>
      </c>
      <c r="R76" s="744" t="s">
        <v>90</v>
      </c>
      <c r="S76" s="619">
        <f t="shared" si="9"/>
        <v>0</v>
      </c>
    </row>
    <row r="77" spans="1:19" x14ac:dyDescent="0.25">
      <c r="A77" s="1933"/>
      <c r="B77" s="13" t="s">
        <v>34</v>
      </c>
      <c r="C77" s="624"/>
      <c r="D77" s="744" t="s">
        <v>90</v>
      </c>
      <c r="E77" s="744" t="s">
        <v>90</v>
      </c>
      <c r="F77" s="744" t="s">
        <v>90</v>
      </c>
      <c r="G77" s="619">
        <f t="shared" si="3"/>
        <v>0</v>
      </c>
      <c r="H77" s="744" t="s">
        <v>90</v>
      </c>
      <c r="I77" s="744" t="s">
        <v>90</v>
      </c>
      <c r="J77" s="744" t="s">
        <v>90</v>
      </c>
      <c r="K77" s="619">
        <f t="shared" si="7"/>
        <v>0</v>
      </c>
      <c r="L77" s="744" t="s">
        <v>90</v>
      </c>
      <c r="M77" s="744" t="s">
        <v>90</v>
      </c>
      <c r="N77" s="744" t="s">
        <v>90</v>
      </c>
      <c r="O77" s="619">
        <f t="shared" si="8"/>
        <v>0</v>
      </c>
      <c r="P77" s="744" t="s">
        <v>90</v>
      </c>
      <c r="Q77" s="744" t="s">
        <v>90</v>
      </c>
      <c r="R77" s="744" t="s">
        <v>90</v>
      </c>
      <c r="S77" s="619">
        <f t="shared" si="9"/>
        <v>0</v>
      </c>
    </row>
    <row r="78" spans="1:19" x14ac:dyDescent="0.25">
      <c r="A78" s="1933" t="s">
        <v>181</v>
      </c>
      <c r="B78" s="1773" t="s">
        <v>32</v>
      </c>
      <c r="C78" s="1778"/>
      <c r="D78" s="1776">
        <v>0</v>
      </c>
      <c r="E78" s="1776">
        <v>0</v>
      </c>
      <c r="F78" s="1776">
        <v>0</v>
      </c>
      <c r="G78" s="1769">
        <f t="shared" si="3"/>
        <v>0</v>
      </c>
      <c r="H78" s="1776">
        <v>0</v>
      </c>
      <c r="I78" s="1776">
        <v>0</v>
      </c>
      <c r="J78" s="1776">
        <v>0</v>
      </c>
      <c r="K78" s="1769">
        <f t="shared" si="7"/>
        <v>0</v>
      </c>
      <c r="L78" s="1776">
        <v>0</v>
      </c>
      <c r="M78" s="1776">
        <v>0</v>
      </c>
      <c r="N78" s="1776">
        <v>0</v>
      </c>
      <c r="O78" s="1769">
        <f t="shared" si="8"/>
        <v>0</v>
      </c>
      <c r="P78" s="1776">
        <v>0</v>
      </c>
      <c r="Q78" s="1776">
        <v>0</v>
      </c>
      <c r="R78" s="1776">
        <v>0</v>
      </c>
      <c r="S78" s="1769">
        <f t="shared" si="9"/>
        <v>0</v>
      </c>
    </row>
    <row r="79" spans="1:19" x14ac:dyDescent="0.25">
      <c r="A79" s="1933"/>
      <c r="B79" s="19" t="s">
        <v>33</v>
      </c>
      <c r="C79" s="198"/>
      <c r="D79" s="740">
        <v>0</v>
      </c>
      <c r="E79" s="740">
        <v>0</v>
      </c>
      <c r="F79" s="740">
        <v>0</v>
      </c>
      <c r="G79" s="619">
        <f t="shared" si="3"/>
        <v>0</v>
      </c>
      <c r="H79" s="740">
        <v>0</v>
      </c>
      <c r="I79" s="740">
        <v>0</v>
      </c>
      <c r="J79" s="740">
        <v>0</v>
      </c>
      <c r="K79" s="619">
        <f t="shared" si="7"/>
        <v>0</v>
      </c>
      <c r="L79" s="740">
        <v>0</v>
      </c>
      <c r="M79" s="740">
        <v>0</v>
      </c>
      <c r="N79" s="740">
        <v>0</v>
      </c>
      <c r="O79" s="619">
        <f t="shared" si="8"/>
        <v>0</v>
      </c>
      <c r="P79" s="740">
        <v>0</v>
      </c>
      <c r="Q79" s="740">
        <v>0</v>
      </c>
      <c r="R79" s="740">
        <v>0</v>
      </c>
      <c r="S79" s="619">
        <f t="shared" si="9"/>
        <v>0</v>
      </c>
    </row>
    <row r="80" spans="1:19" x14ac:dyDescent="0.25">
      <c r="A80" s="1933"/>
      <c r="B80" s="19" t="s">
        <v>34</v>
      </c>
      <c r="C80" s="198"/>
      <c r="D80" s="740">
        <v>0</v>
      </c>
      <c r="E80" s="740">
        <v>0</v>
      </c>
      <c r="F80" s="740">
        <v>0</v>
      </c>
      <c r="G80" s="619">
        <f t="shared" si="3"/>
        <v>0</v>
      </c>
      <c r="H80" s="740">
        <v>0</v>
      </c>
      <c r="I80" s="740">
        <v>0</v>
      </c>
      <c r="J80" s="740">
        <v>0</v>
      </c>
      <c r="K80" s="619">
        <f t="shared" si="7"/>
        <v>0</v>
      </c>
      <c r="L80" s="740">
        <v>0</v>
      </c>
      <c r="M80" s="740">
        <v>0</v>
      </c>
      <c r="N80" s="740">
        <v>0</v>
      </c>
      <c r="O80" s="619">
        <f t="shared" si="8"/>
        <v>0</v>
      </c>
      <c r="P80" s="740">
        <v>0</v>
      </c>
      <c r="Q80" s="740">
        <v>0</v>
      </c>
      <c r="R80" s="740">
        <v>0</v>
      </c>
      <c r="S80" s="619">
        <f t="shared" si="9"/>
        <v>0</v>
      </c>
    </row>
    <row r="81" spans="1:19" x14ac:dyDescent="0.25">
      <c r="A81" s="1933" t="s">
        <v>182</v>
      </c>
      <c r="B81" s="1773" t="s">
        <v>32</v>
      </c>
      <c r="C81" s="1778"/>
      <c r="D81" s="1776">
        <v>0</v>
      </c>
      <c r="E81" s="1776">
        <v>0</v>
      </c>
      <c r="F81" s="1776">
        <v>0</v>
      </c>
      <c r="G81" s="1769">
        <f t="shared" si="3"/>
        <v>0</v>
      </c>
      <c r="H81" s="1776">
        <v>0</v>
      </c>
      <c r="I81" s="1776">
        <v>0</v>
      </c>
      <c r="J81" s="1776">
        <v>0</v>
      </c>
      <c r="K81" s="1769">
        <f t="shared" si="7"/>
        <v>0</v>
      </c>
      <c r="L81" s="1776">
        <v>0</v>
      </c>
      <c r="M81" s="1776">
        <v>0</v>
      </c>
      <c r="N81" s="1776">
        <v>0</v>
      </c>
      <c r="O81" s="1769">
        <f t="shared" si="8"/>
        <v>0</v>
      </c>
      <c r="P81" s="1776">
        <v>0</v>
      </c>
      <c r="Q81" s="1776">
        <v>0</v>
      </c>
      <c r="R81" s="1776">
        <v>0</v>
      </c>
      <c r="S81" s="1769">
        <f t="shared" si="9"/>
        <v>0</v>
      </c>
    </row>
    <row r="82" spans="1:19" x14ac:dyDescent="0.25">
      <c r="A82" s="1933"/>
      <c r="B82" s="19" t="s">
        <v>33</v>
      </c>
      <c r="C82" s="198"/>
      <c r="D82" s="740">
        <v>0</v>
      </c>
      <c r="E82" s="740">
        <v>0</v>
      </c>
      <c r="F82" s="740">
        <v>0</v>
      </c>
      <c r="G82" s="619">
        <f t="shared" si="3"/>
        <v>0</v>
      </c>
      <c r="H82" s="740">
        <v>0</v>
      </c>
      <c r="I82" s="740">
        <v>0</v>
      </c>
      <c r="J82" s="740">
        <v>0</v>
      </c>
      <c r="K82" s="619">
        <f t="shared" si="7"/>
        <v>0</v>
      </c>
      <c r="L82" s="740">
        <v>0</v>
      </c>
      <c r="M82" s="740">
        <v>0</v>
      </c>
      <c r="N82" s="740">
        <v>0</v>
      </c>
      <c r="O82" s="619">
        <f t="shared" si="8"/>
        <v>0</v>
      </c>
      <c r="P82" s="740">
        <v>0</v>
      </c>
      <c r="Q82" s="740">
        <v>0</v>
      </c>
      <c r="R82" s="740">
        <v>0</v>
      </c>
      <c r="S82" s="619">
        <f t="shared" si="9"/>
        <v>0</v>
      </c>
    </row>
    <row r="83" spans="1:19" x14ac:dyDescent="0.25">
      <c r="A83" s="1933"/>
      <c r="B83" s="19" t="s">
        <v>34</v>
      </c>
      <c r="C83" s="198"/>
      <c r="D83" s="740">
        <v>0</v>
      </c>
      <c r="E83" s="740">
        <v>0</v>
      </c>
      <c r="F83" s="740">
        <v>0</v>
      </c>
      <c r="G83" s="619">
        <f t="shared" si="3"/>
        <v>0</v>
      </c>
      <c r="H83" s="740">
        <v>0</v>
      </c>
      <c r="I83" s="740">
        <v>0</v>
      </c>
      <c r="J83" s="740">
        <v>0</v>
      </c>
      <c r="K83" s="619">
        <f t="shared" si="7"/>
        <v>0</v>
      </c>
      <c r="L83" s="740">
        <v>0</v>
      </c>
      <c r="M83" s="740">
        <v>0</v>
      </c>
      <c r="N83" s="740">
        <v>0</v>
      </c>
      <c r="O83" s="619">
        <f t="shared" si="8"/>
        <v>0</v>
      </c>
      <c r="P83" s="740">
        <v>0</v>
      </c>
      <c r="Q83" s="740">
        <v>0</v>
      </c>
      <c r="R83" s="740">
        <v>0</v>
      </c>
      <c r="S83" s="619">
        <f t="shared" si="9"/>
        <v>0</v>
      </c>
    </row>
    <row r="84" spans="1:19" x14ac:dyDescent="0.25">
      <c r="A84" s="1935" t="s">
        <v>183</v>
      </c>
      <c r="B84" s="1773" t="s">
        <v>32</v>
      </c>
      <c r="C84" s="1778"/>
      <c r="D84" s="1776">
        <v>0</v>
      </c>
      <c r="E84" s="1776">
        <v>0</v>
      </c>
      <c r="F84" s="1776">
        <v>0</v>
      </c>
      <c r="G84" s="1769">
        <f t="shared" si="3"/>
        <v>0</v>
      </c>
      <c r="H84" s="1776">
        <v>0</v>
      </c>
      <c r="I84" s="1776">
        <v>0</v>
      </c>
      <c r="J84" s="1776">
        <v>0</v>
      </c>
      <c r="K84" s="1769">
        <f t="shared" si="7"/>
        <v>0</v>
      </c>
      <c r="L84" s="1776">
        <v>0</v>
      </c>
      <c r="M84" s="1776">
        <v>0</v>
      </c>
      <c r="N84" s="1776">
        <v>0</v>
      </c>
      <c r="O84" s="1769">
        <f t="shared" si="8"/>
        <v>0</v>
      </c>
      <c r="P84" s="1776">
        <v>0</v>
      </c>
      <c r="Q84" s="1776">
        <v>0</v>
      </c>
      <c r="R84" s="1776">
        <v>0</v>
      </c>
      <c r="S84" s="1769">
        <f t="shared" si="9"/>
        <v>0</v>
      </c>
    </row>
    <row r="85" spans="1:19" x14ac:dyDescent="0.25">
      <c r="A85" s="1935"/>
      <c r="B85" s="19" t="s">
        <v>33</v>
      </c>
      <c r="C85" s="198"/>
      <c r="D85" s="740">
        <v>0</v>
      </c>
      <c r="E85" s="740">
        <v>0</v>
      </c>
      <c r="F85" s="740">
        <v>0</v>
      </c>
      <c r="G85" s="619">
        <f t="shared" si="3"/>
        <v>0</v>
      </c>
      <c r="H85" s="740">
        <v>0</v>
      </c>
      <c r="I85" s="740">
        <v>0</v>
      </c>
      <c r="J85" s="740">
        <v>0</v>
      </c>
      <c r="K85" s="619">
        <f t="shared" si="7"/>
        <v>0</v>
      </c>
      <c r="L85" s="740">
        <v>0</v>
      </c>
      <c r="M85" s="740">
        <v>0</v>
      </c>
      <c r="N85" s="740">
        <v>0</v>
      </c>
      <c r="O85" s="619">
        <f t="shared" si="8"/>
        <v>0</v>
      </c>
      <c r="P85" s="740">
        <v>0</v>
      </c>
      <c r="Q85" s="740">
        <v>0</v>
      </c>
      <c r="R85" s="740">
        <v>0</v>
      </c>
      <c r="S85" s="619">
        <f t="shared" si="9"/>
        <v>0</v>
      </c>
    </row>
    <row r="86" spans="1:19" ht="15.75" thickBot="1" x14ac:dyDescent="0.3">
      <c r="A86" s="1935"/>
      <c r="B86" s="13" t="s">
        <v>34</v>
      </c>
      <c r="C86" s="220"/>
      <c r="D86" s="740">
        <v>0</v>
      </c>
      <c r="E86" s="740">
        <v>0</v>
      </c>
      <c r="F86" s="740">
        <v>0</v>
      </c>
      <c r="G86" s="77">
        <f t="shared" si="3"/>
        <v>0</v>
      </c>
      <c r="H86" s="740">
        <v>0</v>
      </c>
      <c r="I86" s="740">
        <v>0</v>
      </c>
      <c r="J86" s="740">
        <v>0</v>
      </c>
      <c r="K86" s="77">
        <f t="shared" si="7"/>
        <v>0</v>
      </c>
      <c r="L86" s="740">
        <v>0</v>
      </c>
      <c r="M86" s="740">
        <v>0</v>
      </c>
      <c r="N86" s="740">
        <v>0</v>
      </c>
      <c r="O86" s="77">
        <f t="shared" si="8"/>
        <v>0</v>
      </c>
      <c r="P86" s="740">
        <v>0</v>
      </c>
      <c r="Q86" s="740">
        <v>0</v>
      </c>
      <c r="R86" s="740">
        <v>0</v>
      </c>
      <c r="S86" s="77">
        <f t="shared" si="9"/>
        <v>0</v>
      </c>
    </row>
    <row r="87" spans="1:19" ht="16.5" thickBot="1" x14ac:dyDescent="0.3">
      <c r="A87" s="330" t="s">
        <v>22</v>
      </c>
      <c r="B87" s="329"/>
      <c r="C87" s="329"/>
      <c r="D87" s="329"/>
      <c r="E87" s="329"/>
      <c r="F87" s="327"/>
      <c r="G87" s="327"/>
      <c r="H87" s="329"/>
      <c r="I87" s="329"/>
      <c r="J87" s="327"/>
      <c r="K87" s="327"/>
      <c r="L87" s="329"/>
      <c r="M87" s="329"/>
      <c r="N87" s="327"/>
      <c r="O87" s="327"/>
      <c r="P87" s="329"/>
      <c r="Q87" s="329"/>
      <c r="R87" s="327"/>
      <c r="S87" s="396"/>
    </row>
    <row r="88" spans="1:19" ht="15.75" thickBot="1" x14ac:dyDescent="0.3">
      <c r="A88" s="1932" t="s">
        <v>23</v>
      </c>
      <c r="B88" s="1764" t="s">
        <v>32</v>
      </c>
      <c r="C88" s="1765"/>
      <c r="D88" s="1779">
        <v>0</v>
      </c>
      <c r="E88" s="1779">
        <v>0</v>
      </c>
      <c r="F88" s="1780">
        <v>0</v>
      </c>
      <c r="G88" s="1767">
        <f t="shared" si="3"/>
        <v>0</v>
      </c>
      <c r="H88" s="1771">
        <v>0</v>
      </c>
      <c r="I88" s="1771">
        <v>0</v>
      </c>
      <c r="J88" s="1772">
        <v>0</v>
      </c>
      <c r="K88" s="1767">
        <f t="shared" ref="K88:K105" si="10" xml:space="preserve"> SUM(H88:J88) + $C88</f>
        <v>0</v>
      </c>
      <c r="L88" s="1771">
        <v>0</v>
      </c>
      <c r="M88" s="1771">
        <v>0</v>
      </c>
      <c r="N88" s="1772">
        <v>0</v>
      </c>
      <c r="O88" s="1767">
        <f t="shared" ref="O88:O105" si="11" xml:space="preserve"> SUM(L88:N88) + $C88</f>
        <v>0</v>
      </c>
      <c r="P88" s="1771">
        <v>0</v>
      </c>
      <c r="Q88" s="1771">
        <v>0</v>
      </c>
      <c r="R88" s="1772">
        <v>0</v>
      </c>
      <c r="S88" s="1767">
        <f t="shared" ref="S88:S105" si="12" xml:space="preserve"> SUM(P88:R88) + $C88</f>
        <v>0</v>
      </c>
    </row>
    <row r="89" spans="1:19" x14ac:dyDescent="0.25">
      <c r="A89" s="1932"/>
      <c r="B89" s="19" t="s">
        <v>33</v>
      </c>
      <c r="C89" s="620"/>
      <c r="D89" s="541">
        <v>0</v>
      </c>
      <c r="E89" s="479">
        <v>0</v>
      </c>
      <c r="F89" s="525">
        <v>0</v>
      </c>
      <c r="G89" s="619">
        <f t="shared" si="3"/>
        <v>0</v>
      </c>
      <c r="H89" s="767">
        <v>0</v>
      </c>
      <c r="I89" s="740">
        <v>0</v>
      </c>
      <c r="J89" s="743">
        <v>0</v>
      </c>
      <c r="K89" s="619">
        <f t="shared" si="10"/>
        <v>0</v>
      </c>
      <c r="L89" s="767">
        <v>0</v>
      </c>
      <c r="M89" s="740">
        <v>0</v>
      </c>
      <c r="N89" s="743">
        <v>0</v>
      </c>
      <c r="O89" s="619">
        <f t="shared" si="11"/>
        <v>0</v>
      </c>
      <c r="P89" s="767">
        <v>0</v>
      </c>
      <c r="Q89" s="740">
        <v>0</v>
      </c>
      <c r="R89" s="743">
        <v>0</v>
      </c>
      <c r="S89" s="619">
        <f t="shared" si="12"/>
        <v>0</v>
      </c>
    </row>
    <row r="90" spans="1:19" x14ac:dyDescent="0.25">
      <c r="A90" s="1932"/>
      <c r="B90" s="19" t="s">
        <v>34</v>
      </c>
      <c r="C90" s="620"/>
      <c r="D90" s="758">
        <v>0</v>
      </c>
      <c r="E90" s="740">
        <v>0</v>
      </c>
      <c r="F90" s="749">
        <v>0</v>
      </c>
      <c r="G90" s="619">
        <f t="shared" si="3"/>
        <v>0</v>
      </c>
      <c r="H90" s="767">
        <v>0</v>
      </c>
      <c r="I90" s="740">
        <v>0</v>
      </c>
      <c r="J90" s="743">
        <v>0</v>
      </c>
      <c r="K90" s="619">
        <f t="shared" si="10"/>
        <v>0</v>
      </c>
      <c r="L90" s="767">
        <v>0</v>
      </c>
      <c r="M90" s="740">
        <v>0</v>
      </c>
      <c r="N90" s="743">
        <v>0</v>
      </c>
      <c r="O90" s="619">
        <f t="shared" si="11"/>
        <v>0</v>
      </c>
      <c r="P90" s="767">
        <v>0</v>
      </c>
      <c r="Q90" s="740">
        <v>0</v>
      </c>
      <c r="R90" s="743">
        <v>0</v>
      </c>
      <c r="S90" s="619">
        <f t="shared" si="12"/>
        <v>0</v>
      </c>
    </row>
    <row r="91" spans="1:19" x14ac:dyDescent="0.25">
      <c r="A91" s="1933" t="s">
        <v>24</v>
      </c>
      <c r="B91" s="1773" t="s">
        <v>32</v>
      </c>
      <c r="C91" s="1774"/>
      <c r="D91" s="1781">
        <v>4</v>
      </c>
      <c r="E91" s="1776">
        <v>0</v>
      </c>
      <c r="F91" s="1782">
        <v>0</v>
      </c>
      <c r="G91" s="1769">
        <f t="shared" si="3"/>
        <v>4</v>
      </c>
      <c r="H91" s="1775">
        <v>4</v>
      </c>
      <c r="I91" s="1776">
        <v>0</v>
      </c>
      <c r="J91" s="1777">
        <v>0</v>
      </c>
      <c r="K91" s="1769">
        <f t="shared" si="10"/>
        <v>4</v>
      </c>
      <c r="L91" s="1775">
        <v>6</v>
      </c>
      <c r="M91" s="1776">
        <v>0</v>
      </c>
      <c r="N91" s="1777">
        <v>0</v>
      </c>
      <c r="O91" s="1769">
        <f t="shared" si="11"/>
        <v>6</v>
      </c>
      <c r="P91" s="1775">
        <v>6</v>
      </c>
      <c r="Q91" s="1776">
        <v>0</v>
      </c>
      <c r="R91" s="1777">
        <v>0</v>
      </c>
      <c r="S91" s="1769">
        <f t="shared" si="12"/>
        <v>6</v>
      </c>
    </row>
    <row r="92" spans="1:19" x14ac:dyDescent="0.25">
      <c r="A92" s="1933"/>
      <c r="B92" s="19" t="s">
        <v>33</v>
      </c>
      <c r="C92" s="620"/>
      <c r="D92" s="748">
        <v>1</v>
      </c>
      <c r="E92" s="740">
        <v>0</v>
      </c>
      <c r="F92" s="749">
        <v>0</v>
      </c>
      <c r="G92" s="619">
        <f t="shared" si="3"/>
        <v>1</v>
      </c>
      <c r="H92" s="823">
        <v>1</v>
      </c>
      <c r="I92" s="814">
        <v>0</v>
      </c>
      <c r="J92" s="824">
        <v>0</v>
      </c>
      <c r="K92" s="619">
        <f t="shared" si="10"/>
        <v>1</v>
      </c>
      <c r="L92" s="744">
        <v>2</v>
      </c>
      <c r="M92" s="740">
        <v>0</v>
      </c>
      <c r="N92" s="743">
        <v>0</v>
      </c>
      <c r="O92" s="619">
        <f t="shared" si="11"/>
        <v>2</v>
      </c>
      <c r="P92" s="821">
        <v>2</v>
      </c>
      <c r="Q92" s="814">
        <v>0</v>
      </c>
      <c r="R92" s="819">
        <v>0</v>
      </c>
      <c r="S92" s="619">
        <f t="shared" si="12"/>
        <v>2</v>
      </c>
    </row>
    <row r="93" spans="1:19" x14ac:dyDescent="0.25">
      <c r="A93" s="1933"/>
      <c r="B93" s="19" t="s">
        <v>34</v>
      </c>
      <c r="C93" s="620"/>
      <c r="D93" s="748">
        <v>2</v>
      </c>
      <c r="E93" s="740">
        <v>0</v>
      </c>
      <c r="F93" s="749">
        <v>0</v>
      </c>
      <c r="G93" s="619">
        <f t="shared" si="3"/>
        <v>2</v>
      </c>
      <c r="H93" s="823">
        <v>2</v>
      </c>
      <c r="I93" s="814">
        <v>0</v>
      </c>
      <c r="J93" s="824">
        <v>0</v>
      </c>
      <c r="K93" s="619">
        <f t="shared" si="10"/>
        <v>2</v>
      </c>
      <c r="L93" s="744">
        <v>4</v>
      </c>
      <c r="M93" s="740">
        <v>0</v>
      </c>
      <c r="N93" s="743">
        <v>0</v>
      </c>
      <c r="O93" s="619">
        <f t="shared" si="11"/>
        <v>4</v>
      </c>
      <c r="P93" s="821">
        <v>4</v>
      </c>
      <c r="Q93" s="814">
        <v>0</v>
      </c>
      <c r="R93" s="819">
        <v>0</v>
      </c>
      <c r="S93" s="619">
        <f t="shared" si="12"/>
        <v>4</v>
      </c>
    </row>
    <row r="94" spans="1:19" x14ac:dyDescent="0.25">
      <c r="A94" s="1933" t="s">
        <v>25</v>
      </c>
      <c r="B94" s="1773" t="s">
        <v>32</v>
      </c>
      <c r="C94" s="1774"/>
      <c r="D94" s="1781">
        <v>2</v>
      </c>
      <c r="E94" s="1776">
        <v>0</v>
      </c>
      <c r="F94" s="1782">
        <v>0</v>
      </c>
      <c r="G94" s="1769">
        <f t="shared" ref="G94:G105" si="13" xml:space="preserve"> SUM(D94:F94) + $C94</f>
        <v>2</v>
      </c>
      <c r="H94" s="1781">
        <v>2</v>
      </c>
      <c r="I94" s="1776">
        <v>0</v>
      </c>
      <c r="J94" s="1782">
        <v>0</v>
      </c>
      <c r="K94" s="1769">
        <f t="shared" si="10"/>
        <v>2</v>
      </c>
      <c r="L94" s="1775">
        <v>4</v>
      </c>
      <c r="M94" s="1776">
        <v>0</v>
      </c>
      <c r="N94" s="1777">
        <v>0</v>
      </c>
      <c r="O94" s="1769">
        <f t="shared" si="11"/>
        <v>4</v>
      </c>
      <c r="P94" s="1775">
        <v>4</v>
      </c>
      <c r="Q94" s="1776">
        <v>0</v>
      </c>
      <c r="R94" s="1777">
        <v>0</v>
      </c>
      <c r="S94" s="1769">
        <f t="shared" si="12"/>
        <v>4</v>
      </c>
    </row>
    <row r="95" spans="1:19" x14ac:dyDescent="0.25">
      <c r="A95" s="1933"/>
      <c r="B95" s="19" t="s">
        <v>33</v>
      </c>
      <c r="C95" s="620"/>
      <c r="D95" s="748">
        <v>1</v>
      </c>
      <c r="E95" s="740">
        <v>0</v>
      </c>
      <c r="F95" s="749">
        <v>0</v>
      </c>
      <c r="G95" s="619">
        <f t="shared" si="13"/>
        <v>1</v>
      </c>
      <c r="H95" s="823">
        <v>1</v>
      </c>
      <c r="I95" s="814">
        <v>0</v>
      </c>
      <c r="J95" s="824">
        <v>0</v>
      </c>
      <c r="K95" s="619">
        <f t="shared" si="10"/>
        <v>1</v>
      </c>
      <c r="L95" s="744">
        <v>2</v>
      </c>
      <c r="M95" s="740">
        <v>0</v>
      </c>
      <c r="N95" s="743">
        <v>0</v>
      </c>
      <c r="O95" s="619">
        <f t="shared" si="11"/>
        <v>2</v>
      </c>
      <c r="P95" s="821">
        <v>2</v>
      </c>
      <c r="Q95" s="814">
        <v>0</v>
      </c>
      <c r="R95" s="819">
        <v>0</v>
      </c>
      <c r="S95" s="619">
        <f t="shared" si="12"/>
        <v>2</v>
      </c>
    </row>
    <row r="96" spans="1:19" x14ac:dyDescent="0.25">
      <c r="A96" s="1933"/>
      <c r="B96" s="19" t="s">
        <v>34</v>
      </c>
      <c r="C96" s="620"/>
      <c r="D96" s="748">
        <v>2</v>
      </c>
      <c r="E96" s="740">
        <v>0</v>
      </c>
      <c r="F96" s="749">
        <v>0</v>
      </c>
      <c r="G96" s="619">
        <f t="shared" si="13"/>
        <v>2</v>
      </c>
      <c r="H96" s="823">
        <v>2</v>
      </c>
      <c r="I96" s="814">
        <v>0</v>
      </c>
      <c r="J96" s="824">
        <v>0</v>
      </c>
      <c r="K96" s="619">
        <f t="shared" si="10"/>
        <v>2</v>
      </c>
      <c r="L96" s="744">
        <v>4</v>
      </c>
      <c r="M96" s="740">
        <v>0</v>
      </c>
      <c r="N96" s="743">
        <v>0</v>
      </c>
      <c r="O96" s="619">
        <f t="shared" si="11"/>
        <v>4</v>
      </c>
      <c r="P96" s="821">
        <v>4</v>
      </c>
      <c r="Q96" s="814">
        <v>0</v>
      </c>
      <c r="R96" s="819">
        <v>0</v>
      </c>
      <c r="S96" s="619">
        <f t="shared" si="12"/>
        <v>4</v>
      </c>
    </row>
    <row r="97" spans="1:19" x14ac:dyDescent="0.25">
      <c r="A97" s="1933" t="s">
        <v>26</v>
      </c>
      <c r="B97" s="1773" t="s">
        <v>32</v>
      </c>
      <c r="C97" s="1774"/>
      <c r="D97" s="1781">
        <v>6</v>
      </c>
      <c r="E97" s="1775">
        <v>0</v>
      </c>
      <c r="F97" s="1783">
        <v>0</v>
      </c>
      <c r="G97" s="1769">
        <f t="shared" si="13"/>
        <v>6</v>
      </c>
      <c r="H97" s="1781">
        <v>6</v>
      </c>
      <c r="I97" s="1775">
        <v>0</v>
      </c>
      <c r="J97" s="1783">
        <v>0</v>
      </c>
      <c r="K97" s="1769">
        <f t="shared" si="10"/>
        <v>6</v>
      </c>
      <c r="L97" s="1781">
        <v>8</v>
      </c>
      <c r="M97" s="1775">
        <v>0</v>
      </c>
      <c r="N97" s="1783">
        <v>0</v>
      </c>
      <c r="O97" s="1769">
        <f t="shared" si="11"/>
        <v>8</v>
      </c>
      <c r="P97" s="1781">
        <v>8</v>
      </c>
      <c r="Q97" s="1775">
        <v>0</v>
      </c>
      <c r="R97" s="1783">
        <v>0</v>
      </c>
      <c r="S97" s="1769">
        <f t="shared" si="12"/>
        <v>8</v>
      </c>
    </row>
    <row r="98" spans="1:19" x14ac:dyDescent="0.25">
      <c r="A98" s="1933"/>
      <c r="B98" s="19" t="s">
        <v>33</v>
      </c>
      <c r="C98" s="620"/>
      <c r="D98" s="695">
        <v>2</v>
      </c>
      <c r="E98" s="744">
        <v>0</v>
      </c>
      <c r="F98" s="741">
        <v>0</v>
      </c>
      <c r="G98" s="619">
        <f t="shared" si="13"/>
        <v>2</v>
      </c>
      <c r="H98" s="838">
        <v>2</v>
      </c>
      <c r="I98" s="821">
        <v>0</v>
      </c>
      <c r="J98" s="815">
        <v>0</v>
      </c>
      <c r="K98" s="619">
        <f t="shared" si="10"/>
        <v>2</v>
      </c>
      <c r="L98" s="695">
        <v>2</v>
      </c>
      <c r="M98" s="744">
        <v>0</v>
      </c>
      <c r="N98" s="741">
        <v>0</v>
      </c>
      <c r="O98" s="619">
        <f t="shared" si="11"/>
        <v>2</v>
      </c>
      <c r="P98" s="838">
        <v>2</v>
      </c>
      <c r="Q98" s="821">
        <v>0</v>
      </c>
      <c r="R98" s="815">
        <v>0</v>
      </c>
      <c r="S98" s="619">
        <f t="shared" si="12"/>
        <v>2</v>
      </c>
    </row>
    <row r="99" spans="1:19" x14ac:dyDescent="0.25">
      <c r="A99" s="1933"/>
      <c r="B99" s="19" t="s">
        <v>34</v>
      </c>
      <c r="C99" s="620"/>
      <c r="D99" s="695">
        <v>4</v>
      </c>
      <c r="E99" s="744">
        <v>0</v>
      </c>
      <c r="F99" s="741">
        <v>0</v>
      </c>
      <c r="G99" s="619">
        <f t="shared" si="13"/>
        <v>4</v>
      </c>
      <c r="H99" s="838">
        <v>4</v>
      </c>
      <c r="I99" s="821">
        <v>0</v>
      </c>
      <c r="J99" s="815">
        <v>0</v>
      </c>
      <c r="K99" s="619">
        <f t="shared" si="10"/>
        <v>4</v>
      </c>
      <c r="L99" s="695">
        <v>4</v>
      </c>
      <c r="M99" s="744">
        <v>0</v>
      </c>
      <c r="N99" s="741">
        <v>0</v>
      </c>
      <c r="O99" s="619">
        <f t="shared" si="11"/>
        <v>4</v>
      </c>
      <c r="P99" s="838">
        <v>4</v>
      </c>
      <c r="Q99" s="821">
        <v>0</v>
      </c>
      <c r="R99" s="815">
        <v>0</v>
      </c>
      <c r="S99" s="619">
        <f t="shared" si="12"/>
        <v>4</v>
      </c>
    </row>
    <row r="100" spans="1:19" x14ac:dyDescent="0.25">
      <c r="A100" s="1933" t="s">
        <v>27</v>
      </c>
      <c r="B100" s="1773" t="s">
        <v>32</v>
      </c>
      <c r="C100" s="1774"/>
      <c r="D100" s="1781">
        <v>4</v>
      </c>
      <c r="E100" s="1775">
        <v>0</v>
      </c>
      <c r="F100" s="1783">
        <v>0</v>
      </c>
      <c r="G100" s="1769">
        <f t="shared" si="13"/>
        <v>4</v>
      </c>
      <c r="H100" s="1775">
        <v>4</v>
      </c>
      <c r="I100" s="1775">
        <v>0</v>
      </c>
      <c r="J100" s="1775">
        <v>0</v>
      </c>
      <c r="K100" s="1769">
        <f t="shared" si="10"/>
        <v>4</v>
      </c>
      <c r="L100" s="1775">
        <v>4</v>
      </c>
      <c r="M100" s="1775">
        <v>0</v>
      </c>
      <c r="N100" s="1775">
        <v>0</v>
      </c>
      <c r="O100" s="1769">
        <f t="shared" si="11"/>
        <v>4</v>
      </c>
      <c r="P100" s="1775">
        <v>4</v>
      </c>
      <c r="Q100" s="1775">
        <v>0</v>
      </c>
      <c r="R100" s="1775">
        <v>0</v>
      </c>
      <c r="S100" s="1769">
        <f t="shared" si="12"/>
        <v>4</v>
      </c>
    </row>
    <row r="101" spans="1:19" x14ac:dyDescent="0.25">
      <c r="A101" s="1933"/>
      <c r="B101" s="19" t="s">
        <v>33</v>
      </c>
      <c r="C101" s="620"/>
      <c r="D101" s="695">
        <v>0</v>
      </c>
      <c r="E101" s="744">
        <v>0</v>
      </c>
      <c r="F101" s="741">
        <v>0</v>
      </c>
      <c r="G101" s="619">
        <f t="shared" si="13"/>
        <v>0</v>
      </c>
      <c r="H101" s="838">
        <v>0</v>
      </c>
      <c r="I101" s="821">
        <v>0</v>
      </c>
      <c r="J101" s="815">
        <v>0</v>
      </c>
      <c r="K101" s="619">
        <f t="shared" si="10"/>
        <v>0</v>
      </c>
      <c r="L101" s="838">
        <v>0</v>
      </c>
      <c r="M101" s="821">
        <v>0</v>
      </c>
      <c r="N101" s="815">
        <v>0</v>
      </c>
      <c r="O101" s="619">
        <f t="shared" si="11"/>
        <v>0</v>
      </c>
      <c r="P101" s="838">
        <v>0</v>
      </c>
      <c r="Q101" s="821">
        <v>0</v>
      </c>
      <c r="R101" s="815">
        <v>0</v>
      </c>
      <c r="S101" s="619">
        <f t="shared" si="12"/>
        <v>0</v>
      </c>
    </row>
    <row r="102" spans="1:19" x14ac:dyDescent="0.25">
      <c r="A102" s="1933"/>
      <c r="B102" s="19" t="s">
        <v>34</v>
      </c>
      <c r="C102" s="620"/>
      <c r="D102" s="695">
        <v>0</v>
      </c>
      <c r="E102" s="744">
        <v>0</v>
      </c>
      <c r="F102" s="741">
        <v>0</v>
      </c>
      <c r="G102" s="619">
        <f t="shared" si="13"/>
        <v>0</v>
      </c>
      <c r="H102" s="838">
        <v>0</v>
      </c>
      <c r="I102" s="821">
        <v>0</v>
      </c>
      <c r="J102" s="815">
        <v>0</v>
      </c>
      <c r="K102" s="619">
        <f t="shared" si="10"/>
        <v>0</v>
      </c>
      <c r="L102" s="838">
        <v>0</v>
      </c>
      <c r="M102" s="821">
        <v>0</v>
      </c>
      <c r="N102" s="815">
        <v>0</v>
      </c>
      <c r="O102" s="619">
        <f t="shared" si="11"/>
        <v>0</v>
      </c>
      <c r="P102" s="838">
        <v>0</v>
      </c>
      <c r="Q102" s="821">
        <v>0</v>
      </c>
      <c r="R102" s="815">
        <v>0</v>
      </c>
      <c r="S102" s="619">
        <f t="shared" si="12"/>
        <v>0</v>
      </c>
    </row>
    <row r="103" spans="1:19" x14ac:dyDescent="0.25">
      <c r="A103" s="1932" t="s">
        <v>28</v>
      </c>
      <c r="B103" s="1773" t="s">
        <v>32</v>
      </c>
      <c r="C103" s="1774"/>
      <c r="D103" s="1781">
        <v>2</v>
      </c>
      <c r="E103" s="1775">
        <v>0</v>
      </c>
      <c r="F103" s="1783">
        <v>0</v>
      </c>
      <c r="G103" s="1769">
        <f t="shared" si="13"/>
        <v>2</v>
      </c>
      <c r="H103" s="1781">
        <v>2</v>
      </c>
      <c r="I103" s="1775">
        <v>0</v>
      </c>
      <c r="J103" s="1783">
        <v>0</v>
      </c>
      <c r="K103" s="1769">
        <f t="shared" si="10"/>
        <v>2</v>
      </c>
      <c r="L103" s="1781">
        <v>4</v>
      </c>
      <c r="M103" s="1775">
        <v>0</v>
      </c>
      <c r="N103" s="1783">
        <v>0</v>
      </c>
      <c r="O103" s="1769">
        <f t="shared" si="11"/>
        <v>4</v>
      </c>
      <c r="P103" s="1781">
        <v>4</v>
      </c>
      <c r="Q103" s="1775">
        <v>0</v>
      </c>
      <c r="R103" s="1783">
        <v>0</v>
      </c>
      <c r="S103" s="1769">
        <f t="shared" si="12"/>
        <v>4</v>
      </c>
    </row>
    <row r="104" spans="1:19" x14ac:dyDescent="0.25">
      <c r="A104" s="1932"/>
      <c r="B104" s="19" t="s">
        <v>33</v>
      </c>
      <c r="C104" s="620"/>
      <c r="D104" s="838">
        <v>0</v>
      </c>
      <c r="E104" s="821">
        <v>0</v>
      </c>
      <c r="F104" s="815">
        <v>0</v>
      </c>
      <c r="G104" s="619">
        <f t="shared" si="13"/>
        <v>0</v>
      </c>
      <c r="H104" s="838">
        <v>0</v>
      </c>
      <c r="I104" s="821">
        <v>0</v>
      </c>
      <c r="J104" s="815">
        <v>0</v>
      </c>
      <c r="K104" s="619">
        <f t="shared" si="10"/>
        <v>0</v>
      </c>
      <c r="L104" s="838">
        <v>0</v>
      </c>
      <c r="M104" s="821">
        <v>0</v>
      </c>
      <c r="N104" s="815">
        <v>0</v>
      </c>
      <c r="O104" s="619">
        <f t="shared" si="11"/>
        <v>0</v>
      </c>
      <c r="P104" s="838">
        <v>0</v>
      </c>
      <c r="Q104" s="821">
        <v>0</v>
      </c>
      <c r="R104" s="815">
        <v>0</v>
      </c>
      <c r="S104" s="619">
        <f t="shared" si="12"/>
        <v>0</v>
      </c>
    </row>
    <row r="105" spans="1:19" ht="15.75" thickBot="1" x14ac:dyDescent="0.3">
      <c r="A105" s="1934"/>
      <c r="B105" s="20" t="s">
        <v>34</v>
      </c>
      <c r="C105" s="621"/>
      <c r="D105" s="838">
        <v>0</v>
      </c>
      <c r="E105" s="821">
        <v>0</v>
      </c>
      <c r="F105" s="815">
        <v>0</v>
      </c>
      <c r="G105" s="622">
        <f t="shared" si="13"/>
        <v>0</v>
      </c>
      <c r="H105" s="838">
        <v>0</v>
      </c>
      <c r="I105" s="821">
        <v>0</v>
      </c>
      <c r="J105" s="815">
        <v>0</v>
      </c>
      <c r="K105" s="622">
        <f t="shared" si="10"/>
        <v>0</v>
      </c>
      <c r="L105" s="838">
        <v>0</v>
      </c>
      <c r="M105" s="821">
        <v>0</v>
      </c>
      <c r="N105" s="815">
        <v>0</v>
      </c>
      <c r="O105" s="622">
        <f t="shared" si="11"/>
        <v>0</v>
      </c>
      <c r="P105" s="838">
        <v>0</v>
      </c>
      <c r="Q105" s="821">
        <v>0</v>
      </c>
      <c r="R105" s="815">
        <v>0</v>
      </c>
      <c r="S105" s="622">
        <f t="shared" si="12"/>
        <v>0</v>
      </c>
    </row>
    <row r="107" spans="1:19" ht="15.75" x14ac:dyDescent="0.25">
      <c r="A107" s="1691" t="s">
        <v>1702</v>
      </c>
      <c r="B107" s="1691" t="s">
        <v>1703</v>
      </c>
      <c r="C107" s="1748"/>
      <c r="D107" s="1696"/>
      <c r="E107" s="1748" t="s">
        <v>1704</v>
      </c>
    </row>
    <row r="108" spans="1:19" ht="60" x14ac:dyDescent="0.25">
      <c r="A108" s="1692" t="s">
        <v>616</v>
      </c>
      <c r="B108" s="1692" t="s">
        <v>1814</v>
      </c>
      <c r="C108" s="1748"/>
      <c r="D108" s="1748"/>
      <c r="E108" s="1748"/>
    </row>
    <row r="109" spans="1:19" ht="60" x14ac:dyDescent="0.25">
      <c r="A109" s="1692" t="s">
        <v>616</v>
      </c>
      <c r="B109" s="1692" t="s">
        <v>1814</v>
      </c>
      <c r="C109" s="1748"/>
      <c r="D109" s="1748"/>
      <c r="E109" s="1748"/>
    </row>
    <row r="110" spans="1:19" ht="60" x14ac:dyDescent="0.25">
      <c r="A110" s="1692" t="s">
        <v>616</v>
      </c>
      <c r="B110" s="1692" t="s">
        <v>1814</v>
      </c>
      <c r="C110" s="1748"/>
      <c r="D110" s="1748"/>
      <c r="E110" s="1748"/>
    </row>
    <row r="111" spans="1:19" x14ac:dyDescent="0.25">
      <c r="A111" s="1748"/>
      <c r="B111" s="1748"/>
      <c r="C111" s="1748"/>
      <c r="D111" s="1748"/>
      <c r="E111" s="1748"/>
    </row>
    <row r="112" spans="1:19" x14ac:dyDescent="0.25">
      <c r="A112" s="1693" t="s">
        <v>89</v>
      </c>
      <c r="B112" s="1748" t="s">
        <v>1704</v>
      </c>
      <c r="C112" s="1748"/>
      <c r="D112" s="1748"/>
      <c r="E112" s="1748"/>
    </row>
  </sheetData>
  <autoFilter ref="A2:S105" xr:uid="{00000000-0001-0000-5300-000000000000}"/>
  <mergeCells count="41">
    <mergeCell ref="D1:G1"/>
    <mergeCell ref="H1:K1"/>
    <mergeCell ref="L1:O1"/>
    <mergeCell ref="P1:S1"/>
    <mergeCell ref="C2:C3"/>
    <mergeCell ref="G2:G3"/>
    <mergeCell ref="K2:K3"/>
    <mergeCell ref="O2:O3"/>
    <mergeCell ref="S2:S3"/>
    <mergeCell ref="A42:A44"/>
    <mergeCell ref="A5:A7"/>
    <mergeCell ref="A8:A10"/>
    <mergeCell ref="A12:A14"/>
    <mergeCell ref="A16:A18"/>
    <mergeCell ref="A19:A21"/>
    <mergeCell ref="A22:A24"/>
    <mergeCell ref="A25:A27"/>
    <mergeCell ref="A28:A30"/>
    <mergeCell ref="A31:A33"/>
    <mergeCell ref="A34:A36"/>
    <mergeCell ref="A38:A40"/>
    <mergeCell ref="A78:A80"/>
    <mergeCell ref="A45:A47"/>
    <mergeCell ref="A48:A50"/>
    <mergeCell ref="A51:A53"/>
    <mergeCell ref="A54:A56"/>
    <mergeCell ref="A57:A59"/>
    <mergeCell ref="A60:A62"/>
    <mergeCell ref="A63:A65"/>
    <mergeCell ref="A66:A68"/>
    <mergeCell ref="A69:A71"/>
    <mergeCell ref="A72:A74"/>
    <mergeCell ref="A75:A77"/>
    <mergeCell ref="A100:A102"/>
    <mergeCell ref="A103:A105"/>
    <mergeCell ref="A81:A83"/>
    <mergeCell ref="A84:A86"/>
    <mergeCell ref="A88:A90"/>
    <mergeCell ref="A91:A93"/>
    <mergeCell ref="A94:A96"/>
    <mergeCell ref="A97:A99"/>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Лист42"/>
  <dimension ref="A1:K107"/>
  <sheetViews>
    <sheetView zoomScale="70" zoomScaleNormal="70" workbookViewId="0">
      <selection activeCell="E115" sqref="E115"/>
    </sheetView>
  </sheetViews>
  <sheetFormatPr defaultRowHeight="15" x14ac:dyDescent="0.25"/>
  <cols>
    <col min="1" max="1" width="53.42578125" bestFit="1" customWidth="1"/>
    <col min="2" max="2" width="23.5703125" bestFit="1" customWidth="1"/>
    <col min="4" max="4" width="40.42578125" bestFit="1" customWidth="1"/>
    <col min="5" max="5" width="38.28515625" customWidth="1"/>
    <col min="6" max="6" width="38.28515625" bestFit="1" customWidth="1"/>
    <col min="8" max="8" width="40.42578125" bestFit="1" customWidth="1"/>
    <col min="9" max="9" width="38.28515625" customWidth="1"/>
    <col min="10" max="10" width="38.28515625" bestFit="1" customWidth="1"/>
  </cols>
  <sheetData>
    <row r="1" spans="1:11" ht="16.5" thickBot="1" x14ac:dyDescent="0.3">
      <c r="A1" s="465" t="s">
        <v>91</v>
      </c>
      <c r="B1" s="35"/>
      <c r="C1" s="43"/>
      <c r="D1" s="1939" t="s">
        <v>608</v>
      </c>
      <c r="E1" s="1940"/>
      <c r="F1" s="1940"/>
      <c r="G1" s="1941"/>
      <c r="H1" s="1939" t="s">
        <v>609</v>
      </c>
      <c r="I1" s="1940"/>
      <c r="J1" s="1940"/>
      <c r="K1" s="1941"/>
    </row>
    <row r="2" spans="1:11" ht="15.75" x14ac:dyDescent="0.25">
      <c r="B2" s="41" t="s">
        <v>37</v>
      </c>
      <c r="C2" s="1945" t="s">
        <v>35</v>
      </c>
      <c r="D2" s="835" t="s">
        <v>621</v>
      </c>
      <c r="E2" s="835" t="s">
        <v>617</v>
      </c>
      <c r="F2" s="835" t="s">
        <v>617</v>
      </c>
      <c r="G2" s="1942" t="s">
        <v>38</v>
      </c>
      <c r="H2" s="835" t="s">
        <v>621</v>
      </c>
      <c r="I2" s="835" t="s">
        <v>617</v>
      </c>
      <c r="J2" s="835" t="s">
        <v>617</v>
      </c>
      <c r="K2" s="1942" t="s">
        <v>38</v>
      </c>
    </row>
    <row r="3" spans="1:11" ht="16.5" thickBot="1" x14ac:dyDescent="0.3">
      <c r="A3" s="12" t="s">
        <v>36</v>
      </c>
      <c r="B3" s="768">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row>
    <row r="4" spans="1:11" ht="16.5" thickBot="1" x14ac:dyDescent="0.3">
      <c r="A4" s="326" t="s">
        <v>448</v>
      </c>
      <c r="B4" s="327"/>
      <c r="C4" s="327"/>
      <c r="D4" s="327"/>
      <c r="E4" s="327"/>
      <c r="F4" s="327"/>
      <c r="G4" s="327"/>
      <c r="H4" s="327"/>
      <c r="I4" s="327"/>
      <c r="J4" s="327"/>
      <c r="K4" s="327"/>
    </row>
    <row r="5" spans="1:11" x14ac:dyDescent="0.25">
      <c r="A5" s="1932" t="s">
        <v>0</v>
      </c>
      <c r="B5" s="404" t="s">
        <v>32</v>
      </c>
      <c r="C5" s="324"/>
      <c r="D5" s="834">
        <f>0.1*D$3</f>
        <v>0</v>
      </c>
      <c r="E5" s="813">
        <v>0</v>
      </c>
      <c r="F5" s="828">
        <v>0</v>
      </c>
      <c r="G5" s="230">
        <f xml:space="preserve"> SUM(D5:F5) + $C5</f>
        <v>0</v>
      </c>
      <c r="H5" s="834">
        <f>0.1*H$3</f>
        <v>0</v>
      </c>
      <c r="I5" s="756">
        <v>0</v>
      </c>
      <c r="J5" s="756">
        <v>0</v>
      </c>
      <c r="K5" s="230">
        <f t="shared" ref="K5:K10" si="0" xml:space="preserve"> SUM(H5:J5) + $C5</f>
        <v>0</v>
      </c>
    </row>
    <row r="6" spans="1:11" x14ac:dyDescent="0.25">
      <c r="A6" s="1932"/>
      <c r="B6" s="19" t="s">
        <v>33</v>
      </c>
      <c r="C6" s="620"/>
      <c r="D6" s="834">
        <f>1*D$3</f>
        <v>0</v>
      </c>
      <c r="E6" s="813">
        <v>0</v>
      </c>
      <c r="F6" s="813">
        <v>0</v>
      </c>
      <c r="G6" s="619">
        <f xml:space="preserve"> SUM(D6:F6) + $C6</f>
        <v>0</v>
      </c>
      <c r="H6" s="834">
        <f>1*H$3</f>
        <v>0</v>
      </c>
      <c r="I6" s="739">
        <v>0</v>
      </c>
      <c r="J6" s="739">
        <v>0</v>
      </c>
      <c r="K6" s="619">
        <f t="shared" si="0"/>
        <v>0</v>
      </c>
    </row>
    <row r="7" spans="1:11" x14ac:dyDescent="0.25">
      <c r="A7" s="1973"/>
      <c r="B7" s="19" t="s">
        <v>34</v>
      </c>
      <c r="C7" s="620"/>
      <c r="D7" s="834">
        <f>2*D$3</f>
        <v>0</v>
      </c>
      <c r="E7" s="813">
        <v>0</v>
      </c>
      <c r="F7" s="813">
        <v>0</v>
      </c>
      <c r="G7" s="619">
        <f xml:space="preserve"> SUM(D7:F7) + $C7</f>
        <v>0</v>
      </c>
      <c r="H7" s="834">
        <f>2*H$3</f>
        <v>0</v>
      </c>
      <c r="I7" s="739">
        <v>0</v>
      </c>
      <c r="J7" s="739">
        <v>0</v>
      </c>
      <c r="K7" s="619">
        <f t="shared" si="0"/>
        <v>0</v>
      </c>
    </row>
    <row r="8" spans="1:11" x14ac:dyDescent="0.25">
      <c r="A8" s="1932" t="s">
        <v>449</v>
      </c>
      <c r="B8" s="404" t="s">
        <v>32</v>
      </c>
      <c r="C8" s="324"/>
      <c r="D8" s="834">
        <f>0.1*D$3</f>
        <v>0</v>
      </c>
      <c r="E8" s="813">
        <v>0</v>
      </c>
      <c r="F8" s="813">
        <v>0</v>
      </c>
      <c r="G8" s="619">
        <f xml:space="preserve"> SUM(D8:F8) + $C8</f>
        <v>0</v>
      </c>
      <c r="H8" s="834">
        <f>0.1*H$3</f>
        <v>0</v>
      </c>
      <c r="I8" s="739">
        <v>0</v>
      </c>
      <c r="J8" s="739">
        <v>0</v>
      </c>
      <c r="K8" s="619">
        <f t="shared" si="0"/>
        <v>0</v>
      </c>
    </row>
    <row r="9" spans="1:11" x14ac:dyDescent="0.25">
      <c r="A9" s="1932"/>
      <c r="B9" s="19" t="s">
        <v>33</v>
      </c>
      <c r="C9" s="620"/>
      <c r="D9" s="834">
        <f>1*D$3</f>
        <v>0</v>
      </c>
      <c r="E9" s="813">
        <v>0</v>
      </c>
      <c r="F9" s="813">
        <v>0</v>
      </c>
      <c r="G9" s="619">
        <f t="shared" ref="G9:G93" si="1" xml:space="preserve"> SUM(D9:F9) + $C9</f>
        <v>0</v>
      </c>
      <c r="H9" s="834">
        <f>1*H$3</f>
        <v>0</v>
      </c>
      <c r="I9" s="739">
        <v>0</v>
      </c>
      <c r="J9" s="739">
        <v>0</v>
      </c>
      <c r="K9" s="619">
        <f t="shared" si="0"/>
        <v>0</v>
      </c>
    </row>
    <row r="10" spans="1:11" ht="15.75" thickBot="1" x14ac:dyDescent="0.3">
      <c r="A10" s="1932"/>
      <c r="B10" s="13" t="s">
        <v>34</v>
      </c>
      <c r="C10" s="624"/>
      <c r="D10" s="834">
        <f>2*D$3</f>
        <v>0</v>
      </c>
      <c r="E10" s="813">
        <v>0</v>
      </c>
      <c r="F10" s="832">
        <v>0</v>
      </c>
      <c r="G10" s="77">
        <f t="shared" si="1"/>
        <v>0</v>
      </c>
      <c r="H10" s="834">
        <f>2*H$3</f>
        <v>0</v>
      </c>
      <c r="I10" s="759">
        <v>0</v>
      </c>
      <c r="J10" s="759">
        <v>0</v>
      </c>
      <c r="K10" s="77">
        <f t="shared" si="0"/>
        <v>0</v>
      </c>
    </row>
    <row r="11" spans="1:11" ht="16.5" thickBot="1" x14ac:dyDescent="0.3">
      <c r="A11" s="326" t="s">
        <v>1</v>
      </c>
      <c r="B11" s="327"/>
      <c r="C11" s="327"/>
      <c r="D11" s="327"/>
      <c r="E11" s="327"/>
      <c r="F11" s="327"/>
      <c r="G11" s="327"/>
      <c r="H11" s="327"/>
      <c r="I11" s="327"/>
      <c r="J11" s="327"/>
      <c r="K11" s="327"/>
    </row>
    <row r="12" spans="1:11" x14ac:dyDescent="0.25">
      <c r="A12" s="1932" t="s">
        <v>2</v>
      </c>
      <c r="B12" s="404" t="s">
        <v>32</v>
      </c>
      <c r="C12" s="324"/>
      <c r="D12" s="756">
        <v>1</v>
      </c>
      <c r="E12" s="756">
        <v>0</v>
      </c>
      <c r="F12" s="756">
        <v>0</v>
      </c>
      <c r="G12" s="230">
        <f t="shared" si="1"/>
        <v>1</v>
      </c>
      <c r="H12" s="828">
        <v>2</v>
      </c>
      <c r="I12" s="756">
        <v>0</v>
      </c>
      <c r="J12" s="756">
        <v>0</v>
      </c>
      <c r="K12" s="230">
        <f xml:space="preserve"> SUM(H12:J12) + $C12</f>
        <v>2</v>
      </c>
    </row>
    <row r="13" spans="1:11" x14ac:dyDescent="0.25">
      <c r="A13" s="1932"/>
      <c r="B13" s="19" t="s">
        <v>33</v>
      </c>
      <c r="C13" s="620"/>
      <c r="D13" s="739">
        <v>2</v>
      </c>
      <c r="E13" s="756">
        <v>0</v>
      </c>
      <c r="F13" s="739">
        <v>0</v>
      </c>
      <c r="G13" s="619">
        <f t="shared" si="1"/>
        <v>2</v>
      </c>
      <c r="H13" s="813">
        <v>4</v>
      </c>
      <c r="I13" s="756">
        <v>0</v>
      </c>
      <c r="J13" s="739">
        <v>0</v>
      </c>
      <c r="K13" s="619">
        <f xml:space="preserve"> SUM(H13:J13) + $C13</f>
        <v>4</v>
      </c>
    </row>
    <row r="14" spans="1:11" ht="15.75" thickBot="1" x14ac:dyDescent="0.3">
      <c r="A14" s="1932"/>
      <c r="B14" s="13" t="s">
        <v>34</v>
      </c>
      <c r="C14" s="624"/>
      <c r="D14" s="759">
        <v>4</v>
      </c>
      <c r="E14" s="756">
        <v>0</v>
      </c>
      <c r="F14" s="759">
        <v>0</v>
      </c>
      <c r="G14" s="77">
        <f t="shared" si="1"/>
        <v>4</v>
      </c>
      <c r="H14" s="832">
        <v>8</v>
      </c>
      <c r="I14" s="756">
        <v>0</v>
      </c>
      <c r="J14" s="759">
        <v>0</v>
      </c>
      <c r="K14" s="77">
        <f xml:space="preserve"> SUM(H14:J14) + $C14</f>
        <v>8</v>
      </c>
    </row>
    <row r="15" spans="1:11" ht="16.5" thickBot="1" x14ac:dyDescent="0.3">
      <c r="A15" s="330" t="s">
        <v>3</v>
      </c>
      <c r="B15" s="329"/>
      <c r="C15" s="329"/>
      <c r="D15" s="329"/>
      <c r="E15" s="329"/>
      <c r="F15" s="327"/>
      <c r="G15" s="327"/>
      <c r="H15" s="329"/>
      <c r="I15" s="329"/>
      <c r="J15" s="327"/>
      <c r="K15" s="327"/>
    </row>
    <row r="16" spans="1:11" x14ac:dyDescent="0.25">
      <c r="A16" s="1944" t="s">
        <v>4</v>
      </c>
      <c r="B16" s="325" t="s">
        <v>32</v>
      </c>
      <c r="C16" s="324"/>
      <c r="D16" s="767">
        <v>0</v>
      </c>
      <c r="E16" s="767">
        <v>0</v>
      </c>
      <c r="F16" s="761">
        <v>0</v>
      </c>
      <c r="G16" s="230">
        <f t="shared" si="1"/>
        <v>0</v>
      </c>
      <c r="H16" s="827">
        <v>0</v>
      </c>
      <c r="I16" s="827">
        <v>0</v>
      </c>
      <c r="J16" s="833">
        <v>0</v>
      </c>
      <c r="K16" s="230">
        <f t="shared" ref="K16:K36" si="2" xml:space="preserve"> SUM(H16:J16) + $C16</f>
        <v>0</v>
      </c>
    </row>
    <row r="17" spans="1:11" x14ac:dyDescent="0.25">
      <c r="A17" s="1937"/>
      <c r="B17" s="18" t="s">
        <v>33</v>
      </c>
      <c r="C17" s="620"/>
      <c r="D17" s="767">
        <v>0</v>
      </c>
      <c r="E17" s="740">
        <v>0</v>
      </c>
      <c r="F17" s="743">
        <v>0</v>
      </c>
      <c r="G17" s="619">
        <f t="shared" si="1"/>
        <v>0</v>
      </c>
      <c r="H17" s="827">
        <v>0</v>
      </c>
      <c r="I17" s="814">
        <v>0</v>
      </c>
      <c r="J17" s="819">
        <v>0</v>
      </c>
      <c r="K17" s="619">
        <f t="shared" si="2"/>
        <v>0</v>
      </c>
    </row>
    <row r="18" spans="1:11" x14ac:dyDescent="0.25">
      <c r="A18" s="1937"/>
      <c r="B18" s="18" t="s">
        <v>34</v>
      </c>
      <c r="C18" s="620"/>
      <c r="D18" s="767">
        <v>0</v>
      </c>
      <c r="E18" s="740">
        <v>0</v>
      </c>
      <c r="F18" s="743">
        <v>0</v>
      </c>
      <c r="G18" s="619">
        <f t="shared" si="1"/>
        <v>0</v>
      </c>
      <c r="H18" s="827">
        <v>0</v>
      </c>
      <c r="I18" s="814">
        <v>0</v>
      </c>
      <c r="J18" s="819">
        <v>0</v>
      </c>
      <c r="K18" s="619">
        <f t="shared" si="2"/>
        <v>0</v>
      </c>
    </row>
    <row r="19" spans="1:11" x14ac:dyDescent="0.25">
      <c r="A19" s="1937" t="s">
        <v>5</v>
      </c>
      <c r="B19" s="19" t="s">
        <v>32</v>
      </c>
      <c r="C19" s="620"/>
      <c r="D19" s="744">
        <v>0</v>
      </c>
      <c r="E19" s="740">
        <v>0</v>
      </c>
      <c r="F19" s="743">
        <v>0</v>
      </c>
      <c r="G19" s="619">
        <f t="shared" si="1"/>
        <v>0</v>
      </c>
      <c r="H19" s="821">
        <v>0</v>
      </c>
      <c r="I19" s="814">
        <v>0</v>
      </c>
      <c r="J19" s="819">
        <v>0</v>
      </c>
      <c r="K19" s="619">
        <f t="shared" si="2"/>
        <v>0</v>
      </c>
    </row>
    <row r="20" spans="1:11" x14ac:dyDescent="0.25">
      <c r="A20" s="1937"/>
      <c r="B20" s="19" t="s">
        <v>33</v>
      </c>
      <c r="C20" s="620"/>
      <c r="D20" s="744">
        <v>0</v>
      </c>
      <c r="E20" s="740">
        <v>0</v>
      </c>
      <c r="F20" s="743">
        <v>0</v>
      </c>
      <c r="G20" s="619">
        <f t="shared" si="1"/>
        <v>0</v>
      </c>
      <c r="H20" s="821">
        <v>0</v>
      </c>
      <c r="I20" s="814">
        <v>0</v>
      </c>
      <c r="J20" s="819">
        <v>0</v>
      </c>
      <c r="K20" s="619">
        <f t="shared" si="2"/>
        <v>0</v>
      </c>
    </row>
    <row r="21" spans="1:11" x14ac:dyDescent="0.25">
      <c r="A21" s="1937"/>
      <c r="B21" s="19" t="s">
        <v>34</v>
      </c>
      <c r="C21" s="620"/>
      <c r="D21" s="744">
        <v>0</v>
      </c>
      <c r="E21" s="740">
        <v>0</v>
      </c>
      <c r="F21" s="743">
        <v>0</v>
      </c>
      <c r="G21" s="619">
        <f t="shared" si="1"/>
        <v>0</v>
      </c>
      <c r="H21" s="821">
        <v>0</v>
      </c>
      <c r="I21" s="814">
        <v>0</v>
      </c>
      <c r="J21" s="819">
        <v>0</v>
      </c>
      <c r="K21" s="619">
        <f t="shared" si="2"/>
        <v>0</v>
      </c>
    </row>
    <row r="22" spans="1:11" x14ac:dyDescent="0.25">
      <c r="A22" s="1937" t="s">
        <v>6</v>
      </c>
      <c r="B22" s="19" t="s">
        <v>32</v>
      </c>
      <c r="C22" s="620"/>
      <c r="D22" s="834">
        <f>2*D$3</f>
        <v>0</v>
      </c>
      <c r="E22" s="828">
        <v>0</v>
      </c>
      <c r="F22" s="813">
        <v>0</v>
      </c>
      <c r="G22" s="619">
        <f t="shared" si="1"/>
        <v>0</v>
      </c>
      <c r="H22" s="834">
        <f>3*H$3</f>
        <v>0</v>
      </c>
      <c r="I22" s="828">
        <v>0</v>
      </c>
      <c r="J22" s="813">
        <v>0</v>
      </c>
      <c r="K22" s="619">
        <f t="shared" si="2"/>
        <v>0</v>
      </c>
    </row>
    <row r="23" spans="1:11" x14ac:dyDescent="0.25">
      <c r="A23" s="1937"/>
      <c r="B23" s="19" t="s">
        <v>33</v>
      </c>
      <c r="C23" s="620"/>
      <c r="D23" s="834">
        <f>4*D$3</f>
        <v>0</v>
      </c>
      <c r="E23" s="828">
        <v>0</v>
      </c>
      <c r="F23" s="813">
        <v>0</v>
      </c>
      <c r="G23" s="619">
        <f t="shared" si="1"/>
        <v>0</v>
      </c>
      <c r="H23" s="834">
        <f>5*H$3</f>
        <v>0</v>
      </c>
      <c r="I23" s="828">
        <v>0</v>
      </c>
      <c r="J23" s="813">
        <v>0</v>
      </c>
      <c r="K23" s="619">
        <f t="shared" si="2"/>
        <v>0</v>
      </c>
    </row>
    <row r="24" spans="1:11" x14ac:dyDescent="0.25">
      <c r="A24" s="1937"/>
      <c r="B24" s="19" t="s">
        <v>34</v>
      </c>
      <c r="C24" s="620"/>
      <c r="D24" s="834">
        <f>6*D$3</f>
        <v>0</v>
      </c>
      <c r="E24" s="828">
        <v>0</v>
      </c>
      <c r="F24" s="813">
        <v>0</v>
      </c>
      <c r="G24" s="619">
        <f t="shared" si="1"/>
        <v>0</v>
      </c>
      <c r="H24" s="834">
        <f>7*H$3</f>
        <v>0</v>
      </c>
      <c r="I24" s="828">
        <v>0</v>
      </c>
      <c r="J24" s="813">
        <v>0</v>
      </c>
      <c r="K24" s="619">
        <f t="shared" si="2"/>
        <v>0</v>
      </c>
    </row>
    <row r="25" spans="1:11" x14ac:dyDescent="0.25">
      <c r="A25" s="1937" t="s">
        <v>7</v>
      </c>
      <c r="B25" s="19" t="s">
        <v>32</v>
      </c>
      <c r="C25" s="620"/>
      <c r="D25" s="821">
        <v>0</v>
      </c>
      <c r="E25" s="828">
        <v>0</v>
      </c>
      <c r="F25" s="819">
        <v>0</v>
      </c>
      <c r="G25" s="619">
        <f t="shared" si="1"/>
        <v>0</v>
      </c>
      <c r="H25" s="821">
        <v>0</v>
      </c>
      <c r="I25" s="828">
        <v>0</v>
      </c>
      <c r="J25" s="819">
        <v>0</v>
      </c>
      <c r="K25" s="619">
        <f t="shared" si="2"/>
        <v>0</v>
      </c>
    </row>
    <row r="26" spans="1:11" x14ac:dyDescent="0.25">
      <c r="A26" s="1937"/>
      <c r="B26" s="19" t="s">
        <v>33</v>
      </c>
      <c r="C26" s="620"/>
      <c r="D26" s="821">
        <v>0</v>
      </c>
      <c r="E26" s="828">
        <v>0</v>
      </c>
      <c r="F26" s="819">
        <v>0</v>
      </c>
      <c r="G26" s="619">
        <f t="shared" si="1"/>
        <v>0</v>
      </c>
      <c r="H26" s="821">
        <v>0</v>
      </c>
      <c r="I26" s="828">
        <v>0</v>
      </c>
      <c r="J26" s="819">
        <v>0</v>
      </c>
      <c r="K26" s="619">
        <f t="shared" si="2"/>
        <v>0</v>
      </c>
    </row>
    <row r="27" spans="1:11" x14ac:dyDescent="0.25">
      <c r="A27" s="1937"/>
      <c r="B27" s="19" t="s">
        <v>34</v>
      </c>
      <c r="C27" s="620"/>
      <c r="D27" s="821">
        <v>0</v>
      </c>
      <c r="E27" s="828">
        <v>0</v>
      </c>
      <c r="F27" s="819">
        <v>0</v>
      </c>
      <c r="G27" s="619">
        <f t="shared" si="1"/>
        <v>0</v>
      </c>
      <c r="H27" s="821">
        <v>0</v>
      </c>
      <c r="I27" s="828">
        <v>0</v>
      </c>
      <c r="J27" s="819">
        <v>0</v>
      </c>
      <c r="K27" s="619">
        <f t="shared" si="2"/>
        <v>0</v>
      </c>
    </row>
    <row r="28" spans="1:11" x14ac:dyDescent="0.25">
      <c r="A28" s="1937" t="s">
        <v>8</v>
      </c>
      <c r="B28" s="19" t="s">
        <v>32</v>
      </c>
      <c r="C28" s="620"/>
      <c r="D28" s="821">
        <v>0</v>
      </c>
      <c r="E28" s="828">
        <v>0</v>
      </c>
      <c r="F28" s="819">
        <v>0</v>
      </c>
      <c r="G28" s="619">
        <f t="shared" si="1"/>
        <v>0</v>
      </c>
      <c r="H28" s="821">
        <v>0</v>
      </c>
      <c r="I28" s="828">
        <v>0</v>
      </c>
      <c r="J28" s="819">
        <v>0</v>
      </c>
      <c r="K28" s="619">
        <f t="shared" si="2"/>
        <v>0</v>
      </c>
    </row>
    <row r="29" spans="1:11" x14ac:dyDescent="0.25">
      <c r="A29" s="1937"/>
      <c r="B29" s="19" t="s">
        <v>33</v>
      </c>
      <c r="C29" s="620"/>
      <c r="D29" s="821">
        <v>0</v>
      </c>
      <c r="E29" s="828">
        <v>0</v>
      </c>
      <c r="F29" s="819">
        <v>0</v>
      </c>
      <c r="G29" s="619">
        <f t="shared" si="1"/>
        <v>0</v>
      </c>
      <c r="H29" s="821">
        <v>0</v>
      </c>
      <c r="I29" s="828">
        <v>0</v>
      </c>
      <c r="J29" s="819">
        <v>0</v>
      </c>
      <c r="K29" s="619">
        <f t="shared" si="2"/>
        <v>0</v>
      </c>
    </row>
    <row r="30" spans="1:11" x14ac:dyDescent="0.25">
      <c r="A30" s="1937"/>
      <c r="B30" s="19" t="s">
        <v>34</v>
      </c>
      <c r="C30" s="620"/>
      <c r="D30" s="821">
        <v>0</v>
      </c>
      <c r="E30" s="828">
        <v>0</v>
      </c>
      <c r="F30" s="819">
        <v>0</v>
      </c>
      <c r="G30" s="619">
        <f t="shared" si="1"/>
        <v>0</v>
      </c>
      <c r="H30" s="821">
        <v>0</v>
      </c>
      <c r="I30" s="828">
        <v>0</v>
      </c>
      <c r="J30" s="819">
        <v>0</v>
      </c>
      <c r="K30" s="619">
        <f t="shared" si="2"/>
        <v>0</v>
      </c>
    </row>
    <row r="31" spans="1:11" x14ac:dyDescent="0.25">
      <c r="A31" s="2323" t="s">
        <v>9</v>
      </c>
      <c r="B31" s="19" t="s">
        <v>32</v>
      </c>
      <c r="C31" s="620"/>
      <c r="D31" s="837">
        <v>0</v>
      </c>
      <c r="E31" s="828">
        <v>0</v>
      </c>
      <c r="F31" s="814">
        <v>0</v>
      </c>
      <c r="G31" s="619">
        <f t="shared" si="1"/>
        <v>0</v>
      </c>
      <c r="H31" s="837">
        <v>0</v>
      </c>
      <c r="I31" s="828">
        <v>0</v>
      </c>
      <c r="J31" s="814">
        <v>0</v>
      </c>
      <c r="K31" s="619">
        <f t="shared" si="2"/>
        <v>0</v>
      </c>
    </row>
    <row r="32" spans="1:11" x14ac:dyDescent="0.25">
      <c r="A32" s="2323"/>
      <c r="B32" s="19" t="s">
        <v>33</v>
      </c>
      <c r="C32" s="620"/>
      <c r="D32" s="837">
        <v>0</v>
      </c>
      <c r="E32" s="828">
        <v>0</v>
      </c>
      <c r="F32" s="814">
        <v>0</v>
      </c>
      <c r="G32" s="619">
        <f t="shared" si="1"/>
        <v>0</v>
      </c>
      <c r="H32" s="837">
        <v>0</v>
      </c>
      <c r="I32" s="828">
        <v>0</v>
      </c>
      <c r="J32" s="814">
        <v>0</v>
      </c>
      <c r="K32" s="619">
        <f t="shared" si="2"/>
        <v>0</v>
      </c>
    </row>
    <row r="33" spans="1:11" x14ac:dyDescent="0.25">
      <c r="A33" s="2323"/>
      <c r="B33" s="19" t="s">
        <v>34</v>
      </c>
      <c r="C33" s="620"/>
      <c r="D33" s="837">
        <v>0</v>
      </c>
      <c r="E33" s="828">
        <v>0</v>
      </c>
      <c r="F33" s="814">
        <v>0</v>
      </c>
      <c r="G33" s="619">
        <f t="shared" si="1"/>
        <v>0</v>
      </c>
      <c r="H33" s="837">
        <v>0</v>
      </c>
      <c r="I33" s="828">
        <v>0</v>
      </c>
      <c r="J33" s="814">
        <v>0</v>
      </c>
      <c r="K33" s="619">
        <f t="shared" si="2"/>
        <v>0</v>
      </c>
    </row>
    <row r="34" spans="1:11" x14ac:dyDescent="0.25">
      <c r="A34" s="1937" t="s">
        <v>10</v>
      </c>
      <c r="B34" s="19" t="s">
        <v>32</v>
      </c>
      <c r="C34" s="620"/>
      <c r="D34" s="837">
        <v>0</v>
      </c>
      <c r="E34" s="828">
        <v>0</v>
      </c>
      <c r="F34" s="814">
        <v>0</v>
      </c>
      <c r="G34" s="619">
        <f t="shared" si="1"/>
        <v>0</v>
      </c>
      <c r="H34" s="837">
        <v>0</v>
      </c>
      <c r="I34" s="828">
        <v>0</v>
      </c>
      <c r="J34" s="814">
        <v>0</v>
      </c>
      <c r="K34" s="619">
        <f t="shared" si="2"/>
        <v>0</v>
      </c>
    </row>
    <row r="35" spans="1:11" x14ac:dyDescent="0.25">
      <c r="A35" s="1937"/>
      <c r="B35" s="19" t="s">
        <v>33</v>
      </c>
      <c r="C35" s="620"/>
      <c r="D35" s="837">
        <v>0</v>
      </c>
      <c r="E35" s="828">
        <v>0</v>
      </c>
      <c r="F35" s="814">
        <v>0</v>
      </c>
      <c r="G35" s="619">
        <f t="shared" si="1"/>
        <v>0</v>
      </c>
      <c r="H35" s="837">
        <v>0</v>
      </c>
      <c r="I35" s="828">
        <v>0</v>
      </c>
      <c r="J35" s="814">
        <v>0</v>
      </c>
      <c r="K35" s="619">
        <f t="shared" si="2"/>
        <v>0</v>
      </c>
    </row>
    <row r="36" spans="1:11" ht="15.75" thickBot="1" x14ac:dyDescent="0.3">
      <c r="A36" s="1938"/>
      <c r="B36" s="13" t="s">
        <v>34</v>
      </c>
      <c r="C36" s="624"/>
      <c r="D36" s="837">
        <v>0</v>
      </c>
      <c r="E36" s="828">
        <v>0</v>
      </c>
      <c r="F36" s="814">
        <v>0</v>
      </c>
      <c r="G36" s="77">
        <f t="shared" si="1"/>
        <v>0</v>
      </c>
      <c r="H36" s="837">
        <v>0</v>
      </c>
      <c r="I36" s="828">
        <v>0</v>
      </c>
      <c r="J36" s="814">
        <v>0</v>
      </c>
      <c r="K36" s="77">
        <f t="shared" si="2"/>
        <v>0</v>
      </c>
    </row>
    <row r="37" spans="1:11" ht="16.5" thickBot="1" x14ac:dyDescent="0.3">
      <c r="A37" s="330" t="s">
        <v>11</v>
      </c>
      <c r="B37" s="329"/>
      <c r="C37" s="329"/>
      <c r="D37" s="329"/>
      <c r="E37" s="329"/>
      <c r="F37" s="327"/>
      <c r="G37" s="327"/>
      <c r="H37" s="329"/>
      <c r="I37" s="329"/>
      <c r="J37" s="327"/>
      <c r="K37" s="327"/>
    </row>
    <row r="38" spans="1:11" x14ac:dyDescent="0.25">
      <c r="A38" s="1932" t="s">
        <v>12</v>
      </c>
      <c r="B38" s="404" t="s">
        <v>32</v>
      </c>
      <c r="C38" s="324"/>
      <c r="D38" s="834">
        <f>2*D$3</f>
        <v>0</v>
      </c>
      <c r="E38" s="756">
        <v>0</v>
      </c>
      <c r="F38" s="756">
        <v>0</v>
      </c>
      <c r="G38" s="230">
        <f t="shared" si="1"/>
        <v>0</v>
      </c>
      <c r="H38" s="834">
        <f>3*H$3</f>
        <v>0</v>
      </c>
      <c r="I38" s="756">
        <v>0</v>
      </c>
      <c r="J38" s="756">
        <v>0</v>
      </c>
      <c r="K38" s="230">
        <f xml:space="preserve"> SUM(H38:J38) + $C38</f>
        <v>0</v>
      </c>
    </row>
    <row r="39" spans="1:11" x14ac:dyDescent="0.25">
      <c r="A39" s="1932"/>
      <c r="B39" s="19" t="s">
        <v>33</v>
      </c>
      <c r="C39" s="620"/>
      <c r="D39" s="834">
        <f>4*D$3</f>
        <v>0</v>
      </c>
      <c r="E39" s="756">
        <v>0</v>
      </c>
      <c r="F39" s="739">
        <v>0</v>
      </c>
      <c r="G39" s="619">
        <f t="shared" si="1"/>
        <v>0</v>
      </c>
      <c r="H39" s="834">
        <f>5*H$3</f>
        <v>0</v>
      </c>
      <c r="I39" s="756">
        <v>0</v>
      </c>
      <c r="J39" s="739">
        <v>0</v>
      </c>
      <c r="K39" s="619">
        <f xml:space="preserve"> SUM(H39:J39) + $C39</f>
        <v>0</v>
      </c>
    </row>
    <row r="40" spans="1:11" ht="15.75" thickBot="1" x14ac:dyDescent="0.3">
      <c r="A40" s="1932"/>
      <c r="B40" s="13" t="s">
        <v>34</v>
      </c>
      <c r="C40" s="624"/>
      <c r="D40" s="834">
        <f>6*D$3</f>
        <v>0</v>
      </c>
      <c r="E40" s="756">
        <v>0</v>
      </c>
      <c r="F40" s="759">
        <v>0</v>
      </c>
      <c r="G40" s="77">
        <f t="shared" si="1"/>
        <v>0</v>
      </c>
      <c r="H40" s="834">
        <f>7*H$3</f>
        <v>0</v>
      </c>
      <c r="I40" s="756">
        <v>0</v>
      </c>
      <c r="J40" s="759">
        <v>0</v>
      </c>
      <c r="K40" s="77">
        <f xml:space="preserve"> SUM(H40:J40) + $C40</f>
        <v>0</v>
      </c>
    </row>
    <row r="41" spans="1:11" ht="16.5" thickBot="1" x14ac:dyDescent="0.3">
      <c r="A41" s="330" t="s">
        <v>13</v>
      </c>
      <c r="B41" s="329"/>
      <c r="C41" s="329"/>
      <c r="D41" s="329"/>
      <c r="E41" s="329"/>
      <c r="F41" s="327"/>
      <c r="G41" s="327"/>
      <c r="H41" s="329"/>
      <c r="I41" s="329"/>
      <c r="J41" s="327"/>
      <c r="K41" s="327"/>
    </row>
    <row r="42" spans="1:11" x14ac:dyDescent="0.25">
      <c r="A42" s="1932" t="s">
        <v>14</v>
      </c>
      <c r="B42" s="404" t="s">
        <v>32</v>
      </c>
      <c r="C42" s="822"/>
      <c r="D42" s="821">
        <v>0</v>
      </c>
      <c r="E42" s="814">
        <v>0</v>
      </c>
      <c r="F42" s="819">
        <v>0</v>
      </c>
      <c r="G42" s="230">
        <f t="shared" si="1"/>
        <v>0</v>
      </c>
      <c r="H42" s="821">
        <v>0</v>
      </c>
      <c r="I42" s="814">
        <v>0</v>
      </c>
      <c r="J42" s="819">
        <v>0</v>
      </c>
      <c r="K42" s="230">
        <f t="shared" ref="K42:K86" si="3" xml:space="preserve"> SUM(H42:J42) + $C42</f>
        <v>0</v>
      </c>
    </row>
    <row r="43" spans="1:11" x14ac:dyDescent="0.25">
      <c r="A43" s="1932"/>
      <c r="B43" s="19" t="s">
        <v>33</v>
      </c>
      <c r="C43" s="817"/>
      <c r="D43" s="821">
        <v>0</v>
      </c>
      <c r="E43" s="814">
        <v>0</v>
      </c>
      <c r="F43" s="819">
        <v>0</v>
      </c>
      <c r="G43" s="619">
        <f t="shared" si="1"/>
        <v>0</v>
      </c>
      <c r="H43" s="821">
        <v>0</v>
      </c>
      <c r="I43" s="814">
        <v>0</v>
      </c>
      <c r="J43" s="819">
        <v>0</v>
      </c>
      <c r="K43" s="619">
        <f t="shared" si="3"/>
        <v>0</v>
      </c>
    </row>
    <row r="44" spans="1:11" x14ac:dyDescent="0.25">
      <c r="A44" s="1932"/>
      <c r="B44" s="19" t="s">
        <v>34</v>
      </c>
      <c r="C44" s="817"/>
      <c r="D44" s="821">
        <v>0</v>
      </c>
      <c r="E44" s="814">
        <v>0</v>
      </c>
      <c r="F44" s="819">
        <v>0</v>
      </c>
      <c r="G44" s="619">
        <f t="shared" si="1"/>
        <v>0</v>
      </c>
      <c r="H44" s="821">
        <v>0</v>
      </c>
      <c r="I44" s="814">
        <v>0</v>
      </c>
      <c r="J44" s="819">
        <v>0</v>
      </c>
      <c r="K44" s="619">
        <f t="shared" si="3"/>
        <v>0</v>
      </c>
    </row>
    <row r="45" spans="1:11" x14ac:dyDescent="0.25">
      <c r="A45" s="1933" t="s">
        <v>15</v>
      </c>
      <c r="B45" s="19" t="s">
        <v>32</v>
      </c>
      <c r="C45" s="817"/>
      <c r="D45" s="821">
        <v>2</v>
      </c>
      <c r="E45" s="814">
        <v>0</v>
      </c>
      <c r="F45" s="814">
        <v>0</v>
      </c>
      <c r="G45" s="619">
        <f t="shared" si="1"/>
        <v>2</v>
      </c>
      <c r="H45" s="821">
        <v>4</v>
      </c>
      <c r="I45" s="814">
        <v>0</v>
      </c>
      <c r="J45" s="814">
        <v>0</v>
      </c>
      <c r="K45" s="619">
        <f t="shared" si="3"/>
        <v>4</v>
      </c>
    </row>
    <row r="46" spans="1:11" x14ac:dyDescent="0.25">
      <c r="A46" s="1933"/>
      <c r="B46" s="19" t="s">
        <v>33</v>
      </c>
      <c r="C46" s="817"/>
      <c r="D46" s="821">
        <v>4</v>
      </c>
      <c r="E46" s="814">
        <v>0</v>
      </c>
      <c r="F46" s="814">
        <v>0</v>
      </c>
      <c r="G46" s="619">
        <f t="shared" si="1"/>
        <v>4</v>
      </c>
      <c r="H46" s="821">
        <v>6</v>
      </c>
      <c r="I46" s="814">
        <v>0</v>
      </c>
      <c r="J46" s="814">
        <v>0</v>
      </c>
      <c r="K46" s="619">
        <f t="shared" si="3"/>
        <v>6</v>
      </c>
    </row>
    <row r="47" spans="1:11" x14ac:dyDescent="0.25">
      <c r="A47" s="1933"/>
      <c r="B47" s="19" t="s">
        <v>34</v>
      </c>
      <c r="C47" s="817"/>
      <c r="D47" s="821">
        <v>6</v>
      </c>
      <c r="E47" s="814">
        <v>0</v>
      </c>
      <c r="F47" s="814">
        <v>0</v>
      </c>
      <c r="G47" s="619">
        <f t="shared" si="1"/>
        <v>6</v>
      </c>
      <c r="H47" s="821">
        <v>8</v>
      </c>
      <c r="I47" s="814">
        <v>0</v>
      </c>
      <c r="J47" s="814">
        <v>0</v>
      </c>
      <c r="K47" s="619">
        <f t="shared" si="3"/>
        <v>8</v>
      </c>
    </row>
    <row r="48" spans="1:11" x14ac:dyDescent="0.25">
      <c r="A48" s="1933" t="s">
        <v>16</v>
      </c>
      <c r="B48" s="19" t="s">
        <v>32</v>
      </c>
      <c r="C48" s="817"/>
      <c r="D48" s="821">
        <v>0</v>
      </c>
      <c r="E48" s="814">
        <v>0</v>
      </c>
      <c r="F48" s="819">
        <v>0</v>
      </c>
      <c r="G48" s="619">
        <f t="shared" si="1"/>
        <v>0</v>
      </c>
      <c r="H48" s="814">
        <v>0</v>
      </c>
      <c r="I48" s="814">
        <v>0</v>
      </c>
      <c r="J48" s="819">
        <v>0</v>
      </c>
      <c r="K48" s="619">
        <f t="shared" si="3"/>
        <v>0</v>
      </c>
    </row>
    <row r="49" spans="1:11" x14ac:dyDescent="0.25">
      <c r="A49" s="1933"/>
      <c r="B49" s="19" t="s">
        <v>33</v>
      </c>
      <c r="C49" s="817"/>
      <c r="D49" s="821">
        <v>0</v>
      </c>
      <c r="E49" s="814">
        <v>0</v>
      </c>
      <c r="F49" s="819">
        <v>0</v>
      </c>
      <c r="G49" s="619">
        <f t="shared" si="1"/>
        <v>0</v>
      </c>
      <c r="H49" s="814">
        <v>0</v>
      </c>
      <c r="I49" s="814">
        <v>0</v>
      </c>
      <c r="J49" s="819">
        <v>0</v>
      </c>
      <c r="K49" s="619">
        <f t="shared" si="3"/>
        <v>0</v>
      </c>
    </row>
    <row r="50" spans="1:11" x14ac:dyDescent="0.25">
      <c r="A50" s="1933"/>
      <c r="B50" s="19" t="s">
        <v>34</v>
      </c>
      <c r="C50" s="817"/>
      <c r="D50" s="821">
        <v>0</v>
      </c>
      <c r="E50" s="814">
        <v>0</v>
      </c>
      <c r="F50" s="819">
        <v>0</v>
      </c>
      <c r="G50" s="619">
        <f t="shared" si="1"/>
        <v>0</v>
      </c>
      <c r="H50" s="814">
        <v>0</v>
      </c>
      <c r="I50" s="814">
        <v>0</v>
      </c>
      <c r="J50" s="819">
        <v>0</v>
      </c>
      <c r="K50" s="619">
        <f t="shared" si="3"/>
        <v>0</v>
      </c>
    </row>
    <row r="51" spans="1:11" x14ac:dyDescent="0.25">
      <c r="A51" s="1933" t="s">
        <v>17</v>
      </c>
      <c r="B51" s="19" t="s">
        <v>32</v>
      </c>
      <c r="C51" s="817"/>
      <c r="D51" s="821">
        <v>0</v>
      </c>
      <c r="E51" s="814">
        <v>0</v>
      </c>
      <c r="F51" s="814">
        <v>0</v>
      </c>
      <c r="G51" s="619">
        <f t="shared" si="1"/>
        <v>0</v>
      </c>
      <c r="H51" s="814">
        <v>0</v>
      </c>
      <c r="I51" s="814">
        <v>0</v>
      </c>
      <c r="J51" s="814">
        <v>0</v>
      </c>
      <c r="K51" s="619">
        <f t="shared" si="3"/>
        <v>0</v>
      </c>
    </row>
    <row r="52" spans="1:11" x14ac:dyDescent="0.25">
      <c r="A52" s="1933"/>
      <c r="B52" s="19" t="s">
        <v>33</v>
      </c>
      <c r="C52" s="817"/>
      <c r="D52" s="821">
        <v>0</v>
      </c>
      <c r="E52" s="814">
        <v>0</v>
      </c>
      <c r="F52" s="814">
        <v>0</v>
      </c>
      <c r="G52" s="619">
        <f t="shared" si="1"/>
        <v>0</v>
      </c>
      <c r="H52" s="814">
        <v>0</v>
      </c>
      <c r="I52" s="814">
        <v>0</v>
      </c>
      <c r="J52" s="814">
        <v>0</v>
      </c>
      <c r="K52" s="619">
        <f t="shared" si="3"/>
        <v>0</v>
      </c>
    </row>
    <row r="53" spans="1:11" x14ac:dyDescent="0.25">
      <c r="A53" s="1933"/>
      <c r="B53" s="19" t="s">
        <v>34</v>
      </c>
      <c r="C53" s="817"/>
      <c r="D53" s="821">
        <v>0</v>
      </c>
      <c r="E53" s="814">
        <v>0</v>
      </c>
      <c r="F53" s="814">
        <v>0</v>
      </c>
      <c r="G53" s="619">
        <f t="shared" si="1"/>
        <v>0</v>
      </c>
      <c r="H53" s="814">
        <v>0</v>
      </c>
      <c r="I53" s="814">
        <v>0</v>
      </c>
      <c r="J53" s="814">
        <v>0</v>
      </c>
      <c r="K53" s="619">
        <f t="shared" si="3"/>
        <v>0</v>
      </c>
    </row>
    <row r="54" spans="1:11" x14ac:dyDescent="0.25">
      <c r="A54" s="1933" t="s">
        <v>18</v>
      </c>
      <c r="B54" s="19" t="s">
        <v>32</v>
      </c>
      <c r="C54" s="817"/>
      <c r="D54" s="821">
        <v>0</v>
      </c>
      <c r="E54" s="814">
        <v>0</v>
      </c>
      <c r="F54" s="814">
        <v>0</v>
      </c>
      <c r="G54" s="619">
        <f t="shared" si="1"/>
        <v>0</v>
      </c>
      <c r="H54" s="814">
        <v>0</v>
      </c>
      <c r="I54" s="814">
        <v>0</v>
      </c>
      <c r="J54" s="814">
        <v>0</v>
      </c>
      <c r="K54" s="619">
        <f t="shared" si="3"/>
        <v>0</v>
      </c>
    </row>
    <row r="55" spans="1:11" x14ac:dyDescent="0.25">
      <c r="A55" s="1933"/>
      <c r="B55" s="19" t="s">
        <v>33</v>
      </c>
      <c r="C55" s="817"/>
      <c r="D55" s="821">
        <v>0</v>
      </c>
      <c r="E55" s="814">
        <v>0</v>
      </c>
      <c r="F55" s="814">
        <v>0</v>
      </c>
      <c r="G55" s="619">
        <f t="shared" si="1"/>
        <v>0</v>
      </c>
      <c r="H55" s="814">
        <v>0</v>
      </c>
      <c r="I55" s="814">
        <v>0</v>
      </c>
      <c r="J55" s="814">
        <v>0</v>
      </c>
      <c r="K55" s="619">
        <f t="shared" si="3"/>
        <v>0</v>
      </c>
    </row>
    <row r="56" spans="1:11" x14ac:dyDescent="0.25">
      <c r="A56" s="1933"/>
      <c r="B56" s="19" t="s">
        <v>34</v>
      </c>
      <c r="C56" s="817"/>
      <c r="D56" s="821">
        <v>0</v>
      </c>
      <c r="E56" s="814">
        <v>0</v>
      </c>
      <c r="F56" s="814">
        <v>0</v>
      </c>
      <c r="G56" s="619">
        <f t="shared" si="1"/>
        <v>0</v>
      </c>
      <c r="H56" s="814">
        <v>0</v>
      </c>
      <c r="I56" s="814">
        <v>0</v>
      </c>
      <c r="J56" s="814">
        <v>0</v>
      </c>
      <c r="K56" s="619">
        <f t="shared" si="3"/>
        <v>0</v>
      </c>
    </row>
    <row r="57" spans="1:11" x14ac:dyDescent="0.25">
      <c r="A57" s="1933" t="s">
        <v>19</v>
      </c>
      <c r="B57" s="19" t="s">
        <v>32</v>
      </c>
      <c r="C57" s="817"/>
      <c r="D57" s="821">
        <v>0</v>
      </c>
      <c r="E57" s="814">
        <v>0</v>
      </c>
      <c r="F57" s="814">
        <v>0</v>
      </c>
      <c r="G57" s="619">
        <f t="shared" si="1"/>
        <v>0</v>
      </c>
      <c r="H57" s="821">
        <v>0</v>
      </c>
      <c r="I57" s="814">
        <v>0</v>
      </c>
      <c r="J57" s="814">
        <v>0</v>
      </c>
      <c r="K57" s="619">
        <f t="shared" si="3"/>
        <v>0</v>
      </c>
    </row>
    <row r="58" spans="1:11" x14ac:dyDescent="0.25">
      <c r="A58" s="1933"/>
      <c r="B58" s="19" t="s">
        <v>33</v>
      </c>
      <c r="C58" s="817"/>
      <c r="D58" s="821">
        <v>0</v>
      </c>
      <c r="E58" s="814">
        <v>0</v>
      </c>
      <c r="F58" s="814">
        <v>0</v>
      </c>
      <c r="G58" s="619">
        <f t="shared" si="1"/>
        <v>0</v>
      </c>
      <c r="H58" s="821">
        <v>0</v>
      </c>
      <c r="I58" s="814">
        <v>0</v>
      </c>
      <c r="J58" s="814">
        <v>0</v>
      </c>
      <c r="K58" s="619">
        <f t="shared" si="3"/>
        <v>0</v>
      </c>
    </row>
    <row r="59" spans="1:11" x14ac:dyDescent="0.25">
      <c r="A59" s="1933"/>
      <c r="B59" s="19" t="s">
        <v>34</v>
      </c>
      <c r="C59" s="817"/>
      <c r="D59" s="821">
        <v>0</v>
      </c>
      <c r="E59" s="814">
        <v>0</v>
      </c>
      <c r="F59" s="814">
        <v>0</v>
      </c>
      <c r="G59" s="619">
        <f t="shared" si="1"/>
        <v>0</v>
      </c>
      <c r="H59" s="821">
        <v>0</v>
      </c>
      <c r="I59" s="814">
        <v>0</v>
      </c>
      <c r="J59" s="814">
        <v>0</v>
      </c>
      <c r="K59" s="619">
        <f t="shared" si="3"/>
        <v>0</v>
      </c>
    </row>
    <row r="60" spans="1:11" x14ac:dyDescent="0.25">
      <c r="A60" s="1933" t="s">
        <v>20</v>
      </c>
      <c r="B60" s="19" t="s">
        <v>32</v>
      </c>
      <c r="C60" s="817"/>
      <c r="D60" s="821">
        <v>8</v>
      </c>
      <c r="E60" s="814">
        <v>0</v>
      </c>
      <c r="F60" s="819">
        <v>0</v>
      </c>
      <c r="G60" s="619">
        <f t="shared" si="1"/>
        <v>8</v>
      </c>
      <c r="H60" s="821">
        <v>10</v>
      </c>
      <c r="I60" s="814">
        <v>0</v>
      </c>
      <c r="J60" s="819">
        <v>0</v>
      </c>
      <c r="K60" s="619">
        <f t="shared" si="3"/>
        <v>10</v>
      </c>
    </row>
    <row r="61" spans="1:11" x14ac:dyDescent="0.25">
      <c r="A61" s="1933"/>
      <c r="B61" s="19" t="s">
        <v>33</v>
      </c>
      <c r="C61" s="817"/>
      <c r="D61" s="821">
        <v>12</v>
      </c>
      <c r="E61" s="814">
        <v>0</v>
      </c>
      <c r="F61" s="819">
        <v>0</v>
      </c>
      <c r="G61" s="619">
        <f t="shared" si="1"/>
        <v>12</v>
      </c>
      <c r="H61" s="821">
        <v>14</v>
      </c>
      <c r="I61" s="814">
        <v>0</v>
      </c>
      <c r="J61" s="819">
        <v>0</v>
      </c>
      <c r="K61" s="619">
        <f t="shared" si="3"/>
        <v>14</v>
      </c>
    </row>
    <row r="62" spans="1:11" x14ac:dyDescent="0.25">
      <c r="A62" s="1933"/>
      <c r="B62" s="19" t="s">
        <v>34</v>
      </c>
      <c r="C62" s="817"/>
      <c r="D62" s="821">
        <v>16</v>
      </c>
      <c r="E62" s="814">
        <v>0</v>
      </c>
      <c r="F62" s="819">
        <v>0</v>
      </c>
      <c r="G62" s="619">
        <f t="shared" si="1"/>
        <v>16</v>
      </c>
      <c r="H62" s="821">
        <v>18</v>
      </c>
      <c r="I62" s="814">
        <v>0</v>
      </c>
      <c r="J62" s="819">
        <v>0</v>
      </c>
      <c r="K62" s="619">
        <f t="shared" si="3"/>
        <v>18</v>
      </c>
    </row>
    <row r="63" spans="1:11" x14ac:dyDescent="0.25">
      <c r="A63" s="1933" t="s">
        <v>451</v>
      </c>
      <c r="B63" s="19" t="s">
        <v>32</v>
      </c>
      <c r="C63" s="817"/>
      <c r="D63" s="821">
        <v>0</v>
      </c>
      <c r="E63" s="814">
        <v>0</v>
      </c>
      <c r="F63" s="814">
        <v>0</v>
      </c>
      <c r="G63" s="619">
        <f t="shared" si="1"/>
        <v>0</v>
      </c>
      <c r="H63" s="814">
        <v>0</v>
      </c>
      <c r="I63" s="814">
        <v>0</v>
      </c>
      <c r="J63" s="814">
        <v>0</v>
      </c>
      <c r="K63" s="619">
        <f t="shared" si="3"/>
        <v>0</v>
      </c>
    </row>
    <row r="64" spans="1:11" x14ac:dyDescent="0.25">
      <c r="A64" s="1933"/>
      <c r="B64" s="19" t="s">
        <v>33</v>
      </c>
      <c r="C64" s="817"/>
      <c r="D64" s="821">
        <v>0</v>
      </c>
      <c r="E64" s="814">
        <v>0</v>
      </c>
      <c r="F64" s="814">
        <v>0</v>
      </c>
      <c r="G64" s="619">
        <f t="shared" si="1"/>
        <v>0</v>
      </c>
      <c r="H64" s="814">
        <v>0</v>
      </c>
      <c r="I64" s="814">
        <v>0</v>
      </c>
      <c r="J64" s="814">
        <v>0</v>
      </c>
      <c r="K64" s="619">
        <f t="shared" si="3"/>
        <v>0</v>
      </c>
    </row>
    <row r="65" spans="1:11" x14ac:dyDescent="0.25">
      <c r="A65" s="1933"/>
      <c r="B65" s="19" t="s">
        <v>34</v>
      </c>
      <c r="C65" s="817"/>
      <c r="D65" s="821">
        <v>0</v>
      </c>
      <c r="E65" s="814">
        <v>0</v>
      </c>
      <c r="F65" s="814">
        <v>0</v>
      </c>
      <c r="G65" s="619">
        <f t="shared" si="1"/>
        <v>0</v>
      </c>
      <c r="H65" s="814">
        <v>0</v>
      </c>
      <c r="I65" s="814">
        <v>0</v>
      </c>
      <c r="J65" s="814">
        <v>0</v>
      </c>
      <c r="K65" s="619">
        <f t="shared" si="3"/>
        <v>0</v>
      </c>
    </row>
    <row r="66" spans="1:11" x14ac:dyDescent="0.25">
      <c r="A66" s="1933" t="s">
        <v>452</v>
      </c>
      <c r="B66" s="19" t="s">
        <v>32</v>
      </c>
      <c r="C66" s="817"/>
      <c r="D66" s="821">
        <v>0</v>
      </c>
      <c r="E66" s="814">
        <v>0</v>
      </c>
      <c r="F66" s="814">
        <v>0</v>
      </c>
      <c r="G66" s="619">
        <f t="shared" si="1"/>
        <v>0</v>
      </c>
      <c r="H66" s="814">
        <v>0</v>
      </c>
      <c r="I66" s="814">
        <v>0</v>
      </c>
      <c r="J66" s="814">
        <v>0</v>
      </c>
      <c r="K66" s="619">
        <f t="shared" si="3"/>
        <v>0</v>
      </c>
    </row>
    <row r="67" spans="1:11" x14ac:dyDescent="0.25">
      <c r="A67" s="1933"/>
      <c r="B67" s="19" t="s">
        <v>33</v>
      </c>
      <c r="C67" s="817"/>
      <c r="D67" s="821">
        <v>0</v>
      </c>
      <c r="E67" s="814">
        <v>0</v>
      </c>
      <c r="F67" s="814">
        <v>0</v>
      </c>
      <c r="G67" s="619">
        <f t="shared" si="1"/>
        <v>0</v>
      </c>
      <c r="H67" s="814">
        <v>0</v>
      </c>
      <c r="I67" s="814">
        <v>0</v>
      </c>
      <c r="J67" s="814">
        <v>0</v>
      </c>
      <c r="K67" s="619">
        <f t="shared" si="3"/>
        <v>0</v>
      </c>
    </row>
    <row r="68" spans="1:11" x14ac:dyDescent="0.25">
      <c r="A68" s="1933"/>
      <c r="B68" s="19" t="s">
        <v>34</v>
      </c>
      <c r="C68" s="817"/>
      <c r="D68" s="821">
        <v>0</v>
      </c>
      <c r="E68" s="814">
        <v>0</v>
      </c>
      <c r="F68" s="814">
        <v>0</v>
      </c>
      <c r="G68" s="619">
        <f t="shared" si="1"/>
        <v>0</v>
      </c>
      <c r="H68" s="814">
        <v>0</v>
      </c>
      <c r="I68" s="814">
        <v>0</v>
      </c>
      <c r="J68" s="814">
        <v>0</v>
      </c>
      <c r="K68" s="619">
        <f t="shared" si="3"/>
        <v>0</v>
      </c>
    </row>
    <row r="69" spans="1:11" x14ac:dyDescent="0.25">
      <c r="A69" s="1936" t="s">
        <v>533</v>
      </c>
      <c r="B69" s="19" t="s">
        <v>32</v>
      </c>
      <c r="C69" s="817"/>
      <c r="D69" s="821">
        <v>0</v>
      </c>
      <c r="E69" s="814">
        <v>0</v>
      </c>
      <c r="F69" s="814">
        <v>0</v>
      </c>
      <c r="G69" s="619">
        <f t="shared" si="1"/>
        <v>0</v>
      </c>
      <c r="H69" s="814">
        <v>0</v>
      </c>
      <c r="I69" s="814">
        <v>0</v>
      </c>
      <c r="J69" s="814">
        <v>0</v>
      </c>
      <c r="K69" s="619">
        <f t="shared" si="3"/>
        <v>0</v>
      </c>
    </row>
    <row r="70" spans="1:11" x14ac:dyDescent="0.25">
      <c r="A70" s="1936"/>
      <c r="B70" s="19" t="s">
        <v>33</v>
      </c>
      <c r="C70" s="817"/>
      <c r="D70" s="821">
        <v>0</v>
      </c>
      <c r="E70" s="814">
        <v>0</v>
      </c>
      <c r="F70" s="814">
        <v>0</v>
      </c>
      <c r="G70" s="619">
        <f t="shared" si="1"/>
        <v>0</v>
      </c>
      <c r="H70" s="814">
        <v>0</v>
      </c>
      <c r="I70" s="814">
        <v>0</v>
      </c>
      <c r="J70" s="814">
        <v>0</v>
      </c>
      <c r="K70" s="619">
        <f t="shared" si="3"/>
        <v>0</v>
      </c>
    </row>
    <row r="71" spans="1:11" x14ac:dyDescent="0.25">
      <c r="A71" s="1936"/>
      <c r="B71" s="19" t="s">
        <v>34</v>
      </c>
      <c r="C71" s="817"/>
      <c r="D71" s="821">
        <v>0</v>
      </c>
      <c r="E71" s="814">
        <v>0</v>
      </c>
      <c r="F71" s="814">
        <v>0</v>
      </c>
      <c r="G71" s="619">
        <f t="shared" si="1"/>
        <v>0</v>
      </c>
      <c r="H71" s="814">
        <v>0</v>
      </c>
      <c r="I71" s="814">
        <v>0</v>
      </c>
      <c r="J71" s="814">
        <v>0</v>
      </c>
      <c r="K71" s="619">
        <f t="shared" si="3"/>
        <v>0</v>
      </c>
    </row>
    <row r="72" spans="1:11" x14ac:dyDescent="0.25">
      <c r="A72" s="1933" t="s">
        <v>534</v>
      </c>
      <c r="B72" s="19" t="s">
        <v>32</v>
      </c>
      <c r="C72" s="817"/>
      <c r="D72" s="821">
        <v>0</v>
      </c>
      <c r="E72" s="814">
        <v>0</v>
      </c>
      <c r="F72" s="814">
        <v>0</v>
      </c>
      <c r="G72" s="619">
        <f t="shared" si="1"/>
        <v>0</v>
      </c>
      <c r="H72" s="814">
        <v>0</v>
      </c>
      <c r="I72" s="814">
        <v>0</v>
      </c>
      <c r="J72" s="814">
        <v>0</v>
      </c>
      <c r="K72" s="619">
        <f t="shared" si="3"/>
        <v>0</v>
      </c>
    </row>
    <row r="73" spans="1:11" x14ac:dyDescent="0.25">
      <c r="A73" s="1933"/>
      <c r="B73" s="19" t="s">
        <v>33</v>
      </c>
      <c r="C73" s="817"/>
      <c r="D73" s="821">
        <v>0</v>
      </c>
      <c r="E73" s="814">
        <v>0</v>
      </c>
      <c r="F73" s="814">
        <v>0</v>
      </c>
      <c r="G73" s="619">
        <f t="shared" si="1"/>
        <v>0</v>
      </c>
      <c r="H73" s="814">
        <v>0</v>
      </c>
      <c r="I73" s="814">
        <v>0</v>
      </c>
      <c r="J73" s="814">
        <v>0</v>
      </c>
      <c r="K73" s="619">
        <f t="shared" si="3"/>
        <v>0</v>
      </c>
    </row>
    <row r="74" spans="1:11" x14ac:dyDescent="0.25">
      <c r="A74" s="1933"/>
      <c r="B74" s="19" t="s">
        <v>34</v>
      </c>
      <c r="C74" s="817"/>
      <c r="D74" s="821">
        <v>0</v>
      </c>
      <c r="E74" s="814">
        <v>0</v>
      </c>
      <c r="F74" s="814">
        <v>0</v>
      </c>
      <c r="G74" s="619">
        <f t="shared" si="1"/>
        <v>0</v>
      </c>
      <c r="H74" s="814">
        <v>0</v>
      </c>
      <c r="I74" s="814">
        <v>0</v>
      </c>
      <c r="J74" s="814">
        <v>0</v>
      </c>
      <c r="K74" s="619">
        <f t="shared" si="3"/>
        <v>0</v>
      </c>
    </row>
    <row r="75" spans="1:11" x14ac:dyDescent="0.25">
      <c r="A75" s="1933" t="s">
        <v>21</v>
      </c>
      <c r="B75" s="19" t="s">
        <v>32</v>
      </c>
      <c r="C75" s="817"/>
      <c r="D75" s="744" t="s">
        <v>90</v>
      </c>
      <c r="E75" s="744" t="s">
        <v>90</v>
      </c>
      <c r="F75" s="744" t="s">
        <v>90</v>
      </c>
      <c r="G75" s="619">
        <f t="shared" si="1"/>
        <v>0</v>
      </c>
      <c r="H75" s="744" t="s">
        <v>90</v>
      </c>
      <c r="I75" s="744" t="s">
        <v>90</v>
      </c>
      <c r="J75" s="744" t="s">
        <v>90</v>
      </c>
      <c r="K75" s="619">
        <f t="shared" si="3"/>
        <v>0</v>
      </c>
    </row>
    <row r="76" spans="1:11" x14ac:dyDescent="0.25">
      <c r="A76" s="1933"/>
      <c r="B76" s="19" t="s">
        <v>33</v>
      </c>
      <c r="C76" s="817"/>
      <c r="D76" s="744" t="s">
        <v>90</v>
      </c>
      <c r="E76" s="744" t="s">
        <v>90</v>
      </c>
      <c r="F76" s="744" t="s">
        <v>90</v>
      </c>
      <c r="G76" s="619">
        <f t="shared" si="1"/>
        <v>0</v>
      </c>
      <c r="H76" s="744" t="s">
        <v>90</v>
      </c>
      <c r="I76" s="744" t="s">
        <v>90</v>
      </c>
      <c r="J76" s="744" t="s">
        <v>90</v>
      </c>
      <c r="K76" s="619">
        <f t="shared" si="3"/>
        <v>0</v>
      </c>
    </row>
    <row r="77" spans="1:11" x14ac:dyDescent="0.25">
      <c r="A77" s="1933"/>
      <c r="B77" s="13" t="s">
        <v>34</v>
      </c>
      <c r="C77" s="820"/>
      <c r="D77" s="744" t="s">
        <v>90</v>
      </c>
      <c r="E77" s="744" t="s">
        <v>90</v>
      </c>
      <c r="F77" s="744" t="s">
        <v>90</v>
      </c>
      <c r="G77" s="619">
        <f t="shared" si="1"/>
        <v>0</v>
      </c>
      <c r="H77" s="744" t="s">
        <v>90</v>
      </c>
      <c r="I77" s="744" t="s">
        <v>90</v>
      </c>
      <c r="J77" s="744" t="s">
        <v>90</v>
      </c>
      <c r="K77" s="619">
        <f t="shared" si="3"/>
        <v>0</v>
      </c>
    </row>
    <row r="78" spans="1:11" x14ac:dyDescent="0.25">
      <c r="A78" s="1933" t="s">
        <v>181</v>
      </c>
      <c r="B78" s="19" t="s">
        <v>32</v>
      </c>
      <c r="C78" s="817"/>
      <c r="D78" s="821">
        <v>0</v>
      </c>
      <c r="E78" s="740">
        <v>0</v>
      </c>
      <c r="F78" s="740">
        <v>0</v>
      </c>
      <c r="G78" s="619">
        <f t="shared" si="1"/>
        <v>0</v>
      </c>
      <c r="H78" s="740">
        <v>0</v>
      </c>
      <c r="I78" s="740">
        <v>0</v>
      </c>
      <c r="J78" s="740">
        <v>0</v>
      </c>
      <c r="K78" s="619">
        <f t="shared" si="3"/>
        <v>0</v>
      </c>
    </row>
    <row r="79" spans="1:11" x14ac:dyDescent="0.25">
      <c r="A79" s="1933"/>
      <c r="B79" s="19" t="s">
        <v>33</v>
      </c>
      <c r="C79" s="817"/>
      <c r="D79" s="821">
        <v>0</v>
      </c>
      <c r="E79" s="740">
        <v>0</v>
      </c>
      <c r="F79" s="740">
        <v>0</v>
      </c>
      <c r="G79" s="619">
        <f t="shared" si="1"/>
        <v>0</v>
      </c>
      <c r="H79" s="740">
        <v>0</v>
      </c>
      <c r="I79" s="740">
        <v>0</v>
      </c>
      <c r="J79" s="740">
        <v>0</v>
      </c>
      <c r="K79" s="619">
        <f t="shared" si="3"/>
        <v>0</v>
      </c>
    </row>
    <row r="80" spans="1:11" x14ac:dyDescent="0.25">
      <c r="A80" s="1933"/>
      <c r="B80" s="19" t="s">
        <v>34</v>
      </c>
      <c r="C80" s="817"/>
      <c r="D80" s="821">
        <v>0</v>
      </c>
      <c r="E80" s="740">
        <v>0</v>
      </c>
      <c r="F80" s="740">
        <v>0</v>
      </c>
      <c r="G80" s="619">
        <f t="shared" si="1"/>
        <v>0</v>
      </c>
      <c r="H80" s="740">
        <v>0</v>
      </c>
      <c r="I80" s="740">
        <v>0</v>
      </c>
      <c r="J80" s="740">
        <v>0</v>
      </c>
      <c r="K80" s="619">
        <f t="shared" si="3"/>
        <v>0</v>
      </c>
    </row>
    <row r="81" spans="1:11" x14ac:dyDescent="0.25">
      <c r="A81" s="1933" t="s">
        <v>182</v>
      </c>
      <c r="B81" s="19" t="s">
        <v>32</v>
      </c>
      <c r="C81" s="817"/>
      <c r="D81" s="821">
        <v>0</v>
      </c>
      <c r="E81" s="740">
        <v>0</v>
      </c>
      <c r="F81" s="740">
        <v>0</v>
      </c>
      <c r="G81" s="619">
        <f t="shared" si="1"/>
        <v>0</v>
      </c>
      <c r="H81" s="740">
        <v>0</v>
      </c>
      <c r="I81" s="740">
        <v>0</v>
      </c>
      <c r="J81" s="740">
        <v>0</v>
      </c>
      <c r="K81" s="619">
        <f t="shared" si="3"/>
        <v>0</v>
      </c>
    </row>
    <row r="82" spans="1:11" x14ac:dyDescent="0.25">
      <c r="A82" s="1933"/>
      <c r="B82" s="19" t="s">
        <v>33</v>
      </c>
      <c r="C82" s="817"/>
      <c r="D82" s="821">
        <v>0</v>
      </c>
      <c r="E82" s="740">
        <v>0</v>
      </c>
      <c r="F82" s="740">
        <v>0</v>
      </c>
      <c r="G82" s="619">
        <f t="shared" si="1"/>
        <v>0</v>
      </c>
      <c r="H82" s="740">
        <v>0</v>
      </c>
      <c r="I82" s="740">
        <v>0</v>
      </c>
      <c r="J82" s="740">
        <v>0</v>
      </c>
      <c r="K82" s="619">
        <f t="shared" si="3"/>
        <v>0</v>
      </c>
    </row>
    <row r="83" spans="1:11" x14ac:dyDescent="0.25">
      <c r="A83" s="1933"/>
      <c r="B83" s="19" t="s">
        <v>34</v>
      </c>
      <c r="C83" s="817"/>
      <c r="D83" s="821">
        <v>0</v>
      </c>
      <c r="E83" s="740">
        <v>0</v>
      </c>
      <c r="F83" s="740">
        <v>0</v>
      </c>
      <c r="G83" s="619">
        <f t="shared" si="1"/>
        <v>0</v>
      </c>
      <c r="H83" s="740">
        <v>0</v>
      </c>
      <c r="I83" s="740">
        <v>0</v>
      </c>
      <c r="J83" s="740">
        <v>0</v>
      </c>
      <c r="K83" s="619">
        <f t="shared" si="3"/>
        <v>0</v>
      </c>
    </row>
    <row r="84" spans="1:11" x14ac:dyDescent="0.25">
      <c r="A84" s="1935" t="s">
        <v>183</v>
      </c>
      <c r="B84" s="19" t="s">
        <v>32</v>
      </c>
      <c r="C84" s="817"/>
      <c r="D84" s="821">
        <v>0</v>
      </c>
      <c r="E84" s="740">
        <v>0</v>
      </c>
      <c r="F84" s="740">
        <v>0</v>
      </c>
      <c r="G84" s="619">
        <f t="shared" si="1"/>
        <v>0</v>
      </c>
      <c r="H84" s="740">
        <v>0</v>
      </c>
      <c r="I84" s="740">
        <v>0</v>
      </c>
      <c r="J84" s="740">
        <v>0</v>
      </c>
      <c r="K84" s="619">
        <f t="shared" si="3"/>
        <v>0</v>
      </c>
    </row>
    <row r="85" spans="1:11" x14ac:dyDescent="0.25">
      <c r="A85" s="1935"/>
      <c r="B85" s="19" t="s">
        <v>33</v>
      </c>
      <c r="C85" s="817"/>
      <c r="D85" s="821">
        <v>0</v>
      </c>
      <c r="E85" s="740">
        <v>0</v>
      </c>
      <c r="F85" s="740">
        <v>0</v>
      </c>
      <c r="G85" s="619">
        <f t="shared" si="1"/>
        <v>0</v>
      </c>
      <c r="H85" s="740">
        <v>0</v>
      </c>
      <c r="I85" s="740">
        <v>0</v>
      </c>
      <c r="J85" s="740">
        <v>0</v>
      </c>
      <c r="K85" s="619">
        <f t="shared" si="3"/>
        <v>0</v>
      </c>
    </row>
    <row r="86" spans="1:11" ht="15.75" thickBot="1" x14ac:dyDescent="0.3">
      <c r="A86" s="1935"/>
      <c r="B86" s="13" t="s">
        <v>34</v>
      </c>
      <c r="C86" s="818"/>
      <c r="D86" s="821">
        <v>0</v>
      </c>
      <c r="E86" s="740">
        <v>0</v>
      </c>
      <c r="F86" s="740">
        <v>0</v>
      </c>
      <c r="G86" s="77">
        <f t="shared" si="1"/>
        <v>0</v>
      </c>
      <c r="H86" s="740">
        <v>0</v>
      </c>
      <c r="I86" s="740">
        <v>0</v>
      </c>
      <c r="J86" s="740">
        <v>0</v>
      </c>
      <c r="K86" s="77">
        <f t="shared" si="3"/>
        <v>0</v>
      </c>
    </row>
    <row r="87" spans="1:11" ht="16.5" thickBot="1" x14ac:dyDescent="0.3">
      <c r="A87" s="330" t="s">
        <v>22</v>
      </c>
      <c r="B87" s="329"/>
      <c r="C87" s="329"/>
      <c r="D87" s="329"/>
      <c r="E87" s="329"/>
      <c r="F87" s="327"/>
      <c r="G87" s="327"/>
      <c r="H87" s="329"/>
      <c r="I87" s="329"/>
      <c r="J87" s="327"/>
      <c r="K87" s="327"/>
    </row>
    <row r="88" spans="1:11" x14ac:dyDescent="0.25">
      <c r="A88" s="1932" t="s">
        <v>23</v>
      </c>
      <c r="B88" s="404" t="s">
        <v>32</v>
      </c>
      <c r="C88" s="324"/>
      <c r="D88" s="541">
        <v>0</v>
      </c>
      <c r="E88" s="479">
        <v>0</v>
      </c>
      <c r="F88" s="525">
        <v>0</v>
      </c>
      <c r="G88" s="230">
        <f t="shared" si="1"/>
        <v>0</v>
      </c>
      <c r="H88" s="541">
        <v>0</v>
      </c>
      <c r="I88" s="479">
        <v>0</v>
      </c>
      <c r="J88" s="525">
        <v>0</v>
      </c>
      <c r="K88" s="230">
        <f t="shared" ref="K88:K105" si="4" xml:space="preserve"> SUM(H88:J88) + $C88</f>
        <v>0</v>
      </c>
    </row>
    <row r="89" spans="1:11" x14ac:dyDescent="0.25">
      <c r="A89" s="1932"/>
      <c r="B89" s="19" t="s">
        <v>33</v>
      </c>
      <c r="C89" s="620"/>
      <c r="D89" s="830">
        <v>0</v>
      </c>
      <c r="E89" s="827">
        <v>0</v>
      </c>
      <c r="F89" s="831">
        <v>0</v>
      </c>
      <c r="G89" s="619">
        <f t="shared" si="1"/>
        <v>0</v>
      </c>
      <c r="H89" s="830">
        <v>0</v>
      </c>
      <c r="I89" s="827">
        <v>0</v>
      </c>
      <c r="J89" s="831">
        <v>0</v>
      </c>
      <c r="K89" s="619">
        <f t="shared" si="4"/>
        <v>0</v>
      </c>
    </row>
    <row r="90" spans="1:11" x14ac:dyDescent="0.25">
      <c r="A90" s="1932"/>
      <c r="B90" s="19" t="s">
        <v>34</v>
      </c>
      <c r="C90" s="620"/>
      <c r="D90" s="830">
        <v>0</v>
      </c>
      <c r="E90" s="827">
        <v>0</v>
      </c>
      <c r="F90" s="824">
        <v>0</v>
      </c>
      <c r="G90" s="619">
        <f t="shared" si="1"/>
        <v>0</v>
      </c>
      <c r="H90" s="830">
        <v>0</v>
      </c>
      <c r="I90" s="827">
        <v>0</v>
      </c>
      <c r="J90" s="824">
        <v>0</v>
      </c>
      <c r="K90" s="619">
        <f t="shared" si="4"/>
        <v>0</v>
      </c>
    </row>
    <row r="91" spans="1:11" x14ac:dyDescent="0.25">
      <c r="A91" s="1933" t="s">
        <v>24</v>
      </c>
      <c r="B91" s="19" t="s">
        <v>32</v>
      </c>
      <c r="C91" s="620"/>
      <c r="D91" s="834">
        <f>2*D$3</f>
        <v>0</v>
      </c>
      <c r="E91" s="827">
        <v>0</v>
      </c>
      <c r="F91" s="824">
        <v>0</v>
      </c>
      <c r="G91" s="619">
        <f t="shared" si="1"/>
        <v>0</v>
      </c>
      <c r="H91" s="834">
        <f>4*H$3</f>
        <v>0</v>
      </c>
      <c r="I91" s="827">
        <v>0</v>
      </c>
      <c r="J91" s="824">
        <v>0</v>
      </c>
      <c r="K91" s="619">
        <f t="shared" si="4"/>
        <v>0</v>
      </c>
    </row>
    <row r="92" spans="1:11" x14ac:dyDescent="0.25">
      <c r="A92" s="1933"/>
      <c r="B92" s="19" t="s">
        <v>33</v>
      </c>
      <c r="C92" s="620"/>
      <c r="D92" s="834">
        <f>4*D$3</f>
        <v>0</v>
      </c>
      <c r="E92" s="827">
        <v>0</v>
      </c>
      <c r="F92" s="824">
        <v>0</v>
      </c>
      <c r="G92" s="619">
        <f t="shared" si="1"/>
        <v>0</v>
      </c>
      <c r="H92" s="834">
        <f>6*H$3</f>
        <v>0</v>
      </c>
      <c r="I92" s="827">
        <v>0</v>
      </c>
      <c r="J92" s="824">
        <v>0</v>
      </c>
      <c r="K92" s="619">
        <f t="shared" si="4"/>
        <v>0</v>
      </c>
    </row>
    <row r="93" spans="1:11" x14ac:dyDescent="0.25">
      <c r="A93" s="1933"/>
      <c r="B93" s="19" t="s">
        <v>34</v>
      </c>
      <c r="C93" s="620"/>
      <c r="D93" s="834">
        <f>8*D$3</f>
        <v>0</v>
      </c>
      <c r="E93" s="827">
        <v>0</v>
      </c>
      <c r="F93" s="824">
        <v>0</v>
      </c>
      <c r="G93" s="619">
        <f t="shared" si="1"/>
        <v>0</v>
      </c>
      <c r="H93" s="834">
        <f>10*H$3</f>
        <v>0</v>
      </c>
      <c r="I93" s="827">
        <v>0</v>
      </c>
      <c r="J93" s="824">
        <v>0</v>
      </c>
      <c r="K93" s="619">
        <f t="shared" si="4"/>
        <v>0</v>
      </c>
    </row>
    <row r="94" spans="1:11" x14ac:dyDescent="0.25">
      <c r="A94" s="1933" t="s">
        <v>25</v>
      </c>
      <c r="B94" s="19" t="s">
        <v>32</v>
      </c>
      <c r="C94" s="620"/>
      <c r="D94" s="823">
        <v>0</v>
      </c>
      <c r="E94" s="827">
        <v>0</v>
      </c>
      <c r="F94" s="824">
        <v>0</v>
      </c>
      <c r="G94" s="619">
        <f t="shared" ref="G94:G105" si="5" xml:space="preserve"> SUM(D94:F94) + $C94</f>
        <v>0</v>
      </c>
      <c r="H94" s="823">
        <v>0</v>
      </c>
      <c r="I94" s="827">
        <v>0</v>
      </c>
      <c r="J94" s="824">
        <v>0</v>
      </c>
      <c r="K94" s="619">
        <f t="shared" si="4"/>
        <v>0</v>
      </c>
    </row>
    <row r="95" spans="1:11" x14ac:dyDescent="0.25">
      <c r="A95" s="1933"/>
      <c r="B95" s="19" t="s">
        <v>33</v>
      </c>
      <c r="C95" s="620"/>
      <c r="D95" s="823">
        <v>0</v>
      </c>
      <c r="E95" s="814">
        <v>0</v>
      </c>
      <c r="F95" s="824">
        <v>0</v>
      </c>
      <c r="G95" s="619">
        <f t="shared" si="5"/>
        <v>0</v>
      </c>
      <c r="H95" s="823">
        <v>0</v>
      </c>
      <c r="I95" s="814">
        <v>0</v>
      </c>
      <c r="J95" s="824">
        <v>0</v>
      </c>
      <c r="K95" s="619">
        <f t="shared" si="4"/>
        <v>0</v>
      </c>
    </row>
    <row r="96" spans="1:11" x14ac:dyDescent="0.25">
      <c r="A96" s="1933"/>
      <c r="B96" s="19" t="s">
        <v>34</v>
      </c>
      <c r="C96" s="620"/>
      <c r="D96" s="823">
        <v>0</v>
      </c>
      <c r="E96" s="814">
        <v>0</v>
      </c>
      <c r="F96" s="824">
        <v>0</v>
      </c>
      <c r="G96" s="619">
        <f t="shared" si="5"/>
        <v>0</v>
      </c>
      <c r="H96" s="823">
        <v>0</v>
      </c>
      <c r="I96" s="814">
        <v>0</v>
      </c>
      <c r="J96" s="824">
        <v>0</v>
      </c>
      <c r="K96" s="619">
        <f t="shared" si="4"/>
        <v>0</v>
      </c>
    </row>
    <row r="97" spans="1:11" x14ac:dyDescent="0.25">
      <c r="A97" s="1933" t="s">
        <v>26</v>
      </c>
      <c r="B97" s="19" t="s">
        <v>32</v>
      </c>
      <c r="C97" s="620"/>
      <c r="D97" s="838">
        <v>0</v>
      </c>
      <c r="E97" s="821">
        <v>0</v>
      </c>
      <c r="F97" s="815">
        <v>0</v>
      </c>
      <c r="G97" s="619">
        <f t="shared" si="5"/>
        <v>0</v>
      </c>
      <c r="H97" s="838">
        <v>0</v>
      </c>
      <c r="I97" s="821">
        <v>0</v>
      </c>
      <c r="J97" s="815">
        <v>0</v>
      </c>
      <c r="K97" s="619">
        <f t="shared" si="4"/>
        <v>0</v>
      </c>
    </row>
    <row r="98" spans="1:11" x14ac:dyDescent="0.25">
      <c r="A98" s="1933"/>
      <c r="B98" s="19" t="s">
        <v>33</v>
      </c>
      <c r="C98" s="620"/>
      <c r="D98" s="838">
        <v>0</v>
      </c>
      <c r="E98" s="821">
        <v>0</v>
      </c>
      <c r="F98" s="815">
        <v>0</v>
      </c>
      <c r="G98" s="619">
        <f t="shared" si="5"/>
        <v>0</v>
      </c>
      <c r="H98" s="838">
        <v>0</v>
      </c>
      <c r="I98" s="821">
        <v>0</v>
      </c>
      <c r="J98" s="815">
        <v>0</v>
      </c>
      <c r="K98" s="619">
        <f t="shared" si="4"/>
        <v>0</v>
      </c>
    </row>
    <row r="99" spans="1:11" x14ac:dyDescent="0.25">
      <c r="A99" s="1933"/>
      <c r="B99" s="19" t="s">
        <v>34</v>
      </c>
      <c r="C99" s="620"/>
      <c r="D99" s="838">
        <v>0</v>
      </c>
      <c r="E99" s="821">
        <v>0</v>
      </c>
      <c r="F99" s="815">
        <v>0</v>
      </c>
      <c r="G99" s="619">
        <f t="shared" si="5"/>
        <v>0</v>
      </c>
      <c r="H99" s="838">
        <v>0</v>
      </c>
      <c r="I99" s="821">
        <v>0</v>
      </c>
      <c r="J99" s="815">
        <v>0</v>
      </c>
      <c r="K99" s="619">
        <f t="shared" si="4"/>
        <v>0</v>
      </c>
    </row>
    <row r="100" spans="1:11" x14ac:dyDescent="0.25">
      <c r="A100" s="1933" t="s">
        <v>27</v>
      </c>
      <c r="B100" s="19" t="s">
        <v>32</v>
      </c>
      <c r="C100" s="620"/>
      <c r="D100" s="838">
        <v>0</v>
      </c>
      <c r="E100" s="821">
        <v>0</v>
      </c>
      <c r="F100" s="815">
        <v>0</v>
      </c>
      <c r="G100" s="619">
        <f t="shared" si="5"/>
        <v>0</v>
      </c>
      <c r="H100" s="838">
        <v>0</v>
      </c>
      <c r="I100" s="821">
        <v>0</v>
      </c>
      <c r="J100" s="815">
        <v>0</v>
      </c>
      <c r="K100" s="619">
        <f t="shared" si="4"/>
        <v>0</v>
      </c>
    </row>
    <row r="101" spans="1:11" x14ac:dyDescent="0.25">
      <c r="A101" s="1933"/>
      <c r="B101" s="19" t="s">
        <v>33</v>
      </c>
      <c r="C101" s="620"/>
      <c r="D101" s="838">
        <v>0</v>
      </c>
      <c r="E101" s="821">
        <v>0</v>
      </c>
      <c r="F101" s="815">
        <v>0</v>
      </c>
      <c r="G101" s="619">
        <f t="shared" si="5"/>
        <v>0</v>
      </c>
      <c r="H101" s="838">
        <v>0</v>
      </c>
      <c r="I101" s="821">
        <v>0</v>
      </c>
      <c r="J101" s="815">
        <v>0</v>
      </c>
      <c r="K101" s="619">
        <f t="shared" si="4"/>
        <v>0</v>
      </c>
    </row>
    <row r="102" spans="1:11" x14ac:dyDescent="0.25">
      <c r="A102" s="1933"/>
      <c r="B102" s="19" t="s">
        <v>34</v>
      </c>
      <c r="C102" s="620"/>
      <c r="D102" s="838">
        <v>0</v>
      </c>
      <c r="E102" s="821">
        <v>0</v>
      </c>
      <c r="F102" s="815">
        <v>0</v>
      </c>
      <c r="G102" s="619">
        <f t="shared" si="5"/>
        <v>0</v>
      </c>
      <c r="H102" s="838">
        <v>0</v>
      </c>
      <c r="I102" s="821">
        <v>0</v>
      </c>
      <c r="J102" s="815">
        <v>0</v>
      </c>
      <c r="K102" s="619">
        <f t="shared" si="4"/>
        <v>0</v>
      </c>
    </row>
    <row r="103" spans="1:11" x14ac:dyDescent="0.25">
      <c r="A103" s="1907" t="s">
        <v>28</v>
      </c>
      <c r="B103" s="19" t="s">
        <v>32</v>
      </c>
      <c r="C103" s="620"/>
      <c r="D103" s="823">
        <v>0</v>
      </c>
      <c r="E103" s="821">
        <v>0</v>
      </c>
      <c r="F103" s="815">
        <v>0</v>
      </c>
      <c r="G103" s="619">
        <f t="shared" si="5"/>
        <v>0</v>
      </c>
      <c r="H103" s="823">
        <v>0</v>
      </c>
      <c r="I103" s="821">
        <v>0</v>
      </c>
      <c r="J103" s="815">
        <v>0</v>
      </c>
      <c r="K103" s="619">
        <f t="shared" si="4"/>
        <v>0</v>
      </c>
    </row>
    <row r="104" spans="1:11" x14ac:dyDescent="0.25">
      <c r="A104" s="1907"/>
      <c r="B104" s="19" t="s">
        <v>33</v>
      </c>
      <c r="C104" s="620"/>
      <c r="D104" s="823">
        <v>0</v>
      </c>
      <c r="E104" s="821">
        <v>0</v>
      </c>
      <c r="F104" s="815">
        <v>0</v>
      </c>
      <c r="G104" s="619">
        <f t="shared" si="5"/>
        <v>0</v>
      </c>
      <c r="H104" s="823">
        <v>0</v>
      </c>
      <c r="I104" s="821">
        <v>0</v>
      </c>
      <c r="J104" s="815">
        <v>0</v>
      </c>
      <c r="K104" s="619">
        <f t="shared" si="4"/>
        <v>0</v>
      </c>
    </row>
    <row r="105" spans="1:11" ht="15.75" thickBot="1" x14ac:dyDescent="0.3">
      <c r="A105" s="1975"/>
      <c r="B105" s="20" t="s">
        <v>34</v>
      </c>
      <c r="C105" s="621"/>
      <c r="D105" s="826">
        <v>0</v>
      </c>
      <c r="E105" s="829">
        <v>0</v>
      </c>
      <c r="F105" s="816">
        <v>0</v>
      </c>
      <c r="G105" s="622">
        <f t="shared" si="5"/>
        <v>0</v>
      </c>
      <c r="H105" s="826">
        <v>0</v>
      </c>
      <c r="I105" s="829">
        <v>0</v>
      </c>
      <c r="J105" s="816">
        <v>0</v>
      </c>
      <c r="K105" s="622">
        <f t="shared" si="4"/>
        <v>0</v>
      </c>
    </row>
    <row r="107" spans="1:11" x14ac:dyDescent="0.25">
      <c r="A107" s="125" t="s">
        <v>89</v>
      </c>
    </row>
  </sheetData>
  <mergeCells count="37">
    <mergeCell ref="D1:G1"/>
    <mergeCell ref="H1:K1"/>
    <mergeCell ref="C2:C3"/>
    <mergeCell ref="G2:G3"/>
    <mergeCell ref="K2:K3"/>
    <mergeCell ref="A42:A44"/>
    <mergeCell ref="A5:A7"/>
    <mergeCell ref="A8:A10"/>
    <mergeCell ref="A12:A14"/>
    <mergeCell ref="A16:A18"/>
    <mergeCell ref="A19:A21"/>
    <mergeCell ref="A22:A24"/>
    <mergeCell ref="A25:A27"/>
    <mergeCell ref="A28:A30"/>
    <mergeCell ref="A31:A33"/>
    <mergeCell ref="A34:A36"/>
    <mergeCell ref="A38:A40"/>
    <mergeCell ref="A78:A80"/>
    <mergeCell ref="A45:A47"/>
    <mergeCell ref="A48:A50"/>
    <mergeCell ref="A51:A53"/>
    <mergeCell ref="A54:A56"/>
    <mergeCell ref="A57:A59"/>
    <mergeCell ref="A60:A62"/>
    <mergeCell ref="A63:A65"/>
    <mergeCell ref="A66:A68"/>
    <mergeCell ref="A69:A71"/>
    <mergeCell ref="A72:A74"/>
    <mergeCell ref="A75:A77"/>
    <mergeCell ref="A100:A102"/>
    <mergeCell ref="A103:A105"/>
    <mergeCell ref="A81:A83"/>
    <mergeCell ref="A84:A86"/>
    <mergeCell ref="A88:A90"/>
    <mergeCell ref="A91:A93"/>
    <mergeCell ref="A94:A96"/>
    <mergeCell ref="A97:A99"/>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Лист14"/>
  <dimension ref="A1:K107"/>
  <sheetViews>
    <sheetView zoomScale="70" zoomScaleNormal="70" workbookViewId="0">
      <selection activeCell="A88" sqref="A88:A105"/>
    </sheetView>
  </sheetViews>
  <sheetFormatPr defaultRowHeight="15" x14ac:dyDescent="0.25"/>
  <cols>
    <col min="1" max="1" width="53.42578125" bestFit="1" customWidth="1"/>
    <col min="2" max="2" width="23.5703125" bestFit="1" customWidth="1"/>
    <col min="4" max="4" width="47.5703125" bestFit="1" customWidth="1"/>
    <col min="5" max="5" width="44" bestFit="1" customWidth="1"/>
    <col min="6" max="6" width="38" bestFit="1" customWidth="1"/>
    <col min="8" max="8" width="47.5703125" bestFit="1" customWidth="1"/>
    <col min="9" max="9" width="44" bestFit="1" customWidth="1"/>
    <col min="10" max="10" width="38" bestFit="1" customWidth="1"/>
  </cols>
  <sheetData>
    <row r="1" spans="1:11" ht="16.5" thickBot="1" x14ac:dyDescent="0.3">
      <c r="A1" s="465" t="s">
        <v>91</v>
      </c>
      <c r="B1" s="35"/>
      <c r="C1" s="43"/>
      <c r="D1" s="1939" t="str">
        <f>'Служебный АСУТП'!U2</f>
        <v>PT Platform 187</v>
      </c>
      <c r="E1" s="1940"/>
      <c r="F1" s="1940"/>
      <c r="G1" s="1941"/>
      <c r="H1" s="1939" t="str">
        <f>'Служебный АСУТП'!U3</f>
        <v>Platform GosSOPKA (KUMA)</v>
      </c>
      <c r="I1" s="1940"/>
      <c r="J1" s="1940"/>
      <c r="K1" s="1941"/>
    </row>
    <row r="2" spans="1:11" ht="15.75" x14ac:dyDescent="0.25">
      <c r="B2" s="41" t="s">
        <v>37</v>
      </c>
      <c r="C2" s="1945" t="s">
        <v>35</v>
      </c>
      <c r="D2" s="684" t="s">
        <v>587</v>
      </c>
      <c r="E2" s="645" t="s">
        <v>588</v>
      </c>
      <c r="F2" s="645" t="s">
        <v>589</v>
      </c>
      <c r="G2" s="1942" t="s">
        <v>38</v>
      </c>
      <c r="H2" s="684" t="s">
        <v>587</v>
      </c>
      <c r="I2" s="645" t="s">
        <v>588</v>
      </c>
      <c r="J2" s="645" t="s">
        <v>589</v>
      </c>
      <c r="K2" s="1942" t="s">
        <v>38</v>
      </c>
    </row>
    <row r="3" spans="1:11"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row>
    <row r="4" spans="1:11" ht="16.5" thickBot="1" x14ac:dyDescent="0.3">
      <c r="A4" s="326" t="s">
        <v>448</v>
      </c>
      <c r="B4" s="327"/>
      <c r="C4" s="327"/>
      <c r="D4" s="327"/>
      <c r="E4" s="327"/>
      <c r="F4" s="327"/>
      <c r="G4" s="327"/>
      <c r="H4" s="327"/>
      <c r="I4" s="327"/>
      <c r="J4" s="327"/>
      <c r="K4" s="396"/>
    </row>
    <row r="5" spans="1:11" x14ac:dyDescent="0.25">
      <c r="A5" s="1932" t="s">
        <v>0</v>
      </c>
      <c r="B5" s="404" t="s">
        <v>32</v>
      </c>
      <c r="C5" s="324"/>
      <c r="D5" s="405">
        <v>4</v>
      </c>
      <c r="E5" s="405">
        <v>0.5</v>
      </c>
      <c r="F5" s="405">
        <v>0</v>
      </c>
      <c r="G5" s="230">
        <f xml:space="preserve"> SUM(D5:F5) + $C5</f>
        <v>4.5</v>
      </c>
      <c r="H5" s="661">
        <v>4</v>
      </c>
      <c r="I5" s="661">
        <v>0.5</v>
      </c>
      <c r="J5" s="661">
        <v>0</v>
      </c>
      <c r="K5" s="230">
        <f t="shared" ref="K5:K10" si="0" xml:space="preserve"> SUM(H5:J5) + $C5</f>
        <v>4.5</v>
      </c>
    </row>
    <row r="6" spans="1:11" x14ac:dyDescent="0.25">
      <c r="A6" s="1932"/>
      <c r="B6" s="19" t="s">
        <v>33</v>
      </c>
      <c r="C6" s="22"/>
      <c r="D6" s="11">
        <v>8</v>
      </c>
      <c r="E6" s="11">
        <v>0.5</v>
      </c>
      <c r="F6" s="11">
        <v>0</v>
      </c>
      <c r="G6" s="21">
        <f xml:space="preserve"> SUM(D6:F6) + $C6</f>
        <v>8.5</v>
      </c>
      <c r="H6" s="615">
        <v>8</v>
      </c>
      <c r="I6" s="615">
        <v>0.5</v>
      </c>
      <c r="J6" s="615">
        <v>0</v>
      </c>
      <c r="K6" s="21">
        <f t="shared" si="0"/>
        <v>8.5</v>
      </c>
    </row>
    <row r="7" spans="1:11" x14ac:dyDescent="0.25">
      <c r="A7" s="1973"/>
      <c r="B7" s="19" t="s">
        <v>34</v>
      </c>
      <c r="C7" s="22"/>
      <c r="D7" s="11">
        <v>12</v>
      </c>
      <c r="E7" s="11">
        <v>0.5</v>
      </c>
      <c r="F7" s="11">
        <v>0</v>
      </c>
      <c r="G7" s="21">
        <f xml:space="preserve"> SUM(D7:F7) + $C7</f>
        <v>12.5</v>
      </c>
      <c r="H7" s="615">
        <v>12</v>
      </c>
      <c r="I7" s="615">
        <v>0.5</v>
      </c>
      <c r="J7" s="615">
        <v>0</v>
      </c>
      <c r="K7" s="21">
        <f t="shared" si="0"/>
        <v>12.5</v>
      </c>
    </row>
    <row r="8" spans="1:11" x14ac:dyDescent="0.25">
      <c r="A8" s="1932" t="s">
        <v>449</v>
      </c>
      <c r="B8" s="404" t="s">
        <v>32</v>
      </c>
      <c r="C8" s="324"/>
      <c r="D8" s="661">
        <v>4</v>
      </c>
      <c r="E8" s="11">
        <v>0.5</v>
      </c>
      <c r="F8" s="11">
        <v>0</v>
      </c>
      <c r="G8" s="21">
        <f xml:space="preserve"> SUM(D8:F8) + $C8</f>
        <v>4.5</v>
      </c>
      <c r="H8" s="661">
        <v>4</v>
      </c>
      <c r="I8" s="615">
        <v>0.5</v>
      </c>
      <c r="J8" s="615">
        <v>0</v>
      </c>
      <c r="K8" s="21">
        <f t="shared" si="0"/>
        <v>4.5</v>
      </c>
    </row>
    <row r="9" spans="1:11" x14ac:dyDescent="0.25">
      <c r="A9" s="1932"/>
      <c r="B9" s="19" t="s">
        <v>33</v>
      </c>
      <c r="C9" s="22"/>
      <c r="D9" s="615">
        <v>8</v>
      </c>
      <c r="E9" s="11">
        <v>0.5</v>
      </c>
      <c r="F9" s="11">
        <v>0</v>
      </c>
      <c r="G9" s="21">
        <f t="shared" ref="G9:G93" si="1" xml:space="preserve"> SUM(D9:F9) + $C9</f>
        <v>8.5</v>
      </c>
      <c r="H9" s="615">
        <v>8</v>
      </c>
      <c r="I9" s="615">
        <v>0.5</v>
      </c>
      <c r="J9" s="615">
        <v>0</v>
      </c>
      <c r="K9" s="21">
        <f t="shared" si="0"/>
        <v>8.5</v>
      </c>
    </row>
    <row r="10" spans="1:11" ht="15.75" thickBot="1" x14ac:dyDescent="0.3">
      <c r="A10" s="1932"/>
      <c r="B10" s="13" t="s">
        <v>34</v>
      </c>
      <c r="C10" s="34"/>
      <c r="D10" s="615">
        <v>12</v>
      </c>
      <c r="E10" s="422">
        <v>0.5</v>
      </c>
      <c r="F10" s="422">
        <v>0</v>
      </c>
      <c r="G10" s="77">
        <f t="shared" si="1"/>
        <v>12.5</v>
      </c>
      <c r="H10" s="615">
        <v>12</v>
      </c>
      <c r="I10" s="673">
        <v>0.5</v>
      </c>
      <c r="J10" s="673">
        <v>0</v>
      </c>
      <c r="K10" s="77">
        <f t="shared" si="0"/>
        <v>12.5</v>
      </c>
    </row>
    <row r="11" spans="1:11" ht="16.5" thickBot="1" x14ac:dyDescent="0.3">
      <c r="A11" s="326" t="s">
        <v>1</v>
      </c>
      <c r="B11" s="327"/>
      <c r="C11" s="327"/>
      <c r="D11" s="327"/>
      <c r="E11" s="327"/>
      <c r="F11" s="327"/>
      <c r="G11" s="327"/>
      <c r="H11" s="327"/>
      <c r="I11" s="327"/>
      <c r="J11" s="327"/>
      <c r="K11" s="396"/>
    </row>
    <row r="12" spans="1:11" x14ac:dyDescent="0.25">
      <c r="A12" s="1932" t="s">
        <v>2</v>
      </c>
      <c r="B12" s="404" t="s">
        <v>32</v>
      </c>
      <c r="C12" s="324"/>
      <c r="D12" s="661">
        <v>24</v>
      </c>
      <c r="E12" s="423">
        <f>E$22*1</f>
        <v>0</v>
      </c>
      <c r="F12" s="405">
        <f>F22*0.7</f>
        <v>0</v>
      </c>
      <c r="G12" s="230">
        <f t="shared" si="1"/>
        <v>24</v>
      </c>
      <c r="H12" s="661">
        <v>24</v>
      </c>
      <c r="I12" s="674">
        <f>I$22*1</f>
        <v>0</v>
      </c>
      <c r="J12" s="661">
        <f>J22*0.7</f>
        <v>0</v>
      </c>
      <c r="K12" s="230">
        <f xml:space="preserve"> SUM(H12:J12) + $C12</f>
        <v>24</v>
      </c>
    </row>
    <row r="13" spans="1:11" x14ac:dyDescent="0.25">
      <c r="A13" s="1932"/>
      <c r="B13" s="19" t="s">
        <v>33</v>
      </c>
      <c r="C13" s="22"/>
      <c r="D13" s="615">
        <v>32</v>
      </c>
      <c r="E13" s="123">
        <f>E$23*1</f>
        <v>0</v>
      </c>
      <c r="F13" s="11">
        <f>F23*0.7</f>
        <v>0</v>
      </c>
      <c r="G13" s="21">
        <f t="shared" si="1"/>
        <v>32</v>
      </c>
      <c r="H13" s="615">
        <v>32</v>
      </c>
      <c r="I13" s="630">
        <f>I$23*1</f>
        <v>0</v>
      </c>
      <c r="J13" s="615">
        <f>J23*0.7</f>
        <v>0</v>
      </c>
      <c r="K13" s="21">
        <f xml:space="preserve"> SUM(H13:J13) + $C13</f>
        <v>32</v>
      </c>
    </row>
    <row r="14" spans="1:11" ht="15.75" thickBot="1" x14ac:dyDescent="0.3">
      <c r="A14" s="1932"/>
      <c r="B14" s="13" t="s">
        <v>34</v>
      </c>
      <c r="C14" s="34"/>
      <c r="D14" s="673">
        <v>40</v>
      </c>
      <c r="E14" s="424">
        <f>E$24*1</f>
        <v>0</v>
      </c>
      <c r="F14" s="422">
        <f>F24*0.7</f>
        <v>0</v>
      </c>
      <c r="G14" s="77">
        <f t="shared" si="1"/>
        <v>40</v>
      </c>
      <c r="H14" s="673">
        <v>40</v>
      </c>
      <c r="I14" s="675">
        <f>I$24*1</f>
        <v>0</v>
      </c>
      <c r="J14" s="673">
        <f>J24*0.7</f>
        <v>0</v>
      </c>
      <c r="K14" s="77">
        <f xml:space="preserve"> SUM(H14:J14) + $C14</f>
        <v>40</v>
      </c>
    </row>
    <row r="15" spans="1:11" ht="16.5" thickBot="1" x14ac:dyDescent="0.3">
      <c r="A15" s="330" t="s">
        <v>3</v>
      </c>
      <c r="B15" s="329"/>
      <c r="C15" s="329"/>
      <c r="D15" s="329"/>
      <c r="E15" s="329"/>
      <c r="F15" s="327"/>
      <c r="G15" s="327"/>
      <c r="H15" s="329"/>
      <c r="I15" s="329"/>
      <c r="J15" s="327"/>
      <c r="K15" s="396"/>
    </row>
    <row r="16" spans="1:11" x14ac:dyDescent="0.25">
      <c r="A16" s="1944" t="s">
        <v>4</v>
      </c>
      <c r="B16" s="325" t="s">
        <v>32</v>
      </c>
      <c r="C16" s="324"/>
      <c r="D16" s="427">
        <v>0.25</v>
      </c>
      <c r="E16" s="400">
        <v>0</v>
      </c>
      <c r="F16" s="428">
        <v>0</v>
      </c>
      <c r="G16" s="230">
        <f t="shared" si="1"/>
        <v>0.25</v>
      </c>
      <c r="H16" s="678">
        <v>0.25</v>
      </c>
      <c r="I16" s="710">
        <v>0</v>
      </c>
      <c r="J16" s="679">
        <v>0</v>
      </c>
      <c r="K16" s="230">
        <f t="shared" ref="K16:K36" si="2" xml:space="preserve"> SUM(H16:J16) + $C16</f>
        <v>0.25</v>
      </c>
    </row>
    <row r="17" spans="1:11" x14ac:dyDescent="0.25">
      <c r="A17" s="1937"/>
      <c r="B17" s="18" t="s">
        <v>33</v>
      </c>
      <c r="C17" s="22"/>
      <c r="D17" s="38">
        <v>0.25</v>
      </c>
      <c r="E17" s="15">
        <v>0</v>
      </c>
      <c r="F17" s="33">
        <v>0</v>
      </c>
      <c r="G17" s="21">
        <f t="shared" si="1"/>
        <v>0.25</v>
      </c>
      <c r="H17" s="625">
        <v>0.25</v>
      </c>
      <c r="I17" s="616">
        <v>0</v>
      </c>
      <c r="J17" s="623">
        <v>0</v>
      </c>
      <c r="K17" s="21">
        <f t="shared" si="2"/>
        <v>0.25</v>
      </c>
    </row>
    <row r="18" spans="1:11" x14ac:dyDescent="0.25">
      <c r="A18" s="1937"/>
      <c r="B18" s="18" t="s">
        <v>34</v>
      </c>
      <c r="C18" s="22"/>
      <c r="D18" s="38">
        <v>0.25</v>
      </c>
      <c r="E18" s="15">
        <v>0</v>
      </c>
      <c r="F18" s="33">
        <v>0</v>
      </c>
      <c r="G18" s="21">
        <f t="shared" si="1"/>
        <v>0.25</v>
      </c>
      <c r="H18" s="625">
        <v>0.25</v>
      </c>
      <c r="I18" s="616">
        <v>0</v>
      </c>
      <c r="J18" s="623">
        <v>0</v>
      </c>
      <c r="K18" s="21">
        <f t="shared" si="2"/>
        <v>0.25</v>
      </c>
    </row>
    <row r="19" spans="1:11" x14ac:dyDescent="0.25">
      <c r="A19" s="1937" t="s">
        <v>5</v>
      </c>
      <c r="B19" s="19" t="s">
        <v>32</v>
      </c>
      <c r="C19" s="22"/>
      <c r="D19" s="38">
        <v>2</v>
      </c>
      <c r="E19" s="15">
        <v>0</v>
      </c>
      <c r="F19" s="33">
        <v>0</v>
      </c>
      <c r="G19" s="21">
        <f t="shared" si="1"/>
        <v>2</v>
      </c>
      <c r="H19" s="625">
        <v>2</v>
      </c>
      <c r="I19" s="15">
        <v>0</v>
      </c>
      <c r="J19" s="33">
        <v>0</v>
      </c>
      <c r="K19" s="21">
        <f t="shared" si="2"/>
        <v>2</v>
      </c>
    </row>
    <row r="20" spans="1:11" x14ac:dyDescent="0.25">
      <c r="A20" s="1937"/>
      <c r="B20" s="19" t="s">
        <v>33</v>
      </c>
      <c r="C20" s="22"/>
      <c r="D20" s="38">
        <v>4</v>
      </c>
      <c r="E20" s="15">
        <v>0</v>
      </c>
      <c r="F20" s="33">
        <v>0</v>
      </c>
      <c r="G20" s="21">
        <f t="shared" si="1"/>
        <v>4</v>
      </c>
      <c r="H20" s="625">
        <v>4</v>
      </c>
      <c r="I20" s="15">
        <v>0</v>
      </c>
      <c r="J20" s="33">
        <v>0</v>
      </c>
      <c r="K20" s="21">
        <f t="shared" si="2"/>
        <v>4</v>
      </c>
    </row>
    <row r="21" spans="1:11" x14ac:dyDescent="0.25">
      <c r="A21" s="1937"/>
      <c r="B21" s="19" t="s">
        <v>34</v>
      </c>
      <c r="C21" s="22"/>
      <c r="D21" s="38">
        <v>6</v>
      </c>
      <c r="E21" s="15">
        <v>0</v>
      </c>
      <c r="F21" s="33">
        <v>0</v>
      </c>
      <c r="G21" s="21">
        <f t="shared" si="1"/>
        <v>6</v>
      </c>
      <c r="H21" s="625">
        <v>6</v>
      </c>
      <c r="I21" s="15">
        <v>0</v>
      </c>
      <c r="J21" s="33">
        <v>0</v>
      </c>
      <c r="K21" s="21">
        <f t="shared" si="2"/>
        <v>6</v>
      </c>
    </row>
    <row r="22" spans="1:11" x14ac:dyDescent="0.25">
      <c r="A22" s="1937" t="s">
        <v>6</v>
      </c>
      <c r="B22" s="19" t="s">
        <v>32</v>
      </c>
      <c r="C22" s="22"/>
      <c r="D22" s="11">
        <v>24</v>
      </c>
      <c r="E22" s="123">
        <f>2*E$3</f>
        <v>0</v>
      </c>
      <c r="F22" s="11">
        <v>0</v>
      </c>
      <c r="G22" s="21">
        <f t="shared" si="1"/>
        <v>24</v>
      </c>
      <c r="H22" s="615">
        <v>24</v>
      </c>
      <c r="I22" s="630">
        <f>2*I$3</f>
        <v>0</v>
      </c>
      <c r="J22" s="615">
        <v>0</v>
      </c>
      <c r="K22" s="21">
        <f t="shared" si="2"/>
        <v>24</v>
      </c>
    </row>
    <row r="23" spans="1:11" x14ac:dyDescent="0.25">
      <c r="A23" s="1937"/>
      <c r="B23" s="19" t="s">
        <v>33</v>
      </c>
      <c r="C23" s="22"/>
      <c r="D23" s="11">
        <v>32</v>
      </c>
      <c r="E23" s="123">
        <f>2*E$3</f>
        <v>0</v>
      </c>
      <c r="F23" s="11">
        <v>0</v>
      </c>
      <c r="G23" s="21">
        <f t="shared" si="1"/>
        <v>32</v>
      </c>
      <c r="H23" s="615">
        <v>32</v>
      </c>
      <c r="I23" s="630">
        <f>2*I$3</f>
        <v>0</v>
      </c>
      <c r="J23" s="615">
        <v>0</v>
      </c>
      <c r="K23" s="21">
        <f t="shared" si="2"/>
        <v>32</v>
      </c>
    </row>
    <row r="24" spans="1:11" x14ac:dyDescent="0.25">
      <c r="A24" s="1937"/>
      <c r="B24" s="19" t="s">
        <v>34</v>
      </c>
      <c r="C24" s="22"/>
      <c r="D24" s="11">
        <v>40</v>
      </c>
      <c r="E24" s="123">
        <f>2*E$3</f>
        <v>0</v>
      </c>
      <c r="F24" s="11">
        <v>0</v>
      </c>
      <c r="G24" s="21">
        <f t="shared" si="1"/>
        <v>40</v>
      </c>
      <c r="H24" s="615">
        <v>40</v>
      </c>
      <c r="I24" s="630">
        <f>2*I$3</f>
        <v>0</v>
      </c>
      <c r="J24" s="615">
        <v>0</v>
      </c>
      <c r="K24" s="21">
        <f t="shared" si="2"/>
        <v>40</v>
      </c>
    </row>
    <row r="25" spans="1:11" x14ac:dyDescent="0.25">
      <c r="A25" s="1937" t="s">
        <v>7</v>
      </c>
      <c r="B25" s="19" t="s">
        <v>32</v>
      </c>
      <c r="C25" s="22"/>
      <c r="D25" s="38">
        <v>4</v>
      </c>
      <c r="E25" s="15">
        <v>0</v>
      </c>
      <c r="F25" s="33">
        <v>0</v>
      </c>
      <c r="G25" s="21">
        <f t="shared" si="1"/>
        <v>4</v>
      </c>
      <c r="H25" s="38">
        <v>4</v>
      </c>
      <c r="I25" s="15">
        <v>0</v>
      </c>
      <c r="J25" s="33">
        <v>0</v>
      </c>
      <c r="K25" s="21">
        <f t="shared" si="2"/>
        <v>4</v>
      </c>
    </row>
    <row r="26" spans="1:11" x14ac:dyDescent="0.25">
      <c r="A26" s="1937"/>
      <c r="B26" s="19" t="s">
        <v>33</v>
      </c>
      <c r="C26" s="22"/>
      <c r="D26" s="38">
        <v>6</v>
      </c>
      <c r="E26" s="15">
        <v>0</v>
      </c>
      <c r="F26" s="33">
        <v>0</v>
      </c>
      <c r="G26" s="21">
        <f t="shared" si="1"/>
        <v>6</v>
      </c>
      <c r="H26" s="38">
        <v>6</v>
      </c>
      <c r="I26" s="15">
        <v>0</v>
      </c>
      <c r="J26" s="33">
        <v>0</v>
      </c>
      <c r="K26" s="21">
        <f t="shared" si="2"/>
        <v>6</v>
      </c>
    </row>
    <row r="27" spans="1:11" x14ac:dyDescent="0.25">
      <c r="A27" s="1937"/>
      <c r="B27" s="19" t="s">
        <v>34</v>
      </c>
      <c r="C27" s="22"/>
      <c r="D27" s="38">
        <v>8</v>
      </c>
      <c r="E27" s="15">
        <v>0</v>
      </c>
      <c r="F27" s="33">
        <v>0</v>
      </c>
      <c r="G27" s="21">
        <f t="shared" si="1"/>
        <v>8</v>
      </c>
      <c r="H27" s="38">
        <v>8</v>
      </c>
      <c r="I27" s="15">
        <v>0</v>
      </c>
      <c r="J27" s="33">
        <v>0</v>
      </c>
      <c r="K27" s="21">
        <f t="shared" si="2"/>
        <v>8</v>
      </c>
    </row>
    <row r="28" spans="1:11" x14ac:dyDescent="0.25">
      <c r="A28" s="1937" t="s">
        <v>8</v>
      </c>
      <c r="B28" s="19" t="s">
        <v>32</v>
      </c>
      <c r="C28" s="22"/>
      <c r="D28" s="38">
        <v>3</v>
      </c>
      <c r="E28" s="15">
        <v>0</v>
      </c>
      <c r="F28" s="33">
        <v>0</v>
      </c>
      <c r="G28" s="21">
        <f t="shared" si="1"/>
        <v>3</v>
      </c>
      <c r="H28" s="38">
        <v>3</v>
      </c>
      <c r="I28" s="15">
        <v>0</v>
      </c>
      <c r="J28" s="33">
        <v>0</v>
      </c>
      <c r="K28" s="21">
        <f t="shared" si="2"/>
        <v>3</v>
      </c>
    </row>
    <row r="29" spans="1:11" x14ac:dyDescent="0.25">
      <c r="A29" s="1937"/>
      <c r="B29" s="19" t="s">
        <v>33</v>
      </c>
      <c r="C29" s="22"/>
      <c r="D29" s="38">
        <v>4</v>
      </c>
      <c r="E29" s="15">
        <v>0</v>
      </c>
      <c r="F29" s="33">
        <v>0</v>
      </c>
      <c r="G29" s="21">
        <f t="shared" si="1"/>
        <v>4</v>
      </c>
      <c r="H29" s="38">
        <v>4</v>
      </c>
      <c r="I29" s="15">
        <v>0</v>
      </c>
      <c r="J29" s="33">
        <v>0</v>
      </c>
      <c r="K29" s="21">
        <f t="shared" si="2"/>
        <v>4</v>
      </c>
    </row>
    <row r="30" spans="1:11" x14ac:dyDescent="0.25">
      <c r="A30" s="1937"/>
      <c r="B30" s="19" t="s">
        <v>34</v>
      </c>
      <c r="C30" s="22"/>
      <c r="D30" s="38">
        <v>6</v>
      </c>
      <c r="E30" s="15">
        <v>0</v>
      </c>
      <c r="F30" s="33">
        <v>0</v>
      </c>
      <c r="G30" s="21">
        <f t="shared" si="1"/>
        <v>6</v>
      </c>
      <c r="H30" s="38">
        <v>6</v>
      </c>
      <c r="I30" s="15">
        <v>0</v>
      </c>
      <c r="J30" s="33">
        <v>0</v>
      </c>
      <c r="K30" s="21">
        <f t="shared" si="2"/>
        <v>6</v>
      </c>
    </row>
    <row r="31" spans="1:11" x14ac:dyDescent="0.25">
      <c r="A31" s="1937" t="s">
        <v>9</v>
      </c>
      <c r="B31" s="19" t="s">
        <v>32</v>
      </c>
      <c r="C31" s="22"/>
      <c r="D31" s="124">
        <f>2+(0.5*D$3)</f>
        <v>2</v>
      </c>
      <c r="E31" s="15">
        <v>0</v>
      </c>
      <c r="F31" s="15">
        <v>0</v>
      </c>
      <c r="G31" s="21">
        <f t="shared" si="1"/>
        <v>2</v>
      </c>
      <c r="H31" s="631">
        <f>2+(0.5*H$3)</f>
        <v>2</v>
      </c>
      <c r="I31" s="616">
        <v>0</v>
      </c>
      <c r="J31" s="616">
        <v>0</v>
      </c>
      <c r="K31" s="21">
        <f t="shared" si="2"/>
        <v>2</v>
      </c>
    </row>
    <row r="32" spans="1:11" x14ac:dyDescent="0.25">
      <c r="A32" s="1937"/>
      <c r="B32" s="19" t="s">
        <v>33</v>
      </c>
      <c r="C32" s="22"/>
      <c r="D32" s="124">
        <f>4+(0.5*D$3)</f>
        <v>4</v>
      </c>
      <c r="E32" s="15">
        <v>0</v>
      </c>
      <c r="F32" s="15">
        <v>0</v>
      </c>
      <c r="G32" s="21">
        <f t="shared" si="1"/>
        <v>4</v>
      </c>
      <c r="H32" s="631">
        <f>4+(0.5*H$3)</f>
        <v>4</v>
      </c>
      <c r="I32" s="616">
        <v>0</v>
      </c>
      <c r="J32" s="616">
        <v>0</v>
      </c>
      <c r="K32" s="21">
        <f t="shared" si="2"/>
        <v>4</v>
      </c>
    </row>
    <row r="33" spans="1:11" x14ac:dyDescent="0.25">
      <c r="A33" s="1937"/>
      <c r="B33" s="19" t="s">
        <v>34</v>
      </c>
      <c r="C33" s="22"/>
      <c r="D33" s="124">
        <f>6+(0.5*D$3)</f>
        <v>6</v>
      </c>
      <c r="E33" s="15">
        <v>0</v>
      </c>
      <c r="F33" s="15">
        <v>0</v>
      </c>
      <c r="G33" s="21">
        <f t="shared" si="1"/>
        <v>6</v>
      </c>
      <c r="H33" s="631">
        <f>6+(0.5*H$3)</f>
        <v>6</v>
      </c>
      <c r="I33" s="616">
        <v>0</v>
      </c>
      <c r="J33" s="616">
        <v>0</v>
      </c>
      <c r="K33" s="21">
        <f t="shared" si="2"/>
        <v>6</v>
      </c>
    </row>
    <row r="34" spans="1:11" x14ac:dyDescent="0.25">
      <c r="A34" s="1937" t="s">
        <v>10</v>
      </c>
      <c r="B34" s="19" t="s">
        <v>32</v>
      </c>
      <c r="C34" s="22"/>
      <c r="D34" s="38">
        <v>2</v>
      </c>
      <c r="E34" s="15">
        <v>0</v>
      </c>
      <c r="F34" s="15">
        <v>0</v>
      </c>
      <c r="G34" s="21">
        <f t="shared" si="1"/>
        <v>2</v>
      </c>
      <c r="H34" s="625">
        <v>2</v>
      </c>
      <c r="I34" s="616">
        <v>0</v>
      </c>
      <c r="J34" s="616">
        <v>0</v>
      </c>
      <c r="K34" s="21">
        <f t="shared" si="2"/>
        <v>2</v>
      </c>
    </row>
    <row r="35" spans="1:11" x14ac:dyDescent="0.25">
      <c r="A35" s="1937"/>
      <c r="B35" s="19" t="s">
        <v>33</v>
      </c>
      <c r="C35" s="22"/>
      <c r="D35" s="38">
        <v>4</v>
      </c>
      <c r="E35" s="15">
        <v>0</v>
      </c>
      <c r="F35" s="15">
        <v>0</v>
      </c>
      <c r="G35" s="21">
        <f t="shared" si="1"/>
        <v>4</v>
      </c>
      <c r="H35" s="625">
        <v>4</v>
      </c>
      <c r="I35" s="616">
        <v>0</v>
      </c>
      <c r="J35" s="616">
        <v>0</v>
      </c>
      <c r="K35" s="21">
        <f t="shared" si="2"/>
        <v>4</v>
      </c>
    </row>
    <row r="36" spans="1:11" ht="15.75" thickBot="1" x14ac:dyDescent="0.3">
      <c r="A36" s="1938"/>
      <c r="B36" s="13" t="s">
        <v>34</v>
      </c>
      <c r="C36" s="34"/>
      <c r="D36" s="39">
        <v>6</v>
      </c>
      <c r="E36" s="399">
        <v>0</v>
      </c>
      <c r="F36" s="399">
        <v>0</v>
      </c>
      <c r="G36" s="77">
        <f t="shared" si="1"/>
        <v>6</v>
      </c>
      <c r="H36" s="626">
        <v>6</v>
      </c>
      <c r="I36" s="709">
        <v>0</v>
      </c>
      <c r="J36" s="709">
        <v>0</v>
      </c>
      <c r="K36" s="77">
        <f t="shared" si="2"/>
        <v>6</v>
      </c>
    </row>
    <row r="37" spans="1:11" ht="16.5" thickBot="1" x14ac:dyDescent="0.3">
      <c r="A37" s="330" t="s">
        <v>11</v>
      </c>
      <c r="B37" s="329"/>
      <c r="C37" s="329"/>
      <c r="D37" s="329"/>
      <c r="E37" s="329"/>
      <c r="F37" s="327"/>
      <c r="G37" s="327"/>
      <c r="H37" s="329"/>
      <c r="I37" s="329"/>
      <c r="J37" s="327"/>
      <c r="K37" s="396"/>
    </row>
    <row r="38" spans="1:11" x14ac:dyDescent="0.25">
      <c r="A38" s="1932" t="s">
        <v>12</v>
      </c>
      <c r="B38" s="404" t="s">
        <v>32</v>
      </c>
      <c r="C38" s="324"/>
      <c r="D38" s="661">
        <v>24</v>
      </c>
      <c r="E38" s="423">
        <f>1*E$3</f>
        <v>0</v>
      </c>
      <c r="F38" s="405">
        <v>0</v>
      </c>
      <c r="G38" s="230">
        <f t="shared" si="1"/>
        <v>24</v>
      </c>
      <c r="H38" s="661">
        <v>24</v>
      </c>
      <c r="I38" s="674">
        <f>1*I$3</f>
        <v>0</v>
      </c>
      <c r="J38" s="661">
        <v>0</v>
      </c>
      <c r="K38" s="230">
        <f xml:space="preserve"> SUM(H38:J38) + $C38</f>
        <v>24</v>
      </c>
    </row>
    <row r="39" spans="1:11" x14ac:dyDescent="0.25">
      <c r="A39" s="1932"/>
      <c r="B39" s="19" t="s">
        <v>33</v>
      </c>
      <c r="C39" s="22"/>
      <c r="D39" s="615">
        <v>32</v>
      </c>
      <c r="E39" s="123">
        <f>1*E$3</f>
        <v>0</v>
      </c>
      <c r="F39" s="11">
        <v>0</v>
      </c>
      <c r="G39" s="21">
        <f t="shared" si="1"/>
        <v>32</v>
      </c>
      <c r="H39" s="615">
        <v>32</v>
      </c>
      <c r="I39" s="630">
        <f>1*I$3</f>
        <v>0</v>
      </c>
      <c r="J39" s="615">
        <v>0</v>
      </c>
      <c r="K39" s="21">
        <f xml:space="preserve"> SUM(H39:J39) + $C39</f>
        <v>32</v>
      </c>
    </row>
    <row r="40" spans="1:11" ht="15.75" thickBot="1" x14ac:dyDescent="0.3">
      <c r="A40" s="1932"/>
      <c r="B40" s="13" t="s">
        <v>34</v>
      </c>
      <c r="C40" s="34"/>
      <c r="D40" s="673">
        <v>40</v>
      </c>
      <c r="E40" s="424">
        <f>1*E$3</f>
        <v>0</v>
      </c>
      <c r="F40" s="422">
        <v>0</v>
      </c>
      <c r="G40" s="77">
        <f t="shared" si="1"/>
        <v>40</v>
      </c>
      <c r="H40" s="673">
        <v>40</v>
      </c>
      <c r="I40" s="675">
        <f>1*I$3</f>
        <v>0</v>
      </c>
      <c r="J40" s="673">
        <v>0</v>
      </c>
      <c r="K40" s="77">
        <f xml:space="preserve"> SUM(H40:J40) + $C40</f>
        <v>40</v>
      </c>
    </row>
    <row r="41" spans="1:11" ht="16.5" thickBot="1" x14ac:dyDescent="0.3">
      <c r="A41" s="330" t="s">
        <v>13</v>
      </c>
      <c r="B41" s="329"/>
      <c r="C41" s="329"/>
      <c r="D41" s="329"/>
      <c r="E41" s="329"/>
      <c r="F41" s="327"/>
      <c r="G41" s="327"/>
      <c r="H41" s="329"/>
      <c r="I41" s="329"/>
      <c r="J41" s="327"/>
      <c r="K41" s="396"/>
    </row>
    <row r="42" spans="1:11" x14ac:dyDescent="0.25">
      <c r="A42" s="1932" t="s">
        <v>14</v>
      </c>
      <c r="B42" s="404" t="s">
        <v>32</v>
      </c>
      <c r="C42" s="324"/>
      <c r="D42" s="625">
        <v>2</v>
      </c>
      <c r="E42" s="616">
        <v>0</v>
      </c>
      <c r="F42" s="623">
        <v>0</v>
      </c>
      <c r="G42" s="230">
        <f t="shared" si="1"/>
        <v>2</v>
      </c>
      <c r="H42" s="625">
        <v>1</v>
      </c>
      <c r="I42" s="616">
        <v>0</v>
      </c>
      <c r="J42" s="623">
        <v>0</v>
      </c>
      <c r="K42" s="230">
        <f t="shared" ref="K42:K86" si="3" xml:space="preserve"> SUM(H42:J42) + $C42</f>
        <v>1</v>
      </c>
    </row>
    <row r="43" spans="1:11" x14ac:dyDescent="0.25">
      <c r="A43" s="1932"/>
      <c r="B43" s="19" t="s">
        <v>33</v>
      </c>
      <c r="C43" s="22"/>
      <c r="D43" s="625">
        <v>4</v>
      </c>
      <c r="E43" s="616">
        <v>0</v>
      </c>
      <c r="F43" s="623">
        <v>0</v>
      </c>
      <c r="G43" s="21">
        <f t="shared" si="1"/>
        <v>4</v>
      </c>
      <c r="H43" s="625">
        <v>2</v>
      </c>
      <c r="I43" s="616">
        <v>0</v>
      </c>
      <c r="J43" s="623">
        <v>0</v>
      </c>
      <c r="K43" s="21">
        <f t="shared" si="3"/>
        <v>2</v>
      </c>
    </row>
    <row r="44" spans="1:11" x14ac:dyDescent="0.25">
      <c r="A44" s="1932"/>
      <c r="B44" s="19" t="s">
        <v>34</v>
      </c>
      <c r="C44" s="22"/>
      <c r="D44" s="625">
        <v>6</v>
      </c>
      <c r="E44" s="616">
        <v>0</v>
      </c>
      <c r="F44" s="623">
        <v>0</v>
      </c>
      <c r="G44" s="21">
        <f t="shared" si="1"/>
        <v>6</v>
      </c>
      <c r="H44" s="625">
        <v>3</v>
      </c>
      <c r="I44" s="616">
        <v>0</v>
      </c>
      <c r="J44" s="623">
        <v>0</v>
      </c>
      <c r="K44" s="21">
        <f t="shared" si="3"/>
        <v>3</v>
      </c>
    </row>
    <row r="45" spans="1:11" x14ac:dyDescent="0.25">
      <c r="A45" s="1933" t="s">
        <v>15</v>
      </c>
      <c r="B45" s="19" t="s">
        <v>32</v>
      </c>
      <c r="C45" s="22"/>
      <c r="D45" s="625">
        <v>16</v>
      </c>
      <c r="E45" s="15">
        <v>0</v>
      </c>
      <c r="F45" s="15">
        <v>0</v>
      </c>
      <c r="G45" s="21">
        <f t="shared" si="1"/>
        <v>16</v>
      </c>
      <c r="H45" s="625">
        <v>16</v>
      </c>
      <c r="I45" s="616">
        <v>0</v>
      </c>
      <c r="J45" s="616">
        <v>0</v>
      </c>
      <c r="K45" s="21">
        <f t="shared" si="3"/>
        <v>16</v>
      </c>
    </row>
    <row r="46" spans="1:11" x14ac:dyDescent="0.25">
      <c r="A46" s="1933"/>
      <c r="B46" s="19" t="s">
        <v>33</v>
      </c>
      <c r="C46" s="22"/>
      <c r="D46" s="625">
        <v>28</v>
      </c>
      <c r="E46" s="15">
        <v>0</v>
      </c>
      <c r="F46" s="15">
        <v>0</v>
      </c>
      <c r="G46" s="21">
        <f t="shared" si="1"/>
        <v>28</v>
      </c>
      <c r="H46" s="625">
        <v>28</v>
      </c>
      <c r="I46" s="616">
        <v>0</v>
      </c>
      <c r="J46" s="616">
        <v>0</v>
      </c>
      <c r="K46" s="21">
        <f t="shared" si="3"/>
        <v>28</v>
      </c>
    </row>
    <row r="47" spans="1:11" x14ac:dyDescent="0.25">
      <c r="A47" s="1933"/>
      <c r="B47" s="19" t="s">
        <v>34</v>
      </c>
      <c r="C47" s="22"/>
      <c r="D47" s="625">
        <v>36</v>
      </c>
      <c r="E47" s="15">
        <v>0</v>
      </c>
      <c r="F47" s="15">
        <v>0</v>
      </c>
      <c r="G47" s="21">
        <f t="shared" si="1"/>
        <v>36</v>
      </c>
      <c r="H47" s="625">
        <v>36</v>
      </c>
      <c r="I47" s="616">
        <v>0</v>
      </c>
      <c r="J47" s="616">
        <v>0</v>
      </c>
      <c r="K47" s="21">
        <f t="shared" si="3"/>
        <v>36</v>
      </c>
    </row>
    <row r="48" spans="1:11" x14ac:dyDescent="0.25">
      <c r="A48" s="1933" t="s">
        <v>16</v>
      </c>
      <c r="B48" s="19" t="s">
        <v>32</v>
      </c>
      <c r="C48" s="22"/>
      <c r="D48" s="124">
        <f>1*D$3+(0.5*E$3)</f>
        <v>0</v>
      </c>
      <c r="E48" s="15">
        <v>0</v>
      </c>
      <c r="F48" s="33">
        <v>0</v>
      </c>
      <c r="G48" s="21">
        <f t="shared" si="1"/>
        <v>0</v>
      </c>
      <c r="H48" s="631">
        <f>1*H$3+(0.5*I$3)</f>
        <v>0</v>
      </c>
      <c r="I48" s="616">
        <v>0</v>
      </c>
      <c r="J48" s="623">
        <v>0</v>
      </c>
      <c r="K48" s="21">
        <f t="shared" si="3"/>
        <v>0</v>
      </c>
    </row>
    <row r="49" spans="1:11" x14ac:dyDescent="0.25">
      <c r="A49" s="1933"/>
      <c r="B49" s="19" t="s">
        <v>33</v>
      </c>
      <c r="C49" s="22"/>
      <c r="D49" s="124">
        <f>1*D$3+(0.5*E$3)</f>
        <v>0</v>
      </c>
      <c r="E49" s="15">
        <v>0</v>
      </c>
      <c r="F49" s="33">
        <v>0</v>
      </c>
      <c r="G49" s="21">
        <f t="shared" si="1"/>
        <v>0</v>
      </c>
      <c r="H49" s="631">
        <f>1*H$3+(0.5*I$3)</f>
        <v>0</v>
      </c>
      <c r="I49" s="616">
        <v>0</v>
      </c>
      <c r="J49" s="623">
        <v>0</v>
      </c>
      <c r="K49" s="21">
        <f t="shared" si="3"/>
        <v>0</v>
      </c>
    </row>
    <row r="50" spans="1:11" x14ac:dyDescent="0.25">
      <c r="A50" s="1933"/>
      <c r="B50" s="19" t="s">
        <v>34</v>
      </c>
      <c r="C50" s="22"/>
      <c r="D50" s="124">
        <f>2*D$3+(0.5*E$3)</f>
        <v>0</v>
      </c>
      <c r="E50" s="15">
        <v>0</v>
      </c>
      <c r="F50" s="33">
        <v>0</v>
      </c>
      <c r="G50" s="21">
        <f t="shared" si="1"/>
        <v>0</v>
      </c>
      <c r="H50" s="631">
        <f>2*H$3+(0.5*I$3)</f>
        <v>0</v>
      </c>
      <c r="I50" s="616">
        <v>0</v>
      </c>
      <c r="J50" s="623">
        <v>0</v>
      </c>
      <c r="K50" s="21">
        <f t="shared" si="3"/>
        <v>0</v>
      </c>
    </row>
    <row r="51" spans="1:11" x14ac:dyDescent="0.25">
      <c r="A51" s="1933" t="s">
        <v>17</v>
      </c>
      <c r="B51" s="19" t="s">
        <v>32</v>
      </c>
      <c r="C51" s="22"/>
      <c r="D51" s="124">
        <f>1*D$3+(0.5*E$3)</f>
        <v>0</v>
      </c>
      <c r="E51" s="15">
        <v>0</v>
      </c>
      <c r="F51" s="15">
        <v>0</v>
      </c>
      <c r="G51" s="21">
        <f t="shared" si="1"/>
        <v>0</v>
      </c>
      <c r="H51" s="631">
        <f>1*H$3+(0.5*I$3)</f>
        <v>0</v>
      </c>
      <c r="I51" s="616">
        <v>0</v>
      </c>
      <c r="J51" s="616">
        <v>0</v>
      </c>
      <c r="K51" s="21">
        <f t="shared" si="3"/>
        <v>0</v>
      </c>
    </row>
    <row r="52" spans="1:11" x14ac:dyDescent="0.25">
      <c r="A52" s="1933"/>
      <c r="B52" s="19" t="s">
        <v>33</v>
      </c>
      <c r="C52" s="22"/>
      <c r="D52" s="124">
        <f>1*D$3+(0.5*E$3)</f>
        <v>0</v>
      </c>
      <c r="E52" s="15">
        <v>0</v>
      </c>
      <c r="F52" s="15">
        <v>0</v>
      </c>
      <c r="G52" s="21">
        <f t="shared" si="1"/>
        <v>0</v>
      </c>
      <c r="H52" s="631">
        <f>1*H$3+(0.5*I$3)</f>
        <v>0</v>
      </c>
      <c r="I52" s="616">
        <v>0</v>
      </c>
      <c r="J52" s="616">
        <v>0</v>
      </c>
      <c r="K52" s="21">
        <f t="shared" si="3"/>
        <v>0</v>
      </c>
    </row>
    <row r="53" spans="1:11" x14ac:dyDescent="0.25">
      <c r="A53" s="1933"/>
      <c r="B53" s="19" t="s">
        <v>34</v>
      </c>
      <c r="C53" s="22"/>
      <c r="D53" s="124">
        <f>2*D$3+(0.5*E$3)</f>
        <v>0</v>
      </c>
      <c r="E53" s="15">
        <v>0</v>
      </c>
      <c r="F53" s="15">
        <v>0</v>
      </c>
      <c r="G53" s="21">
        <f t="shared" si="1"/>
        <v>0</v>
      </c>
      <c r="H53" s="631">
        <f>2*H$3+(0.5*I$3)</f>
        <v>0</v>
      </c>
      <c r="I53" s="616">
        <v>0</v>
      </c>
      <c r="J53" s="616">
        <v>0</v>
      </c>
      <c r="K53" s="21">
        <f t="shared" si="3"/>
        <v>0</v>
      </c>
    </row>
    <row r="54" spans="1:11" x14ac:dyDescent="0.25">
      <c r="A54" s="1933" t="s">
        <v>18</v>
      </c>
      <c r="B54" s="19" t="s">
        <v>32</v>
      </c>
      <c r="C54" s="22"/>
      <c r="D54" s="124">
        <f>1*D$3</f>
        <v>0</v>
      </c>
      <c r="E54" s="15">
        <v>0</v>
      </c>
      <c r="F54" s="15">
        <v>0</v>
      </c>
      <c r="G54" s="21">
        <f t="shared" si="1"/>
        <v>0</v>
      </c>
      <c r="H54" s="631">
        <f>1*H$3</f>
        <v>0</v>
      </c>
      <c r="I54" s="616">
        <v>0</v>
      </c>
      <c r="J54" s="616">
        <v>0</v>
      </c>
      <c r="K54" s="21">
        <f t="shared" si="3"/>
        <v>0</v>
      </c>
    </row>
    <row r="55" spans="1:11" x14ac:dyDescent="0.25">
      <c r="A55" s="1933"/>
      <c r="B55" s="19" t="s">
        <v>33</v>
      </c>
      <c r="C55" s="22"/>
      <c r="D55" s="124">
        <f>1*$D$3</f>
        <v>0</v>
      </c>
      <c r="E55" s="15">
        <v>0</v>
      </c>
      <c r="F55" s="15">
        <v>0</v>
      </c>
      <c r="G55" s="21">
        <f t="shared" si="1"/>
        <v>0</v>
      </c>
      <c r="H55" s="631">
        <f>1*$D$3</f>
        <v>0</v>
      </c>
      <c r="I55" s="616">
        <v>0</v>
      </c>
      <c r="J55" s="616">
        <v>0</v>
      </c>
      <c r="K55" s="21">
        <f t="shared" si="3"/>
        <v>0</v>
      </c>
    </row>
    <row r="56" spans="1:11" x14ac:dyDescent="0.25">
      <c r="A56" s="1933"/>
      <c r="B56" s="19" t="s">
        <v>34</v>
      </c>
      <c r="C56" s="22"/>
      <c r="D56" s="124">
        <f>1*D$3</f>
        <v>0</v>
      </c>
      <c r="E56" s="15">
        <v>0</v>
      </c>
      <c r="F56" s="15">
        <v>0</v>
      </c>
      <c r="G56" s="21">
        <f t="shared" si="1"/>
        <v>0</v>
      </c>
      <c r="H56" s="631">
        <f>1*H$3</f>
        <v>0</v>
      </c>
      <c r="I56" s="616">
        <v>0</v>
      </c>
      <c r="J56" s="616">
        <v>0</v>
      </c>
      <c r="K56" s="21">
        <f t="shared" si="3"/>
        <v>0</v>
      </c>
    </row>
    <row r="57" spans="1:11" x14ac:dyDescent="0.25">
      <c r="A57" s="1933" t="s">
        <v>19</v>
      </c>
      <c r="B57" s="19" t="s">
        <v>32</v>
      </c>
      <c r="C57" s="22"/>
      <c r="D57" s="38">
        <v>2</v>
      </c>
      <c r="E57" s="15">
        <v>0</v>
      </c>
      <c r="F57" s="15">
        <v>0</v>
      </c>
      <c r="G57" s="21">
        <f t="shared" si="1"/>
        <v>2</v>
      </c>
      <c r="H57" s="38">
        <v>2</v>
      </c>
      <c r="I57" s="15">
        <v>0</v>
      </c>
      <c r="J57" s="15">
        <v>0</v>
      </c>
      <c r="K57" s="21">
        <f t="shared" si="3"/>
        <v>2</v>
      </c>
    </row>
    <row r="58" spans="1:11" x14ac:dyDescent="0.25">
      <c r="A58" s="1933"/>
      <c r="B58" s="19" t="s">
        <v>33</v>
      </c>
      <c r="C58" s="22"/>
      <c r="D58" s="38">
        <v>4</v>
      </c>
      <c r="E58" s="15">
        <v>0</v>
      </c>
      <c r="F58" s="15">
        <v>0</v>
      </c>
      <c r="G58" s="21">
        <f t="shared" si="1"/>
        <v>4</v>
      </c>
      <c r="H58" s="38">
        <v>4</v>
      </c>
      <c r="I58" s="15">
        <v>0</v>
      </c>
      <c r="J58" s="15">
        <v>0</v>
      </c>
      <c r="K58" s="21">
        <f t="shared" si="3"/>
        <v>4</v>
      </c>
    </row>
    <row r="59" spans="1:11" x14ac:dyDescent="0.25">
      <c r="A59" s="1933"/>
      <c r="B59" s="19" t="s">
        <v>34</v>
      </c>
      <c r="C59" s="22"/>
      <c r="D59" s="38">
        <v>6</v>
      </c>
      <c r="E59" s="15">
        <v>0</v>
      </c>
      <c r="F59" s="15">
        <v>0</v>
      </c>
      <c r="G59" s="21">
        <f t="shared" si="1"/>
        <v>6</v>
      </c>
      <c r="H59" s="38">
        <v>6</v>
      </c>
      <c r="I59" s="15">
        <v>0</v>
      </c>
      <c r="J59" s="15">
        <v>0</v>
      </c>
      <c r="K59" s="21">
        <f t="shared" si="3"/>
        <v>6</v>
      </c>
    </row>
    <row r="60" spans="1:11" x14ac:dyDescent="0.25">
      <c r="A60" s="1933" t="s">
        <v>20</v>
      </c>
      <c r="B60" s="19" t="s">
        <v>32</v>
      </c>
      <c r="C60" s="22"/>
      <c r="D60" s="38">
        <v>8</v>
      </c>
      <c r="E60" s="123">
        <f>1*E$3</f>
        <v>0</v>
      </c>
      <c r="F60" s="33">
        <v>0</v>
      </c>
      <c r="G60" s="21">
        <f t="shared" si="1"/>
        <v>8</v>
      </c>
      <c r="H60" s="625">
        <v>8</v>
      </c>
      <c r="I60" s="630">
        <f>1*I$3</f>
        <v>0</v>
      </c>
      <c r="J60" s="623">
        <v>0</v>
      </c>
      <c r="K60" s="21">
        <f t="shared" si="3"/>
        <v>8</v>
      </c>
    </row>
    <row r="61" spans="1:11" x14ac:dyDescent="0.25">
      <c r="A61" s="1933"/>
      <c r="B61" s="19" t="s">
        <v>33</v>
      </c>
      <c r="C61" s="22"/>
      <c r="D61" s="38">
        <v>16</v>
      </c>
      <c r="E61" s="123">
        <f>1*E$3</f>
        <v>0</v>
      </c>
      <c r="F61" s="33">
        <v>0</v>
      </c>
      <c r="G61" s="21">
        <f t="shared" si="1"/>
        <v>16</v>
      </c>
      <c r="H61" s="625">
        <v>16</v>
      </c>
      <c r="I61" s="630">
        <f>1*I$3</f>
        <v>0</v>
      </c>
      <c r="J61" s="623">
        <v>0</v>
      </c>
      <c r="K61" s="21">
        <f t="shared" si="3"/>
        <v>16</v>
      </c>
    </row>
    <row r="62" spans="1:11" x14ac:dyDescent="0.25">
      <c r="A62" s="1933"/>
      <c r="B62" s="19" t="s">
        <v>34</v>
      </c>
      <c r="C62" s="22"/>
      <c r="D62" s="38">
        <v>32</v>
      </c>
      <c r="E62" s="123">
        <f>1*E$3</f>
        <v>0</v>
      </c>
      <c r="F62" s="33">
        <v>0</v>
      </c>
      <c r="G62" s="21">
        <f t="shared" si="1"/>
        <v>32</v>
      </c>
      <c r="H62" s="625">
        <v>32</v>
      </c>
      <c r="I62" s="630">
        <f>1*I$3</f>
        <v>0</v>
      </c>
      <c r="J62" s="623">
        <v>0</v>
      </c>
      <c r="K62" s="21">
        <f t="shared" si="3"/>
        <v>32</v>
      </c>
    </row>
    <row r="63" spans="1:11" x14ac:dyDescent="0.25">
      <c r="A63" s="1933" t="s">
        <v>451</v>
      </c>
      <c r="B63" s="19" t="s">
        <v>32</v>
      </c>
      <c r="C63" s="22"/>
      <c r="D63" s="482">
        <v>0.25</v>
      </c>
      <c r="E63" s="691">
        <v>0</v>
      </c>
      <c r="F63" s="495">
        <v>0</v>
      </c>
      <c r="G63" s="21">
        <f t="shared" si="1"/>
        <v>0.25</v>
      </c>
      <c r="H63" s="482">
        <v>0.25</v>
      </c>
      <c r="I63" s="691">
        <v>0</v>
      </c>
      <c r="J63" s="495">
        <v>0</v>
      </c>
      <c r="K63" s="21">
        <f t="shared" si="3"/>
        <v>0.25</v>
      </c>
    </row>
    <row r="64" spans="1:11" x14ac:dyDescent="0.25">
      <c r="A64" s="1933"/>
      <c r="B64" s="19" t="s">
        <v>33</v>
      </c>
      <c r="C64" s="22"/>
      <c r="D64" s="625">
        <v>0.5</v>
      </c>
      <c r="E64" s="691">
        <v>0</v>
      </c>
      <c r="F64" s="495">
        <v>0</v>
      </c>
      <c r="G64" s="21">
        <f t="shared" si="1"/>
        <v>0.5</v>
      </c>
      <c r="H64" s="625">
        <v>0.5</v>
      </c>
      <c r="I64" s="691">
        <v>0</v>
      </c>
      <c r="J64" s="495">
        <v>0</v>
      </c>
      <c r="K64" s="21">
        <f t="shared" si="3"/>
        <v>0.5</v>
      </c>
    </row>
    <row r="65" spans="1:11" x14ac:dyDescent="0.25">
      <c r="A65" s="1933"/>
      <c r="B65" s="19" t="s">
        <v>34</v>
      </c>
      <c r="C65" s="22"/>
      <c r="D65" s="625">
        <v>1</v>
      </c>
      <c r="E65" s="691">
        <v>0</v>
      </c>
      <c r="F65" s="495">
        <v>0</v>
      </c>
      <c r="G65" s="21">
        <f t="shared" si="1"/>
        <v>1</v>
      </c>
      <c r="H65" s="625">
        <v>1</v>
      </c>
      <c r="I65" s="691">
        <v>0</v>
      </c>
      <c r="J65" s="495">
        <v>0</v>
      </c>
      <c r="K65" s="21">
        <f t="shared" si="3"/>
        <v>1</v>
      </c>
    </row>
    <row r="66" spans="1:11" x14ac:dyDescent="0.25">
      <c r="A66" s="1933" t="s">
        <v>452</v>
      </c>
      <c r="B66" s="19" t="s">
        <v>32</v>
      </c>
      <c r="C66" s="22"/>
      <c r="D66" s="482">
        <v>0.25</v>
      </c>
      <c r="E66" s="691">
        <v>0</v>
      </c>
      <c r="F66" s="495">
        <v>0</v>
      </c>
      <c r="G66" s="21">
        <f t="shared" si="1"/>
        <v>0.25</v>
      </c>
      <c r="H66" s="482">
        <v>0.25</v>
      </c>
      <c r="I66" s="691">
        <v>0</v>
      </c>
      <c r="J66" s="495">
        <v>0</v>
      </c>
      <c r="K66" s="21">
        <f t="shared" si="3"/>
        <v>0.25</v>
      </c>
    </row>
    <row r="67" spans="1:11" x14ac:dyDescent="0.25">
      <c r="A67" s="1933"/>
      <c r="B67" s="19" t="s">
        <v>33</v>
      </c>
      <c r="C67" s="22"/>
      <c r="D67" s="625">
        <v>0.5</v>
      </c>
      <c r="E67" s="691">
        <v>0</v>
      </c>
      <c r="F67" s="495">
        <v>0</v>
      </c>
      <c r="G67" s="21">
        <f t="shared" si="1"/>
        <v>0.5</v>
      </c>
      <c r="H67" s="625">
        <v>0.5</v>
      </c>
      <c r="I67" s="691">
        <v>0</v>
      </c>
      <c r="J67" s="495">
        <v>0</v>
      </c>
      <c r="K67" s="21">
        <f t="shared" si="3"/>
        <v>0.5</v>
      </c>
    </row>
    <row r="68" spans="1:11" x14ac:dyDescent="0.25">
      <c r="A68" s="1933"/>
      <c r="B68" s="19" t="s">
        <v>34</v>
      </c>
      <c r="C68" s="22"/>
      <c r="D68" s="625">
        <v>1</v>
      </c>
      <c r="E68" s="691">
        <v>0</v>
      </c>
      <c r="F68" s="495">
        <v>0</v>
      </c>
      <c r="G68" s="21">
        <f t="shared" si="1"/>
        <v>1</v>
      </c>
      <c r="H68" s="625">
        <v>1</v>
      </c>
      <c r="I68" s="691">
        <v>0</v>
      </c>
      <c r="J68" s="495">
        <v>0</v>
      </c>
      <c r="K68" s="21">
        <f t="shared" si="3"/>
        <v>1</v>
      </c>
    </row>
    <row r="69" spans="1:11" x14ac:dyDescent="0.25">
      <c r="A69" s="1936" t="s">
        <v>533</v>
      </c>
      <c r="B69" s="19" t="s">
        <v>32</v>
      </c>
      <c r="C69" s="22"/>
      <c r="D69" s="625">
        <v>4</v>
      </c>
      <c r="E69" s="630">
        <f t="shared" ref="E69:E74" si="4">2*E$3</f>
        <v>0</v>
      </c>
      <c r="F69" s="623">
        <v>0</v>
      </c>
      <c r="G69" s="21">
        <f t="shared" si="1"/>
        <v>4</v>
      </c>
      <c r="H69" s="625">
        <v>4</v>
      </c>
      <c r="I69" s="630">
        <f t="shared" ref="I69:I74" si="5">2*I$3</f>
        <v>0</v>
      </c>
      <c r="J69" s="623">
        <v>0</v>
      </c>
      <c r="K69" s="21">
        <f t="shared" si="3"/>
        <v>4</v>
      </c>
    </row>
    <row r="70" spans="1:11" x14ac:dyDescent="0.25">
      <c r="A70" s="1936"/>
      <c r="B70" s="19" t="s">
        <v>33</v>
      </c>
      <c r="C70" s="22"/>
      <c r="D70" s="625">
        <v>5</v>
      </c>
      <c r="E70" s="630">
        <f t="shared" si="4"/>
        <v>0</v>
      </c>
      <c r="F70" s="623">
        <v>0</v>
      </c>
      <c r="G70" s="21">
        <f t="shared" si="1"/>
        <v>5</v>
      </c>
      <c r="H70" s="625">
        <v>5</v>
      </c>
      <c r="I70" s="630">
        <f t="shared" si="5"/>
        <v>0</v>
      </c>
      <c r="J70" s="623">
        <v>0</v>
      </c>
      <c r="K70" s="21">
        <f t="shared" si="3"/>
        <v>5</v>
      </c>
    </row>
    <row r="71" spans="1:11" x14ac:dyDescent="0.25">
      <c r="A71" s="1936"/>
      <c r="B71" s="19" t="s">
        <v>34</v>
      </c>
      <c r="C71" s="22"/>
      <c r="D71" s="625">
        <v>6</v>
      </c>
      <c r="E71" s="630">
        <f t="shared" si="4"/>
        <v>0</v>
      </c>
      <c r="F71" s="623">
        <v>0</v>
      </c>
      <c r="G71" s="21">
        <f t="shared" si="1"/>
        <v>6</v>
      </c>
      <c r="H71" s="625">
        <v>6</v>
      </c>
      <c r="I71" s="630">
        <f t="shared" si="5"/>
        <v>0</v>
      </c>
      <c r="J71" s="623">
        <v>0</v>
      </c>
      <c r="K71" s="21">
        <f t="shared" si="3"/>
        <v>6</v>
      </c>
    </row>
    <row r="72" spans="1:11" x14ac:dyDescent="0.25">
      <c r="A72" s="1933" t="s">
        <v>534</v>
      </c>
      <c r="B72" s="19" t="s">
        <v>32</v>
      </c>
      <c r="C72" s="22"/>
      <c r="D72" s="625">
        <v>6</v>
      </c>
      <c r="E72" s="630">
        <f t="shared" si="4"/>
        <v>0</v>
      </c>
      <c r="F72" s="623">
        <v>0</v>
      </c>
      <c r="G72" s="21">
        <f t="shared" si="1"/>
        <v>6</v>
      </c>
      <c r="H72" s="625">
        <v>6</v>
      </c>
      <c r="I72" s="630">
        <f t="shared" si="5"/>
        <v>0</v>
      </c>
      <c r="J72" s="623">
        <v>0</v>
      </c>
      <c r="K72" s="21">
        <f t="shared" si="3"/>
        <v>6</v>
      </c>
    </row>
    <row r="73" spans="1:11" x14ac:dyDescent="0.25">
      <c r="A73" s="1933"/>
      <c r="B73" s="19" t="s">
        <v>33</v>
      </c>
      <c r="C73" s="22"/>
      <c r="D73" s="625">
        <v>8</v>
      </c>
      <c r="E73" s="630">
        <f t="shared" si="4"/>
        <v>0</v>
      </c>
      <c r="F73" s="623">
        <v>0</v>
      </c>
      <c r="G73" s="21">
        <f t="shared" si="1"/>
        <v>8</v>
      </c>
      <c r="H73" s="625">
        <v>8</v>
      </c>
      <c r="I73" s="630">
        <f t="shared" si="5"/>
        <v>0</v>
      </c>
      <c r="J73" s="623">
        <v>0</v>
      </c>
      <c r="K73" s="21">
        <f t="shared" si="3"/>
        <v>8</v>
      </c>
    </row>
    <row r="74" spans="1:11" x14ac:dyDescent="0.25">
      <c r="A74" s="1933"/>
      <c r="B74" s="19" t="s">
        <v>34</v>
      </c>
      <c r="C74" s="22"/>
      <c r="D74" s="625">
        <v>10</v>
      </c>
      <c r="E74" s="630">
        <f t="shared" si="4"/>
        <v>0</v>
      </c>
      <c r="F74" s="623">
        <v>0</v>
      </c>
      <c r="G74" s="21">
        <f t="shared" si="1"/>
        <v>10</v>
      </c>
      <c r="H74" s="625">
        <v>10</v>
      </c>
      <c r="I74" s="630">
        <f t="shared" si="5"/>
        <v>0</v>
      </c>
      <c r="J74" s="623">
        <v>0</v>
      </c>
      <c r="K74" s="21">
        <f t="shared" si="3"/>
        <v>10</v>
      </c>
    </row>
    <row r="75" spans="1:11" x14ac:dyDescent="0.25">
      <c r="A75" s="1933" t="s">
        <v>21</v>
      </c>
      <c r="B75" s="19" t="s">
        <v>32</v>
      </c>
      <c r="C75" s="22"/>
      <c r="D75" s="38" t="s">
        <v>90</v>
      </c>
      <c r="E75" s="38" t="s">
        <v>90</v>
      </c>
      <c r="F75" s="38" t="s">
        <v>90</v>
      </c>
      <c r="G75" s="21">
        <f t="shared" si="1"/>
        <v>0</v>
      </c>
      <c r="H75" s="38" t="s">
        <v>90</v>
      </c>
      <c r="I75" s="38" t="s">
        <v>90</v>
      </c>
      <c r="J75" s="38" t="s">
        <v>90</v>
      </c>
      <c r="K75" s="21">
        <f t="shared" si="3"/>
        <v>0</v>
      </c>
    </row>
    <row r="76" spans="1:11" x14ac:dyDescent="0.25">
      <c r="A76" s="1933"/>
      <c r="B76" s="19" t="s">
        <v>33</v>
      </c>
      <c r="C76" s="22"/>
      <c r="D76" s="38" t="s">
        <v>90</v>
      </c>
      <c r="E76" s="38" t="s">
        <v>90</v>
      </c>
      <c r="F76" s="38" t="s">
        <v>90</v>
      </c>
      <c r="G76" s="21">
        <f t="shared" si="1"/>
        <v>0</v>
      </c>
      <c r="H76" s="38" t="s">
        <v>90</v>
      </c>
      <c r="I76" s="38" t="s">
        <v>90</v>
      </c>
      <c r="J76" s="38" t="s">
        <v>90</v>
      </c>
      <c r="K76" s="21">
        <f t="shared" si="3"/>
        <v>0</v>
      </c>
    </row>
    <row r="77" spans="1:11" x14ac:dyDescent="0.25">
      <c r="A77" s="1933"/>
      <c r="B77" s="13" t="s">
        <v>34</v>
      </c>
      <c r="C77" s="34"/>
      <c r="D77" s="38" t="s">
        <v>90</v>
      </c>
      <c r="E77" s="38" t="s">
        <v>90</v>
      </c>
      <c r="F77" s="38" t="s">
        <v>90</v>
      </c>
      <c r="G77" s="21">
        <f t="shared" si="1"/>
        <v>0</v>
      </c>
      <c r="H77" s="38" t="s">
        <v>90</v>
      </c>
      <c r="I77" s="38" t="s">
        <v>90</v>
      </c>
      <c r="J77" s="38" t="s">
        <v>90</v>
      </c>
      <c r="K77" s="21">
        <f t="shared" si="3"/>
        <v>0</v>
      </c>
    </row>
    <row r="78" spans="1:11" x14ac:dyDescent="0.25">
      <c r="A78" s="1933" t="s">
        <v>181</v>
      </c>
      <c r="B78" s="19" t="s">
        <v>32</v>
      </c>
      <c r="C78" s="198"/>
      <c r="D78" s="493">
        <f t="shared" ref="D78:D86" si="6">$D$3*0.25</f>
        <v>0</v>
      </c>
      <c r="E78" s="616">
        <v>0</v>
      </c>
      <c r="F78" s="484">
        <v>0</v>
      </c>
      <c r="G78" s="21">
        <f t="shared" si="1"/>
        <v>0</v>
      </c>
      <c r="H78" s="493">
        <f t="shared" ref="H78:H86" si="7">$D$3*0.25</f>
        <v>0</v>
      </c>
      <c r="I78" s="616">
        <v>0</v>
      </c>
      <c r="J78" s="484">
        <v>0</v>
      </c>
      <c r="K78" s="21">
        <f t="shared" si="3"/>
        <v>0</v>
      </c>
    </row>
    <row r="79" spans="1:11" x14ac:dyDescent="0.25">
      <c r="A79" s="1933"/>
      <c r="B79" s="19" t="s">
        <v>33</v>
      </c>
      <c r="C79" s="198"/>
      <c r="D79" s="493">
        <f t="shared" si="6"/>
        <v>0</v>
      </c>
      <c r="E79" s="616">
        <v>0</v>
      </c>
      <c r="F79" s="484">
        <v>0</v>
      </c>
      <c r="G79" s="21">
        <f t="shared" si="1"/>
        <v>0</v>
      </c>
      <c r="H79" s="493">
        <f t="shared" si="7"/>
        <v>0</v>
      </c>
      <c r="I79" s="616">
        <v>0</v>
      </c>
      <c r="J79" s="484">
        <v>0</v>
      </c>
      <c r="K79" s="21">
        <f t="shared" si="3"/>
        <v>0</v>
      </c>
    </row>
    <row r="80" spans="1:11" x14ac:dyDescent="0.25">
      <c r="A80" s="1933"/>
      <c r="B80" s="19" t="s">
        <v>34</v>
      </c>
      <c r="C80" s="198"/>
      <c r="D80" s="493">
        <f t="shared" si="6"/>
        <v>0</v>
      </c>
      <c r="E80" s="616">
        <v>0</v>
      </c>
      <c r="F80" s="484">
        <v>0</v>
      </c>
      <c r="G80" s="21">
        <f t="shared" si="1"/>
        <v>0</v>
      </c>
      <c r="H80" s="493">
        <f t="shared" si="7"/>
        <v>0</v>
      </c>
      <c r="I80" s="616">
        <v>0</v>
      </c>
      <c r="J80" s="484">
        <v>0</v>
      </c>
      <c r="K80" s="21">
        <f t="shared" si="3"/>
        <v>0</v>
      </c>
    </row>
    <row r="81" spans="1:11" x14ac:dyDescent="0.25">
      <c r="A81" s="1933" t="s">
        <v>182</v>
      </c>
      <c r="B81" s="19" t="s">
        <v>32</v>
      </c>
      <c r="C81" s="198"/>
      <c r="D81" s="493">
        <f t="shared" si="6"/>
        <v>0</v>
      </c>
      <c r="E81" s="616">
        <v>0</v>
      </c>
      <c r="F81" s="484">
        <v>0</v>
      </c>
      <c r="G81" s="21">
        <f t="shared" si="1"/>
        <v>0</v>
      </c>
      <c r="H81" s="493">
        <f t="shared" si="7"/>
        <v>0</v>
      </c>
      <c r="I81" s="616">
        <v>0</v>
      </c>
      <c r="J81" s="484">
        <v>0</v>
      </c>
      <c r="K81" s="21">
        <f t="shared" si="3"/>
        <v>0</v>
      </c>
    </row>
    <row r="82" spans="1:11" x14ac:dyDescent="0.25">
      <c r="A82" s="1933"/>
      <c r="B82" s="19" t="s">
        <v>33</v>
      </c>
      <c r="C82" s="198"/>
      <c r="D82" s="493">
        <f t="shared" si="6"/>
        <v>0</v>
      </c>
      <c r="E82" s="616">
        <v>0</v>
      </c>
      <c r="F82" s="484">
        <v>0</v>
      </c>
      <c r="G82" s="21">
        <f t="shared" si="1"/>
        <v>0</v>
      </c>
      <c r="H82" s="493">
        <f t="shared" si="7"/>
        <v>0</v>
      </c>
      <c r="I82" s="616">
        <v>0</v>
      </c>
      <c r="J82" s="484">
        <v>0</v>
      </c>
      <c r="K82" s="21">
        <f t="shared" si="3"/>
        <v>0</v>
      </c>
    </row>
    <row r="83" spans="1:11" x14ac:dyDescent="0.25">
      <c r="A83" s="1933"/>
      <c r="B83" s="19" t="s">
        <v>34</v>
      </c>
      <c r="C83" s="198"/>
      <c r="D83" s="493">
        <f t="shared" si="6"/>
        <v>0</v>
      </c>
      <c r="E83" s="616">
        <v>0</v>
      </c>
      <c r="F83" s="484">
        <v>0</v>
      </c>
      <c r="G83" s="21">
        <f t="shared" si="1"/>
        <v>0</v>
      </c>
      <c r="H83" s="493">
        <f t="shared" si="7"/>
        <v>0</v>
      </c>
      <c r="I83" s="616">
        <v>0</v>
      </c>
      <c r="J83" s="484">
        <v>0</v>
      </c>
      <c r="K83" s="21">
        <f t="shared" si="3"/>
        <v>0</v>
      </c>
    </row>
    <row r="84" spans="1:11" x14ac:dyDescent="0.25">
      <c r="A84" s="1935" t="s">
        <v>183</v>
      </c>
      <c r="B84" s="19" t="s">
        <v>32</v>
      </c>
      <c r="C84" s="198"/>
      <c r="D84" s="493">
        <f t="shared" si="6"/>
        <v>0</v>
      </c>
      <c r="E84" s="616">
        <v>0</v>
      </c>
      <c r="F84" s="495">
        <v>0</v>
      </c>
      <c r="G84" s="21">
        <f t="shared" si="1"/>
        <v>0</v>
      </c>
      <c r="H84" s="493">
        <f t="shared" si="7"/>
        <v>0</v>
      </c>
      <c r="I84" s="616">
        <v>0</v>
      </c>
      <c r="J84" s="495">
        <v>0</v>
      </c>
      <c r="K84" s="21">
        <f t="shared" si="3"/>
        <v>0</v>
      </c>
    </row>
    <row r="85" spans="1:11" x14ac:dyDescent="0.25">
      <c r="A85" s="1935"/>
      <c r="B85" s="19" t="s">
        <v>33</v>
      </c>
      <c r="C85" s="198"/>
      <c r="D85" s="493">
        <f t="shared" si="6"/>
        <v>0</v>
      </c>
      <c r="E85" s="616">
        <v>0</v>
      </c>
      <c r="F85" s="623">
        <v>0</v>
      </c>
      <c r="G85" s="21">
        <f t="shared" si="1"/>
        <v>0</v>
      </c>
      <c r="H85" s="493">
        <f t="shared" si="7"/>
        <v>0</v>
      </c>
      <c r="I85" s="616">
        <v>0</v>
      </c>
      <c r="J85" s="623">
        <v>0</v>
      </c>
      <c r="K85" s="21">
        <f t="shared" si="3"/>
        <v>0</v>
      </c>
    </row>
    <row r="86" spans="1:11" ht="15.75" thickBot="1" x14ac:dyDescent="0.3">
      <c r="A86" s="1935"/>
      <c r="B86" s="13" t="s">
        <v>34</v>
      </c>
      <c r="C86" s="220"/>
      <c r="D86" s="504">
        <f t="shared" si="6"/>
        <v>0</v>
      </c>
      <c r="E86" s="709">
        <v>0</v>
      </c>
      <c r="F86" s="432">
        <v>0</v>
      </c>
      <c r="G86" s="77">
        <f t="shared" si="1"/>
        <v>0</v>
      </c>
      <c r="H86" s="504">
        <f t="shared" si="7"/>
        <v>0</v>
      </c>
      <c r="I86" s="709">
        <v>0</v>
      </c>
      <c r="J86" s="432">
        <v>0</v>
      </c>
      <c r="K86" s="77">
        <f t="shared" si="3"/>
        <v>0</v>
      </c>
    </row>
    <row r="87" spans="1:11" ht="16.5" thickBot="1" x14ac:dyDescent="0.3">
      <c r="A87" s="330" t="s">
        <v>22</v>
      </c>
      <c r="B87" s="329"/>
      <c r="C87" s="329"/>
      <c r="D87" s="329"/>
      <c r="E87" s="329"/>
      <c r="F87" s="327"/>
      <c r="G87" s="327"/>
      <c r="H87" s="329"/>
      <c r="I87" s="329"/>
      <c r="J87" s="327"/>
      <c r="K87" s="396"/>
    </row>
    <row r="88" spans="1:11" x14ac:dyDescent="0.25">
      <c r="A88" s="1932" t="s">
        <v>23</v>
      </c>
      <c r="B88" s="404" t="s">
        <v>32</v>
      </c>
      <c r="C88" s="324"/>
      <c r="D88" s="678">
        <v>0.25</v>
      </c>
      <c r="E88" s="710">
        <v>0</v>
      </c>
      <c r="F88" s="679">
        <v>0</v>
      </c>
      <c r="G88" s="230">
        <f t="shared" si="1"/>
        <v>0.25</v>
      </c>
      <c r="H88" s="678">
        <v>0.25</v>
      </c>
      <c r="I88" s="710">
        <v>0</v>
      </c>
      <c r="J88" s="679">
        <v>0</v>
      </c>
      <c r="K88" s="230">
        <f t="shared" ref="K88:K93" si="8" xml:space="preserve"> SUM(H88:J88) + $C88</f>
        <v>0.25</v>
      </c>
    </row>
    <row r="89" spans="1:11" x14ac:dyDescent="0.25">
      <c r="A89" s="1932"/>
      <c r="B89" s="19" t="s">
        <v>33</v>
      </c>
      <c r="C89" s="22"/>
      <c r="D89" s="625">
        <v>0.25</v>
      </c>
      <c r="E89" s="616">
        <v>0</v>
      </c>
      <c r="F89" s="623">
        <v>0</v>
      </c>
      <c r="G89" s="21">
        <f t="shared" si="1"/>
        <v>0.25</v>
      </c>
      <c r="H89" s="625">
        <v>0.25</v>
      </c>
      <c r="I89" s="616">
        <v>0</v>
      </c>
      <c r="J89" s="623">
        <v>0</v>
      </c>
      <c r="K89" s="21">
        <f t="shared" si="8"/>
        <v>0.25</v>
      </c>
    </row>
    <row r="90" spans="1:11" x14ac:dyDescent="0.25">
      <c r="A90" s="1932"/>
      <c r="B90" s="19" t="s">
        <v>34</v>
      </c>
      <c r="C90" s="22"/>
      <c r="D90" s="625">
        <v>0.25</v>
      </c>
      <c r="E90" s="616">
        <v>0</v>
      </c>
      <c r="F90" s="623">
        <v>0</v>
      </c>
      <c r="G90" s="21">
        <f t="shared" si="1"/>
        <v>0.25</v>
      </c>
      <c r="H90" s="625">
        <v>0.25</v>
      </c>
      <c r="I90" s="616">
        <v>0</v>
      </c>
      <c r="J90" s="623">
        <v>0</v>
      </c>
      <c r="K90" s="21">
        <f t="shared" si="8"/>
        <v>0.25</v>
      </c>
    </row>
    <row r="91" spans="1:11" x14ac:dyDescent="0.25">
      <c r="A91" s="1933" t="s">
        <v>24</v>
      </c>
      <c r="B91" s="19" t="s">
        <v>32</v>
      </c>
      <c r="C91" s="22"/>
      <c r="D91" s="640">
        <v>8</v>
      </c>
      <c r="E91" s="630">
        <f>4*E$3</f>
        <v>0</v>
      </c>
      <c r="F91" s="646">
        <v>0</v>
      </c>
      <c r="G91" s="21">
        <f t="shared" si="1"/>
        <v>8</v>
      </c>
      <c r="H91" s="640">
        <v>8</v>
      </c>
      <c r="I91" s="630">
        <f>4*I$3</f>
        <v>0</v>
      </c>
      <c r="J91" s="646">
        <v>0</v>
      </c>
      <c r="K91" s="21">
        <f t="shared" si="8"/>
        <v>8</v>
      </c>
    </row>
    <row r="92" spans="1:11" x14ac:dyDescent="0.25">
      <c r="A92" s="1933"/>
      <c r="B92" s="19" t="s">
        <v>33</v>
      </c>
      <c r="C92" s="22"/>
      <c r="D92" s="640">
        <v>12</v>
      </c>
      <c r="E92" s="630">
        <f>4*E$3</f>
        <v>0</v>
      </c>
      <c r="F92" s="646">
        <v>0</v>
      </c>
      <c r="G92" s="21">
        <f t="shared" si="1"/>
        <v>12</v>
      </c>
      <c r="H92" s="640">
        <v>12</v>
      </c>
      <c r="I92" s="630">
        <f>4*I$3</f>
        <v>0</v>
      </c>
      <c r="J92" s="646">
        <v>0</v>
      </c>
      <c r="K92" s="21">
        <f t="shared" si="8"/>
        <v>12</v>
      </c>
    </row>
    <row r="93" spans="1:11" x14ac:dyDescent="0.25">
      <c r="A93" s="1933"/>
      <c r="B93" s="19" t="s">
        <v>34</v>
      </c>
      <c r="C93" s="22"/>
      <c r="D93" s="640">
        <v>16</v>
      </c>
      <c r="E93" s="630">
        <f>4*E$3</f>
        <v>0</v>
      </c>
      <c r="F93" s="646">
        <v>0</v>
      </c>
      <c r="G93" s="21">
        <f t="shared" si="1"/>
        <v>16</v>
      </c>
      <c r="H93" s="640">
        <v>16</v>
      </c>
      <c r="I93" s="630">
        <f>4*I$3</f>
        <v>0</v>
      </c>
      <c r="J93" s="646">
        <v>0</v>
      </c>
      <c r="K93" s="21">
        <f t="shared" si="8"/>
        <v>16</v>
      </c>
    </row>
    <row r="94" spans="1:11" x14ac:dyDescent="0.25">
      <c r="A94" s="1933" t="s">
        <v>25</v>
      </c>
      <c r="B94" s="19" t="s">
        <v>32</v>
      </c>
      <c r="C94" s="22"/>
      <c r="D94" s="640">
        <v>2</v>
      </c>
      <c r="E94" s="623">
        <v>0</v>
      </c>
      <c r="F94" s="646">
        <v>0</v>
      </c>
      <c r="G94" s="21">
        <f t="shared" ref="G94:G105" si="9" xml:space="preserve"> SUM(D94:F94) + $C94</f>
        <v>2</v>
      </c>
      <c r="H94" s="640">
        <v>2</v>
      </c>
      <c r="I94" s="623">
        <v>0</v>
      </c>
      <c r="J94" s="646">
        <v>0</v>
      </c>
      <c r="K94" s="21">
        <f t="shared" ref="K94:K105" si="10" xml:space="preserve"> SUM(H94:J94) + $C94</f>
        <v>2</v>
      </c>
    </row>
    <row r="95" spans="1:11" x14ac:dyDescent="0.25">
      <c r="A95" s="1933"/>
      <c r="B95" s="19" t="s">
        <v>33</v>
      </c>
      <c r="C95" s="22"/>
      <c r="D95" s="640">
        <v>4</v>
      </c>
      <c r="E95" s="623">
        <v>0</v>
      </c>
      <c r="F95" s="646">
        <v>0</v>
      </c>
      <c r="G95" s="21">
        <f t="shared" si="9"/>
        <v>4</v>
      </c>
      <c r="H95" s="640">
        <v>4</v>
      </c>
      <c r="I95" s="623">
        <v>0</v>
      </c>
      <c r="J95" s="646">
        <v>0</v>
      </c>
      <c r="K95" s="21">
        <f t="shared" si="10"/>
        <v>4</v>
      </c>
    </row>
    <row r="96" spans="1:11" x14ac:dyDescent="0.25">
      <c r="A96" s="1933"/>
      <c r="B96" s="19" t="s">
        <v>34</v>
      </c>
      <c r="C96" s="22"/>
      <c r="D96" s="640">
        <v>6</v>
      </c>
      <c r="E96" s="623">
        <v>0</v>
      </c>
      <c r="F96" s="646">
        <v>0</v>
      </c>
      <c r="G96" s="21">
        <f t="shared" si="9"/>
        <v>6</v>
      </c>
      <c r="H96" s="640">
        <v>6</v>
      </c>
      <c r="I96" s="623">
        <v>0</v>
      </c>
      <c r="J96" s="646">
        <v>0</v>
      </c>
      <c r="K96" s="21">
        <f t="shared" si="10"/>
        <v>6</v>
      </c>
    </row>
    <row r="97" spans="1:11" x14ac:dyDescent="0.25">
      <c r="A97" s="1933" t="s">
        <v>26</v>
      </c>
      <c r="B97" s="19" t="s">
        <v>32</v>
      </c>
      <c r="C97" s="22"/>
      <c r="D97" s="640">
        <v>14</v>
      </c>
      <c r="E97" s="674">
        <f>E$3*2</f>
        <v>0</v>
      </c>
      <c r="F97" s="646">
        <v>0</v>
      </c>
      <c r="G97" s="21">
        <f t="shared" si="9"/>
        <v>14</v>
      </c>
      <c r="H97" s="640">
        <v>14</v>
      </c>
      <c r="I97" s="674">
        <f>I$3*2</f>
        <v>0</v>
      </c>
      <c r="J97" s="646">
        <v>0</v>
      </c>
      <c r="K97" s="21">
        <f t="shared" si="10"/>
        <v>14</v>
      </c>
    </row>
    <row r="98" spans="1:11" x14ac:dyDescent="0.25">
      <c r="A98" s="1933"/>
      <c r="B98" s="19" t="s">
        <v>33</v>
      </c>
      <c r="C98" s="22"/>
      <c r="D98" s="640">
        <v>26</v>
      </c>
      <c r="E98" s="674">
        <f>E$3*2.5</f>
        <v>0</v>
      </c>
      <c r="F98" s="646">
        <v>0</v>
      </c>
      <c r="G98" s="21">
        <f t="shared" si="9"/>
        <v>26</v>
      </c>
      <c r="H98" s="640">
        <v>26</v>
      </c>
      <c r="I98" s="674">
        <f>I$3*2.5</f>
        <v>0</v>
      </c>
      <c r="J98" s="646">
        <v>0</v>
      </c>
      <c r="K98" s="21">
        <f t="shared" si="10"/>
        <v>26</v>
      </c>
    </row>
    <row r="99" spans="1:11" x14ac:dyDescent="0.25">
      <c r="A99" s="1933"/>
      <c r="B99" s="19" t="s">
        <v>34</v>
      </c>
      <c r="C99" s="22"/>
      <c r="D99" s="640">
        <v>34</v>
      </c>
      <c r="E99" s="674">
        <f>E$3*3</f>
        <v>0</v>
      </c>
      <c r="F99" s="646">
        <v>0</v>
      </c>
      <c r="G99" s="21">
        <f t="shared" si="9"/>
        <v>34</v>
      </c>
      <c r="H99" s="640">
        <v>34</v>
      </c>
      <c r="I99" s="674">
        <f>I$3*3</f>
        <v>0</v>
      </c>
      <c r="J99" s="646">
        <v>0</v>
      </c>
      <c r="K99" s="21">
        <f t="shared" si="10"/>
        <v>34</v>
      </c>
    </row>
    <row r="100" spans="1:11" x14ac:dyDescent="0.25">
      <c r="A100" s="1933" t="s">
        <v>27</v>
      </c>
      <c r="B100" s="19" t="s">
        <v>32</v>
      </c>
      <c r="C100" s="22"/>
      <c r="D100" s="640">
        <v>8</v>
      </c>
      <c r="E100" s="674">
        <f>E$3*2</f>
        <v>0</v>
      </c>
      <c r="F100" s="646">
        <v>0</v>
      </c>
      <c r="G100" s="21">
        <f t="shared" si="9"/>
        <v>8</v>
      </c>
      <c r="H100" s="640">
        <v>8</v>
      </c>
      <c r="I100" s="674">
        <f>I$3*2</f>
        <v>0</v>
      </c>
      <c r="J100" s="646">
        <v>0</v>
      </c>
      <c r="K100" s="21">
        <f t="shared" si="10"/>
        <v>8</v>
      </c>
    </row>
    <row r="101" spans="1:11" x14ac:dyDescent="0.25">
      <c r="A101" s="1933"/>
      <c r="B101" s="19" t="s">
        <v>33</v>
      </c>
      <c r="C101" s="22"/>
      <c r="D101" s="640">
        <v>10</v>
      </c>
      <c r="E101" s="674">
        <f>E$3*2.5</f>
        <v>0</v>
      </c>
      <c r="F101" s="646">
        <v>0</v>
      </c>
      <c r="G101" s="21">
        <f t="shared" si="9"/>
        <v>10</v>
      </c>
      <c r="H101" s="640">
        <v>10</v>
      </c>
      <c r="I101" s="674">
        <f>I$3*2.5</f>
        <v>0</v>
      </c>
      <c r="J101" s="646">
        <v>0</v>
      </c>
      <c r="K101" s="21">
        <f t="shared" si="10"/>
        <v>10</v>
      </c>
    </row>
    <row r="102" spans="1:11" x14ac:dyDescent="0.25">
      <c r="A102" s="1933"/>
      <c r="B102" s="19" t="s">
        <v>34</v>
      </c>
      <c r="C102" s="22"/>
      <c r="D102" s="640">
        <v>14</v>
      </c>
      <c r="E102" s="674">
        <f>E$3*3</f>
        <v>0</v>
      </c>
      <c r="F102" s="646">
        <v>0</v>
      </c>
      <c r="G102" s="21">
        <f t="shared" si="9"/>
        <v>14</v>
      </c>
      <c r="H102" s="640">
        <v>14</v>
      </c>
      <c r="I102" s="674">
        <f>I$3*3</f>
        <v>0</v>
      </c>
      <c r="J102" s="646">
        <v>0</v>
      </c>
      <c r="K102" s="21">
        <f t="shared" si="10"/>
        <v>14</v>
      </c>
    </row>
    <row r="103" spans="1:11" x14ac:dyDescent="0.25">
      <c r="A103" s="1932" t="s">
        <v>28</v>
      </c>
      <c r="B103" s="19" t="s">
        <v>32</v>
      </c>
      <c r="C103" s="22"/>
      <c r="D103" s="640">
        <v>4</v>
      </c>
      <c r="E103" s="628">
        <f>0.5*E$3</f>
        <v>0</v>
      </c>
      <c r="F103" s="646">
        <v>0</v>
      </c>
      <c r="G103" s="21">
        <f t="shared" si="9"/>
        <v>4</v>
      </c>
      <c r="H103" s="640">
        <v>4</v>
      </c>
      <c r="I103" s="628">
        <f>0.5*I$3</f>
        <v>0</v>
      </c>
      <c r="J103" s="646">
        <v>0</v>
      </c>
      <c r="K103" s="21">
        <f t="shared" si="10"/>
        <v>4</v>
      </c>
    </row>
    <row r="104" spans="1:11" x14ac:dyDescent="0.25">
      <c r="A104" s="1932"/>
      <c r="B104" s="19" t="s">
        <v>33</v>
      </c>
      <c r="C104" s="22"/>
      <c r="D104" s="640">
        <v>6</v>
      </c>
      <c r="E104" s="628">
        <f>0.5*E$3</f>
        <v>0</v>
      </c>
      <c r="F104" s="646">
        <v>0</v>
      </c>
      <c r="G104" s="21">
        <f t="shared" si="9"/>
        <v>6</v>
      </c>
      <c r="H104" s="640">
        <v>6</v>
      </c>
      <c r="I104" s="628">
        <f>0.5*I$3</f>
        <v>0</v>
      </c>
      <c r="J104" s="646">
        <v>0</v>
      </c>
      <c r="K104" s="21">
        <f t="shared" si="10"/>
        <v>6</v>
      </c>
    </row>
    <row r="105" spans="1:11" ht="15.75" thickBot="1" x14ac:dyDescent="0.3">
      <c r="A105" s="1934"/>
      <c r="B105" s="20" t="s">
        <v>34</v>
      </c>
      <c r="C105" s="23"/>
      <c r="D105" s="649">
        <v>8</v>
      </c>
      <c r="E105" s="657">
        <f>0.5*E$3</f>
        <v>0</v>
      </c>
      <c r="F105" s="197">
        <v>0</v>
      </c>
      <c r="G105" s="24">
        <f t="shared" si="9"/>
        <v>8</v>
      </c>
      <c r="H105" s="649">
        <v>8</v>
      </c>
      <c r="I105" s="657">
        <f>0.5*I$3</f>
        <v>0</v>
      </c>
      <c r="J105" s="197">
        <v>0</v>
      </c>
      <c r="K105" s="24">
        <f t="shared" si="10"/>
        <v>8</v>
      </c>
    </row>
    <row r="107" spans="1:11" x14ac:dyDescent="0.25">
      <c r="A107" s="125" t="s">
        <v>89</v>
      </c>
    </row>
  </sheetData>
  <mergeCells count="37">
    <mergeCell ref="A100:A102"/>
    <mergeCell ref="A103:A105"/>
    <mergeCell ref="A81:A83"/>
    <mergeCell ref="A84:A86"/>
    <mergeCell ref="A88:A90"/>
    <mergeCell ref="A91:A93"/>
    <mergeCell ref="A94:A96"/>
    <mergeCell ref="A97:A99"/>
    <mergeCell ref="A78:A80"/>
    <mergeCell ref="A31:A33"/>
    <mergeCell ref="A34:A36"/>
    <mergeCell ref="A38:A40"/>
    <mergeCell ref="A42:A44"/>
    <mergeCell ref="A45:A47"/>
    <mergeCell ref="A48:A50"/>
    <mergeCell ref="A51:A53"/>
    <mergeCell ref="A54:A56"/>
    <mergeCell ref="A57:A59"/>
    <mergeCell ref="A60:A62"/>
    <mergeCell ref="A75:A77"/>
    <mergeCell ref="A63:A65"/>
    <mergeCell ref="A66:A68"/>
    <mergeCell ref="A69:A71"/>
    <mergeCell ref="A72:A74"/>
    <mergeCell ref="A28:A30"/>
    <mergeCell ref="D1:G1"/>
    <mergeCell ref="H1:K1"/>
    <mergeCell ref="C2:C3"/>
    <mergeCell ref="G2:G3"/>
    <mergeCell ref="K2:K3"/>
    <mergeCell ref="A8:A10"/>
    <mergeCell ref="A12:A14"/>
    <mergeCell ref="A16:A18"/>
    <mergeCell ref="A19:A21"/>
    <mergeCell ref="A22:A24"/>
    <mergeCell ref="A25:A27"/>
    <mergeCell ref="A5:A7"/>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Лист15"/>
  <dimension ref="A1:K107"/>
  <sheetViews>
    <sheetView zoomScale="70" zoomScaleNormal="70" workbookViewId="0">
      <selection activeCell="H116" sqref="H116"/>
    </sheetView>
  </sheetViews>
  <sheetFormatPr defaultRowHeight="15" x14ac:dyDescent="0.25"/>
  <cols>
    <col min="1" max="1" width="53.42578125" bestFit="1" customWidth="1"/>
    <col min="2" max="2" width="23.5703125" bestFit="1" customWidth="1"/>
    <col min="4" max="5" width="31.28515625" bestFit="1" customWidth="1"/>
    <col min="6" max="6" width="32.28515625" bestFit="1" customWidth="1"/>
    <col min="8" max="9" width="31.28515625" bestFit="1" customWidth="1"/>
    <col min="10" max="10" width="32.28515625" bestFit="1" customWidth="1"/>
  </cols>
  <sheetData>
    <row r="1" spans="1:11" ht="16.5" thickBot="1" x14ac:dyDescent="0.3">
      <c r="A1" s="465" t="s">
        <v>91</v>
      </c>
      <c r="B1" s="35"/>
      <c r="C1" s="43"/>
      <c r="D1" s="1939" t="str">
        <f>'Служебный АСУТП'!V2</f>
        <v>ViPNet TLS Gateway</v>
      </c>
      <c r="E1" s="1940"/>
      <c r="F1" s="1940"/>
      <c r="G1" s="1941"/>
      <c r="H1" s="1939" t="str">
        <f>'Служебный АСУТП'!V3</f>
        <v>Континент TLS</v>
      </c>
      <c r="I1" s="1940"/>
      <c r="J1" s="1940"/>
      <c r="K1" s="1941"/>
    </row>
    <row r="2" spans="1:11" ht="15.75" x14ac:dyDescent="0.25">
      <c r="B2" s="41" t="s">
        <v>37</v>
      </c>
      <c r="C2" s="1945" t="s">
        <v>35</v>
      </c>
      <c r="D2" s="451" t="s">
        <v>599</v>
      </c>
      <c r="E2" s="191" t="s">
        <v>438</v>
      </c>
      <c r="F2" s="191" t="s">
        <v>439</v>
      </c>
      <c r="G2" s="1942" t="s">
        <v>38</v>
      </c>
      <c r="H2" s="451" t="s">
        <v>599</v>
      </c>
      <c r="I2" s="645" t="s">
        <v>438</v>
      </c>
      <c r="J2" s="645" t="s">
        <v>439</v>
      </c>
      <c r="K2" s="1942" t="s">
        <v>38</v>
      </c>
    </row>
    <row r="3" spans="1:11" ht="16.5" thickBot="1" x14ac:dyDescent="0.3">
      <c r="A3" s="12" t="s">
        <v>36</v>
      </c>
      <c r="B3" s="295">
        <f>ТрЗ_ОП!F5</f>
        <v>1</v>
      </c>
      <c r="C3" s="2322"/>
      <c r="D3" s="37">
        <f>INDEX(ТрЗ_ОП!$P$11:$P$102,MATCH(D2,ТрЗ_ОП!$O$11:$O$102,0))</f>
        <v>0</v>
      </c>
      <c r="E3" s="37">
        <f>INDEX(ТрЗ_ОП!$P$11:$P$102,MATCH(E2,ТрЗ_ОП!$O$11:$O$102,0))</f>
        <v>0</v>
      </c>
      <c r="F3" s="37">
        <f>INDEX(ТрЗ_ОП!$P$11:$P$102,MATCH(F2,ТрЗ_ОП!$O$11:$O$102,0))</f>
        <v>0</v>
      </c>
      <c r="G3" s="1976"/>
      <c r="H3" s="37">
        <f>INDEX(ТрЗ_ОП!$P$11:$P$102,MATCH(H2,ТрЗ_ОП!$O$11:$O$102,0))</f>
        <v>0</v>
      </c>
      <c r="I3" s="37">
        <f>INDEX(ТрЗ_ОП!$P$11:$P$102,MATCH(I2,ТрЗ_ОП!$O$11:$O$102,0))</f>
        <v>0</v>
      </c>
      <c r="J3" s="37">
        <f>INDEX(ТрЗ_ОП!$P$11:$P$102,MATCH(J2,ТрЗ_ОП!$O$11:$O$102,0))</f>
        <v>0</v>
      </c>
      <c r="K3" s="1976"/>
    </row>
    <row r="4" spans="1:11" ht="16.5" thickBot="1" x14ac:dyDescent="0.3">
      <c r="A4" s="441" t="s">
        <v>448</v>
      </c>
      <c r="B4" s="442"/>
      <c r="C4" s="442"/>
      <c r="D4" s="442"/>
      <c r="E4" s="442"/>
      <c r="F4" s="442"/>
      <c r="G4" s="442"/>
      <c r="H4" s="442"/>
      <c r="I4" s="442"/>
      <c r="J4" s="442"/>
      <c r="K4" s="443"/>
    </row>
    <row r="5" spans="1:11" x14ac:dyDescent="0.25">
      <c r="A5" s="1986" t="s">
        <v>0</v>
      </c>
      <c r="B5" s="135" t="s">
        <v>32</v>
      </c>
      <c r="C5" s="324"/>
      <c r="D5" s="447">
        <v>8</v>
      </c>
      <c r="E5" s="661">
        <v>0.5</v>
      </c>
      <c r="F5" s="661">
        <v>0</v>
      </c>
      <c r="G5" s="230">
        <f xml:space="preserve"> SUM(D5:F5) + $C5</f>
        <v>8.5</v>
      </c>
      <c r="H5" s="405">
        <v>8</v>
      </c>
      <c r="I5" s="405">
        <v>0.5</v>
      </c>
      <c r="J5" s="405">
        <v>0</v>
      </c>
      <c r="K5" s="230">
        <f t="shared" ref="K5:K10" si="0" xml:space="preserve"> SUM(H5:J5) + $C5</f>
        <v>8.5</v>
      </c>
    </row>
    <row r="6" spans="1:11" x14ac:dyDescent="0.25">
      <c r="A6" s="1933"/>
      <c r="B6" s="129" t="s">
        <v>33</v>
      </c>
      <c r="C6" s="22"/>
      <c r="D6" s="446">
        <v>10</v>
      </c>
      <c r="E6" s="615">
        <v>0.5</v>
      </c>
      <c r="F6" s="615">
        <v>0</v>
      </c>
      <c r="G6" s="21">
        <f xml:space="preserve"> SUM(D6:F6) + $C6</f>
        <v>10.5</v>
      </c>
      <c r="H6" s="11">
        <v>10</v>
      </c>
      <c r="I6" s="11">
        <v>0.5</v>
      </c>
      <c r="J6" s="11">
        <v>0</v>
      </c>
      <c r="K6" s="21">
        <f t="shared" si="0"/>
        <v>10.5</v>
      </c>
    </row>
    <row r="7" spans="1:11" x14ac:dyDescent="0.25">
      <c r="A7" s="1933"/>
      <c r="B7" s="129" t="s">
        <v>34</v>
      </c>
      <c r="C7" s="22"/>
      <c r="D7" s="446">
        <v>12</v>
      </c>
      <c r="E7" s="615">
        <v>0.5</v>
      </c>
      <c r="F7" s="615">
        <v>0</v>
      </c>
      <c r="G7" s="21">
        <f xml:space="preserve"> SUM(D7:F7) + $C7</f>
        <v>12.5</v>
      </c>
      <c r="H7" s="11">
        <v>12</v>
      </c>
      <c r="I7" s="11">
        <v>0.5</v>
      </c>
      <c r="J7" s="11">
        <v>0</v>
      </c>
      <c r="K7" s="21">
        <f t="shared" si="0"/>
        <v>12.5</v>
      </c>
    </row>
    <row r="8" spans="1:11" x14ac:dyDescent="0.25">
      <c r="A8" s="1932" t="s">
        <v>449</v>
      </c>
      <c r="B8" s="404" t="s">
        <v>32</v>
      </c>
      <c r="C8" s="324"/>
      <c r="D8" s="615">
        <v>8</v>
      </c>
      <c r="E8" s="615">
        <v>0.5</v>
      </c>
      <c r="F8" s="615">
        <v>0</v>
      </c>
      <c r="G8" s="21">
        <f xml:space="preserve"> SUM(D8:F8) + $C8</f>
        <v>8.5</v>
      </c>
      <c r="H8" s="11">
        <v>8</v>
      </c>
      <c r="I8" s="11">
        <v>0.5</v>
      </c>
      <c r="J8" s="11">
        <v>0</v>
      </c>
      <c r="K8" s="21">
        <f t="shared" si="0"/>
        <v>8.5</v>
      </c>
    </row>
    <row r="9" spans="1:11" x14ac:dyDescent="0.25">
      <c r="A9" s="1932"/>
      <c r="B9" s="19" t="s">
        <v>33</v>
      </c>
      <c r="C9" s="22"/>
      <c r="D9" s="615">
        <v>10</v>
      </c>
      <c r="E9" s="615">
        <v>0.5</v>
      </c>
      <c r="F9" s="615">
        <v>0</v>
      </c>
      <c r="G9" s="21">
        <f t="shared" ref="G9:G93" si="1" xml:space="preserve"> SUM(D9:F9) + $C9</f>
        <v>10.5</v>
      </c>
      <c r="H9" s="11">
        <v>10</v>
      </c>
      <c r="I9" s="11">
        <v>0.5</v>
      </c>
      <c r="J9" s="11">
        <v>0</v>
      </c>
      <c r="K9" s="21">
        <f t="shared" si="0"/>
        <v>10.5</v>
      </c>
    </row>
    <row r="10" spans="1:11" ht="15.75" thickBot="1" x14ac:dyDescent="0.3">
      <c r="A10" s="1934"/>
      <c r="B10" s="20" t="s">
        <v>34</v>
      </c>
      <c r="C10" s="23"/>
      <c r="D10" s="615">
        <v>12</v>
      </c>
      <c r="E10" s="615">
        <v>0.5</v>
      </c>
      <c r="F10" s="615">
        <v>0</v>
      </c>
      <c r="G10" s="21">
        <f t="shared" si="1"/>
        <v>12.5</v>
      </c>
      <c r="H10" s="11">
        <v>12</v>
      </c>
      <c r="I10" s="11">
        <v>0.5</v>
      </c>
      <c r="J10" s="11">
        <v>0</v>
      </c>
      <c r="K10" s="21">
        <f t="shared" si="0"/>
        <v>12.5</v>
      </c>
    </row>
    <row r="11" spans="1:11" ht="16.5" thickBot="1" x14ac:dyDescent="0.3">
      <c r="A11" s="441" t="s">
        <v>1</v>
      </c>
      <c r="B11" s="442"/>
      <c r="C11" s="442"/>
      <c r="D11" s="442"/>
      <c r="E11" s="442"/>
      <c r="F11" s="442"/>
      <c r="G11" s="442"/>
      <c r="H11" s="442"/>
      <c r="I11" s="442"/>
      <c r="J11" s="442"/>
      <c r="K11" s="443"/>
    </row>
    <row r="12" spans="1:11" x14ac:dyDescent="0.25">
      <c r="A12" s="1932" t="s">
        <v>2</v>
      </c>
      <c r="B12" s="404" t="s">
        <v>32</v>
      </c>
      <c r="C12" s="324"/>
      <c r="D12" s="661">
        <v>8</v>
      </c>
      <c r="E12" s="674">
        <f>2*E$3</f>
        <v>0</v>
      </c>
      <c r="F12" s="690">
        <v>0</v>
      </c>
      <c r="G12" s="230">
        <f t="shared" si="1"/>
        <v>8</v>
      </c>
      <c r="H12" s="661">
        <v>8</v>
      </c>
      <c r="I12" s="674">
        <f>2*I$3</f>
        <v>0</v>
      </c>
      <c r="J12" s="690">
        <v>0</v>
      </c>
      <c r="K12" s="230">
        <f xml:space="preserve"> SUM(H12:J12) + $C12</f>
        <v>8</v>
      </c>
    </row>
    <row r="13" spans="1:11" x14ac:dyDescent="0.25">
      <c r="A13" s="1932"/>
      <c r="B13" s="19" t="s">
        <v>33</v>
      </c>
      <c r="C13" s="22"/>
      <c r="D13" s="615">
        <v>12</v>
      </c>
      <c r="E13" s="630">
        <f>2*E$3</f>
        <v>0</v>
      </c>
      <c r="F13" s="690">
        <v>0</v>
      </c>
      <c r="G13" s="21">
        <f t="shared" si="1"/>
        <v>12</v>
      </c>
      <c r="H13" s="615">
        <v>12</v>
      </c>
      <c r="I13" s="630">
        <f>2*I$3</f>
        <v>0</v>
      </c>
      <c r="J13" s="690">
        <v>0</v>
      </c>
      <c r="K13" s="21">
        <f xml:space="preserve"> SUM(H13:J13) + $C13</f>
        <v>12</v>
      </c>
    </row>
    <row r="14" spans="1:11" ht="15.75" thickBot="1" x14ac:dyDescent="0.3">
      <c r="A14" s="1932"/>
      <c r="B14" s="13" t="s">
        <v>34</v>
      </c>
      <c r="C14" s="34"/>
      <c r="D14" s="673">
        <v>16</v>
      </c>
      <c r="E14" s="675">
        <f>2*E$3</f>
        <v>0</v>
      </c>
      <c r="F14" s="690">
        <v>0</v>
      </c>
      <c r="G14" s="77">
        <f t="shared" si="1"/>
        <v>16</v>
      </c>
      <c r="H14" s="673">
        <v>16</v>
      </c>
      <c r="I14" s="675">
        <f>2*I$3</f>
        <v>0</v>
      </c>
      <c r="J14" s="690">
        <v>0</v>
      </c>
      <c r="K14" s="77">
        <f xml:space="preserve"> SUM(H14:J14) + $C14</f>
        <v>16</v>
      </c>
    </row>
    <row r="15" spans="1:11" ht="16.5" thickBot="1" x14ac:dyDescent="0.3">
      <c r="A15" s="330" t="s">
        <v>3</v>
      </c>
      <c r="B15" s="329"/>
      <c r="C15" s="329"/>
      <c r="D15" s="329"/>
      <c r="E15" s="329"/>
      <c r="F15" s="327"/>
      <c r="G15" s="327"/>
      <c r="H15" s="329"/>
      <c r="I15" s="329"/>
      <c r="J15" s="327"/>
      <c r="K15" s="396"/>
    </row>
    <row r="16" spans="1:11" x14ac:dyDescent="0.25">
      <c r="A16" s="1944" t="s">
        <v>4</v>
      </c>
      <c r="B16" s="325" t="s">
        <v>32</v>
      </c>
      <c r="C16" s="324"/>
      <c r="D16" s="427">
        <v>0.25</v>
      </c>
      <c r="E16" s="713">
        <v>0</v>
      </c>
      <c r="F16" s="679">
        <v>0</v>
      </c>
      <c r="G16" s="230">
        <f t="shared" si="1"/>
        <v>0.25</v>
      </c>
      <c r="H16" s="678">
        <v>0.25</v>
      </c>
      <c r="I16" s="713">
        <v>0</v>
      </c>
      <c r="J16" s="679">
        <v>0</v>
      </c>
      <c r="K16" s="230">
        <f t="shared" ref="K16:K36" si="2" xml:space="preserve"> SUM(H16:J16) + $C16</f>
        <v>0.25</v>
      </c>
    </row>
    <row r="17" spans="1:11" x14ac:dyDescent="0.25">
      <c r="A17" s="1937"/>
      <c r="B17" s="18" t="s">
        <v>33</v>
      </c>
      <c r="C17" s="22"/>
      <c r="D17" s="678">
        <v>0.25</v>
      </c>
      <c r="E17" s="616">
        <v>0</v>
      </c>
      <c r="F17" s="623">
        <v>0</v>
      </c>
      <c r="G17" s="21">
        <f t="shared" si="1"/>
        <v>0.25</v>
      </c>
      <c r="H17" s="678">
        <v>0.25</v>
      </c>
      <c r="I17" s="616">
        <v>0</v>
      </c>
      <c r="J17" s="623">
        <v>0</v>
      </c>
      <c r="K17" s="21">
        <f t="shared" si="2"/>
        <v>0.25</v>
      </c>
    </row>
    <row r="18" spans="1:11" x14ac:dyDescent="0.25">
      <c r="A18" s="1937"/>
      <c r="B18" s="18" t="s">
        <v>34</v>
      </c>
      <c r="C18" s="22"/>
      <c r="D18" s="678">
        <v>0.25</v>
      </c>
      <c r="E18" s="616">
        <v>0</v>
      </c>
      <c r="F18" s="623">
        <v>0</v>
      </c>
      <c r="G18" s="21">
        <f t="shared" si="1"/>
        <v>0.25</v>
      </c>
      <c r="H18" s="678">
        <v>0.25</v>
      </c>
      <c r="I18" s="616">
        <v>0</v>
      </c>
      <c r="J18" s="623">
        <v>0</v>
      </c>
      <c r="K18" s="21">
        <f t="shared" si="2"/>
        <v>0.25</v>
      </c>
    </row>
    <row r="19" spans="1:11" x14ac:dyDescent="0.25">
      <c r="A19" s="1937" t="s">
        <v>5</v>
      </c>
      <c r="B19" s="19" t="s">
        <v>32</v>
      </c>
      <c r="C19" s="22"/>
      <c r="D19" s="38">
        <v>1</v>
      </c>
      <c r="E19" s="616">
        <v>0</v>
      </c>
      <c r="F19" s="623">
        <v>0</v>
      </c>
      <c r="G19" s="21">
        <f t="shared" si="1"/>
        <v>1</v>
      </c>
      <c r="H19" s="625">
        <v>1</v>
      </c>
      <c r="I19" s="616">
        <v>0</v>
      </c>
      <c r="J19" s="623">
        <v>0</v>
      </c>
      <c r="K19" s="21">
        <f t="shared" si="2"/>
        <v>1</v>
      </c>
    </row>
    <row r="20" spans="1:11" x14ac:dyDescent="0.25">
      <c r="A20" s="1937"/>
      <c r="B20" s="19" t="s">
        <v>33</v>
      </c>
      <c r="C20" s="22"/>
      <c r="D20" s="38">
        <v>2</v>
      </c>
      <c r="E20" s="616">
        <v>0</v>
      </c>
      <c r="F20" s="623">
        <v>0</v>
      </c>
      <c r="G20" s="21">
        <f t="shared" si="1"/>
        <v>2</v>
      </c>
      <c r="H20" s="625">
        <v>2</v>
      </c>
      <c r="I20" s="616">
        <v>0</v>
      </c>
      <c r="J20" s="623">
        <v>0</v>
      </c>
      <c r="K20" s="21">
        <f t="shared" si="2"/>
        <v>2</v>
      </c>
    </row>
    <row r="21" spans="1:11" x14ac:dyDescent="0.25">
      <c r="A21" s="1937"/>
      <c r="B21" s="19" t="s">
        <v>34</v>
      </c>
      <c r="C21" s="22"/>
      <c r="D21" s="38">
        <v>3</v>
      </c>
      <c r="E21" s="616">
        <v>0</v>
      </c>
      <c r="F21" s="623">
        <v>0</v>
      </c>
      <c r="G21" s="21">
        <f t="shared" si="1"/>
        <v>3</v>
      </c>
      <c r="H21" s="625">
        <v>3</v>
      </c>
      <c r="I21" s="616">
        <v>0</v>
      </c>
      <c r="J21" s="623">
        <v>0</v>
      </c>
      <c r="K21" s="21">
        <f t="shared" si="2"/>
        <v>3</v>
      </c>
    </row>
    <row r="22" spans="1:11" x14ac:dyDescent="0.25">
      <c r="A22" s="1937" t="s">
        <v>6</v>
      </c>
      <c r="B22" s="19" t="s">
        <v>32</v>
      </c>
      <c r="C22" s="22"/>
      <c r="D22" s="615">
        <v>24</v>
      </c>
      <c r="E22" s="630">
        <f>1*E$3</f>
        <v>0</v>
      </c>
      <c r="F22" s="615">
        <v>0</v>
      </c>
      <c r="G22" s="21">
        <f t="shared" si="1"/>
        <v>24</v>
      </c>
      <c r="H22" s="615">
        <v>24</v>
      </c>
      <c r="I22" s="630">
        <f>1*I$3</f>
        <v>0</v>
      </c>
      <c r="J22" s="615">
        <v>0</v>
      </c>
      <c r="K22" s="21">
        <f t="shared" si="2"/>
        <v>24</v>
      </c>
    </row>
    <row r="23" spans="1:11" x14ac:dyDescent="0.25">
      <c r="A23" s="1937"/>
      <c r="B23" s="19" t="s">
        <v>33</v>
      </c>
      <c r="C23" s="22"/>
      <c r="D23" s="615">
        <v>32</v>
      </c>
      <c r="E23" s="630">
        <f>2*E$3</f>
        <v>0</v>
      </c>
      <c r="F23" s="615">
        <v>0</v>
      </c>
      <c r="G23" s="21">
        <f t="shared" si="1"/>
        <v>32</v>
      </c>
      <c r="H23" s="615">
        <v>32</v>
      </c>
      <c r="I23" s="630">
        <f>2*I$3</f>
        <v>0</v>
      </c>
      <c r="J23" s="615">
        <v>0</v>
      </c>
      <c r="K23" s="21">
        <f t="shared" si="2"/>
        <v>32</v>
      </c>
    </row>
    <row r="24" spans="1:11" x14ac:dyDescent="0.25">
      <c r="A24" s="1937"/>
      <c r="B24" s="19" t="s">
        <v>34</v>
      </c>
      <c r="C24" s="22"/>
      <c r="D24" s="615">
        <v>40</v>
      </c>
      <c r="E24" s="630">
        <f>3*E$3</f>
        <v>0</v>
      </c>
      <c r="F24" s="615">
        <v>0</v>
      </c>
      <c r="G24" s="21">
        <f t="shared" si="1"/>
        <v>40</v>
      </c>
      <c r="H24" s="615">
        <v>40</v>
      </c>
      <c r="I24" s="630">
        <f>3*I$3</f>
        <v>0</v>
      </c>
      <c r="J24" s="615">
        <v>0</v>
      </c>
      <c r="K24" s="21">
        <f t="shared" si="2"/>
        <v>40</v>
      </c>
    </row>
    <row r="25" spans="1:11" x14ac:dyDescent="0.25">
      <c r="A25" s="1937" t="s">
        <v>7</v>
      </c>
      <c r="B25" s="19" t="s">
        <v>32</v>
      </c>
      <c r="C25" s="22"/>
      <c r="D25" s="38">
        <v>4</v>
      </c>
      <c r="E25" s="616">
        <v>0</v>
      </c>
      <c r="F25" s="623">
        <v>0</v>
      </c>
      <c r="G25" s="21">
        <f t="shared" si="1"/>
        <v>4</v>
      </c>
      <c r="H25" s="625">
        <v>4</v>
      </c>
      <c r="I25" s="616">
        <v>0</v>
      </c>
      <c r="J25" s="623">
        <v>0</v>
      </c>
      <c r="K25" s="21">
        <f t="shared" si="2"/>
        <v>4</v>
      </c>
    </row>
    <row r="26" spans="1:11" x14ac:dyDescent="0.25">
      <c r="A26" s="1937"/>
      <c r="B26" s="19" t="s">
        <v>33</v>
      </c>
      <c r="C26" s="22"/>
      <c r="D26" s="38">
        <v>6</v>
      </c>
      <c r="E26" s="616">
        <v>0</v>
      </c>
      <c r="F26" s="623">
        <v>0</v>
      </c>
      <c r="G26" s="21">
        <f t="shared" si="1"/>
        <v>6</v>
      </c>
      <c r="H26" s="625">
        <v>6</v>
      </c>
      <c r="I26" s="616">
        <v>0</v>
      </c>
      <c r="J26" s="623">
        <v>0</v>
      </c>
      <c r="K26" s="21">
        <f t="shared" si="2"/>
        <v>6</v>
      </c>
    </row>
    <row r="27" spans="1:11" x14ac:dyDescent="0.25">
      <c r="A27" s="1937"/>
      <c r="B27" s="19" t="s">
        <v>34</v>
      </c>
      <c r="C27" s="22"/>
      <c r="D27" s="38">
        <v>8</v>
      </c>
      <c r="E27" s="616">
        <v>0</v>
      </c>
      <c r="F27" s="623">
        <v>0</v>
      </c>
      <c r="G27" s="21">
        <f t="shared" si="1"/>
        <v>8</v>
      </c>
      <c r="H27" s="625">
        <v>8</v>
      </c>
      <c r="I27" s="616">
        <v>0</v>
      </c>
      <c r="J27" s="623">
        <v>0</v>
      </c>
      <c r="K27" s="21">
        <f t="shared" si="2"/>
        <v>8</v>
      </c>
    </row>
    <row r="28" spans="1:11" x14ac:dyDescent="0.25">
      <c r="A28" s="1937" t="s">
        <v>8</v>
      </c>
      <c r="B28" s="19" t="s">
        <v>32</v>
      </c>
      <c r="C28" s="22"/>
      <c r="D28" s="38">
        <v>3</v>
      </c>
      <c r="E28" s="616">
        <v>0</v>
      </c>
      <c r="F28" s="623">
        <v>0</v>
      </c>
      <c r="G28" s="21">
        <f t="shared" si="1"/>
        <v>3</v>
      </c>
      <c r="H28" s="625">
        <v>3</v>
      </c>
      <c r="I28" s="616">
        <v>0</v>
      </c>
      <c r="J28" s="623">
        <v>0</v>
      </c>
      <c r="K28" s="21">
        <f t="shared" si="2"/>
        <v>3</v>
      </c>
    </row>
    <row r="29" spans="1:11" x14ac:dyDescent="0.25">
      <c r="A29" s="1937"/>
      <c r="B29" s="19" t="s">
        <v>33</v>
      </c>
      <c r="C29" s="22"/>
      <c r="D29" s="38">
        <v>4</v>
      </c>
      <c r="E29" s="616">
        <v>0</v>
      </c>
      <c r="F29" s="623">
        <v>0</v>
      </c>
      <c r="G29" s="21">
        <f t="shared" si="1"/>
        <v>4</v>
      </c>
      <c r="H29" s="625">
        <v>4</v>
      </c>
      <c r="I29" s="616">
        <v>0</v>
      </c>
      <c r="J29" s="623">
        <v>0</v>
      </c>
      <c r="K29" s="21">
        <f t="shared" si="2"/>
        <v>4</v>
      </c>
    </row>
    <row r="30" spans="1:11" x14ac:dyDescent="0.25">
      <c r="A30" s="1937"/>
      <c r="B30" s="19" t="s">
        <v>34</v>
      </c>
      <c r="C30" s="22"/>
      <c r="D30" s="38">
        <v>6</v>
      </c>
      <c r="E30" s="616">
        <v>0</v>
      </c>
      <c r="F30" s="623">
        <v>0</v>
      </c>
      <c r="G30" s="21">
        <f t="shared" si="1"/>
        <v>6</v>
      </c>
      <c r="H30" s="625">
        <v>6</v>
      </c>
      <c r="I30" s="616">
        <v>0</v>
      </c>
      <c r="J30" s="623">
        <v>0</v>
      </c>
      <c r="K30" s="21">
        <f t="shared" si="2"/>
        <v>6</v>
      </c>
    </row>
    <row r="31" spans="1:11" x14ac:dyDescent="0.25">
      <c r="A31" s="1937" t="s">
        <v>9</v>
      </c>
      <c r="B31" s="19" t="s">
        <v>32</v>
      </c>
      <c r="C31" s="22"/>
      <c r="D31" s="124">
        <f>4+(0.5*D$3)</f>
        <v>4</v>
      </c>
      <c r="E31" s="616">
        <v>0</v>
      </c>
      <c r="F31" s="616">
        <v>0</v>
      </c>
      <c r="G31" s="21">
        <f t="shared" si="1"/>
        <v>4</v>
      </c>
      <c r="H31" s="631">
        <f>4+(0.5*H$3)</f>
        <v>4</v>
      </c>
      <c r="I31" s="616">
        <v>0</v>
      </c>
      <c r="J31" s="616">
        <v>0</v>
      </c>
      <c r="K31" s="21">
        <f t="shared" si="2"/>
        <v>4</v>
      </c>
    </row>
    <row r="32" spans="1:11" x14ac:dyDescent="0.25">
      <c r="A32" s="1937"/>
      <c r="B32" s="19" t="s">
        <v>33</v>
      </c>
      <c r="C32" s="22"/>
      <c r="D32" s="124">
        <f>6+(0.5*D$3)</f>
        <v>6</v>
      </c>
      <c r="E32" s="616">
        <v>0</v>
      </c>
      <c r="F32" s="616">
        <v>0</v>
      </c>
      <c r="G32" s="21">
        <f t="shared" si="1"/>
        <v>6</v>
      </c>
      <c r="H32" s="631">
        <f>6+(0.5*H$3)</f>
        <v>6</v>
      </c>
      <c r="I32" s="616">
        <v>0</v>
      </c>
      <c r="J32" s="616">
        <v>0</v>
      </c>
      <c r="K32" s="21">
        <f t="shared" si="2"/>
        <v>6</v>
      </c>
    </row>
    <row r="33" spans="1:11" x14ac:dyDescent="0.25">
      <c r="A33" s="1937"/>
      <c r="B33" s="19" t="s">
        <v>34</v>
      </c>
      <c r="C33" s="22"/>
      <c r="D33" s="124">
        <f>8+(0.5*D$3)</f>
        <v>8</v>
      </c>
      <c r="E33" s="616">
        <v>0</v>
      </c>
      <c r="F33" s="616">
        <v>0</v>
      </c>
      <c r="G33" s="21">
        <f t="shared" si="1"/>
        <v>8</v>
      </c>
      <c r="H33" s="631">
        <f>8+(0.5*H$3)</f>
        <v>8</v>
      </c>
      <c r="I33" s="616">
        <v>0</v>
      </c>
      <c r="J33" s="616">
        <v>0</v>
      </c>
      <c r="K33" s="21">
        <f t="shared" si="2"/>
        <v>8</v>
      </c>
    </row>
    <row r="34" spans="1:11" x14ac:dyDescent="0.25">
      <c r="A34" s="1937" t="s">
        <v>10</v>
      </c>
      <c r="B34" s="19" t="s">
        <v>32</v>
      </c>
      <c r="C34" s="22"/>
      <c r="D34" s="38">
        <v>2</v>
      </c>
      <c r="E34" s="616">
        <v>0</v>
      </c>
      <c r="F34" s="616">
        <v>0</v>
      </c>
      <c r="G34" s="21">
        <f t="shared" si="1"/>
        <v>2</v>
      </c>
      <c r="H34" s="625">
        <v>2</v>
      </c>
      <c r="I34" s="616">
        <v>0</v>
      </c>
      <c r="J34" s="616">
        <v>0</v>
      </c>
      <c r="K34" s="21">
        <f t="shared" si="2"/>
        <v>2</v>
      </c>
    </row>
    <row r="35" spans="1:11" x14ac:dyDescent="0.25">
      <c r="A35" s="1937"/>
      <c r="B35" s="19" t="s">
        <v>33</v>
      </c>
      <c r="C35" s="22"/>
      <c r="D35" s="38">
        <v>4</v>
      </c>
      <c r="E35" s="616">
        <v>0</v>
      </c>
      <c r="F35" s="616">
        <v>0</v>
      </c>
      <c r="G35" s="21">
        <f t="shared" si="1"/>
        <v>4</v>
      </c>
      <c r="H35" s="625">
        <v>4</v>
      </c>
      <c r="I35" s="616">
        <v>0</v>
      </c>
      <c r="J35" s="616">
        <v>0</v>
      </c>
      <c r="K35" s="21">
        <f t="shared" si="2"/>
        <v>4</v>
      </c>
    </row>
    <row r="36" spans="1:11" ht="15.75" thickBot="1" x14ac:dyDescent="0.3">
      <c r="A36" s="1938"/>
      <c r="B36" s="13" t="s">
        <v>34</v>
      </c>
      <c r="C36" s="34"/>
      <c r="D36" s="39">
        <v>6</v>
      </c>
      <c r="E36" s="712">
        <v>0</v>
      </c>
      <c r="F36" s="712">
        <v>0</v>
      </c>
      <c r="G36" s="77">
        <f t="shared" si="1"/>
        <v>6</v>
      </c>
      <c r="H36" s="626">
        <v>6</v>
      </c>
      <c r="I36" s="712">
        <v>0</v>
      </c>
      <c r="J36" s="712">
        <v>0</v>
      </c>
      <c r="K36" s="77">
        <f t="shared" si="2"/>
        <v>6</v>
      </c>
    </row>
    <row r="37" spans="1:11" ht="16.5" thickBot="1" x14ac:dyDescent="0.3">
      <c r="A37" s="330" t="s">
        <v>11</v>
      </c>
      <c r="B37" s="329"/>
      <c r="C37" s="329"/>
      <c r="D37" s="329"/>
      <c r="E37" s="329"/>
      <c r="F37" s="327"/>
      <c r="G37" s="327"/>
      <c r="H37" s="329"/>
      <c r="I37" s="329"/>
      <c r="J37" s="327"/>
      <c r="K37" s="396"/>
    </row>
    <row r="38" spans="1:11" x14ac:dyDescent="0.25">
      <c r="A38" s="1932" t="s">
        <v>12</v>
      </c>
      <c r="B38" s="404" t="s">
        <v>32</v>
      </c>
      <c r="C38" s="324"/>
      <c r="D38" s="661">
        <v>32</v>
      </c>
      <c r="E38" s="674">
        <f>2*E$3</f>
        <v>0</v>
      </c>
      <c r="F38" s="661">
        <v>0</v>
      </c>
      <c r="G38" s="230">
        <f t="shared" si="1"/>
        <v>32</v>
      </c>
      <c r="H38" s="661">
        <v>32</v>
      </c>
      <c r="I38" s="674">
        <f>2*I$3</f>
        <v>0</v>
      </c>
      <c r="J38" s="661">
        <v>0</v>
      </c>
      <c r="K38" s="230">
        <f xml:space="preserve"> SUM(H38:J38) + $C38</f>
        <v>32</v>
      </c>
    </row>
    <row r="39" spans="1:11" x14ac:dyDescent="0.25">
      <c r="A39" s="1932"/>
      <c r="B39" s="19" t="s">
        <v>33</v>
      </c>
      <c r="C39" s="22"/>
      <c r="D39" s="615">
        <v>40</v>
      </c>
      <c r="E39" s="674">
        <f>2*E$3</f>
        <v>0</v>
      </c>
      <c r="F39" s="615">
        <v>0</v>
      </c>
      <c r="G39" s="21">
        <f t="shared" si="1"/>
        <v>40</v>
      </c>
      <c r="H39" s="615">
        <v>40</v>
      </c>
      <c r="I39" s="674">
        <f>2*I$3</f>
        <v>0</v>
      </c>
      <c r="J39" s="615">
        <v>0</v>
      </c>
      <c r="K39" s="21">
        <f xml:space="preserve"> SUM(H39:J39) + $C39</f>
        <v>40</v>
      </c>
    </row>
    <row r="40" spans="1:11" ht="15.75" thickBot="1" x14ac:dyDescent="0.3">
      <c r="A40" s="1932"/>
      <c r="B40" s="13" t="s">
        <v>34</v>
      </c>
      <c r="C40" s="34"/>
      <c r="D40" s="673">
        <v>60</v>
      </c>
      <c r="E40" s="674">
        <f>2*E$3</f>
        <v>0</v>
      </c>
      <c r="F40" s="673">
        <v>0</v>
      </c>
      <c r="G40" s="77">
        <f t="shared" si="1"/>
        <v>60</v>
      </c>
      <c r="H40" s="673">
        <v>60</v>
      </c>
      <c r="I40" s="674">
        <f>2*I$3</f>
        <v>0</v>
      </c>
      <c r="J40" s="673">
        <v>0</v>
      </c>
      <c r="K40" s="77">
        <f xml:space="preserve"> SUM(H40:J40) + $C40</f>
        <v>60</v>
      </c>
    </row>
    <row r="41" spans="1:11" ht="16.5" thickBot="1" x14ac:dyDescent="0.3">
      <c r="A41" s="330" t="s">
        <v>13</v>
      </c>
      <c r="B41" s="329"/>
      <c r="C41" s="329"/>
      <c r="D41" s="329"/>
      <c r="E41" s="329"/>
      <c r="F41" s="327"/>
      <c r="G41" s="327"/>
      <c r="H41" s="329"/>
      <c r="I41" s="329"/>
      <c r="J41" s="327"/>
      <c r="K41" s="396"/>
    </row>
    <row r="42" spans="1:11" x14ac:dyDescent="0.25">
      <c r="A42" s="1932" t="s">
        <v>14</v>
      </c>
      <c r="B42" s="404" t="s">
        <v>32</v>
      </c>
      <c r="C42" s="324"/>
      <c r="D42" s="625">
        <v>1</v>
      </c>
      <c r="E42" s="616">
        <v>0</v>
      </c>
      <c r="F42" s="623">
        <v>0</v>
      </c>
      <c r="G42" s="230">
        <f t="shared" si="1"/>
        <v>1</v>
      </c>
      <c r="H42" s="625">
        <v>1</v>
      </c>
      <c r="I42" s="616">
        <v>0</v>
      </c>
      <c r="J42" s="623">
        <v>0</v>
      </c>
      <c r="K42" s="230">
        <f t="shared" ref="K42:K86" si="3" xml:space="preserve"> SUM(H42:J42) + $C42</f>
        <v>1</v>
      </c>
    </row>
    <row r="43" spans="1:11" x14ac:dyDescent="0.25">
      <c r="A43" s="1932"/>
      <c r="B43" s="19" t="s">
        <v>33</v>
      </c>
      <c r="C43" s="22"/>
      <c r="D43" s="625">
        <v>2</v>
      </c>
      <c r="E43" s="616">
        <v>0</v>
      </c>
      <c r="F43" s="623">
        <v>0</v>
      </c>
      <c r="G43" s="21">
        <f t="shared" si="1"/>
        <v>2</v>
      </c>
      <c r="H43" s="625">
        <v>2</v>
      </c>
      <c r="I43" s="616">
        <v>0</v>
      </c>
      <c r="J43" s="623">
        <v>0</v>
      </c>
      <c r="K43" s="21">
        <f t="shared" si="3"/>
        <v>2</v>
      </c>
    </row>
    <row r="44" spans="1:11" x14ac:dyDescent="0.25">
      <c r="A44" s="1932"/>
      <c r="B44" s="19" t="s">
        <v>34</v>
      </c>
      <c r="C44" s="22"/>
      <c r="D44" s="625">
        <v>3</v>
      </c>
      <c r="E44" s="616">
        <v>0</v>
      </c>
      <c r="F44" s="623">
        <v>0</v>
      </c>
      <c r="G44" s="21">
        <f t="shared" si="1"/>
        <v>3</v>
      </c>
      <c r="H44" s="625">
        <v>3</v>
      </c>
      <c r="I44" s="616">
        <v>0</v>
      </c>
      <c r="J44" s="623">
        <v>0</v>
      </c>
      <c r="K44" s="21">
        <f t="shared" si="3"/>
        <v>3</v>
      </c>
    </row>
    <row r="45" spans="1:11" x14ac:dyDescent="0.25">
      <c r="A45" s="1974" t="s">
        <v>15</v>
      </c>
      <c r="B45" s="19" t="s">
        <v>32</v>
      </c>
      <c r="C45" s="22"/>
      <c r="D45" s="625">
        <v>16</v>
      </c>
      <c r="E45" s="674">
        <f>1*E$3</f>
        <v>0</v>
      </c>
      <c r="F45" s="623">
        <v>0</v>
      </c>
      <c r="G45" s="21">
        <f t="shared" si="1"/>
        <v>16</v>
      </c>
      <c r="H45" s="625">
        <v>16</v>
      </c>
      <c r="I45" s="674">
        <f>1*I$3</f>
        <v>0</v>
      </c>
      <c r="J45" s="623">
        <v>0</v>
      </c>
      <c r="K45" s="21">
        <f t="shared" si="3"/>
        <v>16</v>
      </c>
    </row>
    <row r="46" spans="1:11" x14ac:dyDescent="0.25">
      <c r="A46" s="1974"/>
      <c r="B46" s="19" t="s">
        <v>33</v>
      </c>
      <c r="C46" s="22"/>
      <c r="D46" s="625">
        <v>28</v>
      </c>
      <c r="E46" s="674">
        <f>2*E$3</f>
        <v>0</v>
      </c>
      <c r="F46" s="623">
        <v>0</v>
      </c>
      <c r="G46" s="21">
        <f t="shared" si="1"/>
        <v>28</v>
      </c>
      <c r="H46" s="625">
        <v>28</v>
      </c>
      <c r="I46" s="674">
        <f>2*I$3</f>
        <v>0</v>
      </c>
      <c r="J46" s="623">
        <v>0</v>
      </c>
      <c r="K46" s="21">
        <f t="shared" si="3"/>
        <v>28</v>
      </c>
    </row>
    <row r="47" spans="1:11" x14ac:dyDescent="0.25">
      <c r="A47" s="1974"/>
      <c r="B47" s="19" t="s">
        <v>34</v>
      </c>
      <c r="C47" s="22"/>
      <c r="D47" s="625">
        <v>36</v>
      </c>
      <c r="E47" s="674">
        <f>4*E$3</f>
        <v>0</v>
      </c>
      <c r="F47" s="623">
        <v>0</v>
      </c>
      <c r="G47" s="21">
        <f t="shared" si="1"/>
        <v>36</v>
      </c>
      <c r="H47" s="625">
        <v>36</v>
      </c>
      <c r="I47" s="674">
        <f>4*I$3</f>
        <v>0</v>
      </c>
      <c r="J47" s="623">
        <v>0</v>
      </c>
      <c r="K47" s="21">
        <f t="shared" si="3"/>
        <v>36</v>
      </c>
    </row>
    <row r="48" spans="1:11" x14ac:dyDescent="0.25">
      <c r="A48" s="1974" t="s">
        <v>16</v>
      </c>
      <c r="B48" s="19" t="s">
        <v>32</v>
      </c>
      <c r="C48" s="22"/>
      <c r="D48" s="631">
        <f>1*D$3</f>
        <v>0</v>
      </c>
      <c r="E48" s="616">
        <v>0</v>
      </c>
      <c r="F48" s="623">
        <v>0</v>
      </c>
      <c r="G48" s="21">
        <f t="shared" si="1"/>
        <v>0</v>
      </c>
      <c r="H48" s="631">
        <f>1*H$3</f>
        <v>0</v>
      </c>
      <c r="I48" s="616">
        <v>0</v>
      </c>
      <c r="J48" s="623">
        <v>0</v>
      </c>
      <c r="K48" s="21">
        <f t="shared" si="3"/>
        <v>0</v>
      </c>
    </row>
    <row r="49" spans="1:11" x14ac:dyDescent="0.25">
      <c r="A49" s="1974"/>
      <c r="B49" s="19" t="s">
        <v>33</v>
      </c>
      <c r="C49" s="22"/>
      <c r="D49" s="631">
        <f>1.5*D$3</f>
        <v>0</v>
      </c>
      <c r="E49" s="616">
        <v>0</v>
      </c>
      <c r="F49" s="689">
        <v>0</v>
      </c>
      <c r="G49" s="21">
        <f t="shared" si="1"/>
        <v>0</v>
      </c>
      <c r="H49" s="631">
        <f>1.5*H$3</f>
        <v>0</v>
      </c>
      <c r="I49" s="616">
        <v>0</v>
      </c>
      <c r="J49" s="689">
        <v>0</v>
      </c>
      <c r="K49" s="21">
        <f t="shared" si="3"/>
        <v>0</v>
      </c>
    </row>
    <row r="50" spans="1:11" x14ac:dyDescent="0.25">
      <c r="A50" s="1974"/>
      <c r="B50" s="19" t="s">
        <v>34</v>
      </c>
      <c r="C50" s="22"/>
      <c r="D50" s="631">
        <f>2*D$3</f>
        <v>0</v>
      </c>
      <c r="E50" s="616">
        <v>0</v>
      </c>
      <c r="F50" s="689">
        <v>0</v>
      </c>
      <c r="G50" s="21">
        <f t="shared" si="1"/>
        <v>0</v>
      </c>
      <c r="H50" s="631">
        <f>2*H$3</f>
        <v>0</v>
      </c>
      <c r="I50" s="616">
        <v>0</v>
      </c>
      <c r="J50" s="689">
        <v>0</v>
      </c>
      <c r="K50" s="21">
        <f t="shared" si="3"/>
        <v>0</v>
      </c>
    </row>
    <row r="51" spans="1:11" x14ac:dyDescent="0.25">
      <c r="A51" s="1974" t="s">
        <v>17</v>
      </c>
      <c r="B51" s="19" t="s">
        <v>32</v>
      </c>
      <c r="C51" s="22"/>
      <c r="D51" s="631">
        <f>1*D$3</f>
        <v>0</v>
      </c>
      <c r="E51" s="616">
        <v>0</v>
      </c>
      <c r="F51" s="689">
        <v>0</v>
      </c>
      <c r="G51" s="21">
        <f t="shared" si="1"/>
        <v>0</v>
      </c>
      <c r="H51" s="631">
        <f>1*H$3</f>
        <v>0</v>
      </c>
      <c r="I51" s="616">
        <v>0</v>
      </c>
      <c r="J51" s="689">
        <v>0</v>
      </c>
      <c r="K51" s="21">
        <f t="shared" si="3"/>
        <v>0</v>
      </c>
    </row>
    <row r="52" spans="1:11" x14ac:dyDescent="0.25">
      <c r="A52" s="1974"/>
      <c r="B52" s="19" t="s">
        <v>33</v>
      </c>
      <c r="C52" s="22"/>
      <c r="D52" s="631">
        <f>1.5*D$3</f>
        <v>0</v>
      </c>
      <c r="E52" s="616">
        <v>0</v>
      </c>
      <c r="F52" s="689">
        <v>0</v>
      </c>
      <c r="G52" s="21">
        <f t="shared" si="1"/>
        <v>0</v>
      </c>
      <c r="H52" s="631">
        <f>1.5*H$3</f>
        <v>0</v>
      </c>
      <c r="I52" s="616">
        <v>0</v>
      </c>
      <c r="J52" s="689">
        <v>0</v>
      </c>
      <c r="K52" s="21">
        <f t="shared" si="3"/>
        <v>0</v>
      </c>
    </row>
    <row r="53" spans="1:11" x14ac:dyDescent="0.25">
      <c r="A53" s="1974"/>
      <c r="B53" s="19" t="s">
        <v>34</v>
      </c>
      <c r="C53" s="22"/>
      <c r="D53" s="631">
        <f>2*D$3</f>
        <v>0</v>
      </c>
      <c r="E53" s="616">
        <v>0</v>
      </c>
      <c r="F53" s="689">
        <v>0</v>
      </c>
      <c r="G53" s="21">
        <f t="shared" si="1"/>
        <v>0</v>
      </c>
      <c r="H53" s="631">
        <f>2*H$3</f>
        <v>0</v>
      </c>
      <c r="I53" s="616">
        <v>0</v>
      </c>
      <c r="J53" s="689">
        <v>0</v>
      </c>
      <c r="K53" s="21">
        <f t="shared" si="3"/>
        <v>0</v>
      </c>
    </row>
    <row r="54" spans="1:11" x14ac:dyDescent="0.25">
      <c r="A54" s="1974" t="s">
        <v>18</v>
      </c>
      <c r="B54" s="19" t="s">
        <v>32</v>
      </c>
      <c r="C54" s="22"/>
      <c r="D54" s="631">
        <f>1*D$3</f>
        <v>0</v>
      </c>
      <c r="E54" s="616">
        <v>0</v>
      </c>
      <c r="F54" s="616">
        <v>0</v>
      </c>
      <c r="G54" s="21">
        <f t="shared" si="1"/>
        <v>0</v>
      </c>
      <c r="H54" s="631">
        <f>1*H$3</f>
        <v>0</v>
      </c>
      <c r="I54" s="616">
        <v>0</v>
      </c>
      <c r="J54" s="616">
        <v>0</v>
      </c>
      <c r="K54" s="21">
        <f t="shared" si="3"/>
        <v>0</v>
      </c>
    </row>
    <row r="55" spans="1:11" x14ac:dyDescent="0.25">
      <c r="A55" s="1974"/>
      <c r="B55" s="19" t="s">
        <v>33</v>
      </c>
      <c r="C55" s="22"/>
      <c r="D55" s="631">
        <f>1*D$3</f>
        <v>0</v>
      </c>
      <c r="E55" s="616">
        <v>0</v>
      </c>
      <c r="F55" s="616">
        <v>0</v>
      </c>
      <c r="G55" s="21">
        <f t="shared" si="1"/>
        <v>0</v>
      </c>
      <c r="H55" s="631">
        <f>1*H$3</f>
        <v>0</v>
      </c>
      <c r="I55" s="616">
        <v>0</v>
      </c>
      <c r="J55" s="616">
        <v>0</v>
      </c>
      <c r="K55" s="21">
        <f t="shared" si="3"/>
        <v>0</v>
      </c>
    </row>
    <row r="56" spans="1:11" x14ac:dyDescent="0.25">
      <c r="A56" s="1974"/>
      <c r="B56" s="19" t="s">
        <v>34</v>
      </c>
      <c r="C56" s="22"/>
      <c r="D56" s="631">
        <f>1*D$3</f>
        <v>0</v>
      </c>
      <c r="E56" s="616">
        <v>0</v>
      </c>
      <c r="F56" s="616">
        <v>0</v>
      </c>
      <c r="G56" s="21">
        <f t="shared" si="1"/>
        <v>0</v>
      </c>
      <c r="H56" s="631">
        <f>1*H$3</f>
        <v>0</v>
      </c>
      <c r="I56" s="616">
        <v>0</v>
      </c>
      <c r="J56" s="616">
        <v>0</v>
      </c>
      <c r="K56" s="21">
        <f t="shared" si="3"/>
        <v>0</v>
      </c>
    </row>
    <row r="57" spans="1:11" x14ac:dyDescent="0.25">
      <c r="A57" s="1974" t="s">
        <v>19</v>
      </c>
      <c r="B57" s="19" t="s">
        <v>32</v>
      </c>
      <c r="C57" s="22"/>
      <c r="D57" s="625">
        <v>4</v>
      </c>
      <c r="E57" s="616">
        <v>0</v>
      </c>
      <c r="F57" s="616">
        <v>0</v>
      </c>
      <c r="G57" s="21">
        <f t="shared" si="1"/>
        <v>4</v>
      </c>
      <c r="H57" s="625">
        <v>4</v>
      </c>
      <c r="I57" s="616">
        <v>0</v>
      </c>
      <c r="J57" s="616">
        <v>0</v>
      </c>
      <c r="K57" s="21">
        <f t="shared" si="3"/>
        <v>4</v>
      </c>
    </row>
    <row r="58" spans="1:11" x14ac:dyDescent="0.25">
      <c r="A58" s="1974"/>
      <c r="B58" s="19" t="s">
        <v>33</v>
      </c>
      <c r="C58" s="22"/>
      <c r="D58" s="625">
        <v>6</v>
      </c>
      <c r="E58" s="616">
        <v>0</v>
      </c>
      <c r="F58" s="616">
        <v>0</v>
      </c>
      <c r="G58" s="21">
        <f t="shared" si="1"/>
        <v>6</v>
      </c>
      <c r="H58" s="625">
        <v>6</v>
      </c>
      <c r="I58" s="616">
        <v>0</v>
      </c>
      <c r="J58" s="616">
        <v>0</v>
      </c>
      <c r="K58" s="21">
        <f t="shared" si="3"/>
        <v>6</v>
      </c>
    </row>
    <row r="59" spans="1:11" x14ac:dyDescent="0.25">
      <c r="A59" s="1974"/>
      <c r="B59" s="19" t="s">
        <v>34</v>
      </c>
      <c r="C59" s="22"/>
      <c r="D59" s="625">
        <v>8</v>
      </c>
      <c r="E59" s="616">
        <v>0</v>
      </c>
      <c r="F59" s="616">
        <v>0</v>
      </c>
      <c r="G59" s="21">
        <f t="shared" si="1"/>
        <v>8</v>
      </c>
      <c r="H59" s="625">
        <v>8</v>
      </c>
      <c r="I59" s="616">
        <v>0</v>
      </c>
      <c r="J59" s="616">
        <v>0</v>
      </c>
      <c r="K59" s="21">
        <f t="shared" si="3"/>
        <v>8</v>
      </c>
    </row>
    <row r="60" spans="1:11" x14ac:dyDescent="0.25">
      <c r="A60" s="1974" t="s">
        <v>20</v>
      </c>
      <c r="B60" s="19" t="s">
        <v>32</v>
      </c>
      <c r="C60" s="22"/>
      <c r="D60" s="625">
        <v>8</v>
      </c>
      <c r="E60" s="630">
        <f>2*E$3</f>
        <v>0</v>
      </c>
      <c r="F60" s="616">
        <v>0</v>
      </c>
      <c r="G60" s="21">
        <f t="shared" si="1"/>
        <v>8</v>
      </c>
      <c r="H60" s="625">
        <v>8</v>
      </c>
      <c r="I60" s="630">
        <f>2*I$3</f>
        <v>0</v>
      </c>
      <c r="J60" s="616">
        <v>0</v>
      </c>
      <c r="K60" s="21">
        <f t="shared" si="3"/>
        <v>8</v>
      </c>
    </row>
    <row r="61" spans="1:11" x14ac:dyDescent="0.25">
      <c r="A61" s="1974"/>
      <c r="B61" s="19" t="s">
        <v>33</v>
      </c>
      <c r="C61" s="22"/>
      <c r="D61" s="625">
        <v>16</v>
      </c>
      <c r="E61" s="630">
        <f>2*E$3</f>
        <v>0</v>
      </c>
      <c r="F61" s="616">
        <v>0</v>
      </c>
      <c r="G61" s="21">
        <f t="shared" si="1"/>
        <v>16</v>
      </c>
      <c r="H61" s="625">
        <v>16</v>
      </c>
      <c r="I61" s="630">
        <f>2*I$3</f>
        <v>0</v>
      </c>
      <c r="J61" s="616">
        <v>0</v>
      </c>
      <c r="K61" s="21">
        <f t="shared" si="3"/>
        <v>16</v>
      </c>
    </row>
    <row r="62" spans="1:11" x14ac:dyDescent="0.25">
      <c r="A62" s="1974"/>
      <c r="B62" s="19" t="s">
        <v>34</v>
      </c>
      <c r="C62" s="22"/>
      <c r="D62" s="625">
        <v>32</v>
      </c>
      <c r="E62" s="630">
        <f>2*E$3</f>
        <v>0</v>
      </c>
      <c r="F62" s="616">
        <v>0</v>
      </c>
      <c r="G62" s="21">
        <f t="shared" si="1"/>
        <v>32</v>
      </c>
      <c r="H62" s="625">
        <v>32</v>
      </c>
      <c r="I62" s="630">
        <f>2*I$3</f>
        <v>0</v>
      </c>
      <c r="J62" s="616">
        <v>0</v>
      </c>
      <c r="K62" s="21">
        <f t="shared" si="3"/>
        <v>32</v>
      </c>
    </row>
    <row r="63" spans="1:11" x14ac:dyDescent="0.25">
      <c r="A63" s="1974" t="s">
        <v>451</v>
      </c>
      <c r="B63" s="19" t="s">
        <v>32</v>
      </c>
      <c r="C63" s="22"/>
      <c r="D63" s="482">
        <v>0.25</v>
      </c>
      <c r="E63" s="691">
        <v>0</v>
      </c>
      <c r="F63" s="495">
        <v>0</v>
      </c>
      <c r="G63" s="21">
        <f t="shared" si="1"/>
        <v>0.25</v>
      </c>
      <c r="H63" s="482">
        <v>0.25</v>
      </c>
      <c r="I63" s="691">
        <v>0</v>
      </c>
      <c r="J63" s="495">
        <v>0</v>
      </c>
      <c r="K63" s="21">
        <f t="shared" si="3"/>
        <v>0.25</v>
      </c>
    </row>
    <row r="64" spans="1:11" x14ac:dyDescent="0.25">
      <c r="A64" s="1974"/>
      <c r="B64" s="19" t="s">
        <v>33</v>
      </c>
      <c r="C64" s="22"/>
      <c r="D64" s="625">
        <v>0.5</v>
      </c>
      <c r="E64" s="691">
        <v>0</v>
      </c>
      <c r="F64" s="495">
        <v>0</v>
      </c>
      <c r="G64" s="21">
        <f t="shared" si="1"/>
        <v>0.5</v>
      </c>
      <c r="H64" s="625">
        <v>0.5</v>
      </c>
      <c r="I64" s="691">
        <v>0</v>
      </c>
      <c r="J64" s="495">
        <v>0</v>
      </c>
      <c r="K64" s="21">
        <f t="shared" si="3"/>
        <v>0.5</v>
      </c>
    </row>
    <row r="65" spans="1:11" x14ac:dyDescent="0.25">
      <c r="A65" s="1974"/>
      <c r="B65" s="19" t="s">
        <v>34</v>
      </c>
      <c r="C65" s="22"/>
      <c r="D65" s="625">
        <v>1</v>
      </c>
      <c r="E65" s="691">
        <v>0</v>
      </c>
      <c r="F65" s="495">
        <v>0</v>
      </c>
      <c r="G65" s="21">
        <f t="shared" si="1"/>
        <v>1</v>
      </c>
      <c r="H65" s="625">
        <v>1</v>
      </c>
      <c r="I65" s="691">
        <v>0</v>
      </c>
      <c r="J65" s="495">
        <v>0</v>
      </c>
      <c r="K65" s="21">
        <f t="shared" si="3"/>
        <v>1</v>
      </c>
    </row>
    <row r="66" spans="1:11" x14ac:dyDescent="0.25">
      <c r="A66" s="1974" t="s">
        <v>452</v>
      </c>
      <c r="B66" s="19" t="s">
        <v>32</v>
      </c>
      <c r="C66" s="22"/>
      <c r="D66" s="482">
        <v>0.25</v>
      </c>
      <c r="E66" s="691">
        <v>0</v>
      </c>
      <c r="F66" s="495">
        <v>0</v>
      </c>
      <c r="G66" s="21">
        <f t="shared" si="1"/>
        <v>0.25</v>
      </c>
      <c r="H66" s="482">
        <v>0.25</v>
      </c>
      <c r="I66" s="691">
        <v>0</v>
      </c>
      <c r="J66" s="495">
        <v>0</v>
      </c>
      <c r="K66" s="21">
        <f t="shared" si="3"/>
        <v>0.25</v>
      </c>
    </row>
    <row r="67" spans="1:11" x14ac:dyDescent="0.25">
      <c r="A67" s="1974"/>
      <c r="B67" s="19" t="s">
        <v>33</v>
      </c>
      <c r="C67" s="22"/>
      <c r="D67" s="625">
        <v>0.5</v>
      </c>
      <c r="E67" s="691">
        <v>0</v>
      </c>
      <c r="F67" s="495">
        <v>0</v>
      </c>
      <c r="G67" s="21">
        <f t="shared" si="1"/>
        <v>0.5</v>
      </c>
      <c r="H67" s="625">
        <v>0.5</v>
      </c>
      <c r="I67" s="691">
        <v>0</v>
      </c>
      <c r="J67" s="495">
        <v>0</v>
      </c>
      <c r="K67" s="21">
        <f t="shared" si="3"/>
        <v>0.5</v>
      </c>
    </row>
    <row r="68" spans="1:11" x14ac:dyDescent="0.25">
      <c r="A68" s="1974"/>
      <c r="B68" s="19" t="s">
        <v>34</v>
      </c>
      <c r="C68" s="22"/>
      <c r="D68" s="625">
        <v>1</v>
      </c>
      <c r="E68" s="691">
        <v>0</v>
      </c>
      <c r="F68" s="495">
        <v>0</v>
      </c>
      <c r="G68" s="21">
        <f t="shared" si="1"/>
        <v>1</v>
      </c>
      <c r="H68" s="625">
        <v>1</v>
      </c>
      <c r="I68" s="691">
        <v>0</v>
      </c>
      <c r="J68" s="495">
        <v>0</v>
      </c>
      <c r="K68" s="21">
        <f t="shared" si="3"/>
        <v>1</v>
      </c>
    </row>
    <row r="69" spans="1:11" x14ac:dyDescent="0.25">
      <c r="A69" s="1993" t="s">
        <v>533</v>
      </c>
      <c r="B69" s="19" t="s">
        <v>32</v>
      </c>
      <c r="C69" s="22"/>
      <c r="D69" s="631">
        <f>4+(1.5*D$3)</f>
        <v>4</v>
      </c>
      <c r="E69" s="674">
        <f>2*E$3</f>
        <v>0</v>
      </c>
      <c r="F69" s="616">
        <v>0</v>
      </c>
      <c r="G69" s="21">
        <f t="shared" si="1"/>
        <v>4</v>
      </c>
      <c r="H69" s="631">
        <f>4+(1.5*H$3)</f>
        <v>4</v>
      </c>
      <c r="I69" s="674">
        <f>2*I$3</f>
        <v>0</v>
      </c>
      <c r="J69" s="616">
        <v>0</v>
      </c>
      <c r="K69" s="21">
        <f t="shared" si="3"/>
        <v>4</v>
      </c>
    </row>
    <row r="70" spans="1:11" x14ac:dyDescent="0.25">
      <c r="A70" s="1993"/>
      <c r="B70" s="19" t="s">
        <v>33</v>
      </c>
      <c r="C70" s="22"/>
      <c r="D70" s="631">
        <f>8+(1.5*D$3)</f>
        <v>8</v>
      </c>
      <c r="E70" s="674">
        <f>3*E$3</f>
        <v>0</v>
      </c>
      <c r="F70" s="616">
        <v>0</v>
      </c>
      <c r="G70" s="21">
        <f t="shared" si="1"/>
        <v>8</v>
      </c>
      <c r="H70" s="631">
        <f>8+(1.5*H$3)</f>
        <v>8</v>
      </c>
      <c r="I70" s="674">
        <f>3*I$3</f>
        <v>0</v>
      </c>
      <c r="J70" s="616">
        <v>0</v>
      </c>
      <c r="K70" s="21">
        <f t="shared" si="3"/>
        <v>8</v>
      </c>
    </row>
    <row r="71" spans="1:11" x14ac:dyDescent="0.25">
      <c r="A71" s="1993"/>
      <c r="B71" s="19" t="s">
        <v>34</v>
      </c>
      <c r="C71" s="22"/>
      <c r="D71" s="631">
        <f>16+(1.5*D$3)</f>
        <v>16</v>
      </c>
      <c r="E71" s="674">
        <f>4*E$3</f>
        <v>0</v>
      </c>
      <c r="F71" s="616">
        <v>0</v>
      </c>
      <c r="G71" s="21">
        <f t="shared" si="1"/>
        <v>16</v>
      </c>
      <c r="H71" s="631">
        <f>16+(1.5*H$3)</f>
        <v>16</v>
      </c>
      <c r="I71" s="674">
        <f>4*I$3</f>
        <v>0</v>
      </c>
      <c r="J71" s="616">
        <v>0</v>
      </c>
      <c r="K71" s="21">
        <f t="shared" si="3"/>
        <v>16</v>
      </c>
    </row>
    <row r="72" spans="1:11" x14ac:dyDescent="0.25">
      <c r="A72" s="1974" t="s">
        <v>534</v>
      </c>
      <c r="B72" s="19" t="s">
        <v>32</v>
      </c>
      <c r="C72" s="22"/>
      <c r="D72" s="631">
        <f>4+(1.5*D$3)</f>
        <v>4</v>
      </c>
      <c r="E72" s="674">
        <f>2*E$3</f>
        <v>0</v>
      </c>
      <c r="F72" s="616">
        <v>0</v>
      </c>
      <c r="G72" s="21">
        <f t="shared" si="1"/>
        <v>4</v>
      </c>
      <c r="H72" s="631">
        <f>4+(1.5*H$3)</f>
        <v>4</v>
      </c>
      <c r="I72" s="674">
        <f>2*I$3</f>
        <v>0</v>
      </c>
      <c r="J72" s="616">
        <v>0</v>
      </c>
      <c r="K72" s="21">
        <f t="shared" si="3"/>
        <v>4</v>
      </c>
    </row>
    <row r="73" spans="1:11" x14ac:dyDescent="0.25">
      <c r="A73" s="1974"/>
      <c r="B73" s="19" t="s">
        <v>33</v>
      </c>
      <c r="C73" s="22"/>
      <c r="D73" s="631">
        <f>8+(1.5*D$3)</f>
        <v>8</v>
      </c>
      <c r="E73" s="674">
        <f>3*E$3</f>
        <v>0</v>
      </c>
      <c r="F73" s="616">
        <v>0</v>
      </c>
      <c r="G73" s="21">
        <f t="shared" si="1"/>
        <v>8</v>
      </c>
      <c r="H73" s="631">
        <f>8+(1.5*H$3)</f>
        <v>8</v>
      </c>
      <c r="I73" s="674">
        <f>3*I$3</f>
        <v>0</v>
      </c>
      <c r="J73" s="616">
        <v>0</v>
      </c>
      <c r="K73" s="21">
        <f t="shared" si="3"/>
        <v>8</v>
      </c>
    </row>
    <row r="74" spans="1:11" x14ac:dyDescent="0.25">
      <c r="A74" s="1974"/>
      <c r="B74" s="19" t="s">
        <v>34</v>
      </c>
      <c r="C74" s="22"/>
      <c r="D74" s="631">
        <f>16+(1.5*D$3)</f>
        <v>16</v>
      </c>
      <c r="E74" s="674">
        <f>4*E$3</f>
        <v>0</v>
      </c>
      <c r="F74" s="616">
        <v>0</v>
      </c>
      <c r="G74" s="21">
        <f t="shared" si="1"/>
        <v>16</v>
      </c>
      <c r="H74" s="631">
        <f>16+(1.5*H$3)</f>
        <v>16</v>
      </c>
      <c r="I74" s="674">
        <f>4*I$3</f>
        <v>0</v>
      </c>
      <c r="J74" s="616">
        <v>0</v>
      </c>
      <c r="K74" s="21">
        <f t="shared" si="3"/>
        <v>16</v>
      </c>
    </row>
    <row r="75" spans="1:11" x14ac:dyDescent="0.25">
      <c r="A75" s="1974" t="s">
        <v>21</v>
      </c>
      <c r="B75" s="19" t="s">
        <v>32</v>
      </c>
      <c r="C75" s="22"/>
      <c r="D75" s="38" t="s">
        <v>90</v>
      </c>
      <c r="E75" s="38" t="s">
        <v>90</v>
      </c>
      <c r="F75" s="38" t="s">
        <v>90</v>
      </c>
      <c r="G75" s="21">
        <f t="shared" si="1"/>
        <v>0</v>
      </c>
      <c r="H75" s="38" t="s">
        <v>90</v>
      </c>
      <c r="I75" s="38" t="s">
        <v>90</v>
      </c>
      <c r="J75" s="38" t="s">
        <v>90</v>
      </c>
      <c r="K75" s="21">
        <f t="shared" si="3"/>
        <v>0</v>
      </c>
    </row>
    <row r="76" spans="1:11" x14ac:dyDescent="0.25">
      <c r="A76" s="1974"/>
      <c r="B76" s="19" t="s">
        <v>33</v>
      </c>
      <c r="C76" s="22"/>
      <c r="D76" s="38" t="s">
        <v>90</v>
      </c>
      <c r="E76" s="38" t="s">
        <v>90</v>
      </c>
      <c r="F76" s="38" t="s">
        <v>90</v>
      </c>
      <c r="G76" s="21">
        <f t="shared" si="1"/>
        <v>0</v>
      </c>
      <c r="H76" s="38" t="s">
        <v>90</v>
      </c>
      <c r="I76" s="38" t="s">
        <v>90</v>
      </c>
      <c r="J76" s="38" t="s">
        <v>90</v>
      </c>
      <c r="K76" s="21">
        <f t="shared" si="3"/>
        <v>0</v>
      </c>
    </row>
    <row r="77" spans="1:11" x14ac:dyDescent="0.25">
      <c r="A77" s="1974"/>
      <c r="B77" s="13" t="s">
        <v>34</v>
      </c>
      <c r="C77" s="34"/>
      <c r="D77" s="38" t="s">
        <v>90</v>
      </c>
      <c r="E77" s="38" t="s">
        <v>90</v>
      </c>
      <c r="F77" s="38" t="s">
        <v>90</v>
      </c>
      <c r="G77" s="21">
        <f t="shared" si="1"/>
        <v>0</v>
      </c>
      <c r="H77" s="38" t="s">
        <v>90</v>
      </c>
      <c r="I77" s="38" t="s">
        <v>90</v>
      </c>
      <c r="J77" s="38" t="s">
        <v>90</v>
      </c>
      <c r="K77" s="21">
        <f t="shared" si="3"/>
        <v>0</v>
      </c>
    </row>
    <row r="78" spans="1:11" x14ac:dyDescent="0.25">
      <c r="A78" s="1974" t="s">
        <v>181</v>
      </c>
      <c r="B78" s="19" t="s">
        <v>32</v>
      </c>
      <c r="C78" s="198"/>
      <c r="D78" s="648">
        <f t="shared" ref="D78:D86" si="4">0.25*D$3</f>
        <v>0</v>
      </c>
      <c r="E78" s="616">
        <v>0</v>
      </c>
      <c r="F78" s="646">
        <v>0</v>
      </c>
      <c r="G78" s="21">
        <f t="shared" si="1"/>
        <v>0</v>
      </c>
      <c r="H78" s="648">
        <f t="shared" ref="H78:H86" si="5">0.25*H$3</f>
        <v>0</v>
      </c>
      <c r="I78" s="616">
        <v>0</v>
      </c>
      <c r="J78" s="646">
        <v>0</v>
      </c>
      <c r="K78" s="21">
        <f t="shared" si="3"/>
        <v>0</v>
      </c>
    </row>
    <row r="79" spans="1:11" x14ac:dyDescent="0.25">
      <c r="A79" s="1974"/>
      <c r="B79" s="19" t="s">
        <v>33</v>
      </c>
      <c r="C79" s="198"/>
      <c r="D79" s="648">
        <f t="shared" si="4"/>
        <v>0</v>
      </c>
      <c r="E79" s="616">
        <v>0</v>
      </c>
      <c r="F79" s="646">
        <v>0</v>
      </c>
      <c r="G79" s="21">
        <f t="shared" si="1"/>
        <v>0</v>
      </c>
      <c r="H79" s="648">
        <f t="shared" si="5"/>
        <v>0</v>
      </c>
      <c r="I79" s="616">
        <v>0</v>
      </c>
      <c r="J79" s="646">
        <v>0</v>
      </c>
      <c r="K79" s="21">
        <f t="shared" si="3"/>
        <v>0</v>
      </c>
    </row>
    <row r="80" spans="1:11" x14ac:dyDescent="0.25">
      <c r="A80" s="1974"/>
      <c r="B80" s="19" t="s">
        <v>34</v>
      </c>
      <c r="C80" s="198"/>
      <c r="D80" s="648">
        <f t="shared" si="4"/>
        <v>0</v>
      </c>
      <c r="E80" s="616">
        <v>0</v>
      </c>
      <c r="F80" s="646">
        <v>0</v>
      </c>
      <c r="G80" s="21">
        <f t="shared" si="1"/>
        <v>0</v>
      </c>
      <c r="H80" s="648">
        <f t="shared" si="5"/>
        <v>0</v>
      </c>
      <c r="I80" s="616">
        <v>0</v>
      </c>
      <c r="J80" s="646">
        <v>0</v>
      </c>
      <c r="K80" s="21">
        <f t="shared" si="3"/>
        <v>0</v>
      </c>
    </row>
    <row r="81" spans="1:11" x14ac:dyDescent="0.25">
      <c r="A81" s="1974" t="s">
        <v>182</v>
      </c>
      <c r="B81" s="19" t="s">
        <v>32</v>
      </c>
      <c r="C81" s="198"/>
      <c r="D81" s="648">
        <f t="shared" si="4"/>
        <v>0</v>
      </c>
      <c r="E81" s="616">
        <v>0</v>
      </c>
      <c r="F81" s="646">
        <v>0</v>
      </c>
      <c r="G81" s="21">
        <f t="shared" si="1"/>
        <v>0</v>
      </c>
      <c r="H81" s="648">
        <f t="shared" si="5"/>
        <v>0</v>
      </c>
      <c r="I81" s="616">
        <v>0</v>
      </c>
      <c r="J81" s="646">
        <v>0</v>
      </c>
      <c r="K81" s="21">
        <f t="shared" si="3"/>
        <v>0</v>
      </c>
    </row>
    <row r="82" spans="1:11" x14ac:dyDescent="0.25">
      <c r="A82" s="1974"/>
      <c r="B82" s="19" t="s">
        <v>33</v>
      </c>
      <c r="C82" s="198"/>
      <c r="D82" s="648">
        <f t="shared" si="4"/>
        <v>0</v>
      </c>
      <c r="E82" s="616">
        <v>0</v>
      </c>
      <c r="F82" s="646">
        <v>0</v>
      </c>
      <c r="G82" s="21">
        <f t="shared" si="1"/>
        <v>0</v>
      </c>
      <c r="H82" s="648">
        <f t="shared" si="5"/>
        <v>0</v>
      </c>
      <c r="I82" s="616">
        <v>0</v>
      </c>
      <c r="J82" s="646">
        <v>0</v>
      </c>
      <c r="K82" s="21">
        <f t="shared" si="3"/>
        <v>0</v>
      </c>
    </row>
    <row r="83" spans="1:11" x14ac:dyDescent="0.25">
      <c r="A83" s="1974"/>
      <c r="B83" s="19" t="s">
        <v>34</v>
      </c>
      <c r="C83" s="198"/>
      <c r="D83" s="648">
        <f t="shared" si="4"/>
        <v>0</v>
      </c>
      <c r="E83" s="616">
        <v>0</v>
      </c>
      <c r="F83" s="646">
        <v>0</v>
      </c>
      <c r="G83" s="21">
        <f t="shared" si="1"/>
        <v>0</v>
      </c>
      <c r="H83" s="648">
        <f t="shared" si="5"/>
        <v>0</v>
      </c>
      <c r="I83" s="616">
        <v>0</v>
      </c>
      <c r="J83" s="646">
        <v>0</v>
      </c>
      <c r="K83" s="21">
        <f t="shared" si="3"/>
        <v>0</v>
      </c>
    </row>
    <row r="84" spans="1:11" x14ac:dyDescent="0.25">
      <c r="A84" s="1994" t="s">
        <v>183</v>
      </c>
      <c r="B84" s="19" t="s">
        <v>32</v>
      </c>
      <c r="C84" s="198"/>
      <c r="D84" s="648">
        <f t="shared" si="4"/>
        <v>0</v>
      </c>
      <c r="E84" s="616">
        <v>0</v>
      </c>
      <c r="F84" s="646">
        <v>0</v>
      </c>
      <c r="G84" s="21">
        <f t="shared" si="1"/>
        <v>0</v>
      </c>
      <c r="H84" s="648">
        <f t="shared" si="5"/>
        <v>0</v>
      </c>
      <c r="I84" s="616">
        <v>0</v>
      </c>
      <c r="J84" s="646">
        <v>0</v>
      </c>
      <c r="K84" s="21">
        <f t="shared" si="3"/>
        <v>0</v>
      </c>
    </row>
    <row r="85" spans="1:11" x14ac:dyDescent="0.25">
      <c r="A85" s="1994"/>
      <c r="B85" s="19" t="s">
        <v>33</v>
      </c>
      <c r="C85" s="198"/>
      <c r="D85" s="648">
        <f t="shared" si="4"/>
        <v>0</v>
      </c>
      <c r="E85" s="616">
        <v>0</v>
      </c>
      <c r="F85" s="646">
        <v>0</v>
      </c>
      <c r="G85" s="21">
        <f t="shared" si="1"/>
        <v>0</v>
      </c>
      <c r="H85" s="648">
        <f t="shared" si="5"/>
        <v>0</v>
      </c>
      <c r="I85" s="616">
        <v>0</v>
      </c>
      <c r="J85" s="646">
        <v>0</v>
      </c>
      <c r="K85" s="21">
        <f t="shared" si="3"/>
        <v>0</v>
      </c>
    </row>
    <row r="86" spans="1:11" ht="15.75" thickBot="1" x14ac:dyDescent="0.3">
      <c r="A86" s="1994"/>
      <c r="B86" s="13" t="s">
        <v>34</v>
      </c>
      <c r="C86" s="220"/>
      <c r="D86" s="648">
        <f t="shared" si="4"/>
        <v>0</v>
      </c>
      <c r="E86" s="712">
        <v>0</v>
      </c>
      <c r="F86" s="663">
        <v>0</v>
      </c>
      <c r="G86" s="77">
        <f t="shared" si="1"/>
        <v>0</v>
      </c>
      <c r="H86" s="648">
        <f t="shared" si="5"/>
        <v>0</v>
      </c>
      <c r="I86" s="712">
        <v>0</v>
      </c>
      <c r="J86" s="663">
        <v>0</v>
      </c>
      <c r="K86" s="77">
        <f t="shared" si="3"/>
        <v>0</v>
      </c>
    </row>
    <row r="87" spans="1:11" ht="16.5" thickBot="1" x14ac:dyDescent="0.3">
      <c r="A87" s="330" t="s">
        <v>22</v>
      </c>
      <c r="B87" s="329"/>
      <c r="C87" s="329"/>
      <c r="D87" s="329"/>
      <c r="E87" s="329"/>
      <c r="F87" s="327"/>
      <c r="G87" s="327"/>
      <c r="H87" s="329"/>
      <c r="I87" s="329"/>
      <c r="J87" s="327"/>
      <c r="K87" s="396"/>
    </row>
    <row r="88" spans="1:11" x14ac:dyDescent="0.25">
      <c r="A88" s="1932" t="s">
        <v>23</v>
      </c>
      <c r="B88" s="404" t="s">
        <v>32</v>
      </c>
      <c r="C88" s="324"/>
      <c r="D88" s="678">
        <v>0.25</v>
      </c>
      <c r="E88" s="713">
        <v>0</v>
      </c>
      <c r="F88" s="679">
        <v>0</v>
      </c>
      <c r="G88" s="230">
        <f t="shared" si="1"/>
        <v>0.25</v>
      </c>
      <c r="H88" s="678">
        <v>0.25</v>
      </c>
      <c r="I88" s="713">
        <v>0</v>
      </c>
      <c r="J88" s="679">
        <v>0</v>
      </c>
      <c r="K88" s="230">
        <f t="shared" ref="K88:K93" si="6" xml:space="preserve"> SUM(H88:J88) + $C88</f>
        <v>0.25</v>
      </c>
    </row>
    <row r="89" spans="1:11" x14ac:dyDescent="0.25">
      <c r="A89" s="1932"/>
      <c r="B89" s="19" t="s">
        <v>33</v>
      </c>
      <c r="C89" s="22"/>
      <c r="D89" s="678">
        <v>0.25</v>
      </c>
      <c r="E89" s="616">
        <v>0</v>
      </c>
      <c r="F89" s="623">
        <v>0</v>
      </c>
      <c r="G89" s="21">
        <f t="shared" si="1"/>
        <v>0.25</v>
      </c>
      <c r="H89" s="678">
        <v>0.25</v>
      </c>
      <c r="I89" s="616">
        <v>0</v>
      </c>
      <c r="J89" s="623">
        <v>0</v>
      </c>
      <c r="K89" s="21">
        <f t="shared" si="6"/>
        <v>0.25</v>
      </c>
    </row>
    <row r="90" spans="1:11" x14ac:dyDescent="0.25">
      <c r="A90" s="1932"/>
      <c r="B90" s="19" t="s">
        <v>34</v>
      </c>
      <c r="C90" s="22"/>
      <c r="D90" s="678">
        <v>0.25</v>
      </c>
      <c r="E90" s="616">
        <v>0</v>
      </c>
      <c r="F90" s="623">
        <v>0</v>
      </c>
      <c r="G90" s="21">
        <f t="shared" si="1"/>
        <v>0.25</v>
      </c>
      <c r="H90" s="678">
        <v>0.25</v>
      </c>
      <c r="I90" s="616">
        <v>0</v>
      </c>
      <c r="J90" s="623">
        <v>0</v>
      </c>
      <c r="K90" s="21">
        <f t="shared" si="6"/>
        <v>0.25</v>
      </c>
    </row>
    <row r="91" spans="1:11" x14ac:dyDescent="0.25">
      <c r="A91" s="1974" t="s">
        <v>24</v>
      </c>
      <c r="B91" s="19" t="s">
        <v>32</v>
      </c>
      <c r="C91" s="22"/>
      <c r="D91" s="640">
        <v>8</v>
      </c>
      <c r="E91" s="630">
        <f t="shared" ref="E91:E96" si="7">0.5*E$3</f>
        <v>0</v>
      </c>
      <c r="F91" s="623">
        <v>0</v>
      </c>
      <c r="G91" s="21">
        <f t="shared" si="1"/>
        <v>8</v>
      </c>
      <c r="H91" s="640">
        <v>8</v>
      </c>
      <c r="I91" s="630">
        <f t="shared" ref="I91:I96" si="8">0.5*I$3</f>
        <v>0</v>
      </c>
      <c r="J91" s="623">
        <v>0</v>
      </c>
      <c r="K91" s="21">
        <f t="shared" si="6"/>
        <v>8</v>
      </c>
    </row>
    <row r="92" spans="1:11" x14ac:dyDescent="0.25">
      <c r="A92" s="1974"/>
      <c r="B92" s="19" t="s">
        <v>33</v>
      </c>
      <c r="C92" s="22"/>
      <c r="D92" s="640">
        <v>12</v>
      </c>
      <c r="E92" s="630">
        <f t="shared" si="7"/>
        <v>0</v>
      </c>
      <c r="F92" s="623">
        <v>0</v>
      </c>
      <c r="G92" s="21">
        <f t="shared" si="1"/>
        <v>12</v>
      </c>
      <c r="H92" s="640">
        <v>12</v>
      </c>
      <c r="I92" s="630">
        <f t="shared" si="8"/>
        <v>0</v>
      </c>
      <c r="J92" s="623">
        <v>0</v>
      </c>
      <c r="K92" s="21">
        <f t="shared" si="6"/>
        <v>12</v>
      </c>
    </row>
    <row r="93" spans="1:11" x14ac:dyDescent="0.25">
      <c r="A93" s="1974"/>
      <c r="B93" s="19" t="s">
        <v>34</v>
      </c>
      <c r="C93" s="22"/>
      <c r="D93" s="640">
        <v>16</v>
      </c>
      <c r="E93" s="630">
        <f t="shared" si="7"/>
        <v>0</v>
      </c>
      <c r="F93" s="623">
        <v>0</v>
      </c>
      <c r="G93" s="21">
        <f t="shared" si="1"/>
        <v>16</v>
      </c>
      <c r="H93" s="640">
        <v>16</v>
      </c>
      <c r="I93" s="630">
        <f t="shared" si="8"/>
        <v>0</v>
      </c>
      <c r="J93" s="623">
        <v>0</v>
      </c>
      <c r="K93" s="21">
        <f t="shared" si="6"/>
        <v>16</v>
      </c>
    </row>
    <row r="94" spans="1:11" x14ac:dyDescent="0.25">
      <c r="A94" s="1974" t="s">
        <v>25</v>
      </c>
      <c r="B94" s="19" t="s">
        <v>32</v>
      </c>
      <c r="C94" s="22"/>
      <c r="D94" s="640">
        <v>2</v>
      </c>
      <c r="E94" s="630">
        <f t="shared" si="7"/>
        <v>0</v>
      </c>
      <c r="F94" s="623">
        <v>0</v>
      </c>
      <c r="G94" s="21">
        <f t="shared" ref="G94:G105" si="9" xml:space="preserve"> SUM(D94:F94) + $C94</f>
        <v>2</v>
      </c>
      <c r="H94" s="640">
        <v>2</v>
      </c>
      <c r="I94" s="630">
        <f t="shared" si="8"/>
        <v>0</v>
      </c>
      <c r="J94" s="623">
        <v>0</v>
      </c>
      <c r="K94" s="21">
        <f t="shared" ref="K94:K105" si="10" xml:space="preserve"> SUM(H94:J94) + $C94</f>
        <v>2</v>
      </c>
    </row>
    <row r="95" spans="1:11" x14ac:dyDescent="0.25">
      <c r="A95" s="1974"/>
      <c r="B95" s="19" t="s">
        <v>33</v>
      </c>
      <c r="C95" s="22"/>
      <c r="D95" s="640">
        <v>4</v>
      </c>
      <c r="E95" s="630">
        <f t="shared" si="7"/>
        <v>0</v>
      </c>
      <c r="F95" s="623">
        <v>0</v>
      </c>
      <c r="G95" s="21">
        <f t="shared" si="9"/>
        <v>4</v>
      </c>
      <c r="H95" s="640">
        <v>4</v>
      </c>
      <c r="I95" s="630">
        <f t="shared" si="8"/>
        <v>0</v>
      </c>
      <c r="J95" s="623">
        <v>0</v>
      </c>
      <c r="K95" s="21">
        <f t="shared" si="10"/>
        <v>4</v>
      </c>
    </row>
    <row r="96" spans="1:11" x14ac:dyDescent="0.25">
      <c r="A96" s="1974"/>
      <c r="B96" s="19" t="s">
        <v>34</v>
      </c>
      <c r="C96" s="22"/>
      <c r="D96" s="640">
        <v>6</v>
      </c>
      <c r="E96" s="630">
        <f t="shared" si="7"/>
        <v>0</v>
      </c>
      <c r="F96" s="623">
        <v>0</v>
      </c>
      <c r="G96" s="21">
        <f t="shared" si="9"/>
        <v>6</v>
      </c>
      <c r="H96" s="640">
        <v>6</v>
      </c>
      <c r="I96" s="630">
        <f t="shared" si="8"/>
        <v>0</v>
      </c>
      <c r="J96" s="623">
        <v>0</v>
      </c>
      <c r="K96" s="21">
        <f t="shared" si="10"/>
        <v>6</v>
      </c>
    </row>
    <row r="97" spans="1:11" x14ac:dyDescent="0.25">
      <c r="A97" s="1974" t="s">
        <v>26</v>
      </c>
      <c r="B97" s="19" t="s">
        <v>32</v>
      </c>
      <c r="C97" s="22"/>
      <c r="D97" s="640">
        <v>14</v>
      </c>
      <c r="E97" s="625">
        <v>0</v>
      </c>
      <c r="F97" s="625">
        <v>0</v>
      </c>
      <c r="G97" s="21">
        <f t="shared" si="9"/>
        <v>14</v>
      </c>
      <c r="H97" s="640">
        <v>14</v>
      </c>
      <c r="I97" s="625">
        <v>0</v>
      </c>
      <c r="J97" s="625">
        <v>0</v>
      </c>
      <c r="K97" s="21">
        <f t="shared" si="10"/>
        <v>14</v>
      </c>
    </row>
    <row r="98" spans="1:11" x14ac:dyDescent="0.25">
      <c r="A98" s="1974"/>
      <c r="B98" s="19" t="s">
        <v>33</v>
      </c>
      <c r="C98" s="22"/>
      <c r="D98" s="640">
        <v>26</v>
      </c>
      <c r="E98" s="625">
        <v>0</v>
      </c>
      <c r="F98" s="625">
        <v>0</v>
      </c>
      <c r="G98" s="21">
        <f t="shared" si="9"/>
        <v>26</v>
      </c>
      <c r="H98" s="640">
        <v>26</v>
      </c>
      <c r="I98" s="625">
        <v>0</v>
      </c>
      <c r="J98" s="625">
        <v>0</v>
      </c>
      <c r="K98" s="21">
        <f t="shared" si="10"/>
        <v>26</v>
      </c>
    </row>
    <row r="99" spans="1:11" x14ac:dyDescent="0.25">
      <c r="A99" s="1974"/>
      <c r="B99" s="19" t="s">
        <v>34</v>
      </c>
      <c r="C99" s="22"/>
      <c r="D99" s="640">
        <v>34</v>
      </c>
      <c r="E99" s="625">
        <v>0</v>
      </c>
      <c r="F99" s="625">
        <v>0</v>
      </c>
      <c r="G99" s="21">
        <f t="shared" si="9"/>
        <v>34</v>
      </c>
      <c r="H99" s="640">
        <v>34</v>
      </c>
      <c r="I99" s="625">
        <v>0</v>
      </c>
      <c r="J99" s="625">
        <v>0</v>
      </c>
      <c r="K99" s="21">
        <f t="shared" si="10"/>
        <v>34</v>
      </c>
    </row>
    <row r="100" spans="1:11" x14ac:dyDescent="0.25">
      <c r="A100" s="1974" t="s">
        <v>27</v>
      </c>
      <c r="B100" s="19" t="s">
        <v>32</v>
      </c>
      <c r="C100" s="22"/>
      <c r="D100" s="640">
        <v>8</v>
      </c>
      <c r="E100" s="625">
        <v>0</v>
      </c>
      <c r="F100" s="625">
        <v>0</v>
      </c>
      <c r="G100" s="21">
        <f t="shared" si="9"/>
        <v>8</v>
      </c>
      <c r="H100" s="640">
        <v>8</v>
      </c>
      <c r="I100" s="625">
        <v>0</v>
      </c>
      <c r="J100" s="625">
        <v>0</v>
      </c>
      <c r="K100" s="21">
        <f t="shared" si="10"/>
        <v>8</v>
      </c>
    </row>
    <row r="101" spans="1:11" x14ac:dyDescent="0.25">
      <c r="A101" s="1974"/>
      <c r="B101" s="19" t="s">
        <v>33</v>
      </c>
      <c r="C101" s="22"/>
      <c r="D101" s="640">
        <v>10</v>
      </c>
      <c r="E101" s="625">
        <v>0</v>
      </c>
      <c r="F101" s="625">
        <v>0</v>
      </c>
      <c r="G101" s="21">
        <f t="shared" si="9"/>
        <v>10</v>
      </c>
      <c r="H101" s="640">
        <v>10</v>
      </c>
      <c r="I101" s="625">
        <v>0</v>
      </c>
      <c r="J101" s="625">
        <v>0</v>
      </c>
      <c r="K101" s="21">
        <f t="shared" si="10"/>
        <v>10</v>
      </c>
    </row>
    <row r="102" spans="1:11" x14ac:dyDescent="0.25">
      <c r="A102" s="1974"/>
      <c r="B102" s="19" t="s">
        <v>34</v>
      </c>
      <c r="C102" s="22"/>
      <c r="D102" s="640">
        <v>14</v>
      </c>
      <c r="E102" s="625">
        <v>0</v>
      </c>
      <c r="F102" s="625">
        <v>0</v>
      </c>
      <c r="G102" s="21">
        <f t="shared" si="9"/>
        <v>14</v>
      </c>
      <c r="H102" s="640">
        <v>14</v>
      </c>
      <c r="I102" s="625">
        <v>0</v>
      </c>
      <c r="J102" s="625">
        <v>0</v>
      </c>
      <c r="K102" s="21">
        <f t="shared" si="10"/>
        <v>14</v>
      </c>
    </row>
    <row r="103" spans="1:11" x14ac:dyDescent="0.25">
      <c r="A103" s="1907" t="s">
        <v>28</v>
      </c>
      <c r="B103" s="19" t="s">
        <v>32</v>
      </c>
      <c r="C103" s="22"/>
      <c r="D103" s="640">
        <v>4</v>
      </c>
      <c r="E103" s="628">
        <f>0.5*E$3</f>
        <v>0</v>
      </c>
      <c r="F103" s="625">
        <v>0</v>
      </c>
      <c r="G103" s="21">
        <f t="shared" si="9"/>
        <v>4</v>
      </c>
      <c r="H103" s="640">
        <v>4</v>
      </c>
      <c r="I103" s="628">
        <f>0.5*I$3</f>
        <v>0</v>
      </c>
      <c r="J103" s="625">
        <v>0</v>
      </c>
      <c r="K103" s="21">
        <f t="shared" si="10"/>
        <v>4</v>
      </c>
    </row>
    <row r="104" spans="1:11" x14ac:dyDescent="0.25">
      <c r="A104" s="1907"/>
      <c r="B104" s="19" t="s">
        <v>33</v>
      </c>
      <c r="C104" s="22"/>
      <c r="D104" s="640">
        <v>6</v>
      </c>
      <c r="E104" s="628">
        <f>0.5*E$3</f>
        <v>0</v>
      </c>
      <c r="F104" s="625">
        <v>0</v>
      </c>
      <c r="G104" s="21">
        <f t="shared" si="9"/>
        <v>6</v>
      </c>
      <c r="H104" s="640">
        <v>6</v>
      </c>
      <c r="I104" s="628">
        <f>0.5*I$3</f>
        <v>0</v>
      </c>
      <c r="J104" s="625">
        <v>0</v>
      </c>
      <c r="K104" s="21">
        <f t="shared" si="10"/>
        <v>6</v>
      </c>
    </row>
    <row r="105" spans="1:11" ht="15.75" thickBot="1" x14ac:dyDescent="0.3">
      <c r="A105" s="1975"/>
      <c r="B105" s="20" t="s">
        <v>34</v>
      </c>
      <c r="C105" s="23"/>
      <c r="D105" s="649">
        <v>8</v>
      </c>
      <c r="E105" s="657">
        <f>0.5*E$3</f>
        <v>0</v>
      </c>
      <c r="F105" s="408">
        <v>0</v>
      </c>
      <c r="G105" s="24">
        <f t="shared" si="9"/>
        <v>8</v>
      </c>
      <c r="H105" s="649">
        <v>8</v>
      </c>
      <c r="I105" s="657">
        <f>0.5*I$3</f>
        <v>0</v>
      </c>
      <c r="J105" s="408">
        <v>0</v>
      </c>
      <c r="K105" s="24">
        <f t="shared" si="10"/>
        <v>8</v>
      </c>
    </row>
    <row r="107" spans="1:11" x14ac:dyDescent="0.25">
      <c r="A107" s="125" t="s">
        <v>89</v>
      </c>
    </row>
  </sheetData>
  <mergeCells count="37">
    <mergeCell ref="A100:A102"/>
    <mergeCell ref="A103:A105"/>
    <mergeCell ref="A81:A83"/>
    <mergeCell ref="A84:A86"/>
    <mergeCell ref="A88:A90"/>
    <mergeCell ref="A91:A93"/>
    <mergeCell ref="A94:A96"/>
    <mergeCell ref="A97:A99"/>
    <mergeCell ref="A78:A80"/>
    <mergeCell ref="A31:A33"/>
    <mergeCell ref="A34:A36"/>
    <mergeCell ref="A38:A40"/>
    <mergeCell ref="A42:A44"/>
    <mergeCell ref="A45:A47"/>
    <mergeCell ref="A48:A50"/>
    <mergeCell ref="A51:A53"/>
    <mergeCell ref="A54:A56"/>
    <mergeCell ref="A57:A59"/>
    <mergeCell ref="A60:A62"/>
    <mergeCell ref="A75:A77"/>
    <mergeCell ref="A63:A65"/>
    <mergeCell ref="A66:A68"/>
    <mergeCell ref="A69:A71"/>
    <mergeCell ref="A72:A74"/>
    <mergeCell ref="A28:A30"/>
    <mergeCell ref="D1:G1"/>
    <mergeCell ref="H1:K1"/>
    <mergeCell ref="C2:C3"/>
    <mergeCell ref="G2:G3"/>
    <mergeCell ref="K2:K3"/>
    <mergeCell ref="A8:A10"/>
    <mergeCell ref="A12:A14"/>
    <mergeCell ref="A16:A18"/>
    <mergeCell ref="A19:A21"/>
    <mergeCell ref="A22:A24"/>
    <mergeCell ref="A25:A27"/>
    <mergeCell ref="A5:A7"/>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Лист16"/>
  <dimension ref="A1:O107"/>
  <sheetViews>
    <sheetView zoomScale="70" zoomScaleNormal="70" workbookViewId="0">
      <selection activeCell="L31" sqref="L31:L33"/>
    </sheetView>
  </sheetViews>
  <sheetFormatPr defaultRowHeight="15" x14ac:dyDescent="0.25"/>
  <cols>
    <col min="1" max="1" width="53.42578125" bestFit="1" customWidth="1"/>
    <col min="2" max="2" width="23.5703125" bestFit="1" customWidth="1"/>
    <col min="4" max="4" width="73.28515625" bestFit="1" customWidth="1"/>
    <col min="5" max="5" width="31" bestFit="1" customWidth="1"/>
    <col min="6" max="6" width="35.140625" bestFit="1" customWidth="1"/>
    <col min="8" max="8" width="73.28515625" customWidth="1"/>
    <col min="9" max="9" width="31" customWidth="1"/>
    <col min="10" max="10" width="35.140625" bestFit="1" customWidth="1"/>
    <col min="12" max="12" width="73.28515625" customWidth="1"/>
    <col min="13" max="13" width="31" customWidth="1"/>
    <col min="14" max="14" width="35.140625" bestFit="1" customWidth="1"/>
  </cols>
  <sheetData>
    <row r="1" spans="1:15" ht="16.5" thickBot="1" x14ac:dyDescent="0.3">
      <c r="A1" s="465" t="s">
        <v>91</v>
      </c>
      <c r="B1" s="35"/>
      <c r="C1" s="43"/>
      <c r="D1" s="1939" t="str">
        <f>'Служебный АСУТП'!W2</f>
        <v>DCAP/DAG «СПЕКТР»</v>
      </c>
      <c r="E1" s="1940"/>
      <c r="F1" s="1940"/>
      <c r="G1" s="1941"/>
      <c r="H1" s="1939" t="str">
        <f>'Служебный АСУТП'!W3</f>
        <v>Solar DAG</v>
      </c>
      <c r="I1" s="1940"/>
      <c r="J1" s="1940"/>
      <c r="K1" s="1941"/>
      <c r="L1" s="1939" t="str">
        <f>'Служебный АСУТП'!W4</f>
        <v>Makves DCAP</v>
      </c>
      <c r="M1" s="1940"/>
      <c r="N1" s="1940"/>
      <c r="O1" s="1941"/>
    </row>
    <row r="2" spans="1:15" ht="15.75" x14ac:dyDescent="0.25">
      <c r="B2" s="41" t="s">
        <v>37</v>
      </c>
      <c r="C2" s="1945" t="s">
        <v>35</v>
      </c>
      <c r="D2" s="439" t="s">
        <v>440</v>
      </c>
      <c r="E2" s="191" t="s">
        <v>570</v>
      </c>
      <c r="F2" s="191" t="s">
        <v>441</v>
      </c>
      <c r="G2" s="1942" t="s">
        <v>38</v>
      </c>
      <c r="H2" s="439" t="s">
        <v>440</v>
      </c>
      <c r="I2" s="191" t="s">
        <v>570</v>
      </c>
      <c r="J2" s="191" t="s">
        <v>441</v>
      </c>
      <c r="K2" s="1942" t="s">
        <v>38</v>
      </c>
      <c r="L2" s="439" t="s">
        <v>440</v>
      </c>
      <c r="M2" s="191" t="s">
        <v>570</v>
      </c>
      <c r="N2" s="191" t="s">
        <v>441</v>
      </c>
      <c r="O2" s="1942" t="s">
        <v>38</v>
      </c>
    </row>
    <row r="3" spans="1:15"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row>
    <row r="4" spans="1:15" ht="16.5" thickBot="1" x14ac:dyDescent="0.3">
      <c r="A4" s="326" t="s">
        <v>448</v>
      </c>
      <c r="B4" s="327"/>
      <c r="C4" s="327"/>
      <c r="D4" s="327"/>
      <c r="E4" s="327"/>
      <c r="F4" s="327"/>
      <c r="G4" s="327"/>
      <c r="H4" s="327"/>
      <c r="I4" s="327"/>
      <c r="J4" s="327"/>
      <c r="K4" s="327"/>
      <c r="L4" s="327"/>
      <c r="M4" s="327"/>
      <c r="N4" s="327"/>
      <c r="O4" s="396"/>
    </row>
    <row r="5" spans="1:15" x14ac:dyDescent="0.25">
      <c r="A5" s="1986" t="s">
        <v>0</v>
      </c>
      <c r="B5" s="135" t="s">
        <v>32</v>
      </c>
      <c r="C5" s="324"/>
      <c r="D5" s="447">
        <v>2</v>
      </c>
      <c r="E5" s="405">
        <v>0.5</v>
      </c>
      <c r="F5" s="405">
        <v>0</v>
      </c>
      <c r="G5" s="230">
        <f xml:space="preserve"> SUM(D5:F5) + $C5</f>
        <v>2.5</v>
      </c>
      <c r="H5" s="447">
        <v>2</v>
      </c>
      <c r="I5" s="405">
        <v>0.5</v>
      </c>
      <c r="J5" s="405">
        <v>0</v>
      </c>
      <c r="K5" s="230">
        <f t="shared" ref="K5:K10" si="0" xml:space="preserve"> SUM(H5:J5) + $C5</f>
        <v>2.5</v>
      </c>
      <c r="L5" s="447">
        <v>2</v>
      </c>
      <c r="M5" s="405">
        <v>0.5</v>
      </c>
      <c r="N5" s="405">
        <v>0</v>
      </c>
      <c r="O5" s="230">
        <f t="shared" ref="O5:O10" si="1" xml:space="preserve"> SUM(L5:N5) + $C5</f>
        <v>2.5</v>
      </c>
    </row>
    <row r="6" spans="1:15" x14ac:dyDescent="0.25">
      <c r="A6" s="1933"/>
      <c r="B6" s="129" t="s">
        <v>33</v>
      </c>
      <c r="C6" s="324"/>
      <c r="D6" s="446">
        <v>4</v>
      </c>
      <c r="E6" s="11">
        <v>0.5</v>
      </c>
      <c r="F6" s="11">
        <v>0</v>
      </c>
      <c r="G6" s="21">
        <f xml:space="preserve"> SUM(D6:F6) + $C6</f>
        <v>4.5</v>
      </c>
      <c r="H6" s="446">
        <v>4</v>
      </c>
      <c r="I6" s="11">
        <v>0.5</v>
      </c>
      <c r="J6" s="11">
        <v>0</v>
      </c>
      <c r="K6" s="21">
        <f t="shared" si="0"/>
        <v>4.5</v>
      </c>
      <c r="L6" s="446">
        <v>4</v>
      </c>
      <c r="M6" s="11">
        <v>0.5</v>
      </c>
      <c r="N6" s="11">
        <v>0</v>
      </c>
      <c r="O6" s="21">
        <f t="shared" si="1"/>
        <v>4.5</v>
      </c>
    </row>
    <row r="7" spans="1:15" x14ac:dyDescent="0.25">
      <c r="A7" s="1933"/>
      <c r="B7" s="129" t="s">
        <v>34</v>
      </c>
      <c r="C7" s="324"/>
      <c r="D7" s="446">
        <v>8</v>
      </c>
      <c r="E7" s="11">
        <v>0.5</v>
      </c>
      <c r="F7" s="11">
        <v>0</v>
      </c>
      <c r="G7" s="21">
        <f xml:space="preserve"> SUM(D7:F7) + $C7</f>
        <v>8.5</v>
      </c>
      <c r="H7" s="446">
        <v>8</v>
      </c>
      <c r="I7" s="11">
        <v>0.5</v>
      </c>
      <c r="J7" s="11">
        <v>0</v>
      </c>
      <c r="K7" s="21">
        <f t="shared" si="0"/>
        <v>8.5</v>
      </c>
      <c r="L7" s="446">
        <v>8</v>
      </c>
      <c r="M7" s="11">
        <v>0.5</v>
      </c>
      <c r="N7" s="11">
        <v>0</v>
      </c>
      <c r="O7" s="21">
        <f t="shared" si="1"/>
        <v>8.5</v>
      </c>
    </row>
    <row r="8" spans="1:15" x14ac:dyDescent="0.25">
      <c r="A8" s="1932" t="s">
        <v>449</v>
      </c>
      <c r="B8" s="404" t="s">
        <v>32</v>
      </c>
      <c r="C8" s="324"/>
      <c r="D8" s="447">
        <v>2</v>
      </c>
      <c r="E8" s="405">
        <v>0.5</v>
      </c>
      <c r="F8" s="405">
        <v>0</v>
      </c>
      <c r="G8" s="230">
        <f xml:space="preserve"> SUM(D8:F8) + $C8</f>
        <v>2.5</v>
      </c>
      <c r="H8" s="447">
        <v>2</v>
      </c>
      <c r="I8" s="405">
        <v>0.5</v>
      </c>
      <c r="J8" s="405">
        <v>0</v>
      </c>
      <c r="K8" s="230">
        <f t="shared" si="0"/>
        <v>2.5</v>
      </c>
      <c r="L8" s="447">
        <v>2</v>
      </c>
      <c r="M8" s="405">
        <v>0.5</v>
      </c>
      <c r="N8" s="405">
        <v>0</v>
      </c>
      <c r="O8" s="230">
        <f t="shared" si="1"/>
        <v>2.5</v>
      </c>
    </row>
    <row r="9" spans="1:15" x14ac:dyDescent="0.25">
      <c r="A9" s="1932"/>
      <c r="B9" s="19" t="s">
        <v>33</v>
      </c>
      <c r="C9" s="22"/>
      <c r="D9" s="446">
        <v>4</v>
      </c>
      <c r="E9" s="11">
        <v>0.5</v>
      </c>
      <c r="F9" s="11">
        <v>0</v>
      </c>
      <c r="G9" s="21">
        <f t="shared" ref="G9:G93" si="2" xml:space="preserve"> SUM(D9:F9) + $C9</f>
        <v>4.5</v>
      </c>
      <c r="H9" s="446">
        <v>4</v>
      </c>
      <c r="I9" s="11">
        <v>0.5</v>
      </c>
      <c r="J9" s="11">
        <v>0</v>
      </c>
      <c r="K9" s="21">
        <f t="shared" si="0"/>
        <v>4.5</v>
      </c>
      <c r="L9" s="446">
        <v>4</v>
      </c>
      <c r="M9" s="11">
        <v>0.5</v>
      </c>
      <c r="N9" s="11">
        <v>0</v>
      </c>
      <c r="O9" s="21">
        <f t="shared" si="1"/>
        <v>4.5</v>
      </c>
    </row>
    <row r="10" spans="1:15" ht="15.75" thickBot="1" x14ac:dyDescent="0.3">
      <c r="A10" s="1934"/>
      <c r="B10" s="20" t="s">
        <v>34</v>
      </c>
      <c r="C10" s="23"/>
      <c r="D10" s="446">
        <v>8</v>
      </c>
      <c r="E10" s="11">
        <v>0.5</v>
      </c>
      <c r="F10" s="11">
        <v>0</v>
      </c>
      <c r="G10" s="21">
        <f t="shared" si="2"/>
        <v>8.5</v>
      </c>
      <c r="H10" s="446">
        <v>8</v>
      </c>
      <c r="I10" s="11">
        <v>0.5</v>
      </c>
      <c r="J10" s="11">
        <v>0</v>
      </c>
      <c r="K10" s="21">
        <f t="shared" si="0"/>
        <v>8.5</v>
      </c>
      <c r="L10" s="446">
        <v>8</v>
      </c>
      <c r="M10" s="11">
        <v>0.5</v>
      </c>
      <c r="N10" s="11">
        <v>0</v>
      </c>
      <c r="O10" s="21">
        <f t="shared" si="1"/>
        <v>8.5</v>
      </c>
    </row>
    <row r="11" spans="1:15" ht="16.5" thickBot="1" x14ac:dyDescent="0.3">
      <c r="A11" s="326" t="s">
        <v>1</v>
      </c>
      <c r="B11" s="327"/>
      <c r="C11" s="327"/>
      <c r="D11" s="327"/>
      <c r="E11" s="327"/>
      <c r="F11" s="327"/>
      <c r="G11" s="327"/>
      <c r="H11" s="327"/>
      <c r="I11" s="327"/>
      <c r="J11" s="327"/>
      <c r="K11" s="327"/>
      <c r="L11" s="327"/>
      <c r="M11" s="327"/>
      <c r="N11" s="327"/>
      <c r="O11" s="396"/>
    </row>
    <row r="12" spans="1:15" x14ac:dyDescent="0.25">
      <c r="A12" s="2310" t="s">
        <v>2</v>
      </c>
      <c r="B12" s="19" t="s">
        <v>32</v>
      </c>
      <c r="C12" s="22"/>
      <c r="D12" s="123">
        <f>D$22*0.7</f>
        <v>5.6</v>
      </c>
      <c r="E12" s="123">
        <f>E$22*0.7</f>
        <v>0</v>
      </c>
      <c r="F12" s="11">
        <f>F22*0.7</f>
        <v>0</v>
      </c>
      <c r="G12" s="21">
        <f t="shared" si="2"/>
        <v>5.6</v>
      </c>
      <c r="H12" s="123">
        <f>H$22*0.7</f>
        <v>5.6</v>
      </c>
      <c r="I12" s="123">
        <f>I$22*0.7</f>
        <v>0</v>
      </c>
      <c r="J12" s="11">
        <f>J22*0.7</f>
        <v>0</v>
      </c>
      <c r="K12" s="21">
        <f xml:space="preserve"> SUM(H12:J12) + $C12</f>
        <v>5.6</v>
      </c>
      <c r="L12" s="123">
        <f>L$22*0.7</f>
        <v>5.6</v>
      </c>
      <c r="M12" s="123">
        <f>M$22*0.7</f>
        <v>0</v>
      </c>
      <c r="N12" s="11">
        <f>N22*0.7</f>
        <v>0</v>
      </c>
      <c r="O12" s="21">
        <f xml:space="preserve"> SUM(L12:N12) + $C12</f>
        <v>5.6</v>
      </c>
    </row>
    <row r="13" spans="1:15" x14ac:dyDescent="0.25">
      <c r="A13" s="1932"/>
      <c r="B13" s="19" t="s">
        <v>33</v>
      </c>
      <c r="C13" s="22"/>
      <c r="D13" s="123">
        <f>D$23*0.7</f>
        <v>8.3999999999999986</v>
      </c>
      <c r="E13" s="123">
        <f>E$23*0.7</f>
        <v>0</v>
      </c>
      <c r="F13" s="11">
        <f>F23*0.7</f>
        <v>0</v>
      </c>
      <c r="G13" s="21">
        <f t="shared" si="2"/>
        <v>8.3999999999999986</v>
      </c>
      <c r="H13" s="123">
        <f>H$23*0.7</f>
        <v>8.3999999999999986</v>
      </c>
      <c r="I13" s="123">
        <f>I$23*0.7</f>
        <v>0</v>
      </c>
      <c r="J13" s="11">
        <f>J23*0.7</f>
        <v>0</v>
      </c>
      <c r="K13" s="21">
        <f xml:space="preserve"> SUM(H13:J13) + $C13</f>
        <v>8.3999999999999986</v>
      </c>
      <c r="L13" s="123">
        <f>L$23*0.7</f>
        <v>8.3999999999999986</v>
      </c>
      <c r="M13" s="123">
        <f>M$23*0.7</f>
        <v>0</v>
      </c>
      <c r="N13" s="11">
        <f>N23*0.7</f>
        <v>0</v>
      </c>
      <c r="O13" s="21">
        <f xml:space="preserve"> SUM(L13:N13) + $C13</f>
        <v>8.3999999999999986</v>
      </c>
    </row>
    <row r="14" spans="1:15" ht="15.75" thickBot="1" x14ac:dyDescent="0.3">
      <c r="A14" s="1932"/>
      <c r="B14" s="13" t="s">
        <v>34</v>
      </c>
      <c r="C14" s="34"/>
      <c r="D14" s="123">
        <f>D$24*0.7</f>
        <v>9.7999999999999989</v>
      </c>
      <c r="E14" s="123">
        <f>E$24*0.7</f>
        <v>0</v>
      </c>
      <c r="F14" s="11">
        <f>F24*0.7</f>
        <v>0</v>
      </c>
      <c r="G14" s="21">
        <f t="shared" si="2"/>
        <v>9.7999999999999989</v>
      </c>
      <c r="H14" s="123">
        <f>H$24*0.7</f>
        <v>9.7999999999999989</v>
      </c>
      <c r="I14" s="123">
        <f>I$24*0.7</f>
        <v>0</v>
      </c>
      <c r="J14" s="11">
        <f>J24*0.7</f>
        <v>0</v>
      </c>
      <c r="K14" s="21">
        <f xml:space="preserve"> SUM(H14:J14) + $C14</f>
        <v>9.7999999999999989</v>
      </c>
      <c r="L14" s="123">
        <f>L$24*0.7</f>
        <v>9.7999999999999989</v>
      </c>
      <c r="M14" s="123">
        <f>M$24*0.7</f>
        <v>0</v>
      </c>
      <c r="N14" s="11">
        <f>N24*0.7</f>
        <v>0</v>
      </c>
      <c r="O14" s="21">
        <f xml:space="preserve"> SUM(L14:N14) + $C14</f>
        <v>9.7999999999999989</v>
      </c>
    </row>
    <row r="15" spans="1:15" ht="16.5" thickBot="1" x14ac:dyDescent="0.3">
      <c r="A15" s="326" t="s">
        <v>3</v>
      </c>
      <c r="B15" s="327"/>
      <c r="C15" s="327"/>
      <c r="D15" s="327"/>
      <c r="E15" s="327"/>
      <c r="F15" s="327"/>
      <c r="G15" s="327"/>
      <c r="H15" s="327"/>
      <c r="I15" s="327"/>
      <c r="J15" s="327"/>
      <c r="K15" s="327"/>
      <c r="L15" s="327"/>
      <c r="M15" s="327"/>
      <c r="N15" s="327"/>
      <c r="O15" s="396"/>
    </row>
    <row r="16" spans="1:15" x14ac:dyDescent="0.25">
      <c r="A16" s="1937" t="s">
        <v>4</v>
      </c>
      <c r="B16" s="18" t="s">
        <v>32</v>
      </c>
      <c r="C16" s="22"/>
      <c r="D16" s="38">
        <v>0.25</v>
      </c>
      <c r="E16" s="15">
        <v>0</v>
      </c>
      <c r="F16" s="33">
        <v>0</v>
      </c>
      <c r="G16" s="21">
        <f t="shared" si="2"/>
        <v>0.25</v>
      </c>
      <c r="H16" s="38">
        <v>0.25</v>
      </c>
      <c r="I16" s="15">
        <v>0</v>
      </c>
      <c r="J16" s="33">
        <v>0</v>
      </c>
      <c r="K16" s="21">
        <f t="shared" ref="K16:K36" si="3" xml:space="preserve"> SUM(H16:J16) + $C16</f>
        <v>0.25</v>
      </c>
      <c r="L16" s="38">
        <v>0.25</v>
      </c>
      <c r="M16" s="15">
        <v>0</v>
      </c>
      <c r="N16" s="33">
        <v>0</v>
      </c>
      <c r="O16" s="21">
        <f t="shared" ref="O16:O36" si="4" xml:space="preserve"> SUM(L16:N16) + $C16</f>
        <v>0.25</v>
      </c>
    </row>
    <row r="17" spans="1:15" x14ac:dyDescent="0.25">
      <c r="A17" s="1937"/>
      <c r="B17" s="18" t="s">
        <v>33</v>
      </c>
      <c r="C17" s="22"/>
      <c r="D17" s="38">
        <v>0.25</v>
      </c>
      <c r="E17" s="15">
        <v>0</v>
      </c>
      <c r="F17" s="33">
        <v>0</v>
      </c>
      <c r="G17" s="21">
        <f t="shared" si="2"/>
        <v>0.25</v>
      </c>
      <c r="H17" s="38">
        <v>0.25</v>
      </c>
      <c r="I17" s="15">
        <v>0</v>
      </c>
      <c r="J17" s="33">
        <v>0</v>
      </c>
      <c r="K17" s="21">
        <f t="shared" si="3"/>
        <v>0.25</v>
      </c>
      <c r="L17" s="38">
        <v>0.25</v>
      </c>
      <c r="M17" s="15">
        <v>0</v>
      </c>
      <c r="N17" s="33">
        <v>0</v>
      </c>
      <c r="O17" s="21">
        <f t="shared" si="4"/>
        <v>0.25</v>
      </c>
    </row>
    <row r="18" spans="1:15" x14ac:dyDescent="0.25">
      <c r="A18" s="1937"/>
      <c r="B18" s="18" t="s">
        <v>34</v>
      </c>
      <c r="C18" s="22"/>
      <c r="D18" s="38">
        <v>0.25</v>
      </c>
      <c r="E18" s="15">
        <v>0</v>
      </c>
      <c r="F18" s="33">
        <v>0</v>
      </c>
      <c r="G18" s="21">
        <f t="shared" si="2"/>
        <v>0.25</v>
      </c>
      <c r="H18" s="38">
        <v>0.25</v>
      </c>
      <c r="I18" s="15">
        <v>0</v>
      </c>
      <c r="J18" s="33">
        <v>0</v>
      </c>
      <c r="K18" s="21">
        <f t="shared" si="3"/>
        <v>0.25</v>
      </c>
      <c r="L18" s="38">
        <v>0.25</v>
      </c>
      <c r="M18" s="15">
        <v>0</v>
      </c>
      <c r="N18" s="33">
        <v>0</v>
      </c>
      <c r="O18" s="21">
        <f t="shared" si="4"/>
        <v>0.25</v>
      </c>
    </row>
    <row r="19" spans="1:15" x14ac:dyDescent="0.25">
      <c r="A19" s="1937" t="s">
        <v>5</v>
      </c>
      <c r="B19" s="19" t="s">
        <v>32</v>
      </c>
      <c r="C19" s="22"/>
      <c r="D19" s="38">
        <v>1</v>
      </c>
      <c r="E19" s="15">
        <v>0</v>
      </c>
      <c r="F19" s="33">
        <v>0</v>
      </c>
      <c r="G19" s="21">
        <f t="shared" si="2"/>
        <v>1</v>
      </c>
      <c r="H19" s="38">
        <v>1</v>
      </c>
      <c r="I19" s="15">
        <v>0</v>
      </c>
      <c r="J19" s="33">
        <v>0</v>
      </c>
      <c r="K19" s="21">
        <f t="shared" si="3"/>
        <v>1</v>
      </c>
      <c r="L19" s="38">
        <v>1</v>
      </c>
      <c r="M19" s="15">
        <v>0</v>
      </c>
      <c r="N19" s="33">
        <v>0</v>
      </c>
      <c r="O19" s="21">
        <f t="shared" si="4"/>
        <v>1</v>
      </c>
    </row>
    <row r="20" spans="1:15" x14ac:dyDescent="0.25">
      <c r="A20" s="1937"/>
      <c r="B20" s="19" t="s">
        <v>33</v>
      </c>
      <c r="C20" s="22"/>
      <c r="D20" s="38">
        <v>2</v>
      </c>
      <c r="E20" s="15">
        <v>0</v>
      </c>
      <c r="F20" s="33">
        <v>0</v>
      </c>
      <c r="G20" s="21">
        <f t="shared" si="2"/>
        <v>2</v>
      </c>
      <c r="H20" s="38">
        <v>2</v>
      </c>
      <c r="I20" s="15">
        <v>0</v>
      </c>
      <c r="J20" s="33">
        <v>0</v>
      </c>
      <c r="K20" s="21">
        <f t="shared" si="3"/>
        <v>2</v>
      </c>
      <c r="L20" s="38">
        <v>2</v>
      </c>
      <c r="M20" s="15">
        <v>0</v>
      </c>
      <c r="N20" s="33">
        <v>0</v>
      </c>
      <c r="O20" s="21">
        <f t="shared" si="4"/>
        <v>2</v>
      </c>
    </row>
    <row r="21" spans="1:15" x14ac:dyDescent="0.25">
      <c r="A21" s="1937"/>
      <c r="B21" s="19" t="s">
        <v>34</v>
      </c>
      <c r="C21" s="22"/>
      <c r="D21" s="38">
        <v>3</v>
      </c>
      <c r="E21" s="15">
        <v>0</v>
      </c>
      <c r="F21" s="33">
        <v>0</v>
      </c>
      <c r="G21" s="21">
        <f t="shared" si="2"/>
        <v>3</v>
      </c>
      <c r="H21" s="38">
        <v>3</v>
      </c>
      <c r="I21" s="15">
        <v>0</v>
      </c>
      <c r="J21" s="33">
        <v>0</v>
      </c>
      <c r="K21" s="21">
        <f t="shared" si="3"/>
        <v>3</v>
      </c>
      <c r="L21" s="38">
        <v>3</v>
      </c>
      <c r="M21" s="15">
        <v>0</v>
      </c>
      <c r="N21" s="33">
        <v>0</v>
      </c>
      <c r="O21" s="21">
        <f t="shared" si="4"/>
        <v>3</v>
      </c>
    </row>
    <row r="22" spans="1:15" x14ac:dyDescent="0.25">
      <c r="A22" s="1937" t="s">
        <v>6</v>
      </c>
      <c r="B22" s="19" t="s">
        <v>32</v>
      </c>
      <c r="C22" s="22"/>
      <c r="D22" s="11">
        <v>8</v>
      </c>
      <c r="E22" s="123">
        <f>2*E$3</f>
        <v>0</v>
      </c>
      <c r="F22" s="11">
        <v>0</v>
      </c>
      <c r="G22" s="21">
        <f t="shared" si="2"/>
        <v>8</v>
      </c>
      <c r="H22" s="11">
        <v>8</v>
      </c>
      <c r="I22" s="123">
        <f>2*I$3</f>
        <v>0</v>
      </c>
      <c r="J22" s="11">
        <v>0</v>
      </c>
      <c r="K22" s="21">
        <f t="shared" si="3"/>
        <v>8</v>
      </c>
      <c r="L22" s="11">
        <v>8</v>
      </c>
      <c r="M22" s="123">
        <f>2*M$3</f>
        <v>0</v>
      </c>
      <c r="N22" s="11">
        <v>0</v>
      </c>
      <c r="O22" s="21">
        <f t="shared" si="4"/>
        <v>8</v>
      </c>
    </row>
    <row r="23" spans="1:15" x14ac:dyDescent="0.25">
      <c r="A23" s="1937"/>
      <c r="B23" s="19" t="s">
        <v>33</v>
      </c>
      <c r="C23" s="22"/>
      <c r="D23" s="11">
        <v>12</v>
      </c>
      <c r="E23" s="123">
        <f>2*E$3</f>
        <v>0</v>
      </c>
      <c r="F23" s="11">
        <v>0</v>
      </c>
      <c r="G23" s="21">
        <f t="shared" si="2"/>
        <v>12</v>
      </c>
      <c r="H23" s="11">
        <v>12</v>
      </c>
      <c r="I23" s="123">
        <f>2*I$3</f>
        <v>0</v>
      </c>
      <c r="J23" s="11">
        <v>0</v>
      </c>
      <c r="K23" s="21">
        <f t="shared" si="3"/>
        <v>12</v>
      </c>
      <c r="L23" s="11">
        <v>12</v>
      </c>
      <c r="M23" s="123">
        <f>2*M$3</f>
        <v>0</v>
      </c>
      <c r="N23" s="11">
        <v>0</v>
      </c>
      <c r="O23" s="21">
        <f t="shared" si="4"/>
        <v>12</v>
      </c>
    </row>
    <row r="24" spans="1:15" x14ac:dyDescent="0.25">
      <c r="A24" s="1937"/>
      <c r="B24" s="19" t="s">
        <v>34</v>
      </c>
      <c r="C24" s="22"/>
      <c r="D24" s="11">
        <v>14</v>
      </c>
      <c r="E24" s="123">
        <f>2*E$3</f>
        <v>0</v>
      </c>
      <c r="F24" s="11">
        <v>0</v>
      </c>
      <c r="G24" s="21">
        <f t="shared" si="2"/>
        <v>14</v>
      </c>
      <c r="H24" s="11">
        <v>14</v>
      </c>
      <c r="I24" s="123">
        <f>2*I$3</f>
        <v>0</v>
      </c>
      <c r="J24" s="11">
        <v>0</v>
      </c>
      <c r="K24" s="21">
        <f t="shared" si="3"/>
        <v>14</v>
      </c>
      <c r="L24" s="11">
        <v>14</v>
      </c>
      <c r="M24" s="123">
        <f>2*M$3</f>
        <v>0</v>
      </c>
      <c r="N24" s="11">
        <v>0</v>
      </c>
      <c r="O24" s="21">
        <f t="shared" si="4"/>
        <v>14</v>
      </c>
    </row>
    <row r="25" spans="1:15" x14ac:dyDescent="0.25">
      <c r="A25" s="1937" t="s">
        <v>7</v>
      </c>
      <c r="B25" s="19" t="s">
        <v>32</v>
      </c>
      <c r="C25" s="22"/>
      <c r="D25" s="38">
        <v>4</v>
      </c>
      <c r="E25" s="15">
        <v>0</v>
      </c>
      <c r="F25" s="33">
        <v>0</v>
      </c>
      <c r="G25" s="21">
        <f t="shared" si="2"/>
        <v>4</v>
      </c>
      <c r="H25" s="38">
        <v>4</v>
      </c>
      <c r="I25" s="15">
        <v>0</v>
      </c>
      <c r="J25" s="33">
        <v>0</v>
      </c>
      <c r="K25" s="21">
        <f t="shared" si="3"/>
        <v>4</v>
      </c>
      <c r="L25" s="38">
        <v>4</v>
      </c>
      <c r="M25" s="15">
        <v>0</v>
      </c>
      <c r="N25" s="33">
        <v>0</v>
      </c>
      <c r="O25" s="21">
        <f t="shared" si="4"/>
        <v>4</v>
      </c>
    </row>
    <row r="26" spans="1:15" x14ac:dyDescent="0.25">
      <c r="A26" s="1937"/>
      <c r="B26" s="19" t="s">
        <v>33</v>
      </c>
      <c r="C26" s="22"/>
      <c r="D26" s="38">
        <v>6</v>
      </c>
      <c r="E26" s="15">
        <v>0</v>
      </c>
      <c r="F26" s="33">
        <v>0</v>
      </c>
      <c r="G26" s="21">
        <f t="shared" si="2"/>
        <v>6</v>
      </c>
      <c r="H26" s="38">
        <v>6</v>
      </c>
      <c r="I26" s="15">
        <v>0</v>
      </c>
      <c r="J26" s="33">
        <v>0</v>
      </c>
      <c r="K26" s="21">
        <f t="shared" si="3"/>
        <v>6</v>
      </c>
      <c r="L26" s="38">
        <v>6</v>
      </c>
      <c r="M26" s="15">
        <v>0</v>
      </c>
      <c r="N26" s="33">
        <v>0</v>
      </c>
      <c r="O26" s="21">
        <f t="shared" si="4"/>
        <v>6</v>
      </c>
    </row>
    <row r="27" spans="1:15" x14ac:dyDescent="0.25">
      <c r="A27" s="1937"/>
      <c r="B27" s="19" t="s">
        <v>34</v>
      </c>
      <c r="C27" s="22"/>
      <c r="D27" s="38">
        <v>8</v>
      </c>
      <c r="E27" s="15">
        <v>0</v>
      </c>
      <c r="F27" s="33">
        <v>0</v>
      </c>
      <c r="G27" s="21">
        <f t="shared" si="2"/>
        <v>8</v>
      </c>
      <c r="H27" s="38">
        <v>8</v>
      </c>
      <c r="I27" s="15">
        <v>0</v>
      </c>
      <c r="J27" s="33">
        <v>0</v>
      </c>
      <c r="K27" s="21">
        <f t="shared" si="3"/>
        <v>8</v>
      </c>
      <c r="L27" s="38">
        <v>8</v>
      </c>
      <c r="M27" s="15">
        <v>0</v>
      </c>
      <c r="N27" s="33">
        <v>0</v>
      </c>
      <c r="O27" s="21">
        <f t="shared" si="4"/>
        <v>8</v>
      </c>
    </row>
    <row r="28" spans="1:15" x14ac:dyDescent="0.25">
      <c r="A28" s="1937" t="s">
        <v>8</v>
      </c>
      <c r="B28" s="19" t="s">
        <v>32</v>
      </c>
      <c r="C28" s="22"/>
      <c r="D28" s="38">
        <v>3</v>
      </c>
      <c r="E28" s="15">
        <v>0</v>
      </c>
      <c r="F28" s="33">
        <v>0</v>
      </c>
      <c r="G28" s="21">
        <f t="shared" si="2"/>
        <v>3</v>
      </c>
      <c r="H28" s="38">
        <v>3</v>
      </c>
      <c r="I28" s="15">
        <v>0</v>
      </c>
      <c r="J28" s="33">
        <v>0</v>
      </c>
      <c r="K28" s="21">
        <f t="shared" si="3"/>
        <v>3</v>
      </c>
      <c r="L28" s="38">
        <v>3</v>
      </c>
      <c r="M28" s="15">
        <v>0</v>
      </c>
      <c r="N28" s="33">
        <v>0</v>
      </c>
      <c r="O28" s="21">
        <f t="shared" si="4"/>
        <v>3</v>
      </c>
    </row>
    <row r="29" spans="1:15" x14ac:dyDescent="0.25">
      <c r="A29" s="1937"/>
      <c r="B29" s="19" t="s">
        <v>33</v>
      </c>
      <c r="C29" s="22"/>
      <c r="D29" s="38">
        <v>4</v>
      </c>
      <c r="E29" s="15">
        <v>0</v>
      </c>
      <c r="F29" s="33">
        <v>0</v>
      </c>
      <c r="G29" s="21">
        <f t="shared" si="2"/>
        <v>4</v>
      </c>
      <c r="H29" s="38">
        <v>4</v>
      </c>
      <c r="I29" s="15">
        <v>0</v>
      </c>
      <c r="J29" s="33">
        <v>0</v>
      </c>
      <c r="K29" s="21">
        <f t="shared" si="3"/>
        <v>4</v>
      </c>
      <c r="L29" s="38">
        <v>4</v>
      </c>
      <c r="M29" s="15">
        <v>0</v>
      </c>
      <c r="N29" s="33">
        <v>0</v>
      </c>
      <c r="O29" s="21">
        <f t="shared" si="4"/>
        <v>4</v>
      </c>
    </row>
    <row r="30" spans="1:15" x14ac:dyDescent="0.25">
      <c r="A30" s="1937"/>
      <c r="B30" s="19" t="s">
        <v>34</v>
      </c>
      <c r="C30" s="22"/>
      <c r="D30" s="38">
        <v>6</v>
      </c>
      <c r="E30" s="15">
        <v>0</v>
      </c>
      <c r="F30" s="33">
        <v>0</v>
      </c>
      <c r="G30" s="21">
        <f t="shared" si="2"/>
        <v>6</v>
      </c>
      <c r="H30" s="38">
        <v>6</v>
      </c>
      <c r="I30" s="15">
        <v>0</v>
      </c>
      <c r="J30" s="33">
        <v>0</v>
      </c>
      <c r="K30" s="21">
        <f t="shared" si="3"/>
        <v>6</v>
      </c>
      <c r="L30" s="38">
        <v>6</v>
      </c>
      <c r="M30" s="15">
        <v>0</v>
      </c>
      <c r="N30" s="33">
        <v>0</v>
      </c>
      <c r="O30" s="21">
        <f t="shared" si="4"/>
        <v>6</v>
      </c>
    </row>
    <row r="31" spans="1:15" x14ac:dyDescent="0.25">
      <c r="A31" s="1937" t="s">
        <v>9</v>
      </c>
      <c r="B31" s="19" t="s">
        <v>32</v>
      </c>
      <c r="C31" s="22"/>
      <c r="D31" s="124">
        <f>1+(0.5*D$3)</f>
        <v>1</v>
      </c>
      <c r="E31" s="15">
        <v>0</v>
      </c>
      <c r="F31" s="15">
        <v>0</v>
      </c>
      <c r="G31" s="21">
        <f t="shared" si="2"/>
        <v>1</v>
      </c>
      <c r="H31" s="124">
        <f>1+(0.5*H$3)</f>
        <v>1</v>
      </c>
      <c r="I31" s="15">
        <v>0</v>
      </c>
      <c r="J31" s="15">
        <v>0</v>
      </c>
      <c r="K31" s="21">
        <f t="shared" si="3"/>
        <v>1</v>
      </c>
      <c r="L31" s="124">
        <f>1+(0.5*L$3)</f>
        <v>1</v>
      </c>
      <c r="M31" s="15">
        <v>0</v>
      </c>
      <c r="N31" s="15">
        <v>0</v>
      </c>
      <c r="O31" s="21">
        <f t="shared" si="4"/>
        <v>1</v>
      </c>
    </row>
    <row r="32" spans="1:15" x14ac:dyDescent="0.25">
      <c r="A32" s="1937"/>
      <c r="B32" s="19" t="s">
        <v>33</v>
      </c>
      <c r="C32" s="22"/>
      <c r="D32" s="124">
        <f>3+(0.5*D$3)</f>
        <v>3</v>
      </c>
      <c r="E32" s="15">
        <v>0</v>
      </c>
      <c r="F32" s="15">
        <v>0</v>
      </c>
      <c r="G32" s="21">
        <f t="shared" si="2"/>
        <v>3</v>
      </c>
      <c r="H32" s="124">
        <f>3+(0.5*H$3)</f>
        <v>3</v>
      </c>
      <c r="I32" s="15">
        <v>0</v>
      </c>
      <c r="J32" s="15">
        <v>0</v>
      </c>
      <c r="K32" s="21">
        <f t="shared" si="3"/>
        <v>3</v>
      </c>
      <c r="L32" s="124">
        <f>3+(0.5*L$3)</f>
        <v>3</v>
      </c>
      <c r="M32" s="15">
        <v>0</v>
      </c>
      <c r="N32" s="15">
        <v>0</v>
      </c>
      <c r="O32" s="21">
        <f t="shared" si="4"/>
        <v>3</v>
      </c>
    </row>
    <row r="33" spans="1:15" x14ac:dyDescent="0.25">
      <c r="A33" s="1937"/>
      <c r="B33" s="19" t="s">
        <v>34</v>
      </c>
      <c r="C33" s="22"/>
      <c r="D33" s="124">
        <f>5+(0.5*D$3)</f>
        <v>5</v>
      </c>
      <c r="E33" s="15">
        <v>0</v>
      </c>
      <c r="F33" s="15">
        <v>0</v>
      </c>
      <c r="G33" s="21">
        <f t="shared" si="2"/>
        <v>5</v>
      </c>
      <c r="H33" s="124">
        <f>5+(0.5*H$3)</f>
        <v>5</v>
      </c>
      <c r="I33" s="15">
        <v>0</v>
      </c>
      <c r="J33" s="15">
        <v>0</v>
      </c>
      <c r="K33" s="21">
        <f t="shared" si="3"/>
        <v>5</v>
      </c>
      <c r="L33" s="124">
        <f>5+(0.5*L$3)</f>
        <v>5</v>
      </c>
      <c r="M33" s="15">
        <v>0</v>
      </c>
      <c r="N33" s="15">
        <v>0</v>
      </c>
      <c r="O33" s="21">
        <f t="shared" si="4"/>
        <v>5</v>
      </c>
    </row>
    <row r="34" spans="1:15" x14ac:dyDescent="0.25">
      <c r="A34" s="1937" t="s">
        <v>10</v>
      </c>
      <c r="B34" s="19" t="s">
        <v>32</v>
      </c>
      <c r="C34" s="22"/>
      <c r="D34" s="38">
        <v>2</v>
      </c>
      <c r="E34" s="15">
        <v>0</v>
      </c>
      <c r="F34" s="15">
        <v>0</v>
      </c>
      <c r="G34" s="21">
        <f t="shared" si="2"/>
        <v>2</v>
      </c>
      <c r="H34" s="38">
        <v>2</v>
      </c>
      <c r="I34" s="15">
        <v>0</v>
      </c>
      <c r="J34" s="15">
        <v>0</v>
      </c>
      <c r="K34" s="21">
        <f t="shared" si="3"/>
        <v>2</v>
      </c>
      <c r="L34" s="38">
        <v>2</v>
      </c>
      <c r="M34" s="15">
        <v>0</v>
      </c>
      <c r="N34" s="15">
        <v>0</v>
      </c>
      <c r="O34" s="21">
        <f t="shared" si="4"/>
        <v>2</v>
      </c>
    </row>
    <row r="35" spans="1:15" x14ac:dyDescent="0.25">
      <c r="A35" s="1937"/>
      <c r="B35" s="19" t="s">
        <v>33</v>
      </c>
      <c r="C35" s="22"/>
      <c r="D35" s="38">
        <v>2</v>
      </c>
      <c r="E35" s="15">
        <v>0</v>
      </c>
      <c r="F35" s="15">
        <v>0</v>
      </c>
      <c r="G35" s="21">
        <f t="shared" si="2"/>
        <v>2</v>
      </c>
      <c r="H35" s="38">
        <v>2</v>
      </c>
      <c r="I35" s="15">
        <v>0</v>
      </c>
      <c r="J35" s="15">
        <v>0</v>
      </c>
      <c r="K35" s="21">
        <f t="shared" si="3"/>
        <v>2</v>
      </c>
      <c r="L35" s="38">
        <v>2</v>
      </c>
      <c r="M35" s="15">
        <v>0</v>
      </c>
      <c r="N35" s="15">
        <v>0</v>
      </c>
      <c r="O35" s="21">
        <f t="shared" si="4"/>
        <v>2</v>
      </c>
    </row>
    <row r="36" spans="1:15" ht="15.75" thickBot="1" x14ac:dyDescent="0.3">
      <c r="A36" s="1938"/>
      <c r="B36" s="13" t="s">
        <v>34</v>
      </c>
      <c r="C36" s="34"/>
      <c r="D36" s="38">
        <v>2</v>
      </c>
      <c r="E36" s="15">
        <v>0</v>
      </c>
      <c r="F36" s="15">
        <v>0</v>
      </c>
      <c r="G36" s="21">
        <f t="shared" si="2"/>
        <v>2</v>
      </c>
      <c r="H36" s="38">
        <v>2</v>
      </c>
      <c r="I36" s="15">
        <v>0</v>
      </c>
      <c r="J36" s="15">
        <v>0</v>
      </c>
      <c r="K36" s="21">
        <f t="shared" si="3"/>
        <v>2</v>
      </c>
      <c r="L36" s="38">
        <v>2</v>
      </c>
      <c r="M36" s="15">
        <v>0</v>
      </c>
      <c r="N36" s="15">
        <v>0</v>
      </c>
      <c r="O36" s="21">
        <f t="shared" si="4"/>
        <v>2</v>
      </c>
    </row>
    <row r="37" spans="1:15" ht="16.5" thickBot="1" x14ac:dyDescent="0.3">
      <c r="A37" s="326" t="s">
        <v>11</v>
      </c>
      <c r="B37" s="327"/>
      <c r="C37" s="327"/>
      <c r="D37" s="327"/>
      <c r="E37" s="327"/>
      <c r="F37" s="327"/>
      <c r="G37" s="327"/>
      <c r="H37" s="327"/>
      <c r="I37" s="327"/>
      <c r="J37" s="327"/>
      <c r="K37" s="327"/>
      <c r="L37" s="327"/>
      <c r="M37" s="327"/>
      <c r="N37" s="327"/>
      <c r="O37" s="396"/>
    </row>
    <row r="38" spans="1:15" x14ac:dyDescent="0.25">
      <c r="A38" s="1932" t="s">
        <v>12</v>
      </c>
      <c r="B38" s="19" t="s">
        <v>32</v>
      </c>
      <c r="C38" s="22"/>
      <c r="D38" s="11">
        <v>8</v>
      </c>
      <c r="E38" s="123">
        <f>2*E$3</f>
        <v>0</v>
      </c>
      <c r="F38" s="11">
        <v>0</v>
      </c>
      <c r="G38" s="21">
        <f t="shared" si="2"/>
        <v>8</v>
      </c>
      <c r="H38" s="11">
        <v>8</v>
      </c>
      <c r="I38" s="123">
        <f>2*I$3</f>
        <v>0</v>
      </c>
      <c r="J38" s="11">
        <v>0</v>
      </c>
      <c r="K38" s="21">
        <f xml:space="preserve"> SUM(H38:J38) + $C38</f>
        <v>8</v>
      </c>
      <c r="L38" s="11">
        <v>8</v>
      </c>
      <c r="M38" s="123">
        <f>2*M$3</f>
        <v>0</v>
      </c>
      <c r="N38" s="11">
        <v>0</v>
      </c>
      <c r="O38" s="21">
        <f xml:space="preserve"> SUM(L38:N38) + $C38</f>
        <v>8</v>
      </c>
    </row>
    <row r="39" spans="1:15" x14ac:dyDescent="0.25">
      <c r="A39" s="1932"/>
      <c r="B39" s="19" t="s">
        <v>33</v>
      </c>
      <c r="C39" s="22"/>
      <c r="D39" s="11">
        <v>12</v>
      </c>
      <c r="E39" s="123">
        <f>2*E$3</f>
        <v>0</v>
      </c>
      <c r="F39" s="11">
        <v>0</v>
      </c>
      <c r="G39" s="21">
        <f t="shared" si="2"/>
        <v>12</v>
      </c>
      <c r="H39" s="11">
        <v>12</v>
      </c>
      <c r="I39" s="123">
        <f>2*I$3</f>
        <v>0</v>
      </c>
      <c r="J39" s="11">
        <v>0</v>
      </c>
      <c r="K39" s="21">
        <f xml:space="preserve"> SUM(H39:J39) + $C39</f>
        <v>12</v>
      </c>
      <c r="L39" s="11">
        <v>12</v>
      </c>
      <c r="M39" s="123">
        <f>2*M$3</f>
        <v>0</v>
      </c>
      <c r="N39" s="11">
        <v>0</v>
      </c>
      <c r="O39" s="21">
        <f xml:space="preserve"> SUM(L39:N39) + $C39</f>
        <v>12</v>
      </c>
    </row>
    <row r="40" spans="1:15" ht="15.75" thickBot="1" x14ac:dyDescent="0.3">
      <c r="A40" s="1932"/>
      <c r="B40" s="13" t="s">
        <v>34</v>
      </c>
      <c r="C40" s="34"/>
      <c r="D40" s="11">
        <v>14</v>
      </c>
      <c r="E40" s="123">
        <f>2*E$3</f>
        <v>0</v>
      </c>
      <c r="F40" s="11">
        <v>0</v>
      </c>
      <c r="G40" s="21">
        <f t="shared" si="2"/>
        <v>14</v>
      </c>
      <c r="H40" s="11">
        <v>14</v>
      </c>
      <c r="I40" s="123">
        <f>2*I$3</f>
        <v>0</v>
      </c>
      <c r="J40" s="11">
        <v>0</v>
      </c>
      <c r="K40" s="21">
        <f xml:space="preserve"> SUM(H40:J40) + $C40</f>
        <v>14</v>
      </c>
      <c r="L40" s="11">
        <v>14</v>
      </c>
      <c r="M40" s="123">
        <f>2*M$3</f>
        <v>0</v>
      </c>
      <c r="N40" s="11">
        <v>0</v>
      </c>
      <c r="O40" s="21">
        <f xml:space="preserve"> SUM(L40:N40) + $C40</f>
        <v>14</v>
      </c>
    </row>
    <row r="41" spans="1:15" ht="16.5" thickBot="1" x14ac:dyDescent="0.3">
      <c r="A41" s="326" t="s">
        <v>13</v>
      </c>
      <c r="B41" s="327"/>
      <c r="C41" s="327"/>
      <c r="D41" s="327"/>
      <c r="E41" s="327"/>
      <c r="F41" s="327"/>
      <c r="G41" s="327"/>
      <c r="H41" s="327"/>
      <c r="I41" s="327"/>
      <c r="J41" s="327"/>
      <c r="K41" s="327"/>
      <c r="L41" s="327"/>
      <c r="M41" s="327"/>
      <c r="N41" s="327"/>
      <c r="O41" s="396"/>
    </row>
    <row r="42" spans="1:15" x14ac:dyDescent="0.25">
      <c r="A42" s="1932" t="s">
        <v>14</v>
      </c>
      <c r="B42" s="19" t="s">
        <v>32</v>
      </c>
      <c r="C42" s="22"/>
      <c r="D42" s="38">
        <v>1</v>
      </c>
      <c r="E42" s="15">
        <v>0</v>
      </c>
      <c r="F42" s="33">
        <v>0</v>
      </c>
      <c r="G42" s="21">
        <f t="shared" si="2"/>
        <v>1</v>
      </c>
      <c r="H42" s="38">
        <v>1</v>
      </c>
      <c r="I42" s="15">
        <v>0</v>
      </c>
      <c r="J42" s="33">
        <v>0</v>
      </c>
      <c r="K42" s="21">
        <f t="shared" ref="K42:K86" si="5" xml:space="preserve"> SUM(H42:J42) + $C42</f>
        <v>1</v>
      </c>
      <c r="L42" s="38">
        <v>1</v>
      </c>
      <c r="M42" s="15">
        <v>0</v>
      </c>
      <c r="N42" s="33">
        <v>0</v>
      </c>
      <c r="O42" s="21">
        <f t="shared" ref="O42:O86" si="6" xml:space="preserve"> SUM(L42:N42) + $C42</f>
        <v>1</v>
      </c>
    </row>
    <row r="43" spans="1:15" x14ac:dyDescent="0.25">
      <c r="A43" s="1932"/>
      <c r="B43" s="19" t="s">
        <v>33</v>
      </c>
      <c r="C43" s="22"/>
      <c r="D43" s="38">
        <v>2</v>
      </c>
      <c r="E43" s="15">
        <v>0</v>
      </c>
      <c r="F43" s="33">
        <v>0</v>
      </c>
      <c r="G43" s="21">
        <f t="shared" si="2"/>
        <v>2</v>
      </c>
      <c r="H43" s="38">
        <v>2</v>
      </c>
      <c r="I43" s="15">
        <v>0</v>
      </c>
      <c r="J43" s="33">
        <v>0</v>
      </c>
      <c r="K43" s="21">
        <f t="shared" si="5"/>
        <v>2</v>
      </c>
      <c r="L43" s="38">
        <v>2</v>
      </c>
      <c r="M43" s="15">
        <v>0</v>
      </c>
      <c r="N43" s="33">
        <v>0</v>
      </c>
      <c r="O43" s="21">
        <f t="shared" si="6"/>
        <v>2</v>
      </c>
    </row>
    <row r="44" spans="1:15" x14ac:dyDescent="0.25">
      <c r="A44" s="1932"/>
      <c r="B44" s="19" t="s">
        <v>34</v>
      </c>
      <c r="C44" s="22"/>
      <c r="D44" s="38">
        <v>3</v>
      </c>
      <c r="E44" s="15">
        <v>0</v>
      </c>
      <c r="F44" s="33">
        <v>0</v>
      </c>
      <c r="G44" s="21">
        <f t="shared" si="2"/>
        <v>3</v>
      </c>
      <c r="H44" s="38">
        <v>3</v>
      </c>
      <c r="I44" s="15">
        <v>0</v>
      </c>
      <c r="J44" s="33">
        <v>0</v>
      </c>
      <c r="K44" s="21">
        <f t="shared" si="5"/>
        <v>3</v>
      </c>
      <c r="L44" s="38">
        <v>3</v>
      </c>
      <c r="M44" s="15">
        <v>0</v>
      </c>
      <c r="N44" s="33">
        <v>0</v>
      </c>
      <c r="O44" s="21">
        <f t="shared" si="6"/>
        <v>3</v>
      </c>
    </row>
    <row r="45" spans="1:15" x14ac:dyDescent="0.25">
      <c r="A45" s="1933" t="s">
        <v>15</v>
      </c>
      <c r="B45" s="19" t="s">
        <v>32</v>
      </c>
      <c r="C45" s="22"/>
      <c r="D45" s="38">
        <v>16</v>
      </c>
      <c r="E45" s="423">
        <f>2*E$3</f>
        <v>0</v>
      </c>
      <c r="F45" s="15">
        <v>0</v>
      </c>
      <c r="G45" s="21">
        <f t="shared" si="2"/>
        <v>16</v>
      </c>
      <c r="H45" s="38">
        <v>16</v>
      </c>
      <c r="I45" s="423">
        <f>2*I$3</f>
        <v>0</v>
      </c>
      <c r="J45" s="15">
        <v>0</v>
      </c>
      <c r="K45" s="21">
        <f t="shared" si="5"/>
        <v>16</v>
      </c>
      <c r="L45" s="38">
        <v>16</v>
      </c>
      <c r="M45" s="423">
        <f>2*M$3</f>
        <v>0</v>
      </c>
      <c r="N45" s="15">
        <v>0</v>
      </c>
      <c r="O45" s="21">
        <f t="shared" si="6"/>
        <v>16</v>
      </c>
    </row>
    <row r="46" spans="1:15" x14ac:dyDescent="0.25">
      <c r="A46" s="1933"/>
      <c r="B46" s="19" t="s">
        <v>33</v>
      </c>
      <c r="C46" s="22"/>
      <c r="D46" s="38">
        <v>28</v>
      </c>
      <c r="E46" s="423">
        <f>2*E$3</f>
        <v>0</v>
      </c>
      <c r="F46" s="15">
        <v>0</v>
      </c>
      <c r="G46" s="21">
        <f t="shared" si="2"/>
        <v>28</v>
      </c>
      <c r="H46" s="38">
        <v>28</v>
      </c>
      <c r="I46" s="423">
        <f>2*I$3</f>
        <v>0</v>
      </c>
      <c r="J46" s="15">
        <v>0</v>
      </c>
      <c r="K46" s="21">
        <f t="shared" si="5"/>
        <v>28</v>
      </c>
      <c r="L46" s="38">
        <v>28</v>
      </c>
      <c r="M46" s="423">
        <f>2*M$3</f>
        <v>0</v>
      </c>
      <c r="N46" s="15">
        <v>0</v>
      </c>
      <c r="O46" s="21">
        <f t="shared" si="6"/>
        <v>28</v>
      </c>
    </row>
    <row r="47" spans="1:15" x14ac:dyDescent="0.25">
      <c r="A47" s="1933"/>
      <c r="B47" s="19" t="s">
        <v>34</v>
      </c>
      <c r="C47" s="22"/>
      <c r="D47" s="38">
        <v>36</v>
      </c>
      <c r="E47" s="423">
        <f>2*E$3</f>
        <v>0</v>
      </c>
      <c r="F47" s="15">
        <v>0</v>
      </c>
      <c r="G47" s="21">
        <f t="shared" si="2"/>
        <v>36</v>
      </c>
      <c r="H47" s="38">
        <v>36</v>
      </c>
      <c r="I47" s="423">
        <f>2*I$3</f>
        <v>0</v>
      </c>
      <c r="J47" s="15">
        <v>0</v>
      </c>
      <c r="K47" s="21">
        <f t="shared" si="5"/>
        <v>36</v>
      </c>
      <c r="L47" s="38">
        <v>36</v>
      </c>
      <c r="M47" s="423">
        <f>2*M$3</f>
        <v>0</v>
      </c>
      <c r="N47" s="15">
        <v>0</v>
      </c>
      <c r="O47" s="21">
        <f t="shared" si="6"/>
        <v>36</v>
      </c>
    </row>
    <row r="48" spans="1:15" x14ac:dyDescent="0.25">
      <c r="A48" s="1933" t="s">
        <v>16</v>
      </c>
      <c r="B48" s="19" t="s">
        <v>32</v>
      </c>
      <c r="C48" s="22"/>
      <c r="D48" s="124">
        <f>1*D$3+(0.5*E$3)</f>
        <v>0</v>
      </c>
      <c r="E48" s="15">
        <v>0</v>
      </c>
      <c r="F48" s="33">
        <v>0</v>
      </c>
      <c r="G48" s="21">
        <f t="shared" si="2"/>
        <v>0</v>
      </c>
      <c r="H48" s="124">
        <f>1*H$3+(0.5*I$3)</f>
        <v>0</v>
      </c>
      <c r="I48" s="15">
        <v>0</v>
      </c>
      <c r="J48" s="33">
        <v>0</v>
      </c>
      <c r="K48" s="21">
        <f t="shared" si="5"/>
        <v>0</v>
      </c>
      <c r="L48" s="124">
        <f>1*L$3+(0.5*M$3)</f>
        <v>0</v>
      </c>
      <c r="M48" s="15">
        <v>0</v>
      </c>
      <c r="N48" s="33">
        <v>0</v>
      </c>
      <c r="O48" s="21">
        <f t="shared" si="6"/>
        <v>0</v>
      </c>
    </row>
    <row r="49" spans="1:15" x14ac:dyDescent="0.25">
      <c r="A49" s="1933"/>
      <c r="B49" s="19" t="s">
        <v>33</v>
      </c>
      <c r="C49" s="22"/>
      <c r="D49" s="124">
        <f>1*D$3+(0.5*E$3)</f>
        <v>0</v>
      </c>
      <c r="E49" s="15">
        <v>0</v>
      </c>
      <c r="F49" s="33">
        <v>0</v>
      </c>
      <c r="G49" s="21">
        <f t="shared" si="2"/>
        <v>0</v>
      </c>
      <c r="H49" s="124">
        <f>1*H$3+(0.5*I$3)</f>
        <v>0</v>
      </c>
      <c r="I49" s="15">
        <v>0</v>
      </c>
      <c r="J49" s="33">
        <v>0</v>
      </c>
      <c r="K49" s="21">
        <f t="shared" si="5"/>
        <v>0</v>
      </c>
      <c r="L49" s="124">
        <f>1*L$3+(0.5*M$3)</f>
        <v>0</v>
      </c>
      <c r="M49" s="15">
        <v>0</v>
      </c>
      <c r="N49" s="33">
        <v>0</v>
      </c>
      <c r="O49" s="21">
        <f t="shared" si="6"/>
        <v>0</v>
      </c>
    </row>
    <row r="50" spans="1:15" x14ac:dyDescent="0.25">
      <c r="A50" s="1933"/>
      <c r="B50" s="19" t="s">
        <v>34</v>
      </c>
      <c r="C50" s="22"/>
      <c r="D50" s="124">
        <f>2*D$3+(0.5*E$3)</f>
        <v>0</v>
      </c>
      <c r="E50" s="15">
        <v>0</v>
      </c>
      <c r="F50" s="33">
        <v>0</v>
      </c>
      <c r="G50" s="21">
        <f t="shared" si="2"/>
        <v>0</v>
      </c>
      <c r="H50" s="124">
        <f>2*H$3+(0.5*I$3)</f>
        <v>0</v>
      </c>
      <c r="I50" s="15">
        <v>0</v>
      </c>
      <c r="J50" s="33">
        <v>0</v>
      </c>
      <c r="K50" s="21">
        <f t="shared" si="5"/>
        <v>0</v>
      </c>
      <c r="L50" s="124">
        <f>2*L$3+(0.5*M$3)</f>
        <v>0</v>
      </c>
      <c r="M50" s="15">
        <v>0</v>
      </c>
      <c r="N50" s="33">
        <v>0</v>
      </c>
      <c r="O50" s="21">
        <f t="shared" si="6"/>
        <v>0</v>
      </c>
    </row>
    <row r="51" spans="1:15" x14ac:dyDescent="0.25">
      <c r="A51" s="1933" t="s">
        <v>17</v>
      </c>
      <c r="B51" s="19" t="s">
        <v>32</v>
      </c>
      <c r="C51" s="22"/>
      <c r="D51" s="124">
        <f>1*D$3+(0.5*E$3)</f>
        <v>0</v>
      </c>
      <c r="E51" s="15">
        <v>0</v>
      </c>
      <c r="F51" s="15">
        <v>0</v>
      </c>
      <c r="G51" s="21">
        <f t="shared" si="2"/>
        <v>0</v>
      </c>
      <c r="H51" s="124">
        <f>1*H$3+(0.5*I$3)</f>
        <v>0</v>
      </c>
      <c r="I51" s="15">
        <v>0</v>
      </c>
      <c r="J51" s="15">
        <v>0</v>
      </c>
      <c r="K51" s="21">
        <f t="shared" si="5"/>
        <v>0</v>
      </c>
      <c r="L51" s="124">
        <f>1*L$3+(0.5*M$3)</f>
        <v>0</v>
      </c>
      <c r="M51" s="15">
        <v>0</v>
      </c>
      <c r="N51" s="15">
        <v>0</v>
      </c>
      <c r="O51" s="21">
        <f t="shared" si="6"/>
        <v>0</v>
      </c>
    </row>
    <row r="52" spans="1:15" x14ac:dyDescent="0.25">
      <c r="A52" s="1933"/>
      <c r="B52" s="19" t="s">
        <v>33</v>
      </c>
      <c r="C52" s="22"/>
      <c r="D52" s="124">
        <f>1*D$3+(0.5*E$3)</f>
        <v>0</v>
      </c>
      <c r="E52" s="15">
        <v>0</v>
      </c>
      <c r="F52" s="15">
        <v>0</v>
      </c>
      <c r="G52" s="21">
        <f t="shared" si="2"/>
        <v>0</v>
      </c>
      <c r="H52" s="124">
        <f>1*H$3+(0.5*I$3)</f>
        <v>0</v>
      </c>
      <c r="I52" s="15">
        <v>0</v>
      </c>
      <c r="J52" s="15">
        <v>0</v>
      </c>
      <c r="K52" s="21">
        <f t="shared" si="5"/>
        <v>0</v>
      </c>
      <c r="L52" s="124">
        <f>1*L$3+(0.5*M$3)</f>
        <v>0</v>
      </c>
      <c r="M52" s="15">
        <v>0</v>
      </c>
      <c r="N52" s="15">
        <v>0</v>
      </c>
      <c r="O52" s="21">
        <f t="shared" si="6"/>
        <v>0</v>
      </c>
    </row>
    <row r="53" spans="1:15" x14ac:dyDescent="0.25">
      <c r="A53" s="1933"/>
      <c r="B53" s="19" t="s">
        <v>34</v>
      </c>
      <c r="C53" s="22"/>
      <c r="D53" s="124">
        <f>2*D$3+(0.5*E$3)</f>
        <v>0</v>
      </c>
      <c r="E53" s="15">
        <v>0</v>
      </c>
      <c r="F53" s="15">
        <v>0</v>
      </c>
      <c r="G53" s="21">
        <f t="shared" si="2"/>
        <v>0</v>
      </c>
      <c r="H53" s="124">
        <f>2*H$3+(0.5*I$3)</f>
        <v>0</v>
      </c>
      <c r="I53" s="15">
        <v>0</v>
      </c>
      <c r="J53" s="15">
        <v>0</v>
      </c>
      <c r="K53" s="21">
        <f t="shared" si="5"/>
        <v>0</v>
      </c>
      <c r="L53" s="124">
        <f>2*L$3+(0.5*M$3)</f>
        <v>0</v>
      </c>
      <c r="M53" s="15">
        <v>0</v>
      </c>
      <c r="N53" s="15">
        <v>0</v>
      </c>
      <c r="O53" s="21">
        <f t="shared" si="6"/>
        <v>0</v>
      </c>
    </row>
    <row r="54" spans="1:15" x14ac:dyDescent="0.25">
      <c r="A54" s="1933" t="s">
        <v>18</v>
      </c>
      <c r="B54" s="19" t="s">
        <v>32</v>
      </c>
      <c r="C54" s="22"/>
      <c r="D54" s="124">
        <f>1*D$3</f>
        <v>0</v>
      </c>
      <c r="E54" s="15">
        <v>0</v>
      </c>
      <c r="F54" s="15">
        <v>0</v>
      </c>
      <c r="G54" s="21">
        <f t="shared" si="2"/>
        <v>0</v>
      </c>
      <c r="H54" s="124">
        <f>1*H$3</f>
        <v>0</v>
      </c>
      <c r="I54" s="15">
        <v>0</v>
      </c>
      <c r="J54" s="15">
        <v>0</v>
      </c>
      <c r="K54" s="21">
        <f t="shared" si="5"/>
        <v>0</v>
      </c>
      <c r="L54" s="124">
        <f>1*L$3</f>
        <v>0</v>
      </c>
      <c r="M54" s="15">
        <v>0</v>
      </c>
      <c r="N54" s="15">
        <v>0</v>
      </c>
      <c r="O54" s="21">
        <f t="shared" si="6"/>
        <v>0</v>
      </c>
    </row>
    <row r="55" spans="1:15" x14ac:dyDescent="0.25">
      <c r="A55" s="1933"/>
      <c r="B55" s="19" t="s">
        <v>33</v>
      </c>
      <c r="C55" s="22"/>
      <c r="D55" s="124">
        <f>1*D$3</f>
        <v>0</v>
      </c>
      <c r="E55" s="15">
        <v>0</v>
      </c>
      <c r="F55" s="15">
        <v>0</v>
      </c>
      <c r="G55" s="21">
        <f t="shared" si="2"/>
        <v>0</v>
      </c>
      <c r="H55" s="124">
        <f>1*H$3</f>
        <v>0</v>
      </c>
      <c r="I55" s="15">
        <v>0</v>
      </c>
      <c r="J55" s="15">
        <v>0</v>
      </c>
      <c r="K55" s="21">
        <f t="shared" si="5"/>
        <v>0</v>
      </c>
      <c r="L55" s="124">
        <f>1*L$3</f>
        <v>0</v>
      </c>
      <c r="M55" s="15">
        <v>0</v>
      </c>
      <c r="N55" s="15">
        <v>0</v>
      </c>
      <c r="O55" s="21">
        <f t="shared" si="6"/>
        <v>0</v>
      </c>
    </row>
    <row r="56" spans="1:15" x14ac:dyDescent="0.25">
      <c r="A56" s="1933"/>
      <c r="B56" s="19" t="s">
        <v>34</v>
      </c>
      <c r="C56" s="22"/>
      <c r="D56" s="124">
        <f>1*D$3</f>
        <v>0</v>
      </c>
      <c r="E56" s="15">
        <v>0</v>
      </c>
      <c r="F56" s="15">
        <v>0</v>
      </c>
      <c r="G56" s="21">
        <f t="shared" si="2"/>
        <v>0</v>
      </c>
      <c r="H56" s="124">
        <f>1*H$3</f>
        <v>0</v>
      </c>
      <c r="I56" s="15">
        <v>0</v>
      </c>
      <c r="J56" s="15">
        <v>0</v>
      </c>
      <c r="K56" s="21">
        <f t="shared" si="5"/>
        <v>0</v>
      </c>
      <c r="L56" s="124">
        <f>1*L$3</f>
        <v>0</v>
      </c>
      <c r="M56" s="15">
        <v>0</v>
      </c>
      <c r="N56" s="15">
        <v>0</v>
      </c>
      <c r="O56" s="21">
        <f t="shared" si="6"/>
        <v>0</v>
      </c>
    </row>
    <row r="57" spans="1:15" x14ac:dyDescent="0.25">
      <c r="A57" s="1933" t="s">
        <v>19</v>
      </c>
      <c r="B57" s="19" t="s">
        <v>32</v>
      </c>
      <c r="C57" s="22"/>
      <c r="D57" s="38">
        <v>2</v>
      </c>
      <c r="E57" s="15">
        <v>0</v>
      </c>
      <c r="F57" s="15">
        <v>0</v>
      </c>
      <c r="G57" s="21">
        <f t="shared" si="2"/>
        <v>2</v>
      </c>
      <c r="H57" s="38">
        <v>2</v>
      </c>
      <c r="I57" s="15">
        <v>0</v>
      </c>
      <c r="J57" s="15">
        <v>0</v>
      </c>
      <c r="K57" s="21">
        <f t="shared" si="5"/>
        <v>2</v>
      </c>
      <c r="L57" s="38">
        <v>2</v>
      </c>
      <c r="M57" s="15">
        <v>0</v>
      </c>
      <c r="N57" s="15">
        <v>0</v>
      </c>
      <c r="O57" s="21">
        <f t="shared" si="6"/>
        <v>2</v>
      </c>
    </row>
    <row r="58" spans="1:15" x14ac:dyDescent="0.25">
      <c r="A58" s="1933"/>
      <c r="B58" s="19" t="s">
        <v>33</v>
      </c>
      <c r="C58" s="22"/>
      <c r="D58" s="38">
        <v>4</v>
      </c>
      <c r="E58" s="15">
        <v>0</v>
      </c>
      <c r="F58" s="15">
        <v>0</v>
      </c>
      <c r="G58" s="21">
        <f t="shared" si="2"/>
        <v>4</v>
      </c>
      <c r="H58" s="38">
        <v>4</v>
      </c>
      <c r="I58" s="15">
        <v>0</v>
      </c>
      <c r="J58" s="15">
        <v>0</v>
      </c>
      <c r="K58" s="21">
        <f t="shared" si="5"/>
        <v>4</v>
      </c>
      <c r="L58" s="38">
        <v>4</v>
      </c>
      <c r="M58" s="15">
        <v>0</v>
      </c>
      <c r="N58" s="15">
        <v>0</v>
      </c>
      <c r="O58" s="21">
        <f t="shared" si="6"/>
        <v>4</v>
      </c>
    </row>
    <row r="59" spans="1:15" x14ac:dyDescent="0.25">
      <c r="A59" s="1933"/>
      <c r="B59" s="19" t="s">
        <v>34</v>
      </c>
      <c r="C59" s="22"/>
      <c r="D59" s="38">
        <v>6</v>
      </c>
      <c r="E59" s="15">
        <v>0</v>
      </c>
      <c r="F59" s="15">
        <v>0</v>
      </c>
      <c r="G59" s="21">
        <f t="shared" si="2"/>
        <v>6</v>
      </c>
      <c r="H59" s="38">
        <v>6</v>
      </c>
      <c r="I59" s="15">
        <v>0</v>
      </c>
      <c r="J59" s="15">
        <v>0</v>
      </c>
      <c r="K59" s="21">
        <f t="shared" si="5"/>
        <v>6</v>
      </c>
      <c r="L59" s="38">
        <v>6</v>
      </c>
      <c r="M59" s="15">
        <v>0</v>
      </c>
      <c r="N59" s="15">
        <v>0</v>
      </c>
      <c r="O59" s="21">
        <f t="shared" si="6"/>
        <v>6</v>
      </c>
    </row>
    <row r="60" spans="1:15" x14ac:dyDescent="0.25">
      <c r="A60" s="1933" t="s">
        <v>20</v>
      </c>
      <c r="B60" s="19" t="s">
        <v>32</v>
      </c>
      <c r="C60" s="22"/>
      <c r="D60" s="38">
        <v>8</v>
      </c>
      <c r="E60" s="123">
        <f>1*E$3</f>
        <v>0</v>
      </c>
      <c r="F60" s="33">
        <v>0</v>
      </c>
      <c r="G60" s="21">
        <f t="shared" si="2"/>
        <v>8</v>
      </c>
      <c r="H60" s="38">
        <v>8</v>
      </c>
      <c r="I60" s="123">
        <f>1*I$3</f>
        <v>0</v>
      </c>
      <c r="J60" s="33">
        <v>0</v>
      </c>
      <c r="K60" s="21">
        <f t="shared" si="5"/>
        <v>8</v>
      </c>
      <c r="L60" s="38">
        <v>8</v>
      </c>
      <c r="M60" s="123">
        <f>1*M$3</f>
        <v>0</v>
      </c>
      <c r="N60" s="33">
        <v>0</v>
      </c>
      <c r="O60" s="21">
        <f t="shared" si="6"/>
        <v>8</v>
      </c>
    </row>
    <row r="61" spans="1:15" x14ac:dyDescent="0.25">
      <c r="A61" s="1933"/>
      <c r="B61" s="19" t="s">
        <v>33</v>
      </c>
      <c r="C61" s="22"/>
      <c r="D61" s="38">
        <v>10</v>
      </c>
      <c r="E61" s="123">
        <f>1*E$3</f>
        <v>0</v>
      </c>
      <c r="F61" s="33">
        <v>0</v>
      </c>
      <c r="G61" s="21">
        <f t="shared" si="2"/>
        <v>10</v>
      </c>
      <c r="H61" s="38">
        <v>10</v>
      </c>
      <c r="I61" s="123">
        <f>1*I$3</f>
        <v>0</v>
      </c>
      <c r="J61" s="33">
        <v>0</v>
      </c>
      <c r="K61" s="21">
        <f t="shared" si="5"/>
        <v>10</v>
      </c>
      <c r="L61" s="38">
        <v>10</v>
      </c>
      <c r="M61" s="123">
        <f>1*M$3</f>
        <v>0</v>
      </c>
      <c r="N61" s="33">
        <v>0</v>
      </c>
      <c r="O61" s="21">
        <f t="shared" si="6"/>
        <v>10</v>
      </c>
    </row>
    <row r="62" spans="1:15" x14ac:dyDescent="0.25">
      <c r="A62" s="1933"/>
      <c r="B62" s="19" t="s">
        <v>34</v>
      </c>
      <c r="C62" s="22"/>
      <c r="D62" s="38">
        <v>12</v>
      </c>
      <c r="E62" s="123">
        <f>1*E$3</f>
        <v>0</v>
      </c>
      <c r="F62" s="33">
        <v>0</v>
      </c>
      <c r="G62" s="21">
        <f t="shared" si="2"/>
        <v>12</v>
      </c>
      <c r="H62" s="38">
        <v>12</v>
      </c>
      <c r="I62" s="123">
        <f>1*I$3</f>
        <v>0</v>
      </c>
      <c r="J62" s="33">
        <v>0</v>
      </c>
      <c r="K62" s="21">
        <f t="shared" si="5"/>
        <v>12</v>
      </c>
      <c r="L62" s="38">
        <v>12</v>
      </c>
      <c r="M62" s="123">
        <f>1*M$3</f>
        <v>0</v>
      </c>
      <c r="N62" s="33">
        <v>0</v>
      </c>
      <c r="O62" s="21">
        <f t="shared" si="6"/>
        <v>12</v>
      </c>
    </row>
    <row r="63" spans="1:15" x14ac:dyDescent="0.25">
      <c r="A63" s="1933" t="s">
        <v>451</v>
      </c>
      <c r="B63" s="19" t="s">
        <v>32</v>
      </c>
      <c r="C63" s="22"/>
      <c r="D63" s="38">
        <v>4</v>
      </c>
      <c r="E63" s="545">
        <v>0</v>
      </c>
      <c r="F63" s="33">
        <v>0</v>
      </c>
      <c r="G63" s="21">
        <f t="shared" si="2"/>
        <v>4</v>
      </c>
      <c r="H63" s="38">
        <v>4</v>
      </c>
      <c r="I63" s="545">
        <v>0</v>
      </c>
      <c r="J63" s="33">
        <v>0</v>
      </c>
      <c r="K63" s="21">
        <f t="shared" si="5"/>
        <v>4</v>
      </c>
      <c r="L63" s="38">
        <v>4</v>
      </c>
      <c r="M63" s="545">
        <v>0</v>
      </c>
      <c r="N63" s="33">
        <v>0</v>
      </c>
      <c r="O63" s="21">
        <f t="shared" si="6"/>
        <v>4</v>
      </c>
    </row>
    <row r="64" spans="1:15" x14ac:dyDescent="0.25">
      <c r="A64" s="1933"/>
      <c r="B64" s="19" t="s">
        <v>33</v>
      </c>
      <c r="C64" s="22"/>
      <c r="D64" s="38">
        <v>6</v>
      </c>
      <c r="E64" s="545">
        <v>0</v>
      </c>
      <c r="F64" s="33">
        <v>0</v>
      </c>
      <c r="G64" s="21">
        <f t="shared" si="2"/>
        <v>6</v>
      </c>
      <c r="H64" s="38">
        <v>6</v>
      </c>
      <c r="I64" s="545">
        <v>0</v>
      </c>
      <c r="J64" s="33">
        <v>0</v>
      </c>
      <c r="K64" s="21">
        <f t="shared" si="5"/>
        <v>6</v>
      </c>
      <c r="L64" s="38">
        <v>6</v>
      </c>
      <c r="M64" s="545">
        <v>0</v>
      </c>
      <c r="N64" s="33">
        <v>0</v>
      </c>
      <c r="O64" s="21">
        <f t="shared" si="6"/>
        <v>6</v>
      </c>
    </row>
    <row r="65" spans="1:15" x14ac:dyDescent="0.25">
      <c r="A65" s="1933"/>
      <c r="B65" s="19" t="s">
        <v>34</v>
      </c>
      <c r="C65" s="22"/>
      <c r="D65" s="38">
        <v>8</v>
      </c>
      <c r="E65" s="545">
        <v>0</v>
      </c>
      <c r="F65" s="33">
        <v>0</v>
      </c>
      <c r="G65" s="21">
        <f t="shared" si="2"/>
        <v>8</v>
      </c>
      <c r="H65" s="38">
        <v>8</v>
      </c>
      <c r="I65" s="545">
        <v>0</v>
      </c>
      <c r="J65" s="33">
        <v>0</v>
      </c>
      <c r="K65" s="21">
        <f t="shared" si="5"/>
        <v>8</v>
      </c>
      <c r="L65" s="38">
        <v>8</v>
      </c>
      <c r="M65" s="545">
        <v>0</v>
      </c>
      <c r="N65" s="33">
        <v>0</v>
      </c>
      <c r="O65" s="21">
        <f t="shared" si="6"/>
        <v>8</v>
      </c>
    </row>
    <row r="66" spans="1:15" x14ac:dyDescent="0.25">
      <c r="A66" s="1933" t="s">
        <v>452</v>
      </c>
      <c r="B66" s="19" t="s">
        <v>32</v>
      </c>
      <c r="C66" s="22"/>
      <c r="D66" s="123">
        <f>IF(D$3&gt;1,8+(2*D$3)+(0.5*E$3),8)</f>
        <v>8</v>
      </c>
      <c r="E66" s="545">
        <v>0</v>
      </c>
      <c r="F66" s="33">
        <v>0</v>
      </c>
      <c r="G66" s="21">
        <f t="shared" si="2"/>
        <v>8</v>
      </c>
      <c r="H66" s="123">
        <f>IF(H$3&gt;1,8+(2*H$3)+(0.5*I$3),8)</f>
        <v>8</v>
      </c>
      <c r="I66" s="545">
        <v>0</v>
      </c>
      <c r="J66" s="33">
        <v>0</v>
      </c>
      <c r="K66" s="21">
        <f t="shared" si="5"/>
        <v>8</v>
      </c>
      <c r="L66" s="123">
        <f>IF(L$3&gt;1,8+(2*L$3)+(0.5*M$3),8)</f>
        <v>8</v>
      </c>
      <c r="M66" s="545">
        <v>0</v>
      </c>
      <c r="N66" s="33">
        <v>0</v>
      </c>
      <c r="O66" s="21">
        <f t="shared" si="6"/>
        <v>8</v>
      </c>
    </row>
    <row r="67" spans="1:15" x14ac:dyDescent="0.25">
      <c r="A67" s="1933"/>
      <c r="B67" s="19" t="s">
        <v>33</v>
      </c>
      <c r="C67" s="22"/>
      <c r="D67" s="123">
        <f>IF(D$3&gt;1,16+(2*D$3)+(2*E$3),16)</f>
        <v>16</v>
      </c>
      <c r="E67" s="545">
        <v>0</v>
      </c>
      <c r="F67" s="33">
        <v>0</v>
      </c>
      <c r="G67" s="21">
        <f t="shared" si="2"/>
        <v>16</v>
      </c>
      <c r="H67" s="123">
        <f>IF(H$3&gt;1,16+(2*H$3)+(2*I$3),16)</f>
        <v>16</v>
      </c>
      <c r="I67" s="545">
        <v>0</v>
      </c>
      <c r="J67" s="33">
        <v>0</v>
      </c>
      <c r="K67" s="21">
        <f t="shared" si="5"/>
        <v>16</v>
      </c>
      <c r="L67" s="123">
        <f>IF(L$3&gt;1,16+(2*L$3)+(2*M$3),16)</f>
        <v>16</v>
      </c>
      <c r="M67" s="545">
        <v>0</v>
      </c>
      <c r="N67" s="33">
        <v>0</v>
      </c>
      <c r="O67" s="21">
        <f t="shared" si="6"/>
        <v>16</v>
      </c>
    </row>
    <row r="68" spans="1:15" x14ac:dyDescent="0.25">
      <c r="A68" s="1933"/>
      <c r="B68" s="19" t="s">
        <v>34</v>
      </c>
      <c r="C68" s="22"/>
      <c r="D68" s="123">
        <f>IF(D$3&gt;1,24+(2*D$3)+(2*E$3),24)</f>
        <v>24</v>
      </c>
      <c r="E68" s="545">
        <v>0</v>
      </c>
      <c r="F68" s="33">
        <v>0</v>
      </c>
      <c r="G68" s="21">
        <f t="shared" si="2"/>
        <v>24</v>
      </c>
      <c r="H68" s="123">
        <f>IF(H$3&gt;1,24+(2*H$3)+(2*I$3),24)</f>
        <v>24</v>
      </c>
      <c r="I68" s="545">
        <v>0</v>
      </c>
      <c r="J68" s="33">
        <v>0</v>
      </c>
      <c r="K68" s="21">
        <f t="shared" si="5"/>
        <v>24</v>
      </c>
      <c r="L68" s="123">
        <f>IF(L$3&gt;1,24+(2*L$3)+(2*M$3),24)</f>
        <v>24</v>
      </c>
      <c r="M68" s="545">
        <v>0</v>
      </c>
      <c r="N68" s="33">
        <v>0</v>
      </c>
      <c r="O68" s="21">
        <f t="shared" si="6"/>
        <v>24</v>
      </c>
    </row>
    <row r="69" spans="1:15" x14ac:dyDescent="0.25">
      <c r="A69" s="1936" t="s">
        <v>533</v>
      </c>
      <c r="B69" s="19" t="s">
        <v>32</v>
      </c>
      <c r="C69" s="22"/>
      <c r="D69" s="123">
        <f>IF(D$3&gt;1,8+(2*D$3)+(2*E$3),8)</f>
        <v>8</v>
      </c>
      <c r="E69" s="123">
        <f t="shared" ref="E69:E74" si="7">2*E$3</f>
        <v>0</v>
      </c>
      <c r="F69" s="33">
        <v>0</v>
      </c>
      <c r="G69" s="21">
        <f t="shared" si="2"/>
        <v>8</v>
      </c>
      <c r="H69" s="123">
        <f>IF(H$3&gt;1,8+(2*H$3)+(2*I$3),8)</f>
        <v>8</v>
      </c>
      <c r="I69" s="123">
        <f t="shared" ref="I69:I74" si="8">2*I$3</f>
        <v>0</v>
      </c>
      <c r="J69" s="33">
        <v>0</v>
      </c>
      <c r="K69" s="21">
        <f t="shared" si="5"/>
        <v>8</v>
      </c>
      <c r="L69" s="123">
        <f>IF(L$3&gt;1,8+(2*L$3)+(2*M$3),8)</f>
        <v>8</v>
      </c>
      <c r="M69" s="123">
        <f t="shared" ref="M69:M74" si="9">2*M$3</f>
        <v>0</v>
      </c>
      <c r="N69" s="33">
        <v>0</v>
      </c>
      <c r="O69" s="21">
        <f t="shared" si="6"/>
        <v>8</v>
      </c>
    </row>
    <row r="70" spans="1:15" x14ac:dyDescent="0.25">
      <c r="A70" s="1936"/>
      <c r="B70" s="19" t="s">
        <v>33</v>
      </c>
      <c r="C70" s="22"/>
      <c r="D70" s="123">
        <f>IF(D$3&gt;1,16+(2*D$3)+(1*E$3),16)</f>
        <v>16</v>
      </c>
      <c r="E70" s="123">
        <f t="shared" si="7"/>
        <v>0</v>
      </c>
      <c r="F70" s="33">
        <v>0</v>
      </c>
      <c r="G70" s="21">
        <f t="shared" si="2"/>
        <v>16</v>
      </c>
      <c r="H70" s="123">
        <f>IF(H$3&gt;1,16+(2*H$3)+(1*I$3),16)</f>
        <v>16</v>
      </c>
      <c r="I70" s="123">
        <f t="shared" si="8"/>
        <v>0</v>
      </c>
      <c r="J70" s="33">
        <v>0</v>
      </c>
      <c r="K70" s="21">
        <f t="shared" si="5"/>
        <v>16</v>
      </c>
      <c r="L70" s="123">
        <f>IF(L$3&gt;1,16+(2*L$3)+(1*M$3),16)</f>
        <v>16</v>
      </c>
      <c r="M70" s="123">
        <f t="shared" si="9"/>
        <v>0</v>
      </c>
      <c r="N70" s="33">
        <v>0</v>
      </c>
      <c r="O70" s="21">
        <f t="shared" si="6"/>
        <v>16</v>
      </c>
    </row>
    <row r="71" spans="1:15" x14ac:dyDescent="0.25">
      <c r="A71" s="1936"/>
      <c r="B71" s="19" t="s">
        <v>34</v>
      </c>
      <c r="C71" s="22"/>
      <c r="D71" s="123">
        <f>IF(D$3&gt;1,24+(2*D$3)+(2*E$3),24)</f>
        <v>24</v>
      </c>
      <c r="E71" s="123">
        <f t="shared" si="7"/>
        <v>0</v>
      </c>
      <c r="F71" s="33">
        <v>0</v>
      </c>
      <c r="G71" s="21">
        <f t="shared" si="2"/>
        <v>24</v>
      </c>
      <c r="H71" s="123">
        <f>IF(H$3&gt;1,24+(2*H$3)+(2*I$3),24)</f>
        <v>24</v>
      </c>
      <c r="I71" s="123">
        <f t="shared" si="8"/>
        <v>0</v>
      </c>
      <c r="J71" s="33">
        <v>0</v>
      </c>
      <c r="K71" s="21">
        <f t="shared" si="5"/>
        <v>24</v>
      </c>
      <c r="L71" s="123">
        <f>IF(L$3&gt;1,24+(2*L$3)+(2*M$3),24)</f>
        <v>24</v>
      </c>
      <c r="M71" s="123">
        <f t="shared" si="9"/>
        <v>0</v>
      </c>
      <c r="N71" s="33">
        <v>0</v>
      </c>
      <c r="O71" s="21">
        <f t="shared" si="6"/>
        <v>24</v>
      </c>
    </row>
    <row r="72" spans="1:15" x14ac:dyDescent="0.25">
      <c r="A72" s="1933" t="s">
        <v>534</v>
      </c>
      <c r="B72" s="19" t="s">
        <v>32</v>
      </c>
      <c r="C72" s="22"/>
      <c r="D72" s="123">
        <f>IF(D$3&gt;1,8+(2*D$3)+(2*E$3),10)</f>
        <v>10</v>
      </c>
      <c r="E72" s="123">
        <f t="shared" si="7"/>
        <v>0</v>
      </c>
      <c r="F72" s="33">
        <v>0</v>
      </c>
      <c r="G72" s="21">
        <f t="shared" si="2"/>
        <v>10</v>
      </c>
      <c r="H72" s="123">
        <f>IF(H$3&gt;1,8+(2*H$3)+(2*I$3),10)</f>
        <v>10</v>
      </c>
      <c r="I72" s="123">
        <f t="shared" si="8"/>
        <v>0</v>
      </c>
      <c r="J72" s="33">
        <v>0</v>
      </c>
      <c r="K72" s="21">
        <f t="shared" si="5"/>
        <v>10</v>
      </c>
      <c r="L72" s="123">
        <f>IF(L$3&gt;1,8+(2*L$3)+(2*M$3),10)</f>
        <v>10</v>
      </c>
      <c r="M72" s="123">
        <f t="shared" si="9"/>
        <v>0</v>
      </c>
      <c r="N72" s="33">
        <v>0</v>
      </c>
      <c r="O72" s="21">
        <f t="shared" si="6"/>
        <v>10</v>
      </c>
    </row>
    <row r="73" spans="1:15" x14ac:dyDescent="0.25">
      <c r="A73" s="1933"/>
      <c r="B73" s="19" t="s">
        <v>33</v>
      </c>
      <c r="C73" s="22"/>
      <c r="D73" s="123">
        <f>IF(D$3&gt;1,16+(2*D$3)+(2*E$3),16)</f>
        <v>16</v>
      </c>
      <c r="E73" s="123">
        <f t="shared" si="7"/>
        <v>0</v>
      </c>
      <c r="F73" s="33">
        <v>0</v>
      </c>
      <c r="G73" s="21">
        <f t="shared" si="2"/>
        <v>16</v>
      </c>
      <c r="H73" s="123">
        <f>IF(H$3&gt;1,16+(2*H$3)+(2*I$3),16)</f>
        <v>16</v>
      </c>
      <c r="I73" s="123">
        <f t="shared" si="8"/>
        <v>0</v>
      </c>
      <c r="J73" s="33">
        <v>0</v>
      </c>
      <c r="K73" s="21">
        <f t="shared" si="5"/>
        <v>16</v>
      </c>
      <c r="L73" s="123">
        <f>IF(L$3&gt;1,16+(2*L$3)+(2*M$3),16)</f>
        <v>16</v>
      </c>
      <c r="M73" s="123">
        <f t="shared" si="9"/>
        <v>0</v>
      </c>
      <c r="N73" s="33">
        <v>0</v>
      </c>
      <c r="O73" s="21">
        <f t="shared" si="6"/>
        <v>16</v>
      </c>
    </row>
    <row r="74" spans="1:15" x14ac:dyDescent="0.25">
      <c r="A74" s="1933"/>
      <c r="B74" s="19" t="s">
        <v>34</v>
      </c>
      <c r="C74" s="22"/>
      <c r="D74" s="123">
        <f>IF(D$3&gt;1,24+(2*D$3)+(2*E$3),24)</f>
        <v>24</v>
      </c>
      <c r="E74" s="123">
        <f t="shared" si="7"/>
        <v>0</v>
      </c>
      <c r="F74" s="33">
        <v>0</v>
      </c>
      <c r="G74" s="21">
        <f t="shared" si="2"/>
        <v>24</v>
      </c>
      <c r="H74" s="123">
        <f>IF(H$3&gt;1,24+(2*H$3)+(2*I$3),24)</f>
        <v>24</v>
      </c>
      <c r="I74" s="123">
        <f t="shared" si="8"/>
        <v>0</v>
      </c>
      <c r="J74" s="33">
        <v>0</v>
      </c>
      <c r="K74" s="21">
        <f t="shared" si="5"/>
        <v>24</v>
      </c>
      <c r="L74" s="123">
        <f>IF(L$3&gt;1,24+(2*L$3)+(2*M$3),24)</f>
        <v>24</v>
      </c>
      <c r="M74" s="123">
        <f t="shared" si="9"/>
        <v>0</v>
      </c>
      <c r="N74" s="33">
        <v>0</v>
      </c>
      <c r="O74" s="21">
        <f t="shared" si="6"/>
        <v>24</v>
      </c>
    </row>
    <row r="75" spans="1:15" x14ac:dyDescent="0.25">
      <c r="A75" s="1933" t="s">
        <v>21</v>
      </c>
      <c r="B75" s="19" t="s">
        <v>32</v>
      </c>
      <c r="C75" s="22"/>
      <c r="D75" s="38" t="s">
        <v>90</v>
      </c>
      <c r="E75" s="38" t="s">
        <v>90</v>
      </c>
      <c r="F75" s="38" t="s">
        <v>90</v>
      </c>
      <c r="G75" s="21">
        <f t="shared" si="2"/>
        <v>0</v>
      </c>
      <c r="H75" s="38" t="s">
        <v>90</v>
      </c>
      <c r="I75" s="38" t="s">
        <v>90</v>
      </c>
      <c r="J75" s="38" t="s">
        <v>90</v>
      </c>
      <c r="K75" s="21">
        <f t="shared" si="5"/>
        <v>0</v>
      </c>
      <c r="L75" s="38" t="s">
        <v>90</v>
      </c>
      <c r="M75" s="38" t="s">
        <v>90</v>
      </c>
      <c r="N75" s="38" t="s">
        <v>90</v>
      </c>
      <c r="O75" s="21">
        <f t="shared" si="6"/>
        <v>0</v>
      </c>
    </row>
    <row r="76" spans="1:15" x14ac:dyDescent="0.25">
      <c r="A76" s="1933"/>
      <c r="B76" s="19" t="s">
        <v>33</v>
      </c>
      <c r="C76" s="22"/>
      <c r="D76" s="38" t="s">
        <v>90</v>
      </c>
      <c r="E76" s="38" t="s">
        <v>90</v>
      </c>
      <c r="F76" s="38" t="s">
        <v>90</v>
      </c>
      <c r="G76" s="21">
        <f t="shared" si="2"/>
        <v>0</v>
      </c>
      <c r="H76" s="38" t="s">
        <v>90</v>
      </c>
      <c r="I76" s="38" t="s">
        <v>90</v>
      </c>
      <c r="J76" s="38" t="s">
        <v>90</v>
      </c>
      <c r="K76" s="21">
        <f t="shared" si="5"/>
        <v>0</v>
      </c>
      <c r="L76" s="38" t="s">
        <v>90</v>
      </c>
      <c r="M76" s="38" t="s">
        <v>90</v>
      </c>
      <c r="N76" s="38" t="s">
        <v>90</v>
      </c>
      <c r="O76" s="21">
        <f t="shared" si="6"/>
        <v>0</v>
      </c>
    </row>
    <row r="77" spans="1:15" x14ac:dyDescent="0.25">
      <c r="A77" s="1933"/>
      <c r="B77" s="13" t="s">
        <v>34</v>
      </c>
      <c r="C77" s="34"/>
      <c r="D77" s="38" t="s">
        <v>90</v>
      </c>
      <c r="E77" s="38" t="s">
        <v>90</v>
      </c>
      <c r="F77" s="38" t="s">
        <v>90</v>
      </c>
      <c r="G77" s="21">
        <f t="shared" si="2"/>
        <v>0</v>
      </c>
      <c r="H77" s="38" t="s">
        <v>90</v>
      </c>
      <c r="I77" s="38" t="s">
        <v>90</v>
      </c>
      <c r="J77" s="38" t="s">
        <v>90</v>
      </c>
      <c r="K77" s="21">
        <f t="shared" si="5"/>
        <v>0</v>
      </c>
      <c r="L77" s="38" t="s">
        <v>90</v>
      </c>
      <c r="M77" s="38" t="s">
        <v>90</v>
      </c>
      <c r="N77" s="38" t="s">
        <v>90</v>
      </c>
      <c r="O77" s="21">
        <f t="shared" si="6"/>
        <v>0</v>
      </c>
    </row>
    <row r="78" spans="1:15" x14ac:dyDescent="0.25">
      <c r="A78" s="1933" t="s">
        <v>181</v>
      </c>
      <c r="B78" s="19" t="s">
        <v>32</v>
      </c>
      <c r="C78" s="198"/>
      <c r="D78" s="223">
        <f>IF(D$3=0,0,2.2)</f>
        <v>0</v>
      </c>
      <c r="E78" s="15">
        <v>0</v>
      </c>
      <c r="F78" s="193">
        <v>0</v>
      </c>
      <c r="G78" s="21">
        <f t="shared" si="2"/>
        <v>0</v>
      </c>
      <c r="H78" s="223">
        <f>IF(H$3=0,0,2.2)</f>
        <v>0</v>
      </c>
      <c r="I78" s="15">
        <v>0</v>
      </c>
      <c r="J78" s="193">
        <v>0</v>
      </c>
      <c r="K78" s="21">
        <f t="shared" si="5"/>
        <v>0</v>
      </c>
      <c r="L78" s="223">
        <f>IF(L$3=0,0,2.2)</f>
        <v>0</v>
      </c>
      <c r="M78" s="15">
        <v>0</v>
      </c>
      <c r="N78" s="193">
        <v>0</v>
      </c>
      <c r="O78" s="21">
        <f t="shared" si="6"/>
        <v>0</v>
      </c>
    </row>
    <row r="79" spans="1:15" x14ac:dyDescent="0.25">
      <c r="A79" s="1933"/>
      <c r="B79" s="19" t="s">
        <v>33</v>
      </c>
      <c r="C79" s="198"/>
      <c r="D79" s="223">
        <f>IF(D$3=0,0,2.6)</f>
        <v>0</v>
      </c>
      <c r="E79" s="15">
        <v>0</v>
      </c>
      <c r="F79" s="193">
        <v>0</v>
      </c>
      <c r="G79" s="21">
        <f t="shared" si="2"/>
        <v>0</v>
      </c>
      <c r="H79" s="223">
        <f>IF(H$3=0,0,2.6)</f>
        <v>0</v>
      </c>
      <c r="I79" s="15">
        <v>0</v>
      </c>
      <c r="J79" s="193">
        <v>0</v>
      </c>
      <c r="K79" s="21">
        <f t="shared" si="5"/>
        <v>0</v>
      </c>
      <c r="L79" s="223">
        <f>IF(L$3=0,0,2.6)</f>
        <v>0</v>
      </c>
      <c r="M79" s="15">
        <v>0</v>
      </c>
      <c r="N79" s="193">
        <v>0</v>
      </c>
      <c r="O79" s="21">
        <f t="shared" si="6"/>
        <v>0</v>
      </c>
    </row>
    <row r="80" spans="1:15" x14ac:dyDescent="0.25">
      <c r="A80" s="1933"/>
      <c r="B80" s="19" t="s">
        <v>34</v>
      </c>
      <c r="C80" s="198"/>
      <c r="D80" s="223">
        <f>IF(D$3=0,0,2.6)</f>
        <v>0</v>
      </c>
      <c r="E80" s="15">
        <v>0</v>
      </c>
      <c r="F80" s="193">
        <v>0</v>
      </c>
      <c r="G80" s="21">
        <f t="shared" si="2"/>
        <v>0</v>
      </c>
      <c r="H80" s="223">
        <f>IF(H$3=0,0,2.6)</f>
        <v>0</v>
      </c>
      <c r="I80" s="15">
        <v>0</v>
      </c>
      <c r="J80" s="193">
        <v>0</v>
      </c>
      <c r="K80" s="21">
        <f t="shared" si="5"/>
        <v>0</v>
      </c>
      <c r="L80" s="223">
        <f>IF(L$3=0,0,2.6)</f>
        <v>0</v>
      </c>
      <c r="M80" s="15">
        <v>0</v>
      </c>
      <c r="N80" s="193">
        <v>0</v>
      </c>
      <c r="O80" s="21">
        <f t="shared" si="6"/>
        <v>0</v>
      </c>
    </row>
    <row r="81" spans="1:15" x14ac:dyDescent="0.25">
      <c r="A81" s="1933" t="s">
        <v>182</v>
      </c>
      <c r="B81" s="19" t="s">
        <v>32</v>
      </c>
      <c r="C81" s="198"/>
      <c r="D81" s="223">
        <f>IF(D$3=0,0,2)</f>
        <v>0</v>
      </c>
      <c r="E81" s="15">
        <v>0</v>
      </c>
      <c r="F81" s="193">
        <v>0</v>
      </c>
      <c r="G81" s="21">
        <f t="shared" si="2"/>
        <v>0</v>
      </c>
      <c r="H81" s="223">
        <f>IF(H$3=0,0,2)</f>
        <v>0</v>
      </c>
      <c r="I81" s="15">
        <v>0</v>
      </c>
      <c r="J81" s="193">
        <v>0</v>
      </c>
      <c r="K81" s="21">
        <f t="shared" si="5"/>
        <v>0</v>
      </c>
      <c r="L81" s="223">
        <f>IF(L$3=0,0,2)</f>
        <v>0</v>
      </c>
      <c r="M81" s="15">
        <v>0</v>
      </c>
      <c r="N81" s="193">
        <v>0</v>
      </c>
      <c r="O81" s="21">
        <f t="shared" si="6"/>
        <v>0</v>
      </c>
    </row>
    <row r="82" spans="1:15" x14ac:dyDescent="0.25">
      <c r="A82" s="1933"/>
      <c r="B82" s="19" t="s">
        <v>33</v>
      </c>
      <c r="C82" s="198"/>
      <c r="D82" s="223">
        <f>IF(D$3=0,0,2.4)</f>
        <v>0</v>
      </c>
      <c r="E82" s="15">
        <v>0</v>
      </c>
      <c r="F82" s="193">
        <v>0</v>
      </c>
      <c r="G82" s="21">
        <f t="shared" si="2"/>
        <v>0</v>
      </c>
      <c r="H82" s="223">
        <f>IF(H$3=0,0,2.4)</f>
        <v>0</v>
      </c>
      <c r="I82" s="15">
        <v>0</v>
      </c>
      <c r="J82" s="193">
        <v>0</v>
      </c>
      <c r="K82" s="21">
        <f t="shared" si="5"/>
        <v>0</v>
      </c>
      <c r="L82" s="223">
        <f>IF(L$3=0,0,2.4)</f>
        <v>0</v>
      </c>
      <c r="M82" s="15">
        <v>0</v>
      </c>
      <c r="N82" s="193">
        <v>0</v>
      </c>
      <c r="O82" s="21">
        <f t="shared" si="6"/>
        <v>0</v>
      </c>
    </row>
    <row r="83" spans="1:15" x14ac:dyDescent="0.25">
      <c r="A83" s="1933"/>
      <c r="B83" s="19" t="s">
        <v>34</v>
      </c>
      <c r="C83" s="198"/>
      <c r="D83" s="223">
        <f>IF(D$3=0,0,2.4)</f>
        <v>0</v>
      </c>
      <c r="E83" s="15">
        <v>0</v>
      </c>
      <c r="F83" s="193">
        <v>0</v>
      </c>
      <c r="G83" s="21">
        <f t="shared" si="2"/>
        <v>0</v>
      </c>
      <c r="H83" s="223">
        <f>IF(H$3=0,0,2.4)</f>
        <v>0</v>
      </c>
      <c r="I83" s="15">
        <v>0</v>
      </c>
      <c r="J83" s="193">
        <v>0</v>
      </c>
      <c r="K83" s="21">
        <f t="shared" si="5"/>
        <v>0</v>
      </c>
      <c r="L83" s="223">
        <f>IF(L$3=0,0,2.4)</f>
        <v>0</v>
      </c>
      <c r="M83" s="15">
        <v>0</v>
      </c>
      <c r="N83" s="193">
        <v>0</v>
      </c>
      <c r="O83" s="21">
        <f t="shared" si="6"/>
        <v>0</v>
      </c>
    </row>
    <row r="84" spans="1:15" x14ac:dyDescent="0.25">
      <c r="A84" s="1935" t="s">
        <v>183</v>
      </c>
      <c r="B84" s="19" t="s">
        <v>32</v>
      </c>
      <c r="C84" s="198"/>
      <c r="D84" s="195">
        <f>0.2+0.1*(D$3-1)</f>
        <v>0.1</v>
      </c>
      <c r="E84" s="15">
        <v>0</v>
      </c>
      <c r="F84" s="193">
        <v>0</v>
      </c>
      <c r="G84" s="21">
        <f t="shared" si="2"/>
        <v>0.1</v>
      </c>
      <c r="H84" s="195">
        <f>0.2+0.1*(H$3-1)</f>
        <v>0.1</v>
      </c>
      <c r="I84" s="15">
        <v>0</v>
      </c>
      <c r="J84" s="193">
        <v>0</v>
      </c>
      <c r="K84" s="21">
        <f t="shared" si="5"/>
        <v>0.1</v>
      </c>
      <c r="L84" s="195">
        <f>0.2+0.1*(L$3-1)</f>
        <v>0.1</v>
      </c>
      <c r="M84" s="15">
        <v>0</v>
      </c>
      <c r="N84" s="193">
        <v>0</v>
      </c>
      <c r="O84" s="21">
        <f t="shared" si="6"/>
        <v>0.1</v>
      </c>
    </row>
    <row r="85" spans="1:15" x14ac:dyDescent="0.25">
      <c r="A85" s="1935"/>
      <c r="B85" s="19" t="s">
        <v>33</v>
      </c>
      <c r="C85" s="198"/>
      <c r="D85" s="195">
        <f>0.3+0.1*(D$3-1)</f>
        <v>0.19999999999999998</v>
      </c>
      <c r="E85" s="15">
        <v>0</v>
      </c>
      <c r="F85" s="193">
        <v>0</v>
      </c>
      <c r="G85" s="21">
        <f t="shared" si="2"/>
        <v>0.19999999999999998</v>
      </c>
      <c r="H85" s="195">
        <f>0.3+0.1*(H$3-1)</f>
        <v>0.19999999999999998</v>
      </c>
      <c r="I85" s="15">
        <v>0</v>
      </c>
      <c r="J85" s="193">
        <v>0</v>
      </c>
      <c r="K85" s="21">
        <f t="shared" si="5"/>
        <v>0.19999999999999998</v>
      </c>
      <c r="L85" s="195">
        <f>0.3+0.1*(L$3-1)</f>
        <v>0.19999999999999998</v>
      </c>
      <c r="M85" s="15">
        <v>0</v>
      </c>
      <c r="N85" s="193">
        <v>0</v>
      </c>
      <c r="O85" s="21">
        <f t="shared" si="6"/>
        <v>0.19999999999999998</v>
      </c>
    </row>
    <row r="86" spans="1:15" ht="15.75" thickBot="1" x14ac:dyDescent="0.3">
      <c r="A86" s="1935"/>
      <c r="B86" s="13" t="s">
        <v>34</v>
      </c>
      <c r="C86" s="199"/>
      <c r="D86" s="461">
        <f>0.3+0.1*(D$3-1)</f>
        <v>0.19999999999999998</v>
      </c>
      <c r="E86" s="201">
        <v>0</v>
      </c>
      <c r="F86" s="197">
        <v>0</v>
      </c>
      <c r="G86" s="21">
        <f t="shared" si="2"/>
        <v>0.19999999999999998</v>
      </c>
      <c r="H86" s="461">
        <f>0.3+0.1*(H$3-1)</f>
        <v>0.19999999999999998</v>
      </c>
      <c r="I86" s="201">
        <v>0</v>
      </c>
      <c r="J86" s="197">
        <v>0</v>
      </c>
      <c r="K86" s="21">
        <f t="shared" si="5"/>
        <v>0.19999999999999998</v>
      </c>
      <c r="L86" s="461">
        <f>0.3+0.1*(L$3-1)</f>
        <v>0.19999999999999998</v>
      </c>
      <c r="M86" s="201">
        <v>0</v>
      </c>
      <c r="N86" s="197">
        <v>0</v>
      </c>
      <c r="O86" s="21">
        <f t="shared" si="6"/>
        <v>0.19999999999999998</v>
      </c>
    </row>
    <row r="87" spans="1:15" ht="16.5" thickBot="1" x14ac:dyDescent="0.3">
      <c r="A87" s="326" t="s">
        <v>22</v>
      </c>
      <c r="B87" s="327"/>
      <c r="C87" s="327"/>
      <c r="D87" s="327"/>
      <c r="E87" s="327"/>
      <c r="F87" s="327"/>
      <c r="G87" s="327"/>
      <c r="H87" s="327"/>
      <c r="I87" s="327"/>
      <c r="J87" s="327"/>
      <c r="K87" s="327"/>
      <c r="L87" s="327"/>
      <c r="M87" s="327"/>
      <c r="N87" s="327"/>
      <c r="O87" s="396"/>
    </row>
    <row r="88" spans="1:15" x14ac:dyDescent="0.25">
      <c r="A88" s="1932" t="s">
        <v>23</v>
      </c>
      <c r="B88" s="19" t="s">
        <v>32</v>
      </c>
      <c r="C88" s="22"/>
      <c r="D88" s="38">
        <v>0.25</v>
      </c>
      <c r="E88" s="15">
        <v>0</v>
      </c>
      <c r="F88" s="33">
        <v>0</v>
      </c>
      <c r="G88" s="21">
        <f t="shared" si="2"/>
        <v>0.25</v>
      </c>
      <c r="H88" s="38">
        <v>0.25</v>
      </c>
      <c r="I88" s="15">
        <v>0</v>
      </c>
      <c r="J88" s="33">
        <v>0</v>
      </c>
      <c r="K88" s="21">
        <f t="shared" ref="K88:K93" si="10" xml:space="preserve"> SUM(H88:J88) + $C88</f>
        <v>0.25</v>
      </c>
      <c r="L88" s="38">
        <v>0.25</v>
      </c>
      <c r="M88" s="15">
        <v>0</v>
      </c>
      <c r="N88" s="33">
        <v>0</v>
      </c>
      <c r="O88" s="21">
        <f t="shared" ref="O88:O93" si="11" xml:space="preserve"> SUM(L88:N88) + $C88</f>
        <v>0.25</v>
      </c>
    </row>
    <row r="89" spans="1:15" x14ac:dyDescent="0.25">
      <c r="A89" s="1932"/>
      <c r="B89" s="19" t="s">
        <v>33</v>
      </c>
      <c r="C89" s="22"/>
      <c r="D89" s="38">
        <v>0.25</v>
      </c>
      <c r="E89" s="15">
        <v>0</v>
      </c>
      <c r="F89" s="33">
        <v>0</v>
      </c>
      <c r="G89" s="21">
        <f t="shared" si="2"/>
        <v>0.25</v>
      </c>
      <c r="H89" s="38">
        <v>0.25</v>
      </c>
      <c r="I89" s="15">
        <v>0</v>
      </c>
      <c r="J89" s="33">
        <v>0</v>
      </c>
      <c r="K89" s="21">
        <f t="shared" si="10"/>
        <v>0.25</v>
      </c>
      <c r="L89" s="38">
        <v>0.25</v>
      </c>
      <c r="M89" s="15">
        <v>0</v>
      </c>
      <c r="N89" s="33">
        <v>0</v>
      </c>
      <c r="O89" s="21">
        <f t="shared" si="11"/>
        <v>0.25</v>
      </c>
    </row>
    <row r="90" spans="1:15" x14ac:dyDescent="0.25">
      <c r="A90" s="1932"/>
      <c r="B90" s="19" t="s">
        <v>34</v>
      </c>
      <c r="C90" s="22"/>
      <c r="D90" s="38">
        <v>0.25</v>
      </c>
      <c r="E90" s="15">
        <v>0</v>
      </c>
      <c r="F90" s="33">
        <v>0</v>
      </c>
      <c r="G90" s="21">
        <f t="shared" si="2"/>
        <v>0.25</v>
      </c>
      <c r="H90" s="38">
        <v>0.25</v>
      </c>
      <c r="I90" s="15">
        <v>0</v>
      </c>
      <c r="J90" s="33">
        <v>0</v>
      </c>
      <c r="K90" s="21">
        <f t="shared" si="10"/>
        <v>0.25</v>
      </c>
      <c r="L90" s="38">
        <v>0.25</v>
      </c>
      <c r="M90" s="15">
        <v>0</v>
      </c>
      <c r="N90" s="33">
        <v>0</v>
      </c>
      <c r="O90" s="21">
        <f t="shared" si="11"/>
        <v>0.25</v>
      </c>
    </row>
    <row r="91" spans="1:15" x14ac:dyDescent="0.25">
      <c r="A91" s="1933" t="s">
        <v>24</v>
      </c>
      <c r="B91" s="19" t="s">
        <v>32</v>
      </c>
      <c r="C91" s="22"/>
      <c r="D91" s="38">
        <v>8</v>
      </c>
      <c r="E91" s="123">
        <f t="shared" ref="E91:E96" si="12">0.5*E$3</f>
        <v>0</v>
      </c>
      <c r="F91" s="33">
        <v>0</v>
      </c>
      <c r="G91" s="21">
        <f t="shared" si="2"/>
        <v>8</v>
      </c>
      <c r="H91" s="38">
        <v>8</v>
      </c>
      <c r="I91" s="123">
        <f t="shared" ref="I91:I96" si="13">0.5*I$3</f>
        <v>0</v>
      </c>
      <c r="J91" s="33">
        <v>0</v>
      </c>
      <c r="K91" s="21">
        <f t="shared" si="10"/>
        <v>8</v>
      </c>
      <c r="L91" s="38">
        <v>8</v>
      </c>
      <c r="M91" s="123">
        <f t="shared" ref="M91:M96" si="14">0.5*M$3</f>
        <v>0</v>
      </c>
      <c r="N91" s="33">
        <v>0</v>
      </c>
      <c r="O91" s="21">
        <f t="shared" si="11"/>
        <v>8</v>
      </c>
    </row>
    <row r="92" spans="1:15" x14ac:dyDescent="0.25">
      <c r="A92" s="1933"/>
      <c r="B92" s="19" t="s">
        <v>33</v>
      </c>
      <c r="C92" s="22"/>
      <c r="D92" s="38">
        <v>8</v>
      </c>
      <c r="E92" s="123">
        <f t="shared" si="12"/>
        <v>0</v>
      </c>
      <c r="F92" s="33">
        <v>0</v>
      </c>
      <c r="G92" s="21">
        <f t="shared" si="2"/>
        <v>8</v>
      </c>
      <c r="H92" s="38">
        <v>8</v>
      </c>
      <c r="I92" s="123">
        <f t="shared" si="13"/>
        <v>0</v>
      </c>
      <c r="J92" s="33">
        <v>0</v>
      </c>
      <c r="K92" s="21">
        <f t="shared" si="10"/>
        <v>8</v>
      </c>
      <c r="L92" s="38">
        <v>8</v>
      </c>
      <c r="M92" s="123">
        <f t="shared" si="14"/>
        <v>0</v>
      </c>
      <c r="N92" s="33">
        <v>0</v>
      </c>
      <c r="O92" s="21">
        <f t="shared" si="11"/>
        <v>8</v>
      </c>
    </row>
    <row r="93" spans="1:15" x14ac:dyDescent="0.25">
      <c r="A93" s="1933"/>
      <c r="B93" s="19" t="s">
        <v>34</v>
      </c>
      <c r="C93" s="22"/>
      <c r="D93" s="38">
        <v>8</v>
      </c>
      <c r="E93" s="123">
        <f t="shared" si="12"/>
        <v>0</v>
      </c>
      <c r="F93" s="33">
        <v>0</v>
      </c>
      <c r="G93" s="21">
        <f t="shared" si="2"/>
        <v>8</v>
      </c>
      <c r="H93" s="38">
        <v>8</v>
      </c>
      <c r="I93" s="123">
        <f t="shared" si="13"/>
        <v>0</v>
      </c>
      <c r="J93" s="33">
        <v>0</v>
      </c>
      <c r="K93" s="21">
        <f t="shared" si="10"/>
        <v>8</v>
      </c>
      <c r="L93" s="38">
        <v>8</v>
      </c>
      <c r="M93" s="123">
        <f t="shared" si="14"/>
        <v>0</v>
      </c>
      <c r="N93" s="33">
        <v>0</v>
      </c>
      <c r="O93" s="21">
        <f t="shared" si="11"/>
        <v>8</v>
      </c>
    </row>
    <row r="94" spans="1:15" x14ac:dyDescent="0.25">
      <c r="A94" s="1933" t="s">
        <v>25</v>
      </c>
      <c r="B94" s="19" t="s">
        <v>32</v>
      </c>
      <c r="C94" s="22"/>
      <c r="D94" s="38">
        <v>6</v>
      </c>
      <c r="E94" s="123">
        <f t="shared" si="12"/>
        <v>0</v>
      </c>
      <c r="F94" s="33">
        <v>0</v>
      </c>
      <c r="G94" s="21">
        <f t="shared" ref="G94:G105" si="15" xml:space="preserve"> SUM(D94:F94) + $C94</f>
        <v>6</v>
      </c>
      <c r="H94" s="38">
        <v>6</v>
      </c>
      <c r="I94" s="123">
        <f t="shared" si="13"/>
        <v>0</v>
      </c>
      <c r="J94" s="33">
        <v>0</v>
      </c>
      <c r="K94" s="21">
        <f t="shared" ref="K94:K105" si="16" xml:space="preserve"> SUM(H94:J94) + $C94</f>
        <v>6</v>
      </c>
      <c r="L94" s="38">
        <v>6</v>
      </c>
      <c r="M94" s="123">
        <f t="shared" si="14"/>
        <v>0</v>
      </c>
      <c r="N94" s="33">
        <v>0</v>
      </c>
      <c r="O94" s="21">
        <f t="shared" ref="O94:O105" si="17" xml:space="preserve"> SUM(L94:N94) + $C94</f>
        <v>6</v>
      </c>
    </row>
    <row r="95" spans="1:15" x14ac:dyDescent="0.25">
      <c r="A95" s="1933"/>
      <c r="B95" s="19" t="s">
        <v>33</v>
      </c>
      <c r="C95" s="22"/>
      <c r="D95" s="38">
        <v>6</v>
      </c>
      <c r="E95" s="123">
        <f t="shared" si="12"/>
        <v>0</v>
      </c>
      <c r="F95" s="33">
        <v>0</v>
      </c>
      <c r="G95" s="21">
        <f t="shared" si="15"/>
        <v>6</v>
      </c>
      <c r="H95" s="38">
        <v>6</v>
      </c>
      <c r="I95" s="123">
        <f t="shared" si="13"/>
        <v>0</v>
      </c>
      <c r="J95" s="33">
        <v>0</v>
      </c>
      <c r="K95" s="21">
        <f t="shared" si="16"/>
        <v>6</v>
      </c>
      <c r="L95" s="38">
        <v>6</v>
      </c>
      <c r="M95" s="123">
        <f t="shared" si="14"/>
        <v>0</v>
      </c>
      <c r="N95" s="33">
        <v>0</v>
      </c>
      <c r="O95" s="21">
        <f t="shared" si="17"/>
        <v>6</v>
      </c>
    </row>
    <row r="96" spans="1:15" x14ac:dyDescent="0.25">
      <c r="A96" s="1933"/>
      <c r="B96" s="19" t="s">
        <v>34</v>
      </c>
      <c r="C96" s="22"/>
      <c r="D96" s="38">
        <v>6</v>
      </c>
      <c r="E96" s="123">
        <f t="shared" si="12"/>
        <v>0</v>
      </c>
      <c r="F96" s="33">
        <v>0</v>
      </c>
      <c r="G96" s="21">
        <f t="shared" si="15"/>
        <v>6</v>
      </c>
      <c r="H96" s="38">
        <v>6</v>
      </c>
      <c r="I96" s="123">
        <f t="shared" si="13"/>
        <v>0</v>
      </c>
      <c r="J96" s="33">
        <v>0</v>
      </c>
      <c r="K96" s="21">
        <f t="shared" si="16"/>
        <v>6</v>
      </c>
      <c r="L96" s="38">
        <v>6</v>
      </c>
      <c r="M96" s="123">
        <f t="shared" si="14"/>
        <v>0</v>
      </c>
      <c r="N96" s="33">
        <v>0</v>
      </c>
      <c r="O96" s="21">
        <f t="shared" si="17"/>
        <v>6</v>
      </c>
    </row>
    <row r="97" spans="1:15" x14ac:dyDescent="0.25">
      <c r="A97" s="1933" t="s">
        <v>26</v>
      </c>
      <c r="B97" s="19" t="s">
        <v>32</v>
      </c>
      <c r="C97" s="22"/>
      <c r="D97" s="124">
        <f>4+(0.5*D$3)</f>
        <v>4</v>
      </c>
      <c r="E97" s="38">
        <v>0</v>
      </c>
      <c r="F97" s="38">
        <v>0</v>
      </c>
      <c r="G97" s="21">
        <f t="shared" si="15"/>
        <v>4</v>
      </c>
      <c r="H97" s="124">
        <f>4+(0.5*H$3)</f>
        <v>4</v>
      </c>
      <c r="I97" s="38">
        <v>0</v>
      </c>
      <c r="J97" s="38">
        <v>0</v>
      </c>
      <c r="K97" s="21">
        <f t="shared" si="16"/>
        <v>4</v>
      </c>
      <c r="L97" s="124">
        <f>4+(0.5*L$3)</f>
        <v>4</v>
      </c>
      <c r="M97" s="38">
        <v>0</v>
      </c>
      <c r="N97" s="38">
        <v>0</v>
      </c>
      <c r="O97" s="21">
        <f t="shared" si="17"/>
        <v>4</v>
      </c>
    </row>
    <row r="98" spans="1:15" x14ac:dyDescent="0.25">
      <c r="A98" s="1933"/>
      <c r="B98" s="19" t="s">
        <v>33</v>
      </c>
      <c r="C98" s="22"/>
      <c r="D98" s="124">
        <f>4+(0.5*D$3)</f>
        <v>4</v>
      </c>
      <c r="E98" s="38">
        <v>0</v>
      </c>
      <c r="F98" s="38">
        <v>0</v>
      </c>
      <c r="G98" s="21">
        <f t="shared" si="15"/>
        <v>4</v>
      </c>
      <c r="H98" s="124">
        <f>4+(0.5*H$3)</f>
        <v>4</v>
      </c>
      <c r="I98" s="38">
        <v>0</v>
      </c>
      <c r="J98" s="38">
        <v>0</v>
      </c>
      <c r="K98" s="21">
        <f t="shared" si="16"/>
        <v>4</v>
      </c>
      <c r="L98" s="124">
        <f>4+(0.5*L$3)</f>
        <v>4</v>
      </c>
      <c r="M98" s="38">
        <v>0</v>
      </c>
      <c r="N98" s="38">
        <v>0</v>
      </c>
      <c r="O98" s="21">
        <f t="shared" si="17"/>
        <v>4</v>
      </c>
    </row>
    <row r="99" spans="1:15" x14ac:dyDescent="0.25">
      <c r="A99" s="1933"/>
      <c r="B99" s="19" t="s">
        <v>34</v>
      </c>
      <c r="C99" s="22"/>
      <c r="D99" s="124">
        <f>4+(0.5*D$3)</f>
        <v>4</v>
      </c>
      <c r="E99" s="38">
        <v>0</v>
      </c>
      <c r="F99" s="38">
        <v>0</v>
      </c>
      <c r="G99" s="21">
        <f t="shared" si="15"/>
        <v>4</v>
      </c>
      <c r="H99" s="124">
        <f>4+(0.5*H$3)</f>
        <v>4</v>
      </c>
      <c r="I99" s="38">
        <v>0</v>
      </c>
      <c r="J99" s="38">
        <v>0</v>
      </c>
      <c r="K99" s="21">
        <f t="shared" si="16"/>
        <v>4</v>
      </c>
      <c r="L99" s="124">
        <f>4+(0.5*L$3)</f>
        <v>4</v>
      </c>
      <c r="M99" s="38">
        <v>0</v>
      </c>
      <c r="N99" s="38">
        <v>0</v>
      </c>
      <c r="O99" s="21">
        <f t="shared" si="17"/>
        <v>4</v>
      </c>
    </row>
    <row r="100" spans="1:15" x14ac:dyDescent="0.25">
      <c r="A100" s="1933" t="s">
        <v>27</v>
      </c>
      <c r="B100" s="19" t="s">
        <v>32</v>
      </c>
      <c r="C100" s="22"/>
      <c r="D100" s="124">
        <f>2+(0.5*D$3)</f>
        <v>2</v>
      </c>
      <c r="E100" s="38">
        <v>0</v>
      </c>
      <c r="F100" s="38">
        <v>0</v>
      </c>
      <c r="G100" s="21">
        <f t="shared" si="15"/>
        <v>2</v>
      </c>
      <c r="H100" s="124">
        <f>2+(0.5*H$3)</f>
        <v>2</v>
      </c>
      <c r="I100" s="38">
        <v>0</v>
      </c>
      <c r="J100" s="38">
        <v>0</v>
      </c>
      <c r="K100" s="21">
        <f t="shared" si="16"/>
        <v>2</v>
      </c>
      <c r="L100" s="124">
        <f>2+(0.5*L$3)</f>
        <v>2</v>
      </c>
      <c r="M100" s="38">
        <v>0</v>
      </c>
      <c r="N100" s="38">
        <v>0</v>
      </c>
      <c r="O100" s="21">
        <f t="shared" si="17"/>
        <v>2</v>
      </c>
    </row>
    <row r="101" spans="1:15" x14ac:dyDescent="0.25">
      <c r="A101" s="1933"/>
      <c r="B101" s="19" t="s">
        <v>33</v>
      </c>
      <c r="C101" s="22"/>
      <c r="D101" s="124">
        <f>3+(0.5*D$3)</f>
        <v>3</v>
      </c>
      <c r="E101" s="38">
        <v>0</v>
      </c>
      <c r="F101" s="38">
        <v>0</v>
      </c>
      <c r="G101" s="21">
        <f t="shared" si="15"/>
        <v>3</v>
      </c>
      <c r="H101" s="124">
        <f>3+(0.5*H$3)</f>
        <v>3</v>
      </c>
      <c r="I101" s="38">
        <v>0</v>
      </c>
      <c r="J101" s="38">
        <v>0</v>
      </c>
      <c r="K101" s="21">
        <f t="shared" si="16"/>
        <v>3</v>
      </c>
      <c r="L101" s="124">
        <f>3+(0.5*L$3)</f>
        <v>3</v>
      </c>
      <c r="M101" s="38">
        <v>0</v>
      </c>
      <c r="N101" s="38">
        <v>0</v>
      </c>
      <c r="O101" s="21">
        <f t="shared" si="17"/>
        <v>3</v>
      </c>
    </row>
    <row r="102" spans="1:15" x14ac:dyDescent="0.25">
      <c r="A102" s="1933"/>
      <c r="B102" s="19" t="s">
        <v>34</v>
      </c>
      <c r="C102" s="22"/>
      <c r="D102" s="124">
        <f>5+(0.5*D$3)</f>
        <v>5</v>
      </c>
      <c r="E102" s="38">
        <v>0</v>
      </c>
      <c r="F102" s="38">
        <v>0</v>
      </c>
      <c r="G102" s="21">
        <f t="shared" si="15"/>
        <v>5</v>
      </c>
      <c r="H102" s="124">
        <f>5+(0.5*H$3)</f>
        <v>5</v>
      </c>
      <c r="I102" s="38">
        <v>0</v>
      </c>
      <c r="J102" s="38">
        <v>0</v>
      </c>
      <c r="K102" s="21">
        <f t="shared" si="16"/>
        <v>5</v>
      </c>
      <c r="L102" s="124">
        <f>5+(0.5*L$3)</f>
        <v>5</v>
      </c>
      <c r="M102" s="38">
        <v>0</v>
      </c>
      <c r="N102" s="38">
        <v>0</v>
      </c>
      <c r="O102" s="21">
        <f t="shared" si="17"/>
        <v>5</v>
      </c>
    </row>
    <row r="103" spans="1:15" x14ac:dyDescent="0.25">
      <c r="A103" s="1932" t="s">
        <v>28</v>
      </c>
      <c r="B103" s="19" t="s">
        <v>32</v>
      </c>
      <c r="C103" s="22"/>
      <c r="D103" s="38">
        <v>2</v>
      </c>
      <c r="E103" s="122">
        <f>0.5*E$3</f>
        <v>0</v>
      </c>
      <c r="F103" s="38">
        <v>0</v>
      </c>
      <c r="G103" s="21">
        <f t="shared" si="15"/>
        <v>2</v>
      </c>
      <c r="H103" s="38">
        <v>2</v>
      </c>
      <c r="I103" s="122">
        <f>0.5*I$3</f>
        <v>0</v>
      </c>
      <c r="J103" s="38">
        <v>0</v>
      </c>
      <c r="K103" s="21">
        <f t="shared" si="16"/>
        <v>2</v>
      </c>
      <c r="L103" s="38">
        <v>2</v>
      </c>
      <c r="M103" s="122">
        <f>0.5*M$3</f>
        <v>0</v>
      </c>
      <c r="N103" s="38">
        <v>0</v>
      </c>
      <c r="O103" s="21">
        <f t="shared" si="17"/>
        <v>2</v>
      </c>
    </row>
    <row r="104" spans="1:15" x14ac:dyDescent="0.25">
      <c r="A104" s="1932"/>
      <c r="B104" s="19" t="s">
        <v>33</v>
      </c>
      <c r="C104" s="22"/>
      <c r="D104" s="38">
        <v>3</v>
      </c>
      <c r="E104" s="122">
        <f>0.5*E$3</f>
        <v>0</v>
      </c>
      <c r="F104" s="38">
        <v>0</v>
      </c>
      <c r="G104" s="21">
        <f t="shared" si="15"/>
        <v>3</v>
      </c>
      <c r="H104" s="38">
        <v>3</v>
      </c>
      <c r="I104" s="122">
        <f>0.5*I$3</f>
        <v>0</v>
      </c>
      <c r="J104" s="38">
        <v>0</v>
      </c>
      <c r="K104" s="21">
        <f t="shared" si="16"/>
        <v>3</v>
      </c>
      <c r="L104" s="38">
        <v>3</v>
      </c>
      <c r="M104" s="122">
        <f>0.5*M$3</f>
        <v>0</v>
      </c>
      <c r="N104" s="38">
        <v>0</v>
      </c>
      <c r="O104" s="21">
        <f t="shared" si="17"/>
        <v>3</v>
      </c>
    </row>
    <row r="105" spans="1:15" ht="15.75" thickBot="1" x14ac:dyDescent="0.3">
      <c r="A105" s="1934"/>
      <c r="B105" s="20" t="s">
        <v>34</v>
      </c>
      <c r="C105" s="23"/>
      <c r="D105" s="196">
        <v>4</v>
      </c>
      <c r="E105" s="224">
        <f>0.5*E$3</f>
        <v>0</v>
      </c>
      <c r="F105" s="408">
        <v>0</v>
      </c>
      <c r="G105" s="24">
        <f t="shared" si="15"/>
        <v>4</v>
      </c>
      <c r="H105" s="196">
        <v>4</v>
      </c>
      <c r="I105" s="224">
        <f>0.5*I$3</f>
        <v>0</v>
      </c>
      <c r="J105" s="408">
        <v>0</v>
      </c>
      <c r="K105" s="24">
        <f t="shared" si="16"/>
        <v>4</v>
      </c>
      <c r="L105" s="196">
        <v>4</v>
      </c>
      <c r="M105" s="224">
        <f>0.5*M$3</f>
        <v>0</v>
      </c>
      <c r="N105" s="408">
        <v>0</v>
      </c>
      <c r="O105" s="24">
        <f t="shared" si="17"/>
        <v>4</v>
      </c>
    </row>
    <row r="107" spans="1:15" x14ac:dyDescent="0.25">
      <c r="A107" s="125" t="s">
        <v>89</v>
      </c>
    </row>
  </sheetData>
  <mergeCells count="39">
    <mergeCell ref="A97:A99"/>
    <mergeCell ref="A100:A102"/>
    <mergeCell ref="A103:A105"/>
    <mergeCell ref="A78:A80"/>
    <mergeCell ref="A81:A83"/>
    <mergeCell ref="A84:A86"/>
    <mergeCell ref="A88:A90"/>
    <mergeCell ref="A91:A93"/>
    <mergeCell ref="A94:A96"/>
    <mergeCell ref="A75:A77"/>
    <mergeCell ref="A28:A30"/>
    <mergeCell ref="A31:A33"/>
    <mergeCell ref="A34:A36"/>
    <mergeCell ref="A38:A40"/>
    <mergeCell ref="A42:A44"/>
    <mergeCell ref="A45:A47"/>
    <mergeCell ref="A48:A50"/>
    <mergeCell ref="A51:A53"/>
    <mergeCell ref="A54:A56"/>
    <mergeCell ref="A57:A59"/>
    <mergeCell ref="A60:A62"/>
    <mergeCell ref="A63:A65"/>
    <mergeCell ref="A66:A68"/>
    <mergeCell ref="A69:A71"/>
    <mergeCell ref="A72:A74"/>
    <mergeCell ref="A25:A27"/>
    <mergeCell ref="D1:G1"/>
    <mergeCell ref="H1:K1"/>
    <mergeCell ref="L1:O1"/>
    <mergeCell ref="C2:C3"/>
    <mergeCell ref="G2:G3"/>
    <mergeCell ref="K2:K3"/>
    <mergeCell ref="O2:O3"/>
    <mergeCell ref="A8:A10"/>
    <mergeCell ref="A12:A14"/>
    <mergeCell ref="A16:A18"/>
    <mergeCell ref="A19:A21"/>
    <mergeCell ref="A22:A24"/>
    <mergeCell ref="A5:A7"/>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Лист18"/>
  <dimension ref="A1:S107"/>
  <sheetViews>
    <sheetView zoomScale="55" zoomScaleNormal="55" workbookViewId="0">
      <selection activeCell="D66" sqref="D66:F68"/>
    </sheetView>
  </sheetViews>
  <sheetFormatPr defaultRowHeight="15" x14ac:dyDescent="0.25"/>
  <cols>
    <col min="1" max="1" width="53.42578125" bestFit="1" customWidth="1"/>
    <col min="2" max="2" width="23.5703125" bestFit="1" customWidth="1"/>
    <col min="4" max="4" width="58.42578125" bestFit="1" customWidth="1"/>
    <col min="5" max="5" width="32.28515625" bestFit="1" customWidth="1"/>
    <col min="6" max="6" width="34" bestFit="1" customWidth="1"/>
    <col min="8" max="8" width="58.42578125" bestFit="1" customWidth="1"/>
    <col min="9" max="9" width="32.28515625" bestFit="1" customWidth="1"/>
    <col min="10" max="10" width="34" bestFit="1" customWidth="1"/>
    <col min="12" max="12" width="58.42578125" bestFit="1" customWidth="1"/>
    <col min="13" max="13" width="32.28515625" bestFit="1" customWidth="1"/>
    <col min="14" max="14" width="34" bestFit="1" customWidth="1"/>
    <col min="16" max="16" width="58.42578125" bestFit="1" customWidth="1"/>
    <col min="17" max="17" width="32.28515625" bestFit="1" customWidth="1"/>
    <col min="18" max="18" width="34" bestFit="1" customWidth="1"/>
  </cols>
  <sheetData>
    <row r="1" spans="1:19" ht="16.5" thickBot="1" x14ac:dyDescent="0.3">
      <c r="A1" s="465" t="s">
        <v>91</v>
      </c>
      <c r="B1" s="35"/>
      <c r="C1" s="43"/>
      <c r="D1" s="1939" t="str">
        <f>'Служебный АСУТП'!Y2</f>
        <v>Kaspersky Industrial CyberSecurity for Networks</v>
      </c>
      <c r="E1" s="1940"/>
      <c r="F1" s="1940"/>
      <c r="G1" s="1941"/>
      <c r="H1" s="1939" t="str">
        <f>'Служебный АСУТП'!Y3</f>
        <v>PT ISIM</v>
      </c>
      <c r="I1" s="1940"/>
      <c r="J1" s="1940"/>
      <c r="K1" s="1941"/>
      <c r="L1" s="1939" t="str">
        <f>'Служебный АСУТП'!Y4</f>
        <v>PT NAD</v>
      </c>
      <c r="M1" s="1940"/>
      <c r="N1" s="1940"/>
      <c r="O1" s="1941"/>
      <c r="P1" s="1939" t="str">
        <f>'Служебный АСУТП'!Y5</f>
        <v>Гарда Монитор</v>
      </c>
      <c r="Q1" s="1940"/>
      <c r="R1" s="1940"/>
      <c r="S1" s="1941"/>
    </row>
    <row r="2" spans="1:19" ht="15" customHeight="1" x14ac:dyDescent="0.25">
      <c r="B2" s="41" t="s">
        <v>37</v>
      </c>
      <c r="C2" s="1945" t="s">
        <v>35</v>
      </c>
      <c r="D2" s="684" t="s">
        <v>583</v>
      </c>
      <c r="E2" s="548" t="s">
        <v>584</v>
      </c>
      <c r="F2" s="548" t="s">
        <v>442</v>
      </c>
      <c r="G2" s="1942" t="s">
        <v>38</v>
      </c>
      <c r="H2" s="684" t="s">
        <v>583</v>
      </c>
      <c r="I2" s="548" t="s">
        <v>584</v>
      </c>
      <c r="J2" s="548" t="s">
        <v>442</v>
      </c>
      <c r="K2" s="1942" t="s">
        <v>38</v>
      </c>
      <c r="L2" s="684" t="s">
        <v>583</v>
      </c>
      <c r="M2" s="548" t="s">
        <v>584</v>
      </c>
      <c r="N2" s="548" t="s">
        <v>442</v>
      </c>
      <c r="O2" s="1942" t="s">
        <v>38</v>
      </c>
      <c r="P2" s="684" t="s">
        <v>583</v>
      </c>
      <c r="Q2" s="548" t="s">
        <v>584</v>
      </c>
      <c r="R2" s="548" t="s">
        <v>442</v>
      </c>
      <c r="S2" s="1942" t="s">
        <v>38</v>
      </c>
    </row>
    <row r="3" spans="1:19"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c r="P3" s="37">
        <f>INDEX(ТрЗ_ОП!$P$11:$P$102,MATCH(P2,ТрЗ_ОП!$O$11:$O$102,0))</f>
        <v>0</v>
      </c>
      <c r="Q3" s="37">
        <f>INDEX(ТрЗ_ОП!$P$11:$P$102,MATCH(Q2,ТрЗ_ОП!$O$11:$O$102,0))</f>
        <v>0</v>
      </c>
      <c r="R3" s="37">
        <f>INDEX(ТрЗ_ОП!$P$11:$P$102,MATCH(R2,ТрЗ_ОП!$O$11:$O$102,0))</f>
        <v>0</v>
      </c>
      <c r="S3" s="1942"/>
    </row>
    <row r="4" spans="1:19" ht="16.5" thickBot="1" x14ac:dyDescent="0.3">
      <c r="A4" s="326" t="s">
        <v>448</v>
      </c>
      <c r="B4" s="327"/>
      <c r="C4" s="327"/>
      <c r="D4" s="327"/>
      <c r="E4" s="327"/>
      <c r="F4" s="327"/>
      <c r="G4" s="327"/>
      <c r="H4" s="327"/>
      <c r="I4" s="327"/>
      <c r="J4" s="327"/>
      <c r="K4" s="327"/>
      <c r="L4" s="327"/>
      <c r="M4" s="327"/>
      <c r="N4" s="327"/>
      <c r="O4" s="327"/>
      <c r="P4" s="327"/>
      <c r="Q4" s="327"/>
      <c r="R4" s="327"/>
      <c r="S4" s="396"/>
    </row>
    <row r="5" spans="1:19" x14ac:dyDescent="0.25">
      <c r="A5" s="1977" t="s">
        <v>0</v>
      </c>
      <c r="B5" s="440" t="s">
        <v>32</v>
      </c>
      <c r="C5" s="106"/>
      <c r="D5" s="653">
        <v>1</v>
      </c>
      <c r="E5" s="653">
        <v>0.5</v>
      </c>
      <c r="F5" s="653">
        <v>0</v>
      </c>
      <c r="G5" s="433">
        <f xml:space="preserve"> SUM(D5:F5) + $C5</f>
        <v>1.5</v>
      </c>
      <c r="H5" s="653">
        <v>1</v>
      </c>
      <c r="I5" s="653">
        <v>0.5</v>
      </c>
      <c r="J5" s="653">
        <v>0</v>
      </c>
      <c r="K5" s="433">
        <f t="shared" ref="K5:K10" si="0" xml:space="preserve"> SUM(H5:J5) + $C5</f>
        <v>1.5</v>
      </c>
      <c r="L5" s="653">
        <v>1</v>
      </c>
      <c r="M5" s="653">
        <v>0.5</v>
      </c>
      <c r="N5" s="653">
        <v>0</v>
      </c>
      <c r="O5" s="433">
        <f t="shared" ref="O5:O10" si="1" xml:space="preserve"> SUM(L5:N5) + $C5</f>
        <v>1.5</v>
      </c>
      <c r="P5" s="221">
        <v>8</v>
      </c>
      <c r="Q5" s="221">
        <v>0.5</v>
      </c>
      <c r="R5" s="221">
        <v>0</v>
      </c>
      <c r="S5" s="433">
        <f t="shared" ref="S5:S10" si="2" xml:space="preserve"> SUM(P5:R5) + $C5</f>
        <v>8.5</v>
      </c>
    </row>
    <row r="6" spans="1:19" x14ac:dyDescent="0.25">
      <c r="A6" s="1932"/>
      <c r="B6" s="19" t="s">
        <v>33</v>
      </c>
      <c r="C6" s="22"/>
      <c r="D6" s="615">
        <v>2</v>
      </c>
      <c r="E6" s="615">
        <v>0.5</v>
      </c>
      <c r="F6" s="615">
        <v>0</v>
      </c>
      <c r="G6" s="21">
        <f xml:space="preserve"> SUM(D6:F6) + $C6</f>
        <v>2.5</v>
      </c>
      <c r="H6" s="615">
        <v>2</v>
      </c>
      <c r="I6" s="615">
        <v>0.5</v>
      </c>
      <c r="J6" s="615">
        <v>0</v>
      </c>
      <c r="K6" s="21">
        <f t="shared" si="0"/>
        <v>2.5</v>
      </c>
      <c r="L6" s="615">
        <v>2</v>
      </c>
      <c r="M6" s="615">
        <v>0.5</v>
      </c>
      <c r="N6" s="615">
        <v>0</v>
      </c>
      <c r="O6" s="21">
        <f t="shared" si="1"/>
        <v>2.5</v>
      </c>
      <c r="P6" s="11">
        <v>10</v>
      </c>
      <c r="Q6" s="11">
        <v>0.5</v>
      </c>
      <c r="R6" s="11">
        <v>0</v>
      </c>
      <c r="S6" s="21">
        <f t="shared" si="2"/>
        <v>10.5</v>
      </c>
    </row>
    <row r="7" spans="1:19" x14ac:dyDescent="0.25">
      <c r="A7" s="1973"/>
      <c r="B7" s="19" t="s">
        <v>34</v>
      </c>
      <c r="C7" s="22"/>
      <c r="D7" s="647">
        <v>4</v>
      </c>
      <c r="E7" s="615">
        <v>0.5</v>
      </c>
      <c r="F7" s="655">
        <v>0</v>
      </c>
      <c r="G7" s="21">
        <f xml:space="preserve"> SUM(D7:F7) + $C7</f>
        <v>4.5</v>
      </c>
      <c r="H7" s="647">
        <v>4</v>
      </c>
      <c r="I7" s="615">
        <v>0.5</v>
      </c>
      <c r="J7" s="655">
        <v>0</v>
      </c>
      <c r="K7" s="21">
        <f t="shared" si="0"/>
        <v>4.5</v>
      </c>
      <c r="L7" s="647">
        <v>4</v>
      </c>
      <c r="M7" s="615">
        <v>0.5</v>
      </c>
      <c r="N7" s="655">
        <v>0</v>
      </c>
      <c r="O7" s="21">
        <f t="shared" si="1"/>
        <v>4.5</v>
      </c>
      <c r="P7" s="11">
        <v>12</v>
      </c>
      <c r="Q7" s="11">
        <v>0.5</v>
      </c>
      <c r="R7" s="11">
        <v>0</v>
      </c>
      <c r="S7" s="21">
        <f t="shared" si="2"/>
        <v>12.5</v>
      </c>
    </row>
    <row r="8" spans="1:19" x14ac:dyDescent="0.25">
      <c r="A8" s="1932" t="s">
        <v>449</v>
      </c>
      <c r="B8" s="404" t="s">
        <v>32</v>
      </c>
      <c r="C8" s="324"/>
      <c r="D8" s="661">
        <v>1</v>
      </c>
      <c r="E8" s="661">
        <v>0.5</v>
      </c>
      <c r="F8" s="661">
        <v>0</v>
      </c>
      <c r="G8" s="230">
        <f xml:space="preserve"> SUM(D8:F8) + $C8</f>
        <v>1.5</v>
      </c>
      <c r="H8" s="661">
        <v>1</v>
      </c>
      <c r="I8" s="661">
        <v>0.5</v>
      </c>
      <c r="J8" s="661">
        <v>0</v>
      </c>
      <c r="K8" s="230">
        <f t="shared" si="0"/>
        <v>1.5</v>
      </c>
      <c r="L8" s="661">
        <v>1</v>
      </c>
      <c r="M8" s="661">
        <v>0.5</v>
      </c>
      <c r="N8" s="661">
        <v>0</v>
      </c>
      <c r="O8" s="230">
        <f t="shared" si="1"/>
        <v>1.5</v>
      </c>
      <c r="P8" s="405">
        <v>8</v>
      </c>
      <c r="Q8" s="405">
        <v>0.5</v>
      </c>
      <c r="R8" s="405">
        <v>0</v>
      </c>
      <c r="S8" s="230">
        <f t="shared" si="2"/>
        <v>8.5</v>
      </c>
    </row>
    <row r="9" spans="1:19" x14ac:dyDescent="0.25">
      <c r="A9" s="1932"/>
      <c r="B9" s="19" t="s">
        <v>33</v>
      </c>
      <c r="C9" s="22"/>
      <c r="D9" s="615">
        <v>2</v>
      </c>
      <c r="E9" s="615">
        <v>0.5</v>
      </c>
      <c r="F9" s="615">
        <v>0</v>
      </c>
      <c r="G9" s="21">
        <f t="shared" ref="G9:G93" si="3" xml:space="preserve"> SUM(D9:F9) + $C9</f>
        <v>2.5</v>
      </c>
      <c r="H9" s="615">
        <v>2</v>
      </c>
      <c r="I9" s="615">
        <v>0.5</v>
      </c>
      <c r="J9" s="615">
        <v>0</v>
      </c>
      <c r="K9" s="21">
        <f t="shared" si="0"/>
        <v>2.5</v>
      </c>
      <c r="L9" s="615">
        <v>2</v>
      </c>
      <c r="M9" s="615">
        <v>0.5</v>
      </c>
      <c r="N9" s="615">
        <v>0</v>
      </c>
      <c r="O9" s="21">
        <f t="shared" si="1"/>
        <v>2.5</v>
      </c>
      <c r="P9" s="11">
        <v>10</v>
      </c>
      <c r="Q9" s="11">
        <v>0.5</v>
      </c>
      <c r="R9" s="11">
        <v>0</v>
      </c>
      <c r="S9" s="21">
        <f t="shared" si="2"/>
        <v>10.5</v>
      </c>
    </row>
    <row r="10" spans="1:19" ht="15.75" thickBot="1" x14ac:dyDescent="0.3">
      <c r="A10" s="1932"/>
      <c r="B10" s="13" t="s">
        <v>34</v>
      </c>
      <c r="C10" s="34"/>
      <c r="D10" s="615">
        <v>4</v>
      </c>
      <c r="E10" s="615">
        <v>0.5</v>
      </c>
      <c r="F10" s="615">
        <v>0</v>
      </c>
      <c r="G10" s="77">
        <f t="shared" si="3"/>
        <v>4.5</v>
      </c>
      <c r="H10" s="615">
        <v>4</v>
      </c>
      <c r="I10" s="615">
        <v>0.5</v>
      </c>
      <c r="J10" s="615">
        <v>0</v>
      </c>
      <c r="K10" s="77">
        <f t="shared" si="0"/>
        <v>4.5</v>
      </c>
      <c r="L10" s="615">
        <v>4</v>
      </c>
      <c r="M10" s="615">
        <v>0.5</v>
      </c>
      <c r="N10" s="615">
        <v>0</v>
      </c>
      <c r="O10" s="77">
        <f t="shared" si="1"/>
        <v>4.5</v>
      </c>
      <c r="P10" s="422">
        <v>12</v>
      </c>
      <c r="Q10" s="422">
        <v>0.5</v>
      </c>
      <c r="R10" s="422">
        <v>0</v>
      </c>
      <c r="S10" s="77">
        <f t="shared" si="2"/>
        <v>12.5</v>
      </c>
    </row>
    <row r="11" spans="1:19" ht="16.5" thickBot="1" x14ac:dyDescent="0.3">
      <c r="A11" s="326" t="s">
        <v>1</v>
      </c>
      <c r="B11" s="327"/>
      <c r="C11" s="327"/>
      <c r="D11" s="327"/>
      <c r="E11" s="327"/>
      <c r="F11" s="327"/>
      <c r="G11" s="327"/>
      <c r="H11" s="327"/>
      <c r="I11" s="327"/>
      <c r="J11" s="327"/>
      <c r="K11" s="327"/>
      <c r="L11" s="327"/>
      <c r="M11" s="327"/>
      <c r="N11" s="327"/>
      <c r="O11" s="327"/>
      <c r="P11" s="327"/>
      <c r="Q11" s="327"/>
      <c r="R11" s="327"/>
      <c r="S11" s="396"/>
    </row>
    <row r="12" spans="1:19" x14ac:dyDescent="0.25">
      <c r="A12" s="1932" t="s">
        <v>2</v>
      </c>
      <c r="B12" s="404" t="s">
        <v>32</v>
      </c>
      <c r="C12" s="324"/>
      <c r="D12" s="674">
        <f>D$22*0.7</f>
        <v>5.6</v>
      </c>
      <c r="E12" s="674">
        <f>E$22*0.7</f>
        <v>0</v>
      </c>
      <c r="F12" s="674">
        <f>F$22*0.7</f>
        <v>0</v>
      </c>
      <c r="G12" s="230">
        <f t="shared" si="3"/>
        <v>5.6</v>
      </c>
      <c r="H12" s="674">
        <f>H$22*0.7</f>
        <v>5.6</v>
      </c>
      <c r="I12" s="674">
        <f>I$22*0.7</f>
        <v>0</v>
      </c>
      <c r="J12" s="674">
        <f>J$22*0.7</f>
        <v>0</v>
      </c>
      <c r="K12" s="230">
        <f xml:space="preserve"> SUM(H12:J12) + $C12</f>
        <v>5.6</v>
      </c>
      <c r="L12" s="661">
        <v>16</v>
      </c>
      <c r="M12" s="690">
        <v>0</v>
      </c>
      <c r="N12" s="661">
        <f>N22*0.7</f>
        <v>0</v>
      </c>
      <c r="O12" s="230">
        <f xml:space="preserve"> SUM(L12:N12) + $C12</f>
        <v>16</v>
      </c>
      <c r="P12" s="674">
        <f>P$22*0.7</f>
        <v>5.6</v>
      </c>
      <c r="Q12" s="674">
        <f>Q$22*0.7</f>
        <v>0</v>
      </c>
      <c r="R12" s="674">
        <f>R$22*0.7</f>
        <v>0</v>
      </c>
      <c r="S12" s="230">
        <f xml:space="preserve"> SUM(P12:R12) + $C12</f>
        <v>5.6</v>
      </c>
    </row>
    <row r="13" spans="1:19" x14ac:dyDescent="0.25">
      <c r="A13" s="1932"/>
      <c r="B13" s="19" t="s">
        <v>33</v>
      </c>
      <c r="C13" s="22"/>
      <c r="D13" s="630">
        <f>D$23*0.7</f>
        <v>8.3999999999999986</v>
      </c>
      <c r="E13" s="630">
        <f>E$23*0.7</f>
        <v>0</v>
      </c>
      <c r="F13" s="630">
        <f>F$23*0.7</f>
        <v>0</v>
      </c>
      <c r="G13" s="21">
        <f t="shared" si="3"/>
        <v>8.3999999999999986</v>
      </c>
      <c r="H13" s="630">
        <f>H$23*0.7</f>
        <v>8.3999999999999986</v>
      </c>
      <c r="I13" s="630">
        <f>I$23*0.7</f>
        <v>0</v>
      </c>
      <c r="J13" s="630">
        <f>J$23*0.7</f>
        <v>0</v>
      </c>
      <c r="K13" s="21">
        <f xml:space="preserve"> SUM(H13:J13) + $C13</f>
        <v>8.3999999999999986</v>
      </c>
      <c r="L13" s="615">
        <v>20</v>
      </c>
      <c r="M13" s="691">
        <v>0</v>
      </c>
      <c r="N13" s="615">
        <f>N23*0.7</f>
        <v>0</v>
      </c>
      <c r="O13" s="21">
        <f xml:space="preserve"> SUM(L13:N13) + $C13</f>
        <v>20</v>
      </c>
      <c r="P13" s="630">
        <f>P$23*0.7</f>
        <v>8.3999999999999986</v>
      </c>
      <c r="Q13" s="630">
        <f>Q$23*0.7</f>
        <v>0</v>
      </c>
      <c r="R13" s="630">
        <f>R$23*0.7</f>
        <v>0</v>
      </c>
      <c r="S13" s="21">
        <f xml:space="preserve"> SUM(P13:R13) + $C13</f>
        <v>8.3999999999999986</v>
      </c>
    </row>
    <row r="14" spans="1:19" ht="15.75" thickBot="1" x14ac:dyDescent="0.3">
      <c r="A14" s="1932"/>
      <c r="B14" s="13" t="s">
        <v>34</v>
      </c>
      <c r="C14" s="34"/>
      <c r="D14" s="675">
        <f>D$24*0.7</f>
        <v>9.7999999999999989</v>
      </c>
      <c r="E14" s="675">
        <f>E$24*0.7</f>
        <v>0</v>
      </c>
      <c r="F14" s="675">
        <f>F$24*0.7</f>
        <v>0</v>
      </c>
      <c r="G14" s="77">
        <f t="shared" si="3"/>
        <v>9.7999999999999989</v>
      </c>
      <c r="H14" s="675">
        <f>H$24*0.7</f>
        <v>9.7999999999999989</v>
      </c>
      <c r="I14" s="675">
        <f>I$24*0.7</f>
        <v>0</v>
      </c>
      <c r="J14" s="675">
        <f>J$24*0.7</f>
        <v>0</v>
      </c>
      <c r="K14" s="77">
        <f xml:space="preserve"> SUM(H14:J14) + $C14</f>
        <v>9.7999999999999989</v>
      </c>
      <c r="L14" s="673">
        <v>24</v>
      </c>
      <c r="M14" s="693">
        <v>0</v>
      </c>
      <c r="N14" s="673">
        <f>N24*0.7</f>
        <v>0</v>
      </c>
      <c r="O14" s="77">
        <f xml:space="preserve"> SUM(L14:N14) + $C14</f>
        <v>24</v>
      </c>
      <c r="P14" s="675">
        <f>P$24*0.7</f>
        <v>9.7999999999999989</v>
      </c>
      <c r="Q14" s="675">
        <f>Q$24*0.7</f>
        <v>0</v>
      </c>
      <c r="R14" s="675">
        <f>R$24*0.7</f>
        <v>0</v>
      </c>
      <c r="S14" s="77">
        <f xml:space="preserve"> SUM(P14:R14) + $C14</f>
        <v>9.7999999999999989</v>
      </c>
    </row>
    <row r="15" spans="1:19" ht="16.5" thickBot="1" x14ac:dyDescent="0.3">
      <c r="A15" s="330" t="s">
        <v>3</v>
      </c>
      <c r="B15" s="329"/>
      <c r="C15" s="329"/>
      <c r="D15" s="329"/>
      <c r="E15" s="329"/>
      <c r="F15" s="327"/>
      <c r="G15" s="327"/>
      <c r="H15" s="329"/>
      <c r="I15" s="329"/>
      <c r="J15" s="327"/>
      <c r="K15" s="327"/>
      <c r="L15" s="329"/>
      <c r="M15" s="329"/>
      <c r="N15" s="327"/>
      <c r="O15" s="327"/>
      <c r="P15" s="329"/>
      <c r="Q15" s="329"/>
      <c r="R15" s="327"/>
      <c r="S15" s="396"/>
    </row>
    <row r="16" spans="1:19" x14ac:dyDescent="0.25">
      <c r="A16" s="1944" t="s">
        <v>4</v>
      </c>
      <c r="B16" s="325" t="s">
        <v>32</v>
      </c>
      <c r="C16" s="324"/>
      <c r="D16" s="678">
        <v>0.25</v>
      </c>
      <c r="E16" s="699">
        <v>0</v>
      </c>
      <c r="F16" s="679">
        <v>0</v>
      </c>
      <c r="G16" s="230">
        <f t="shared" si="3"/>
        <v>0.25</v>
      </c>
      <c r="H16" s="678">
        <v>0.25</v>
      </c>
      <c r="I16" s="708">
        <v>0</v>
      </c>
      <c r="J16" s="679">
        <v>0</v>
      </c>
      <c r="K16" s="230">
        <f t="shared" ref="K16:K36" si="4" xml:space="preserve"> SUM(H16:J16) + $C16</f>
        <v>0.25</v>
      </c>
      <c r="L16" s="678">
        <v>0.25</v>
      </c>
      <c r="M16" s="708">
        <v>0</v>
      </c>
      <c r="N16" s="679">
        <v>0</v>
      </c>
      <c r="O16" s="230">
        <f t="shared" ref="O16:O36" si="5" xml:space="preserve"> SUM(L16:N16) + $C16</f>
        <v>0.25</v>
      </c>
      <c r="P16" s="678">
        <v>0.25</v>
      </c>
      <c r="Q16" s="708">
        <v>0</v>
      </c>
      <c r="R16" s="679">
        <v>0</v>
      </c>
      <c r="S16" s="230">
        <f t="shared" ref="S16:S36" si="6" xml:space="preserve"> SUM(P16:R16) + $C16</f>
        <v>0.25</v>
      </c>
    </row>
    <row r="17" spans="1:19" x14ac:dyDescent="0.25">
      <c r="A17" s="1937"/>
      <c r="B17" s="18" t="s">
        <v>33</v>
      </c>
      <c r="C17" s="22"/>
      <c r="D17" s="678">
        <v>0.25</v>
      </c>
      <c r="E17" s="616">
        <v>0</v>
      </c>
      <c r="F17" s="623">
        <v>0</v>
      </c>
      <c r="G17" s="21">
        <f t="shared" si="3"/>
        <v>0.25</v>
      </c>
      <c r="H17" s="678">
        <v>0.25</v>
      </c>
      <c r="I17" s="616">
        <v>0</v>
      </c>
      <c r="J17" s="623">
        <v>0</v>
      </c>
      <c r="K17" s="21">
        <f t="shared" si="4"/>
        <v>0.25</v>
      </c>
      <c r="L17" s="678">
        <v>0.25</v>
      </c>
      <c r="M17" s="616">
        <v>0</v>
      </c>
      <c r="N17" s="623">
        <v>0</v>
      </c>
      <c r="O17" s="21">
        <f t="shared" si="5"/>
        <v>0.25</v>
      </c>
      <c r="P17" s="678">
        <v>0.25</v>
      </c>
      <c r="Q17" s="616">
        <v>0</v>
      </c>
      <c r="R17" s="623">
        <v>0</v>
      </c>
      <c r="S17" s="21">
        <f t="shared" si="6"/>
        <v>0.25</v>
      </c>
    </row>
    <row r="18" spans="1:19" x14ac:dyDescent="0.25">
      <c r="A18" s="1937"/>
      <c r="B18" s="18" t="s">
        <v>34</v>
      </c>
      <c r="C18" s="22"/>
      <c r="D18" s="678">
        <v>0.25</v>
      </c>
      <c r="E18" s="616">
        <v>0</v>
      </c>
      <c r="F18" s="623">
        <v>0</v>
      </c>
      <c r="G18" s="21">
        <f t="shared" si="3"/>
        <v>0.25</v>
      </c>
      <c r="H18" s="678">
        <v>0.25</v>
      </c>
      <c r="I18" s="616">
        <v>0</v>
      </c>
      <c r="J18" s="623">
        <v>0</v>
      </c>
      <c r="K18" s="21">
        <f t="shared" si="4"/>
        <v>0.25</v>
      </c>
      <c r="L18" s="678">
        <v>0.25</v>
      </c>
      <c r="M18" s="616">
        <v>0</v>
      </c>
      <c r="N18" s="623">
        <v>0</v>
      </c>
      <c r="O18" s="21">
        <f t="shared" si="5"/>
        <v>0.25</v>
      </c>
      <c r="P18" s="678">
        <v>0.25</v>
      </c>
      <c r="Q18" s="616">
        <v>0</v>
      </c>
      <c r="R18" s="623">
        <v>0</v>
      </c>
      <c r="S18" s="21">
        <f t="shared" si="6"/>
        <v>0.25</v>
      </c>
    </row>
    <row r="19" spans="1:19" x14ac:dyDescent="0.25">
      <c r="A19" s="1937" t="s">
        <v>5</v>
      </c>
      <c r="B19" s="19" t="s">
        <v>32</v>
      </c>
      <c r="C19" s="22"/>
      <c r="D19" s="625">
        <v>1</v>
      </c>
      <c r="E19" s="616">
        <v>0</v>
      </c>
      <c r="F19" s="623">
        <v>0</v>
      </c>
      <c r="G19" s="21">
        <f t="shared" si="3"/>
        <v>1</v>
      </c>
      <c r="H19" s="625">
        <v>1</v>
      </c>
      <c r="I19" s="616">
        <v>0</v>
      </c>
      <c r="J19" s="623">
        <v>0</v>
      </c>
      <c r="K19" s="21">
        <f t="shared" si="4"/>
        <v>1</v>
      </c>
      <c r="L19" s="625">
        <v>1</v>
      </c>
      <c r="M19" s="616">
        <v>0</v>
      </c>
      <c r="N19" s="623">
        <v>0</v>
      </c>
      <c r="O19" s="21">
        <f t="shared" si="5"/>
        <v>1</v>
      </c>
      <c r="P19" s="625">
        <v>1</v>
      </c>
      <c r="Q19" s="616">
        <v>0</v>
      </c>
      <c r="R19" s="623">
        <v>0</v>
      </c>
      <c r="S19" s="21">
        <f t="shared" si="6"/>
        <v>1</v>
      </c>
    </row>
    <row r="20" spans="1:19" x14ac:dyDescent="0.25">
      <c r="A20" s="1937"/>
      <c r="B20" s="19" t="s">
        <v>33</v>
      </c>
      <c r="C20" s="22"/>
      <c r="D20" s="625">
        <v>2</v>
      </c>
      <c r="E20" s="616">
        <v>0</v>
      </c>
      <c r="F20" s="623">
        <v>0</v>
      </c>
      <c r="G20" s="21">
        <f t="shared" si="3"/>
        <v>2</v>
      </c>
      <c r="H20" s="625">
        <v>2</v>
      </c>
      <c r="I20" s="616">
        <v>0</v>
      </c>
      <c r="J20" s="623">
        <v>0</v>
      </c>
      <c r="K20" s="21">
        <f t="shared" si="4"/>
        <v>2</v>
      </c>
      <c r="L20" s="625">
        <v>2</v>
      </c>
      <c r="M20" s="616">
        <v>0</v>
      </c>
      <c r="N20" s="623">
        <v>0</v>
      </c>
      <c r="O20" s="21">
        <f t="shared" si="5"/>
        <v>2</v>
      </c>
      <c r="P20" s="625">
        <v>2</v>
      </c>
      <c r="Q20" s="616">
        <v>0</v>
      </c>
      <c r="R20" s="623">
        <v>0</v>
      </c>
      <c r="S20" s="21">
        <f t="shared" si="6"/>
        <v>2</v>
      </c>
    </row>
    <row r="21" spans="1:19" x14ac:dyDescent="0.25">
      <c r="A21" s="1937"/>
      <c r="B21" s="19" t="s">
        <v>34</v>
      </c>
      <c r="C21" s="22"/>
      <c r="D21" s="625">
        <v>3</v>
      </c>
      <c r="E21" s="616">
        <v>0</v>
      </c>
      <c r="F21" s="623">
        <v>0</v>
      </c>
      <c r="G21" s="21">
        <f t="shared" si="3"/>
        <v>3</v>
      </c>
      <c r="H21" s="625">
        <v>3</v>
      </c>
      <c r="I21" s="616">
        <v>0</v>
      </c>
      <c r="J21" s="623">
        <v>0</v>
      </c>
      <c r="K21" s="21">
        <f t="shared" si="4"/>
        <v>3</v>
      </c>
      <c r="L21" s="625">
        <v>3</v>
      </c>
      <c r="M21" s="616">
        <v>0</v>
      </c>
      <c r="N21" s="623">
        <v>0</v>
      </c>
      <c r="O21" s="21">
        <f t="shared" si="5"/>
        <v>3</v>
      </c>
      <c r="P21" s="625">
        <v>3</v>
      </c>
      <c r="Q21" s="616">
        <v>0</v>
      </c>
      <c r="R21" s="623">
        <v>0</v>
      </c>
      <c r="S21" s="21">
        <f t="shared" si="6"/>
        <v>3</v>
      </c>
    </row>
    <row r="22" spans="1:19" x14ac:dyDescent="0.25">
      <c r="A22" s="1937" t="s">
        <v>6</v>
      </c>
      <c r="B22" s="19" t="s">
        <v>32</v>
      </c>
      <c r="C22" s="22"/>
      <c r="D22" s="615">
        <v>8</v>
      </c>
      <c r="E22" s="630">
        <f>1*E$3</f>
        <v>0</v>
      </c>
      <c r="F22" s="615">
        <v>0</v>
      </c>
      <c r="G22" s="21">
        <f t="shared" si="3"/>
        <v>8</v>
      </c>
      <c r="H22" s="615">
        <v>8</v>
      </c>
      <c r="I22" s="630">
        <f>1*I$3</f>
        <v>0</v>
      </c>
      <c r="J22" s="615">
        <v>0</v>
      </c>
      <c r="K22" s="21">
        <f t="shared" si="4"/>
        <v>8</v>
      </c>
      <c r="L22" s="615">
        <v>16</v>
      </c>
      <c r="M22" s="691">
        <v>0</v>
      </c>
      <c r="N22" s="615">
        <v>0</v>
      </c>
      <c r="O22" s="21">
        <f t="shared" si="5"/>
        <v>16</v>
      </c>
      <c r="P22" s="615">
        <v>8</v>
      </c>
      <c r="Q22" s="630">
        <f>1*Q$3</f>
        <v>0</v>
      </c>
      <c r="R22" s="615">
        <v>0</v>
      </c>
      <c r="S22" s="21">
        <f t="shared" si="6"/>
        <v>8</v>
      </c>
    </row>
    <row r="23" spans="1:19" x14ac:dyDescent="0.25">
      <c r="A23" s="1937"/>
      <c r="B23" s="19" t="s">
        <v>33</v>
      </c>
      <c r="C23" s="22"/>
      <c r="D23" s="615">
        <v>12</v>
      </c>
      <c r="E23" s="630">
        <f>1*E$3</f>
        <v>0</v>
      </c>
      <c r="F23" s="615">
        <v>0</v>
      </c>
      <c r="G23" s="21">
        <f t="shared" si="3"/>
        <v>12</v>
      </c>
      <c r="H23" s="615">
        <v>12</v>
      </c>
      <c r="I23" s="630">
        <f>1*I$3</f>
        <v>0</v>
      </c>
      <c r="J23" s="615">
        <v>0</v>
      </c>
      <c r="K23" s="21">
        <f t="shared" si="4"/>
        <v>12</v>
      </c>
      <c r="L23" s="615">
        <v>32</v>
      </c>
      <c r="M23" s="691">
        <v>0</v>
      </c>
      <c r="N23" s="615">
        <v>0</v>
      </c>
      <c r="O23" s="21">
        <f t="shared" si="5"/>
        <v>32</v>
      </c>
      <c r="P23" s="615">
        <v>12</v>
      </c>
      <c r="Q23" s="630">
        <f>1*Q$3</f>
        <v>0</v>
      </c>
      <c r="R23" s="615">
        <v>0</v>
      </c>
      <c r="S23" s="21">
        <f t="shared" si="6"/>
        <v>12</v>
      </c>
    </row>
    <row r="24" spans="1:19" x14ac:dyDescent="0.25">
      <c r="A24" s="1937"/>
      <c r="B24" s="19" t="s">
        <v>34</v>
      </c>
      <c r="C24" s="22"/>
      <c r="D24" s="615">
        <v>14</v>
      </c>
      <c r="E24" s="630">
        <f>1*E$3</f>
        <v>0</v>
      </c>
      <c r="F24" s="615">
        <v>0</v>
      </c>
      <c r="G24" s="21">
        <f t="shared" si="3"/>
        <v>14</v>
      </c>
      <c r="H24" s="615">
        <v>14</v>
      </c>
      <c r="I24" s="630">
        <f>1*I$3</f>
        <v>0</v>
      </c>
      <c r="J24" s="615">
        <v>0</v>
      </c>
      <c r="K24" s="21">
        <f t="shared" si="4"/>
        <v>14</v>
      </c>
      <c r="L24" s="615">
        <v>48</v>
      </c>
      <c r="M24" s="691">
        <v>0</v>
      </c>
      <c r="N24" s="615">
        <v>0</v>
      </c>
      <c r="O24" s="21">
        <f t="shared" si="5"/>
        <v>48</v>
      </c>
      <c r="P24" s="615">
        <v>14</v>
      </c>
      <c r="Q24" s="630">
        <f>1*Q$3</f>
        <v>0</v>
      </c>
      <c r="R24" s="615">
        <v>0</v>
      </c>
      <c r="S24" s="21">
        <f t="shared" si="6"/>
        <v>14</v>
      </c>
    </row>
    <row r="25" spans="1:19" x14ac:dyDescent="0.25">
      <c r="A25" s="1937" t="s">
        <v>7</v>
      </c>
      <c r="B25" s="19" t="s">
        <v>32</v>
      </c>
      <c r="C25" s="22"/>
      <c r="D25" s="625">
        <v>4</v>
      </c>
      <c r="E25" s="616">
        <v>0</v>
      </c>
      <c r="F25" s="623">
        <v>0</v>
      </c>
      <c r="G25" s="21">
        <f t="shared" si="3"/>
        <v>4</v>
      </c>
      <c r="H25" s="625">
        <v>4</v>
      </c>
      <c r="I25" s="616">
        <v>0</v>
      </c>
      <c r="J25" s="623">
        <v>0</v>
      </c>
      <c r="K25" s="21">
        <f t="shared" si="4"/>
        <v>4</v>
      </c>
      <c r="L25" s="625">
        <v>8</v>
      </c>
      <c r="M25" s="616">
        <v>0</v>
      </c>
      <c r="N25" s="623">
        <v>0</v>
      </c>
      <c r="O25" s="21">
        <f t="shared" si="5"/>
        <v>8</v>
      </c>
      <c r="P25" s="625">
        <v>4</v>
      </c>
      <c r="Q25" s="616">
        <v>0</v>
      </c>
      <c r="R25" s="623">
        <v>0</v>
      </c>
      <c r="S25" s="21">
        <f t="shared" si="6"/>
        <v>4</v>
      </c>
    </row>
    <row r="26" spans="1:19" x14ac:dyDescent="0.25">
      <c r="A26" s="1937"/>
      <c r="B26" s="19" t="s">
        <v>33</v>
      </c>
      <c r="C26" s="22"/>
      <c r="D26" s="625">
        <v>6</v>
      </c>
      <c r="E26" s="616">
        <v>0</v>
      </c>
      <c r="F26" s="623">
        <v>0</v>
      </c>
      <c r="G26" s="21">
        <f t="shared" si="3"/>
        <v>6</v>
      </c>
      <c r="H26" s="625">
        <v>6</v>
      </c>
      <c r="I26" s="616">
        <v>0</v>
      </c>
      <c r="J26" s="623">
        <v>0</v>
      </c>
      <c r="K26" s="21">
        <f t="shared" si="4"/>
        <v>6</v>
      </c>
      <c r="L26" s="625">
        <v>8</v>
      </c>
      <c r="M26" s="616">
        <v>0</v>
      </c>
      <c r="N26" s="623">
        <v>0</v>
      </c>
      <c r="O26" s="21">
        <f t="shared" si="5"/>
        <v>8</v>
      </c>
      <c r="P26" s="625">
        <v>6</v>
      </c>
      <c r="Q26" s="616">
        <v>0</v>
      </c>
      <c r="R26" s="623">
        <v>0</v>
      </c>
      <c r="S26" s="21">
        <f t="shared" si="6"/>
        <v>6</v>
      </c>
    </row>
    <row r="27" spans="1:19" x14ac:dyDescent="0.25">
      <c r="A27" s="1937"/>
      <c r="B27" s="19" t="s">
        <v>34</v>
      </c>
      <c r="C27" s="22"/>
      <c r="D27" s="625">
        <v>8</v>
      </c>
      <c r="E27" s="616">
        <v>0</v>
      </c>
      <c r="F27" s="623">
        <v>0</v>
      </c>
      <c r="G27" s="21">
        <f t="shared" si="3"/>
        <v>8</v>
      </c>
      <c r="H27" s="625">
        <v>8</v>
      </c>
      <c r="I27" s="616">
        <v>0</v>
      </c>
      <c r="J27" s="623">
        <v>0</v>
      </c>
      <c r="K27" s="21">
        <f t="shared" si="4"/>
        <v>8</v>
      </c>
      <c r="L27" s="625">
        <v>8</v>
      </c>
      <c r="M27" s="616">
        <v>0</v>
      </c>
      <c r="N27" s="623">
        <v>0</v>
      </c>
      <c r="O27" s="21">
        <f t="shared" si="5"/>
        <v>8</v>
      </c>
      <c r="P27" s="625">
        <v>8</v>
      </c>
      <c r="Q27" s="616">
        <v>0</v>
      </c>
      <c r="R27" s="623">
        <v>0</v>
      </c>
      <c r="S27" s="21">
        <f t="shared" si="6"/>
        <v>8</v>
      </c>
    </row>
    <row r="28" spans="1:19" x14ac:dyDescent="0.25">
      <c r="A28" s="1937" t="s">
        <v>8</v>
      </c>
      <c r="B28" s="19" t="s">
        <v>32</v>
      </c>
      <c r="C28" s="22"/>
      <c r="D28" s="625">
        <v>3</v>
      </c>
      <c r="E28" s="616">
        <v>0</v>
      </c>
      <c r="F28" s="623">
        <v>0</v>
      </c>
      <c r="G28" s="21">
        <f t="shared" si="3"/>
        <v>3</v>
      </c>
      <c r="H28" s="625">
        <v>3</v>
      </c>
      <c r="I28" s="616">
        <v>0</v>
      </c>
      <c r="J28" s="623">
        <v>0</v>
      </c>
      <c r="K28" s="21">
        <f t="shared" si="4"/>
        <v>3</v>
      </c>
      <c r="L28" s="625">
        <v>2</v>
      </c>
      <c r="M28" s="616">
        <v>0</v>
      </c>
      <c r="N28" s="623">
        <v>0</v>
      </c>
      <c r="O28" s="21">
        <f t="shared" si="5"/>
        <v>2</v>
      </c>
      <c r="P28" s="625">
        <v>3</v>
      </c>
      <c r="Q28" s="616">
        <v>0</v>
      </c>
      <c r="R28" s="623">
        <v>0</v>
      </c>
      <c r="S28" s="21">
        <f t="shared" si="6"/>
        <v>3</v>
      </c>
    </row>
    <row r="29" spans="1:19" x14ac:dyDescent="0.25">
      <c r="A29" s="1937"/>
      <c r="B29" s="19" t="s">
        <v>33</v>
      </c>
      <c r="C29" s="22"/>
      <c r="D29" s="625">
        <v>4</v>
      </c>
      <c r="E29" s="616">
        <v>0</v>
      </c>
      <c r="F29" s="623">
        <v>0</v>
      </c>
      <c r="G29" s="21">
        <f t="shared" si="3"/>
        <v>4</v>
      </c>
      <c r="H29" s="625">
        <v>4</v>
      </c>
      <c r="I29" s="616">
        <v>0</v>
      </c>
      <c r="J29" s="623">
        <v>0</v>
      </c>
      <c r="K29" s="21">
        <f t="shared" si="4"/>
        <v>4</v>
      </c>
      <c r="L29" s="625">
        <v>2</v>
      </c>
      <c r="M29" s="616">
        <v>0</v>
      </c>
      <c r="N29" s="623">
        <v>0</v>
      </c>
      <c r="O29" s="21">
        <f t="shared" si="5"/>
        <v>2</v>
      </c>
      <c r="P29" s="625">
        <v>4</v>
      </c>
      <c r="Q29" s="616">
        <v>0</v>
      </c>
      <c r="R29" s="623">
        <v>0</v>
      </c>
      <c r="S29" s="21">
        <f t="shared" si="6"/>
        <v>4</v>
      </c>
    </row>
    <row r="30" spans="1:19" x14ac:dyDescent="0.25">
      <c r="A30" s="1937"/>
      <c r="B30" s="19" t="s">
        <v>34</v>
      </c>
      <c r="C30" s="22"/>
      <c r="D30" s="625">
        <v>6</v>
      </c>
      <c r="E30" s="616">
        <v>0</v>
      </c>
      <c r="F30" s="623">
        <v>0</v>
      </c>
      <c r="G30" s="21">
        <f t="shared" si="3"/>
        <v>6</v>
      </c>
      <c r="H30" s="625">
        <v>6</v>
      </c>
      <c r="I30" s="616">
        <v>0</v>
      </c>
      <c r="J30" s="623">
        <v>0</v>
      </c>
      <c r="K30" s="21">
        <f t="shared" si="4"/>
        <v>6</v>
      </c>
      <c r="L30" s="625">
        <v>2</v>
      </c>
      <c r="M30" s="616">
        <v>0</v>
      </c>
      <c r="N30" s="623">
        <v>0</v>
      </c>
      <c r="O30" s="21">
        <f t="shared" si="5"/>
        <v>2</v>
      </c>
      <c r="P30" s="625">
        <v>6</v>
      </c>
      <c r="Q30" s="616">
        <v>0</v>
      </c>
      <c r="R30" s="623">
        <v>0</v>
      </c>
      <c r="S30" s="21">
        <f t="shared" si="6"/>
        <v>6</v>
      </c>
    </row>
    <row r="31" spans="1:19" x14ac:dyDescent="0.25">
      <c r="A31" s="1937" t="s">
        <v>9</v>
      </c>
      <c r="B31" s="19" t="s">
        <v>32</v>
      </c>
      <c r="C31" s="22"/>
      <c r="D31" s="631">
        <f>3+(0.5*D$3)</f>
        <v>3</v>
      </c>
      <c r="E31" s="616">
        <v>0</v>
      </c>
      <c r="F31" s="616">
        <v>0</v>
      </c>
      <c r="G31" s="21">
        <f t="shared" si="3"/>
        <v>3</v>
      </c>
      <c r="H31" s="631">
        <f>3+(0.5*H$3)</f>
        <v>3</v>
      </c>
      <c r="I31" s="616">
        <v>0</v>
      </c>
      <c r="J31" s="616">
        <v>0</v>
      </c>
      <c r="K31" s="21">
        <f t="shared" si="4"/>
        <v>3</v>
      </c>
      <c r="L31" s="631">
        <f>L$3*1</f>
        <v>0</v>
      </c>
      <c r="M31" s="616">
        <v>0</v>
      </c>
      <c r="N31" s="616">
        <v>0</v>
      </c>
      <c r="O31" s="21">
        <f t="shared" si="5"/>
        <v>0</v>
      </c>
      <c r="P31" s="631">
        <f>3+(0.5*P$3)</f>
        <v>3</v>
      </c>
      <c r="Q31" s="616">
        <v>0</v>
      </c>
      <c r="R31" s="616">
        <v>0</v>
      </c>
      <c r="S31" s="21">
        <f t="shared" si="6"/>
        <v>3</v>
      </c>
    </row>
    <row r="32" spans="1:19" x14ac:dyDescent="0.25">
      <c r="A32" s="1937"/>
      <c r="B32" s="19" t="s">
        <v>33</v>
      </c>
      <c r="C32" s="22"/>
      <c r="D32" s="631">
        <f>3+(0.5*D$3)</f>
        <v>3</v>
      </c>
      <c r="E32" s="616">
        <v>0</v>
      </c>
      <c r="F32" s="616">
        <v>0</v>
      </c>
      <c r="G32" s="21">
        <f t="shared" si="3"/>
        <v>3</v>
      </c>
      <c r="H32" s="631">
        <f>3+(0.5*H$3)</f>
        <v>3</v>
      </c>
      <c r="I32" s="616">
        <v>0</v>
      </c>
      <c r="J32" s="616">
        <v>0</v>
      </c>
      <c r="K32" s="21">
        <f t="shared" si="4"/>
        <v>3</v>
      </c>
      <c r="L32" s="631">
        <f>L$3*2</f>
        <v>0</v>
      </c>
      <c r="M32" s="616">
        <v>0</v>
      </c>
      <c r="N32" s="616">
        <v>0</v>
      </c>
      <c r="O32" s="21">
        <f t="shared" si="5"/>
        <v>0</v>
      </c>
      <c r="P32" s="631">
        <f>3+(0.5*P$3)</f>
        <v>3</v>
      </c>
      <c r="Q32" s="616">
        <v>0</v>
      </c>
      <c r="R32" s="616">
        <v>0</v>
      </c>
      <c r="S32" s="21">
        <f t="shared" si="6"/>
        <v>3</v>
      </c>
    </row>
    <row r="33" spans="1:19" x14ac:dyDescent="0.25">
      <c r="A33" s="1937"/>
      <c r="B33" s="19" t="s">
        <v>34</v>
      </c>
      <c r="C33" s="22"/>
      <c r="D33" s="631">
        <f>5+(0.5*D$3)</f>
        <v>5</v>
      </c>
      <c r="E33" s="616">
        <v>0</v>
      </c>
      <c r="F33" s="616">
        <v>0</v>
      </c>
      <c r="G33" s="21">
        <f t="shared" si="3"/>
        <v>5</v>
      </c>
      <c r="H33" s="631">
        <f>5+(0.5*H$3)</f>
        <v>5</v>
      </c>
      <c r="I33" s="616">
        <v>0</v>
      </c>
      <c r="J33" s="616">
        <v>0</v>
      </c>
      <c r="K33" s="21">
        <f t="shared" si="4"/>
        <v>5</v>
      </c>
      <c r="L33" s="631">
        <f>L$3*3</f>
        <v>0</v>
      </c>
      <c r="M33" s="616">
        <v>0</v>
      </c>
      <c r="N33" s="616">
        <v>0</v>
      </c>
      <c r="O33" s="21">
        <f t="shared" si="5"/>
        <v>0</v>
      </c>
      <c r="P33" s="631">
        <f>5+(0.5*P$3)</f>
        <v>5</v>
      </c>
      <c r="Q33" s="616">
        <v>0</v>
      </c>
      <c r="R33" s="616">
        <v>0</v>
      </c>
      <c r="S33" s="21">
        <f t="shared" si="6"/>
        <v>5</v>
      </c>
    </row>
    <row r="34" spans="1:19" x14ac:dyDescent="0.25">
      <c r="A34" s="1937" t="s">
        <v>10</v>
      </c>
      <c r="B34" s="19" t="s">
        <v>32</v>
      </c>
      <c r="C34" s="22"/>
      <c r="D34" s="625">
        <v>2</v>
      </c>
      <c r="E34" s="616">
        <v>0</v>
      </c>
      <c r="F34" s="616">
        <v>0</v>
      </c>
      <c r="G34" s="21">
        <f t="shared" si="3"/>
        <v>2</v>
      </c>
      <c r="H34" s="625">
        <v>2</v>
      </c>
      <c r="I34" s="616">
        <v>0</v>
      </c>
      <c r="J34" s="616">
        <v>0</v>
      </c>
      <c r="K34" s="21">
        <f t="shared" si="4"/>
        <v>2</v>
      </c>
      <c r="L34" s="625">
        <v>2</v>
      </c>
      <c r="M34" s="616">
        <v>0</v>
      </c>
      <c r="N34" s="616">
        <v>0</v>
      </c>
      <c r="O34" s="21">
        <f t="shared" si="5"/>
        <v>2</v>
      </c>
      <c r="P34" s="625">
        <v>2</v>
      </c>
      <c r="Q34" s="616">
        <v>0</v>
      </c>
      <c r="R34" s="616">
        <v>0</v>
      </c>
      <c r="S34" s="21">
        <f t="shared" si="6"/>
        <v>2</v>
      </c>
    </row>
    <row r="35" spans="1:19" x14ac:dyDescent="0.25">
      <c r="A35" s="1937"/>
      <c r="B35" s="19" t="s">
        <v>33</v>
      </c>
      <c r="C35" s="22"/>
      <c r="D35" s="625">
        <v>2</v>
      </c>
      <c r="E35" s="616">
        <v>0</v>
      </c>
      <c r="F35" s="616">
        <v>0</v>
      </c>
      <c r="G35" s="21">
        <f t="shared" si="3"/>
        <v>2</v>
      </c>
      <c r="H35" s="625">
        <v>2</v>
      </c>
      <c r="I35" s="616">
        <v>0</v>
      </c>
      <c r="J35" s="616">
        <v>0</v>
      </c>
      <c r="K35" s="21">
        <f t="shared" si="4"/>
        <v>2</v>
      </c>
      <c r="L35" s="625">
        <v>2</v>
      </c>
      <c r="M35" s="616">
        <v>0</v>
      </c>
      <c r="N35" s="616">
        <v>0</v>
      </c>
      <c r="O35" s="21">
        <f t="shared" si="5"/>
        <v>2</v>
      </c>
      <c r="P35" s="625">
        <v>2</v>
      </c>
      <c r="Q35" s="616">
        <v>0</v>
      </c>
      <c r="R35" s="616">
        <v>0</v>
      </c>
      <c r="S35" s="21">
        <f t="shared" si="6"/>
        <v>2</v>
      </c>
    </row>
    <row r="36" spans="1:19" ht="15.75" thickBot="1" x14ac:dyDescent="0.3">
      <c r="A36" s="1938"/>
      <c r="B36" s="13" t="s">
        <v>34</v>
      </c>
      <c r="C36" s="34"/>
      <c r="D36" s="626">
        <v>2</v>
      </c>
      <c r="E36" s="698">
        <v>0</v>
      </c>
      <c r="F36" s="698">
        <v>0</v>
      </c>
      <c r="G36" s="77">
        <f t="shared" si="3"/>
        <v>2</v>
      </c>
      <c r="H36" s="39">
        <v>2</v>
      </c>
      <c r="I36" s="399">
        <v>0</v>
      </c>
      <c r="J36" s="399">
        <v>0</v>
      </c>
      <c r="K36" s="77">
        <f t="shared" si="4"/>
        <v>2</v>
      </c>
      <c r="L36" s="626">
        <v>2</v>
      </c>
      <c r="M36" s="698">
        <v>0</v>
      </c>
      <c r="N36" s="698">
        <v>0</v>
      </c>
      <c r="O36" s="77">
        <f t="shared" si="5"/>
        <v>2</v>
      </c>
      <c r="P36" s="39">
        <v>2</v>
      </c>
      <c r="Q36" s="399">
        <v>0</v>
      </c>
      <c r="R36" s="399">
        <v>0</v>
      </c>
      <c r="S36" s="77">
        <f t="shared" si="6"/>
        <v>2</v>
      </c>
    </row>
    <row r="37" spans="1:19" ht="16.5" thickBot="1" x14ac:dyDescent="0.3">
      <c r="A37" s="330" t="s">
        <v>11</v>
      </c>
      <c r="B37" s="329"/>
      <c r="C37" s="329"/>
      <c r="D37" s="329"/>
      <c r="E37" s="329"/>
      <c r="F37" s="327"/>
      <c r="G37" s="327"/>
      <c r="H37" s="329"/>
      <c r="I37" s="329"/>
      <c r="J37" s="327"/>
      <c r="K37" s="327"/>
      <c r="L37" s="329"/>
      <c r="M37" s="329"/>
      <c r="N37" s="327"/>
      <c r="O37" s="327"/>
      <c r="P37" s="329"/>
      <c r="Q37" s="329"/>
      <c r="R37" s="327"/>
      <c r="S37" s="396"/>
    </row>
    <row r="38" spans="1:19" x14ac:dyDescent="0.25">
      <c r="A38" s="1932" t="s">
        <v>12</v>
      </c>
      <c r="B38" s="404" t="s">
        <v>32</v>
      </c>
      <c r="C38" s="324"/>
      <c r="D38" s="661">
        <v>8</v>
      </c>
      <c r="E38" s="674">
        <f>1*E$3</f>
        <v>0</v>
      </c>
      <c r="F38" s="661">
        <v>0</v>
      </c>
      <c r="G38" s="230">
        <f t="shared" si="3"/>
        <v>8</v>
      </c>
      <c r="H38" s="661">
        <v>8</v>
      </c>
      <c r="I38" s="674">
        <f>1*I$3</f>
        <v>0</v>
      </c>
      <c r="J38" s="661">
        <v>0</v>
      </c>
      <c r="K38" s="230">
        <f xml:space="preserve"> SUM(H38:J38) + $C38</f>
        <v>8</v>
      </c>
      <c r="L38" s="615">
        <v>16</v>
      </c>
      <c r="M38" s="674">
        <f>M$3*1</f>
        <v>0</v>
      </c>
      <c r="N38" s="661">
        <v>0</v>
      </c>
      <c r="O38" s="230">
        <f xml:space="preserve"> SUM(L38:N38) + $C38</f>
        <v>16</v>
      </c>
      <c r="P38" s="661">
        <v>8</v>
      </c>
      <c r="Q38" s="674">
        <f>1*Q$3</f>
        <v>0</v>
      </c>
      <c r="R38" s="661">
        <v>0</v>
      </c>
      <c r="S38" s="230">
        <f xml:space="preserve"> SUM(P38:R38) + $C38</f>
        <v>8</v>
      </c>
    </row>
    <row r="39" spans="1:19" x14ac:dyDescent="0.25">
      <c r="A39" s="1932"/>
      <c r="B39" s="19" t="s">
        <v>33</v>
      </c>
      <c r="C39" s="22"/>
      <c r="D39" s="615">
        <v>12</v>
      </c>
      <c r="E39" s="630">
        <f>1*E$3</f>
        <v>0</v>
      </c>
      <c r="F39" s="615">
        <v>0</v>
      </c>
      <c r="G39" s="21">
        <f t="shared" si="3"/>
        <v>12</v>
      </c>
      <c r="H39" s="615">
        <v>12</v>
      </c>
      <c r="I39" s="630">
        <f>1*I$3</f>
        <v>0</v>
      </c>
      <c r="J39" s="615">
        <v>0</v>
      </c>
      <c r="K39" s="21">
        <f xml:space="preserve"> SUM(H39:J39) + $C39</f>
        <v>12</v>
      </c>
      <c r="L39" s="615">
        <v>32</v>
      </c>
      <c r="M39" s="674">
        <f>M$3*1</f>
        <v>0</v>
      </c>
      <c r="N39" s="615">
        <v>0</v>
      </c>
      <c r="O39" s="21">
        <f xml:space="preserve"> SUM(L39:N39) + $C39</f>
        <v>32</v>
      </c>
      <c r="P39" s="615">
        <v>12</v>
      </c>
      <c r="Q39" s="630">
        <f>1*Q$3</f>
        <v>0</v>
      </c>
      <c r="R39" s="615">
        <v>0</v>
      </c>
      <c r="S39" s="21">
        <f xml:space="preserve"> SUM(P39:R39) + $C39</f>
        <v>12</v>
      </c>
    </row>
    <row r="40" spans="1:19" ht="15.75" thickBot="1" x14ac:dyDescent="0.3">
      <c r="A40" s="1932"/>
      <c r="B40" s="13" t="s">
        <v>34</v>
      </c>
      <c r="C40" s="34"/>
      <c r="D40" s="673">
        <v>14</v>
      </c>
      <c r="E40" s="675">
        <f>1*E$3</f>
        <v>0</v>
      </c>
      <c r="F40" s="673">
        <v>0</v>
      </c>
      <c r="G40" s="77">
        <f t="shared" si="3"/>
        <v>14</v>
      </c>
      <c r="H40" s="673">
        <v>14</v>
      </c>
      <c r="I40" s="675">
        <f>1*I$3</f>
        <v>0</v>
      </c>
      <c r="J40" s="673">
        <v>0</v>
      </c>
      <c r="K40" s="77">
        <f xml:space="preserve"> SUM(H40:J40) + $C40</f>
        <v>14</v>
      </c>
      <c r="L40" s="615">
        <v>48</v>
      </c>
      <c r="M40" s="674">
        <f>M$3*1</f>
        <v>0</v>
      </c>
      <c r="N40" s="673">
        <v>0</v>
      </c>
      <c r="O40" s="77">
        <f xml:space="preserve"> SUM(L40:N40) + $C40</f>
        <v>48</v>
      </c>
      <c r="P40" s="673">
        <v>14</v>
      </c>
      <c r="Q40" s="675">
        <f>1*Q$3</f>
        <v>0</v>
      </c>
      <c r="R40" s="673">
        <v>0</v>
      </c>
      <c r="S40" s="77">
        <f xml:space="preserve"> SUM(P40:R40) + $C40</f>
        <v>14</v>
      </c>
    </row>
    <row r="41" spans="1:19" ht="16.5" thickBot="1" x14ac:dyDescent="0.3">
      <c r="A41" s="330" t="s">
        <v>13</v>
      </c>
      <c r="B41" s="329"/>
      <c r="C41" s="329"/>
      <c r="D41" s="329"/>
      <c r="E41" s="329"/>
      <c r="F41" s="327"/>
      <c r="G41" s="327"/>
      <c r="H41" s="329"/>
      <c r="I41" s="329"/>
      <c r="J41" s="327"/>
      <c r="K41" s="327"/>
      <c r="L41" s="329"/>
      <c r="M41" s="329"/>
      <c r="N41" s="327"/>
      <c r="O41" s="327"/>
      <c r="P41" s="329"/>
      <c r="Q41" s="329"/>
      <c r="R41" s="327"/>
      <c r="S41" s="396"/>
    </row>
    <row r="42" spans="1:19" x14ac:dyDescent="0.25">
      <c r="A42" s="1932" t="s">
        <v>14</v>
      </c>
      <c r="B42" s="404" t="s">
        <v>32</v>
      </c>
      <c r="C42" s="627"/>
      <c r="D42" s="678">
        <v>1</v>
      </c>
      <c r="E42" s="699">
        <v>0</v>
      </c>
      <c r="F42" s="699">
        <v>0</v>
      </c>
      <c r="G42" s="230">
        <f t="shared" si="3"/>
        <v>1</v>
      </c>
      <c r="H42" s="678">
        <v>1</v>
      </c>
      <c r="I42" s="699">
        <v>0</v>
      </c>
      <c r="J42" s="699">
        <v>0</v>
      </c>
      <c r="K42" s="230">
        <f t="shared" ref="K42:K86" si="7" xml:space="preserve"> SUM(H42:J42) + $C42</f>
        <v>1</v>
      </c>
      <c r="L42" s="678">
        <v>1</v>
      </c>
      <c r="M42" s="699">
        <v>0</v>
      </c>
      <c r="N42" s="699">
        <v>0</v>
      </c>
      <c r="O42" s="230">
        <f t="shared" ref="O42:O86" si="8" xml:space="preserve"> SUM(L42:N42) + $C42</f>
        <v>1</v>
      </c>
      <c r="P42" s="678">
        <v>1</v>
      </c>
      <c r="Q42" s="699">
        <v>0</v>
      </c>
      <c r="R42" s="699">
        <v>0</v>
      </c>
      <c r="S42" s="230">
        <f t="shared" ref="S42:S86" si="9" xml:space="preserve"> SUM(P42:R42) + $C42</f>
        <v>1</v>
      </c>
    </row>
    <row r="43" spans="1:19" x14ac:dyDescent="0.25">
      <c r="A43" s="1932"/>
      <c r="B43" s="19" t="s">
        <v>33</v>
      </c>
      <c r="C43" s="620"/>
      <c r="D43" s="625">
        <v>2</v>
      </c>
      <c r="E43" s="616">
        <v>0</v>
      </c>
      <c r="F43" s="616">
        <v>0</v>
      </c>
      <c r="G43" s="21">
        <f t="shared" si="3"/>
        <v>2</v>
      </c>
      <c r="H43" s="625">
        <v>2</v>
      </c>
      <c r="I43" s="616">
        <v>0</v>
      </c>
      <c r="J43" s="616">
        <v>0</v>
      </c>
      <c r="K43" s="21">
        <f t="shared" si="7"/>
        <v>2</v>
      </c>
      <c r="L43" s="625">
        <v>1</v>
      </c>
      <c r="M43" s="616">
        <v>0</v>
      </c>
      <c r="N43" s="616">
        <v>0</v>
      </c>
      <c r="O43" s="21">
        <f t="shared" si="8"/>
        <v>1</v>
      </c>
      <c r="P43" s="625">
        <v>2</v>
      </c>
      <c r="Q43" s="616">
        <v>0</v>
      </c>
      <c r="R43" s="616">
        <v>0</v>
      </c>
      <c r="S43" s="21">
        <f t="shared" si="9"/>
        <v>2</v>
      </c>
    </row>
    <row r="44" spans="1:19" x14ac:dyDescent="0.25">
      <c r="A44" s="1932"/>
      <c r="B44" s="19" t="s">
        <v>34</v>
      </c>
      <c r="C44" s="620"/>
      <c r="D44" s="625">
        <v>4</v>
      </c>
      <c r="E44" s="616">
        <v>0</v>
      </c>
      <c r="F44" s="616">
        <v>0</v>
      </c>
      <c r="G44" s="21">
        <f t="shared" si="3"/>
        <v>4</v>
      </c>
      <c r="H44" s="625">
        <v>4</v>
      </c>
      <c r="I44" s="616">
        <v>0</v>
      </c>
      <c r="J44" s="616">
        <v>0</v>
      </c>
      <c r="K44" s="21">
        <f t="shared" si="7"/>
        <v>4</v>
      </c>
      <c r="L44" s="625">
        <v>1</v>
      </c>
      <c r="M44" s="616">
        <v>0</v>
      </c>
      <c r="N44" s="616">
        <v>0</v>
      </c>
      <c r="O44" s="21">
        <f t="shared" si="8"/>
        <v>1</v>
      </c>
      <c r="P44" s="625">
        <v>4</v>
      </c>
      <c r="Q44" s="616">
        <v>0</v>
      </c>
      <c r="R44" s="616">
        <v>0</v>
      </c>
      <c r="S44" s="21">
        <f t="shared" si="9"/>
        <v>4</v>
      </c>
    </row>
    <row r="45" spans="1:19" x14ac:dyDescent="0.25">
      <c r="A45" s="1933" t="s">
        <v>15</v>
      </c>
      <c r="B45" s="19" t="s">
        <v>32</v>
      </c>
      <c r="C45" s="620"/>
      <c r="D45" s="625">
        <v>6</v>
      </c>
      <c r="E45" s="616">
        <v>0</v>
      </c>
      <c r="F45" s="616">
        <v>0</v>
      </c>
      <c r="G45" s="21">
        <f t="shared" si="3"/>
        <v>6</v>
      </c>
      <c r="H45" s="625">
        <v>6</v>
      </c>
      <c r="I45" s="616">
        <v>0</v>
      </c>
      <c r="J45" s="616">
        <v>0</v>
      </c>
      <c r="K45" s="21">
        <f t="shared" si="7"/>
        <v>6</v>
      </c>
      <c r="L45" s="631">
        <f>IF(L$3=1,16,15+L$3*1)</f>
        <v>15</v>
      </c>
      <c r="M45" s="616">
        <v>0</v>
      </c>
      <c r="N45" s="616">
        <v>0</v>
      </c>
      <c r="O45" s="21">
        <f t="shared" si="8"/>
        <v>15</v>
      </c>
      <c r="P45" s="625">
        <v>6</v>
      </c>
      <c r="Q45" s="616">
        <v>0</v>
      </c>
      <c r="R45" s="616">
        <v>0</v>
      </c>
      <c r="S45" s="21">
        <f t="shared" si="9"/>
        <v>6</v>
      </c>
    </row>
    <row r="46" spans="1:19" x14ac:dyDescent="0.25">
      <c r="A46" s="1933"/>
      <c r="B46" s="19" t="s">
        <v>33</v>
      </c>
      <c r="C46" s="620"/>
      <c r="D46" s="625">
        <v>16</v>
      </c>
      <c r="E46" s="616">
        <v>0</v>
      </c>
      <c r="F46" s="616">
        <v>0</v>
      </c>
      <c r="G46" s="21">
        <f t="shared" si="3"/>
        <v>16</v>
      </c>
      <c r="H46" s="625">
        <v>16</v>
      </c>
      <c r="I46" s="616">
        <v>0</v>
      </c>
      <c r="J46" s="616">
        <v>0</v>
      </c>
      <c r="K46" s="21">
        <f t="shared" si="7"/>
        <v>16</v>
      </c>
      <c r="L46" s="631">
        <f>IF(L$3=1,24,22+L$3*2)</f>
        <v>22</v>
      </c>
      <c r="M46" s="616">
        <v>0</v>
      </c>
      <c r="N46" s="616">
        <v>0</v>
      </c>
      <c r="O46" s="21">
        <f t="shared" si="8"/>
        <v>22</v>
      </c>
      <c r="P46" s="625">
        <v>16</v>
      </c>
      <c r="Q46" s="616">
        <v>0</v>
      </c>
      <c r="R46" s="616">
        <v>0</v>
      </c>
      <c r="S46" s="21">
        <f t="shared" si="9"/>
        <v>16</v>
      </c>
    </row>
    <row r="47" spans="1:19" x14ac:dyDescent="0.25">
      <c r="A47" s="1933"/>
      <c r="B47" s="19" t="s">
        <v>34</v>
      </c>
      <c r="C47" s="620"/>
      <c r="D47" s="625">
        <v>24</v>
      </c>
      <c r="E47" s="616">
        <v>0</v>
      </c>
      <c r="F47" s="616">
        <v>0</v>
      </c>
      <c r="G47" s="21">
        <f t="shared" si="3"/>
        <v>24</v>
      </c>
      <c r="H47" s="625">
        <v>24</v>
      </c>
      <c r="I47" s="616">
        <v>0</v>
      </c>
      <c r="J47" s="616">
        <v>0</v>
      </c>
      <c r="K47" s="21">
        <f t="shared" si="7"/>
        <v>24</v>
      </c>
      <c r="L47" s="631">
        <f>IF(L$3=1,42,39+L$3*3)</f>
        <v>39</v>
      </c>
      <c r="M47" s="616">
        <v>0</v>
      </c>
      <c r="N47" s="616">
        <v>0</v>
      </c>
      <c r="O47" s="21">
        <f t="shared" si="8"/>
        <v>39</v>
      </c>
      <c r="P47" s="625">
        <v>24</v>
      </c>
      <c r="Q47" s="616">
        <v>0</v>
      </c>
      <c r="R47" s="616">
        <v>0</v>
      </c>
      <c r="S47" s="21">
        <f t="shared" si="9"/>
        <v>24</v>
      </c>
    </row>
    <row r="48" spans="1:19" x14ac:dyDescent="0.25">
      <c r="A48" s="1933" t="s">
        <v>16</v>
      </c>
      <c r="B48" s="19" t="s">
        <v>32</v>
      </c>
      <c r="C48" s="620"/>
      <c r="D48" s="631">
        <f>1*D$3+(0.5*E$3)</f>
        <v>0</v>
      </c>
      <c r="E48" s="616">
        <v>0</v>
      </c>
      <c r="F48" s="623">
        <v>0</v>
      </c>
      <c r="G48" s="21">
        <f t="shared" si="3"/>
        <v>0</v>
      </c>
      <c r="H48" s="631">
        <f>1*H$3+(0.5*I$3)</f>
        <v>0</v>
      </c>
      <c r="I48" s="616">
        <v>0</v>
      </c>
      <c r="J48" s="623">
        <v>0</v>
      </c>
      <c r="K48" s="21">
        <f t="shared" si="7"/>
        <v>0</v>
      </c>
      <c r="L48" s="628">
        <f>L$3*2</f>
        <v>0</v>
      </c>
      <c r="M48" s="628">
        <f t="shared" ref="M48:M53" si="10">M$3*0.5</f>
        <v>0</v>
      </c>
      <c r="N48" s="623">
        <v>0</v>
      </c>
      <c r="O48" s="21">
        <f t="shared" si="8"/>
        <v>0</v>
      </c>
      <c r="P48" s="631">
        <f>1*P$3+(0.5*Q$3)</f>
        <v>0</v>
      </c>
      <c r="Q48" s="616">
        <v>0</v>
      </c>
      <c r="R48" s="623">
        <v>0</v>
      </c>
      <c r="S48" s="21">
        <f t="shared" si="9"/>
        <v>0</v>
      </c>
    </row>
    <row r="49" spans="1:19" x14ac:dyDescent="0.25">
      <c r="A49" s="1933"/>
      <c r="B49" s="19" t="s">
        <v>33</v>
      </c>
      <c r="C49" s="620"/>
      <c r="D49" s="631">
        <f>1*D$3+(0.5*E$3)</f>
        <v>0</v>
      </c>
      <c r="E49" s="616">
        <v>0</v>
      </c>
      <c r="F49" s="623">
        <v>0</v>
      </c>
      <c r="G49" s="21">
        <f t="shared" si="3"/>
        <v>0</v>
      </c>
      <c r="H49" s="631">
        <f>1*H$3+(0.5*I$3)</f>
        <v>0</v>
      </c>
      <c r="I49" s="616">
        <v>0</v>
      </c>
      <c r="J49" s="623">
        <v>0</v>
      </c>
      <c r="K49" s="21">
        <f t="shared" si="7"/>
        <v>0</v>
      </c>
      <c r="L49" s="628">
        <f>L$3*4</f>
        <v>0</v>
      </c>
      <c r="M49" s="628">
        <f t="shared" si="10"/>
        <v>0</v>
      </c>
      <c r="N49" s="623">
        <v>0</v>
      </c>
      <c r="O49" s="21">
        <f t="shared" si="8"/>
        <v>0</v>
      </c>
      <c r="P49" s="631">
        <f>1*P$3+(0.5*Q$3)</f>
        <v>0</v>
      </c>
      <c r="Q49" s="616">
        <v>0</v>
      </c>
      <c r="R49" s="623">
        <v>0</v>
      </c>
      <c r="S49" s="21">
        <f t="shared" si="9"/>
        <v>0</v>
      </c>
    </row>
    <row r="50" spans="1:19" x14ac:dyDescent="0.25">
      <c r="A50" s="1933"/>
      <c r="B50" s="19" t="s">
        <v>34</v>
      </c>
      <c r="C50" s="620"/>
      <c r="D50" s="631">
        <f>2*D$3+(0.5*E$3)</f>
        <v>0</v>
      </c>
      <c r="E50" s="616">
        <v>0</v>
      </c>
      <c r="F50" s="623">
        <v>0</v>
      </c>
      <c r="G50" s="21">
        <f t="shared" si="3"/>
        <v>0</v>
      </c>
      <c r="H50" s="631">
        <f>2*H$3+(0.5*I$3)</f>
        <v>0</v>
      </c>
      <c r="I50" s="616">
        <v>0</v>
      </c>
      <c r="J50" s="623">
        <v>0</v>
      </c>
      <c r="K50" s="21">
        <f t="shared" si="7"/>
        <v>0</v>
      </c>
      <c r="L50" s="628">
        <f>L$3*6</f>
        <v>0</v>
      </c>
      <c r="M50" s="628">
        <f t="shared" si="10"/>
        <v>0</v>
      </c>
      <c r="N50" s="623">
        <v>0</v>
      </c>
      <c r="O50" s="21">
        <f t="shared" si="8"/>
        <v>0</v>
      </c>
      <c r="P50" s="631">
        <f>2*P$3+(0.5*Q$3)</f>
        <v>0</v>
      </c>
      <c r="Q50" s="616">
        <v>0</v>
      </c>
      <c r="R50" s="623">
        <v>0</v>
      </c>
      <c r="S50" s="21">
        <f t="shared" si="9"/>
        <v>0</v>
      </c>
    </row>
    <row r="51" spans="1:19" x14ac:dyDescent="0.25">
      <c r="A51" s="1933" t="s">
        <v>17</v>
      </c>
      <c r="B51" s="19" t="s">
        <v>32</v>
      </c>
      <c r="C51" s="620"/>
      <c r="D51" s="631">
        <f>1*D$3+(0.5*E$3)</f>
        <v>0</v>
      </c>
      <c r="E51" s="616">
        <v>0</v>
      </c>
      <c r="F51" s="616">
        <v>0</v>
      </c>
      <c r="G51" s="21">
        <f t="shared" si="3"/>
        <v>0</v>
      </c>
      <c r="H51" s="631">
        <f>1*H$3+(0.5*I$3)</f>
        <v>0</v>
      </c>
      <c r="I51" s="616">
        <v>0</v>
      </c>
      <c r="J51" s="616">
        <v>0</v>
      </c>
      <c r="K51" s="21">
        <f t="shared" si="7"/>
        <v>0</v>
      </c>
      <c r="L51" s="628">
        <f>L$3*2</f>
        <v>0</v>
      </c>
      <c r="M51" s="628">
        <f t="shared" si="10"/>
        <v>0</v>
      </c>
      <c r="N51" s="616">
        <v>0</v>
      </c>
      <c r="O51" s="21">
        <f t="shared" si="8"/>
        <v>0</v>
      </c>
      <c r="P51" s="631">
        <f>1*P$3+(0.5*Q$3)</f>
        <v>0</v>
      </c>
      <c r="Q51" s="616">
        <v>0</v>
      </c>
      <c r="R51" s="616">
        <v>0</v>
      </c>
      <c r="S51" s="21">
        <f t="shared" si="9"/>
        <v>0</v>
      </c>
    </row>
    <row r="52" spans="1:19" x14ac:dyDescent="0.25">
      <c r="A52" s="1933"/>
      <c r="B52" s="19" t="s">
        <v>33</v>
      </c>
      <c r="C52" s="620"/>
      <c r="D52" s="631">
        <f>1*D$3+(0.5*E$3)</f>
        <v>0</v>
      </c>
      <c r="E52" s="616">
        <v>0</v>
      </c>
      <c r="F52" s="616">
        <v>0</v>
      </c>
      <c r="G52" s="21">
        <f t="shared" si="3"/>
        <v>0</v>
      </c>
      <c r="H52" s="631">
        <f>1*H$3+(0.5*I$3)</f>
        <v>0</v>
      </c>
      <c r="I52" s="616">
        <v>0</v>
      </c>
      <c r="J52" s="616">
        <v>0</v>
      </c>
      <c r="K52" s="21">
        <f t="shared" si="7"/>
        <v>0</v>
      </c>
      <c r="L52" s="628">
        <f>L$3*4</f>
        <v>0</v>
      </c>
      <c r="M52" s="628">
        <f t="shared" si="10"/>
        <v>0</v>
      </c>
      <c r="N52" s="616">
        <v>0</v>
      </c>
      <c r="O52" s="21">
        <f t="shared" si="8"/>
        <v>0</v>
      </c>
      <c r="P52" s="631">
        <f>1*P$3+(0.5*Q$3)</f>
        <v>0</v>
      </c>
      <c r="Q52" s="616">
        <v>0</v>
      </c>
      <c r="R52" s="616">
        <v>0</v>
      </c>
      <c r="S52" s="21">
        <f t="shared" si="9"/>
        <v>0</v>
      </c>
    </row>
    <row r="53" spans="1:19" x14ac:dyDescent="0.25">
      <c r="A53" s="1933"/>
      <c r="B53" s="19" t="s">
        <v>34</v>
      </c>
      <c r="C53" s="620"/>
      <c r="D53" s="631">
        <f>2*D$3+(0.5*E$3)</f>
        <v>0</v>
      </c>
      <c r="E53" s="616">
        <v>0</v>
      </c>
      <c r="F53" s="616">
        <v>0</v>
      </c>
      <c r="G53" s="21">
        <f t="shared" si="3"/>
        <v>0</v>
      </c>
      <c r="H53" s="631">
        <f>2*H$3+(0.5*I$3)</f>
        <v>0</v>
      </c>
      <c r="I53" s="616">
        <v>0</v>
      </c>
      <c r="J53" s="616">
        <v>0</v>
      </c>
      <c r="K53" s="21">
        <f t="shared" si="7"/>
        <v>0</v>
      </c>
      <c r="L53" s="628">
        <f>L$3*6</f>
        <v>0</v>
      </c>
      <c r="M53" s="628">
        <f t="shared" si="10"/>
        <v>0</v>
      </c>
      <c r="N53" s="616">
        <v>0</v>
      </c>
      <c r="O53" s="21">
        <f t="shared" si="8"/>
        <v>0</v>
      </c>
      <c r="P53" s="631">
        <f>2*P$3+(0.5*Q$3)</f>
        <v>0</v>
      </c>
      <c r="Q53" s="616">
        <v>0</v>
      </c>
      <c r="R53" s="616">
        <v>0</v>
      </c>
      <c r="S53" s="21">
        <f t="shared" si="9"/>
        <v>0</v>
      </c>
    </row>
    <row r="54" spans="1:19" x14ac:dyDescent="0.25">
      <c r="A54" s="1933" t="s">
        <v>18</v>
      </c>
      <c r="B54" s="19" t="s">
        <v>32</v>
      </c>
      <c r="C54" s="620"/>
      <c r="D54" s="631">
        <f>1*D$3</f>
        <v>0</v>
      </c>
      <c r="E54" s="616">
        <v>0</v>
      </c>
      <c r="F54" s="616">
        <v>0</v>
      </c>
      <c r="G54" s="21">
        <f t="shared" si="3"/>
        <v>0</v>
      </c>
      <c r="H54" s="631">
        <f>1*H$3</f>
        <v>0</v>
      </c>
      <c r="I54" s="616">
        <v>0</v>
      </c>
      <c r="J54" s="616">
        <v>0</v>
      </c>
      <c r="K54" s="21">
        <f t="shared" si="7"/>
        <v>0</v>
      </c>
      <c r="L54" s="631">
        <f>L$3*0.5</f>
        <v>0</v>
      </c>
      <c r="M54" s="616">
        <v>0</v>
      </c>
      <c r="N54" s="616">
        <v>0</v>
      </c>
      <c r="O54" s="21">
        <f t="shared" si="8"/>
        <v>0</v>
      </c>
      <c r="P54" s="631">
        <f>1*P$3</f>
        <v>0</v>
      </c>
      <c r="Q54" s="616">
        <v>0</v>
      </c>
      <c r="R54" s="616">
        <v>0</v>
      </c>
      <c r="S54" s="21">
        <f t="shared" si="9"/>
        <v>0</v>
      </c>
    </row>
    <row r="55" spans="1:19" x14ac:dyDescent="0.25">
      <c r="A55" s="1933"/>
      <c r="B55" s="19" t="s">
        <v>33</v>
      </c>
      <c r="C55" s="620"/>
      <c r="D55" s="631">
        <f>1*D$3</f>
        <v>0</v>
      </c>
      <c r="E55" s="616">
        <v>0</v>
      </c>
      <c r="F55" s="616">
        <v>0</v>
      </c>
      <c r="G55" s="21">
        <f t="shared" si="3"/>
        <v>0</v>
      </c>
      <c r="H55" s="631">
        <f>1*H$3</f>
        <v>0</v>
      </c>
      <c r="I55" s="616">
        <v>0</v>
      </c>
      <c r="J55" s="616">
        <v>0</v>
      </c>
      <c r="K55" s="21">
        <f t="shared" si="7"/>
        <v>0</v>
      </c>
      <c r="L55" s="631">
        <f>L$3*0.5</f>
        <v>0</v>
      </c>
      <c r="M55" s="616">
        <v>0</v>
      </c>
      <c r="N55" s="616">
        <v>0</v>
      </c>
      <c r="O55" s="21">
        <f t="shared" si="8"/>
        <v>0</v>
      </c>
      <c r="P55" s="631">
        <f>1*P$3</f>
        <v>0</v>
      </c>
      <c r="Q55" s="616">
        <v>0</v>
      </c>
      <c r="R55" s="616">
        <v>0</v>
      </c>
      <c r="S55" s="21">
        <f t="shared" si="9"/>
        <v>0</v>
      </c>
    </row>
    <row r="56" spans="1:19" x14ac:dyDescent="0.25">
      <c r="A56" s="1933"/>
      <c r="B56" s="19" t="s">
        <v>34</v>
      </c>
      <c r="C56" s="620"/>
      <c r="D56" s="631">
        <f>1*D$3</f>
        <v>0</v>
      </c>
      <c r="E56" s="616">
        <v>0</v>
      </c>
      <c r="F56" s="616">
        <v>0</v>
      </c>
      <c r="G56" s="21">
        <f t="shared" si="3"/>
        <v>0</v>
      </c>
      <c r="H56" s="631">
        <f>1*H$3</f>
        <v>0</v>
      </c>
      <c r="I56" s="616">
        <v>0</v>
      </c>
      <c r="J56" s="616">
        <v>0</v>
      </c>
      <c r="K56" s="21">
        <f t="shared" si="7"/>
        <v>0</v>
      </c>
      <c r="L56" s="631">
        <f>L$3*0.5</f>
        <v>0</v>
      </c>
      <c r="M56" s="616">
        <v>0</v>
      </c>
      <c r="N56" s="616">
        <v>0</v>
      </c>
      <c r="O56" s="21">
        <f t="shared" si="8"/>
        <v>0</v>
      </c>
      <c r="P56" s="631">
        <f>1*P$3</f>
        <v>0</v>
      </c>
      <c r="Q56" s="616">
        <v>0</v>
      </c>
      <c r="R56" s="616">
        <v>0</v>
      </c>
      <c r="S56" s="21">
        <f t="shared" si="9"/>
        <v>0</v>
      </c>
    </row>
    <row r="57" spans="1:19" x14ac:dyDescent="0.25">
      <c r="A57" s="1933" t="s">
        <v>19</v>
      </c>
      <c r="B57" s="19" t="s">
        <v>32</v>
      </c>
      <c r="C57" s="620"/>
      <c r="D57" s="625">
        <v>2</v>
      </c>
      <c r="E57" s="616">
        <v>0</v>
      </c>
      <c r="F57" s="616">
        <v>0</v>
      </c>
      <c r="G57" s="21">
        <f t="shared" si="3"/>
        <v>2</v>
      </c>
      <c r="H57" s="625">
        <v>2</v>
      </c>
      <c r="I57" s="616">
        <v>0</v>
      </c>
      <c r="J57" s="616">
        <v>0</v>
      </c>
      <c r="K57" s="21">
        <f t="shared" si="7"/>
        <v>2</v>
      </c>
      <c r="L57" s="625">
        <v>2</v>
      </c>
      <c r="M57" s="616">
        <v>0</v>
      </c>
      <c r="N57" s="616">
        <v>0</v>
      </c>
      <c r="O57" s="21">
        <f t="shared" si="8"/>
        <v>2</v>
      </c>
      <c r="P57" s="625">
        <v>2</v>
      </c>
      <c r="Q57" s="616">
        <v>0</v>
      </c>
      <c r="R57" s="616">
        <v>0</v>
      </c>
      <c r="S57" s="21">
        <f t="shared" si="9"/>
        <v>2</v>
      </c>
    </row>
    <row r="58" spans="1:19" x14ac:dyDescent="0.25">
      <c r="A58" s="1933"/>
      <c r="B58" s="19" t="s">
        <v>33</v>
      </c>
      <c r="C58" s="620"/>
      <c r="D58" s="625">
        <v>4</v>
      </c>
      <c r="E58" s="616">
        <v>0</v>
      </c>
      <c r="F58" s="616">
        <v>0</v>
      </c>
      <c r="G58" s="21">
        <f t="shared" si="3"/>
        <v>4</v>
      </c>
      <c r="H58" s="625">
        <v>4</v>
      </c>
      <c r="I58" s="616">
        <v>0</v>
      </c>
      <c r="J58" s="616">
        <v>0</v>
      </c>
      <c r="K58" s="21">
        <f t="shared" si="7"/>
        <v>4</v>
      </c>
      <c r="L58" s="625">
        <v>4</v>
      </c>
      <c r="M58" s="616">
        <v>0</v>
      </c>
      <c r="N58" s="616">
        <v>0</v>
      </c>
      <c r="O58" s="21">
        <f t="shared" si="8"/>
        <v>4</v>
      </c>
      <c r="P58" s="625">
        <v>4</v>
      </c>
      <c r="Q58" s="616">
        <v>0</v>
      </c>
      <c r="R58" s="616">
        <v>0</v>
      </c>
      <c r="S58" s="21">
        <f t="shared" si="9"/>
        <v>4</v>
      </c>
    </row>
    <row r="59" spans="1:19" x14ac:dyDescent="0.25">
      <c r="A59" s="1933"/>
      <c r="B59" s="19" t="s">
        <v>34</v>
      </c>
      <c r="C59" s="620"/>
      <c r="D59" s="625">
        <v>6</v>
      </c>
      <c r="E59" s="616">
        <v>0</v>
      </c>
      <c r="F59" s="616">
        <v>0</v>
      </c>
      <c r="G59" s="21">
        <f t="shared" si="3"/>
        <v>6</v>
      </c>
      <c r="H59" s="625">
        <v>6</v>
      </c>
      <c r="I59" s="616">
        <v>0</v>
      </c>
      <c r="J59" s="616">
        <v>0</v>
      </c>
      <c r="K59" s="21">
        <f t="shared" si="7"/>
        <v>6</v>
      </c>
      <c r="L59" s="625">
        <v>6</v>
      </c>
      <c r="M59" s="616">
        <v>0</v>
      </c>
      <c r="N59" s="616">
        <v>0</v>
      </c>
      <c r="O59" s="21">
        <f t="shared" si="8"/>
        <v>6</v>
      </c>
      <c r="P59" s="625">
        <v>6</v>
      </c>
      <c r="Q59" s="616">
        <v>0</v>
      </c>
      <c r="R59" s="616">
        <v>0</v>
      </c>
      <c r="S59" s="21">
        <f t="shared" si="9"/>
        <v>6</v>
      </c>
    </row>
    <row r="60" spans="1:19" x14ac:dyDescent="0.25">
      <c r="A60" s="1933" t="s">
        <v>20</v>
      </c>
      <c r="B60" s="19" t="s">
        <v>32</v>
      </c>
      <c r="C60" s="620"/>
      <c r="D60" s="625">
        <v>8</v>
      </c>
      <c r="E60" s="630">
        <f>1*E$3</f>
        <v>0</v>
      </c>
      <c r="F60" s="623">
        <v>0</v>
      </c>
      <c r="G60" s="21">
        <f t="shared" si="3"/>
        <v>8</v>
      </c>
      <c r="H60" s="625">
        <v>8</v>
      </c>
      <c r="I60" s="630">
        <f>1*I$3</f>
        <v>0</v>
      </c>
      <c r="J60" s="623">
        <v>0</v>
      </c>
      <c r="K60" s="21">
        <f t="shared" si="7"/>
        <v>8</v>
      </c>
      <c r="L60" s="625">
        <v>16</v>
      </c>
      <c r="M60" s="691">
        <v>0</v>
      </c>
      <c r="N60" s="623">
        <v>0</v>
      </c>
      <c r="O60" s="21">
        <f t="shared" si="8"/>
        <v>16</v>
      </c>
      <c r="P60" s="625">
        <v>8</v>
      </c>
      <c r="Q60" s="630">
        <f>1*Q$3</f>
        <v>0</v>
      </c>
      <c r="R60" s="623">
        <v>0</v>
      </c>
      <c r="S60" s="21">
        <f t="shared" si="9"/>
        <v>8</v>
      </c>
    </row>
    <row r="61" spans="1:19" x14ac:dyDescent="0.25">
      <c r="A61" s="1933"/>
      <c r="B61" s="19" t="s">
        <v>33</v>
      </c>
      <c r="C61" s="620"/>
      <c r="D61" s="625">
        <v>10</v>
      </c>
      <c r="E61" s="630">
        <f>1*E$3</f>
        <v>0</v>
      </c>
      <c r="F61" s="623">
        <v>0</v>
      </c>
      <c r="G61" s="21">
        <f t="shared" si="3"/>
        <v>10</v>
      </c>
      <c r="H61" s="625">
        <v>10</v>
      </c>
      <c r="I61" s="630">
        <f>1*I$3</f>
        <v>0</v>
      </c>
      <c r="J61" s="623">
        <v>0</v>
      </c>
      <c r="K61" s="21">
        <f t="shared" si="7"/>
        <v>10</v>
      </c>
      <c r="L61" s="625">
        <v>32</v>
      </c>
      <c r="M61" s="691">
        <v>0</v>
      </c>
      <c r="N61" s="623">
        <v>0</v>
      </c>
      <c r="O61" s="21">
        <f t="shared" si="8"/>
        <v>32</v>
      </c>
      <c r="P61" s="625">
        <v>10</v>
      </c>
      <c r="Q61" s="630">
        <f>1*Q$3</f>
        <v>0</v>
      </c>
      <c r="R61" s="623">
        <v>0</v>
      </c>
      <c r="S61" s="21">
        <f t="shared" si="9"/>
        <v>10</v>
      </c>
    </row>
    <row r="62" spans="1:19" x14ac:dyDescent="0.25">
      <c r="A62" s="1933"/>
      <c r="B62" s="19" t="s">
        <v>34</v>
      </c>
      <c r="C62" s="620"/>
      <c r="D62" s="625">
        <v>12</v>
      </c>
      <c r="E62" s="630">
        <f>1*E$3</f>
        <v>0</v>
      </c>
      <c r="F62" s="623">
        <v>0</v>
      </c>
      <c r="G62" s="21">
        <f t="shared" si="3"/>
        <v>12</v>
      </c>
      <c r="H62" s="625">
        <v>12</v>
      </c>
      <c r="I62" s="630">
        <f>1*I$3</f>
        <v>0</v>
      </c>
      <c r="J62" s="623">
        <v>0</v>
      </c>
      <c r="K62" s="21">
        <f t="shared" si="7"/>
        <v>12</v>
      </c>
      <c r="L62" s="625">
        <v>48</v>
      </c>
      <c r="M62" s="691">
        <v>0</v>
      </c>
      <c r="N62" s="623">
        <v>0</v>
      </c>
      <c r="O62" s="21">
        <f t="shared" si="8"/>
        <v>48</v>
      </c>
      <c r="P62" s="625">
        <v>12</v>
      </c>
      <c r="Q62" s="630">
        <f>1*Q$3</f>
        <v>0</v>
      </c>
      <c r="R62" s="623">
        <v>0</v>
      </c>
      <c r="S62" s="21">
        <f t="shared" si="9"/>
        <v>12</v>
      </c>
    </row>
    <row r="63" spans="1:19" x14ac:dyDescent="0.25">
      <c r="A63" s="1933" t="s">
        <v>451</v>
      </c>
      <c r="B63" s="19" t="s">
        <v>32</v>
      </c>
      <c r="C63" s="620"/>
      <c r="D63" s="625">
        <v>1</v>
      </c>
      <c r="E63" s="692">
        <v>0</v>
      </c>
      <c r="F63" s="623">
        <v>0</v>
      </c>
      <c r="G63" s="21">
        <f t="shared" si="3"/>
        <v>1</v>
      </c>
      <c r="H63" s="625">
        <v>1</v>
      </c>
      <c r="I63" s="692">
        <v>0</v>
      </c>
      <c r="J63" s="623">
        <v>0</v>
      </c>
      <c r="K63" s="21">
        <f t="shared" si="7"/>
        <v>1</v>
      </c>
      <c r="L63" s="625">
        <v>1</v>
      </c>
      <c r="M63" s="692">
        <v>0</v>
      </c>
      <c r="N63" s="623">
        <v>0</v>
      </c>
      <c r="O63" s="21">
        <f t="shared" si="8"/>
        <v>1</v>
      </c>
      <c r="P63" s="625">
        <v>1</v>
      </c>
      <c r="Q63" s="692">
        <v>0</v>
      </c>
      <c r="R63" s="623">
        <v>0</v>
      </c>
      <c r="S63" s="21">
        <f t="shared" si="9"/>
        <v>1</v>
      </c>
    </row>
    <row r="64" spans="1:19" x14ac:dyDescent="0.25">
      <c r="A64" s="1933"/>
      <c r="B64" s="19" t="s">
        <v>33</v>
      </c>
      <c r="C64" s="620"/>
      <c r="D64" s="625">
        <v>1</v>
      </c>
      <c r="E64" s="692">
        <v>0</v>
      </c>
      <c r="F64" s="623">
        <v>0</v>
      </c>
      <c r="G64" s="21">
        <f t="shared" si="3"/>
        <v>1</v>
      </c>
      <c r="H64" s="625">
        <v>1</v>
      </c>
      <c r="I64" s="692">
        <v>0</v>
      </c>
      <c r="J64" s="623">
        <v>0</v>
      </c>
      <c r="K64" s="21">
        <f t="shared" si="7"/>
        <v>1</v>
      </c>
      <c r="L64" s="625">
        <v>1</v>
      </c>
      <c r="M64" s="692">
        <v>0</v>
      </c>
      <c r="N64" s="623">
        <v>0</v>
      </c>
      <c r="O64" s="21">
        <f t="shared" si="8"/>
        <v>1</v>
      </c>
      <c r="P64" s="625">
        <v>1</v>
      </c>
      <c r="Q64" s="692">
        <v>0</v>
      </c>
      <c r="R64" s="623">
        <v>0</v>
      </c>
      <c r="S64" s="21">
        <f t="shared" si="9"/>
        <v>1</v>
      </c>
    </row>
    <row r="65" spans="1:19" x14ac:dyDescent="0.25">
      <c r="A65" s="1933"/>
      <c r="B65" s="19" t="s">
        <v>34</v>
      </c>
      <c r="C65" s="620"/>
      <c r="D65" s="625">
        <v>1</v>
      </c>
      <c r="E65" s="692">
        <v>0</v>
      </c>
      <c r="F65" s="623">
        <v>0</v>
      </c>
      <c r="G65" s="21">
        <f t="shared" si="3"/>
        <v>1</v>
      </c>
      <c r="H65" s="625">
        <v>1</v>
      </c>
      <c r="I65" s="692">
        <v>0</v>
      </c>
      <c r="J65" s="623">
        <v>0</v>
      </c>
      <c r="K65" s="21">
        <f t="shared" si="7"/>
        <v>1</v>
      </c>
      <c r="L65" s="625">
        <v>1</v>
      </c>
      <c r="M65" s="692">
        <v>0</v>
      </c>
      <c r="N65" s="623">
        <v>0</v>
      </c>
      <c r="O65" s="21">
        <f t="shared" si="8"/>
        <v>1</v>
      </c>
      <c r="P65" s="625">
        <v>1</v>
      </c>
      <c r="Q65" s="692">
        <v>0</v>
      </c>
      <c r="R65" s="623">
        <v>0</v>
      </c>
      <c r="S65" s="21">
        <f t="shared" si="9"/>
        <v>1</v>
      </c>
    </row>
    <row r="66" spans="1:19" x14ac:dyDescent="0.25">
      <c r="A66" s="1933" t="s">
        <v>452</v>
      </c>
      <c r="B66" s="19" t="s">
        <v>32</v>
      </c>
      <c r="C66" s="620"/>
      <c r="D66" s="628">
        <f>D$3*0.5</f>
        <v>0</v>
      </c>
      <c r="E66" s="692">
        <v>0</v>
      </c>
      <c r="F66" s="623">
        <v>0</v>
      </c>
      <c r="G66" s="21">
        <f t="shared" si="3"/>
        <v>0</v>
      </c>
      <c r="H66" s="628">
        <f>H$3*0.5</f>
        <v>0</v>
      </c>
      <c r="I66" s="692">
        <v>0</v>
      </c>
      <c r="J66" s="623">
        <v>0</v>
      </c>
      <c r="K66" s="21">
        <f t="shared" si="7"/>
        <v>0</v>
      </c>
      <c r="L66" s="628">
        <f>L$3*0.5</f>
        <v>0</v>
      </c>
      <c r="M66" s="692">
        <v>0</v>
      </c>
      <c r="N66" s="623">
        <v>0</v>
      </c>
      <c r="O66" s="21">
        <f t="shared" si="8"/>
        <v>0</v>
      </c>
      <c r="P66" s="628">
        <f>P$3*0.5</f>
        <v>0</v>
      </c>
      <c r="Q66" s="692">
        <v>0</v>
      </c>
      <c r="R66" s="623">
        <v>0</v>
      </c>
      <c r="S66" s="21">
        <f t="shared" si="9"/>
        <v>0</v>
      </c>
    </row>
    <row r="67" spans="1:19" x14ac:dyDescent="0.25">
      <c r="A67" s="1933"/>
      <c r="B67" s="19" t="s">
        <v>33</v>
      </c>
      <c r="C67" s="620"/>
      <c r="D67" s="628">
        <f>D$3*0.5</f>
        <v>0</v>
      </c>
      <c r="E67" s="692">
        <v>0</v>
      </c>
      <c r="F67" s="623">
        <v>0</v>
      </c>
      <c r="G67" s="21">
        <f t="shared" si="3"/>
        <v>0</v>
      </c>
      <c r="H67" s="628">
        <f>H$3*0.5</f>
        <v>0</v>
      </c>
      <c r="I67" s="692">
        <v>0</v>
      </c>
      <c r="J67" s="623">
        <v>0</v>
      </c>
      <c r="K67" s="21">
        <f t="shared" si="7"/>
        <v>0</v>
      </c>
      <c r="L67" s="628">
        <f>L$3*0.5</f>
        <v>0</v>
      </c>
      <c r="M67" s="692">
        <v>0</v>
      </c>
      <c r="N67" s="623">
        <v>0</v>
      </c>
      <c r="O67" s="21">
        <f t="shared" si="8"/>
        <v>0</v>
      </c>
      <c r="P67" s="628">
        <f>P$3*0.5</f>
        <v>0</v>
      </c>
      <c r="Q67" s="692">
        <v>0</v>
      </c>
      <c r="R67" s="623">
        <v>0</v>
      </c>
      <c r="S67" s="21">
        <f t="shared" si="9"/>
        <v>0</v>
      </c>
    </row>
    <row r="68" spans="1:19" x14ac:dyDescent="0.25">
      <c r="A68" s="1933"/>
      <c r="B68" s="19" t="s">
        <v>34</v>
      </c>
      <c r="C68" s="620"/>
      <c r="D68" s="628">
        <f>D$3*0.5</f>
        <v>0</v>
      </c>
      <c r="E68" s="692">
        <v>0</v>
      </c>
      <c r="F68" s="623">
        <v>0</v>
      </c>
      <c r="G68" s="21">
        <f t="shared" si="3"/>
        <v>0</v>
      </c>
      <c r="H68" s="628">
        <f>H$3*0.5</f>
        <v>0</v>
      </c>
      <c r="I68" s="692">
        <v>0</v>
      </c>
      <c r="J68" s="623">
        <v>0</v>
      </c>
      <c r="K68" s="21">
        <f t="shared" si="7"/>
        <v>0</v>
      </c>
      <c r="L68" s="628">
        <f>L$3*0.5</f>
        <v>0</v>
      </c>
      <c r="M68" s="692">
        <v>0</v>
      </c>
      <c r="N68" s="623">
        <v>0</v>
      </c>
      <c r="O68" s="21">
        <f t="shared" si="8"/>
        <v>0</v>
      </c>
      <c r="P68" s="628">
        <f>P$3*0.5</f>
        <v>0</v>
      </c>
      <c r="Q68" s="692">
        <v>0</v>
      </c>
      <c r="R68" s="623">
        <v>0</v>
      </c>
      <c r="S68" s="21">
        <f t="shared" si="9"/>
        <v>0</v>
      </c>
    </row>
    <row r="69" spans="1:19" x14ac:dyDescent="0.25">
      <c r="A69" s="1936" t="s">
        <v>533</v>
      </c>
      <c r="B69" s="19" t="s">
        <v>32</v>
      </c>
      <c r="C69" s="620"/>
      <c r="D69" s="628">
        <f>D$3*4</f>
        <v>0</v>
      </c>
      <c r="E69" s="628">
        <f>E$3*0.5</f>
        <v>0</v>
      </c>
      <c r="F69" s="623">
        <v>0</v>
      </c>
      <c r="G69" s="21">
        <f t="shared" si="3"/>
        <v>0</v>
      </c>
      <c r="H69" s="628">
        <f>H$3*4</f>
        <v>0</v>
      </c>
      <c r="I69" s="628">
        <f>I$3*0.5</f>
        <v>0</v>
      </c>
      <c r="J69" s="623">
        <v>0</v>
      </c>
      <c r="K69" s="21">
        <f t="shared" si="7"/>
        <v>0</v>
      </c>
      <c r="L69" s="628">
        <f>L$3*4</f>
        <v>0</v>
      </c>
      <c r="M69" s="628">
        <f>M$3*0.5</f>
        <v>0</v>
      </c>
      <c r="N69" s="623">
        <v>0</v>
      </c>
      <c r="O69" s="21">
        <f t="shared" si="8"/>
        <v>0</v>
      </c>
      <c r="P69" s="628">
        <f>P$3*4</f>
        <v>0</v>
      </c>
      <c r="Q69" s="628">
        <f>Q$3*0.5</f>
        <v>0</v>
      </c>
      <c r="R69" s="623">
        <v>0</v>
      </c>
      <c r="S69" s="21">
        <f t="shared" si="9"/>
        <v>0</v>
      </c>
    </row>
    <row r="70" spans="1:19" x14ac:dyDescent="0.25">
      <c r="A70" s="1936"/>
      <c r="B70" s="19" t="s">
        <v>33</v>
      </c>
      <c r="C70" s="620"/>
      <c r="D70" s="628">
        <f>D$3*8</f>
        <v>0</v>
      </c>
      <c r="E70" s="628">
        <f>E$3*0.5</f>
        <v>0</v>
      </c>
      <c r="F70" s="623">
        <v>0</v>
      </c>
      <c r="G70" s="21">
        <f t="shared" si="3"/>
        <v>0</v>
      </c>
      <c r="H70" s="628">
        <f>H$3*8</f>
        <v>0</v>
      </c>
      <c r="I70" s="628">
        <f>I$3*0.5</f>
        <v>0</v>
      </c>
      <c r="J70" s="623">
        <v>0</v>
      </c>
      <c r="K70" s="21">
        <f t="shared" si="7"/>
        <v>0</v>
      </c>
      <c r="L70" s="628">
        <f>L$3*8</f>
        <v>0</v>
      </c>
      <c r="M70" s="628">
        <f>M$3*0.5</f>
        <v>0</v>
      </c>
      <c r="N70" s="623">
        <v>0</v>
      </c>
      <c r="O70" s="21">
        <f t="shared" si="8"/>
        <v>0</v>
      </c>
      <c r="P70" s="628">
        <f>P$3*8</f>
        <v>0</v>
      </c>
      <c r="Q70" s="628">
        <f>Q$3*0.5</f>
        <v>0</v>
      </c>
      <c r="R70" s="623">
        <v>0</v>
      </c>
      <c r="S70" s="21">
        <f t="shared" si="9"/>
        <v>0</v>
      </c>
    </row>
    <row r="71" spans="1:19" x14ac:dyDescent="0.25">
      <c r="A71" s="1936"/>
      <c r="B71" s="19" t="s">
        <v>34</v>
      </c>
      <c r="C71" s="620"/>
      <c r="D71" s="628">
        <f>D$3*16</f>
        <v>0</v>
      </c>
      <c r="E71" s="628">
        <f>E$3*0.5</f>
        <v>0</v>
      </c>
      <c r="F71" s="623">
        <v>0</v>
      </c>
      <c r="G71" s="21">
        <f t="shared" si="3"/>
        <v>0</v>
      </c>
      <c r="H71" s="628">
        <f>H$3*16</f>
        <v>0</v>
      </c>
      <c r="I71" s="628">
        <f>I$3*0.5</f>
        <v>0</v>
      </c>
      <c r="J71" s="623">
        <v>0</v>
      </c>
      <c r="K71" s="21">
        <f t="shared" si="7"/>
        <v>0</v>
      </c>
      <c r="L71" s="628">
        <f>L$3*16</f>
        <v>0</v>
      </c>
      <c r="M71" s="628">
        <f>M$3*0.5</f>
        <v>0</v>
      </c>
      <c r="N71" s="623">
        <v>0</v>
      </c>
      <c r="O71" s="21">
        <f t="shared" si="8"/>
        <v>0</v>
      </c>
      <c r="P71" s="628">
        <f>P$3*16</f>
        <v>0</v>
      </c>
      <c r="Q71" s="628">
        <f>Q$3*0.5</f>
        <v>0</v>
      </c>
      <c r="R71" s="623">
        <v>0</v>
      </c>
      <c r="S71" s="21">
        <f t="shared" si="9"/>
        <v>0</v>
      </c>
    </row>
    <row r="72" spans="1:19" x14ac:dyDescent="0.25">
      <c r="A72" s="1933" t="s">
        <v>534</v>
      </c>
      <c r="B72" s="19" t="s">
        <v>32</v>
      </c>
      <c r="C72" s="620"/>
      <c r="D72" s="628">
        <f>D$3*4</f>
        <v>0</v>
      </c>
      <c r="E72" s="692">
        <v>0</v>
      </c>
      <c r="F72" s="265"/>
      <c r="G72" s="21">
        <f t="shared" si="3"/>
        <v>0</v>
      </c>
      <c r="H72" s="628">
        <f>H$3*4</f>
        <v>0</v>
      </c>
      <c r="I72" s="692">
        <v>0</v>
      </c>
      <c r="J72" s="265"/>
      <c r="K72" s="21">
        <f t="shared" si="7"/>
        <v>0</v>
      </c>
      <c r="L72" s="628">
        <f>L$3*4</f>
        <v>0</v>
      </c>
      <c r="M72" s="692">
        <v>0</v>
      </c>
      <c r="N72" s="265"/>
      <c r="O72" s="21">
        <f t="shared" si="8"/>
        <v>0</v>
      </c>
      <c r="P72" s="628">
        <f>P$3*4</f>
        <v>0</v>
      </c>
      <c r="Q72" s="692">
        <v>0</v>
      </c>
      <c r="R72" s="265"/>
      <c r="S72" s="21">
        <f t="shared" si="9"/>
        <v>0</v>
      </c>
    </row>
    <row r="73" spans="1:19" x14ac:dyDescent="0.25">
      <c r="A73" s="1933"/>
      <c r="B73" s="19" t="s">
        <v>33</v>
      </c>
      <c r="C73" s="620"/>
      <c r="D73" s="628">
        <f>D$3*8</f>
        <v>0</v>
      </c>
      <c r="E73" s="692">
        <v>0</v>
      </c>
      <c r="F73" s="265"/>
      <c r="G73" s="21">
        <f t="shared" si="3"/>
        <v>0</v>
      </c>
      <c r="H73" s="628">
        <f>H$3*8</f>
        <v>0</v>
      </c>
      <c r="I73" s="692">
        <v>0</v>
      </c>
      <c r="J73" s="265"/>
      <c r="K73" s="21">
        <f t="shared" si="7"/>
        <v>0</v>
      </c>
      <c r="L73" s="628">
        <f>L$3*8</f>
        <v>0</v>
      </c>
      <c r="M73" s="692">
        <v>0</v>
      </c>
      <c r="N73" s="265"/>
      <c r="O73" s="21">
        <f t="shared" si="8"/>
        <v>0</v>
      </c>
      <c r="P73" s="628">
        <f>P$3*8</f>
        <v>0</v>
      </c>
      <c r="Q73" s="692">
        <v>0</v>
      </c>
      <c r="R73" s="265"/>
      <c r="S73" s="21">
        <f t="shared" si="9"/>
        <v>0</v>
      </c>
    </row>
    <row r="74" spans="1:19" x14ac:dyDescent="0.25">
      <c r="A74" s="1933"/>
      <c r="B74" s="19" t="s">
        <v>34</v>
      </c>
      <c r="C74" s="620"/>
      <c r="D74" s="628">
        <f>D$3*16</f>
        <v>0</v>
      </c>
      <c r="E74" s="692">
        <v>0</v>
      </c>
      <c r="F74" s="265"/>
      <c r="G74" s="21">
        <f t="shared" si="3"/>
        <v>0</v>
      </c>
      <c r="H74" s="628">
        <f>H$3*16</f>
        <v>0</v>
      </c>
      <c r="I74" s="692">
        <v>0</v>
      </c>
      <c r="J74" s="265"/>
      <c r="K74" s="21">
        <f t="shared" si="7"/>
        <v>0</v>
      </c>
      <c r="L74" s="628">
        <f>L$3*16</f>
        <v>0</v>
      </c>
      <c r="M74" s="692">
        <v>0</v>
      </c>
      <c r="N74" s="265"/>
      <c r="O74" s="21">
        <f t="shared" si="8"/>
        <v>0</v>
      </c>
      <c r="P74" s="628">
        <f>P$3*16</f>
        <v>0</v>
      </c>
      <c r="Q74" s="692">
        <v>0</v>
      </c>
      <c r="R74" s="265"/>
      <c r="S74" s="21">
        <f t="shared" si="9"/>
        <v>0</v>
      </c>
    </row>
    <row r="75" spans="1:19" x14ac:dyDescent="0.25">
      <c r="A75" s="1933" t="s">
        <v>21</v>
      </c>
      <c r="B75" s="19" t="s">
        <v>32</v>
      </c>
      <c r="C75" s="620"/>
      <c r="D75" s="38" t="s">
        <v>90</v>
      </c>
      <c r="E75" s="38" t="s">
        <v>90</v>
      </c>
      <c r="F75" s="38" t="s">
        <v>90</v>
      </c>
      <c r="G75" s="21">
        <f t="shared" si="3"/>
        <v>0</v>
      </c>
      <c r="H75" s="38" t="s">
        <v>90</v>
      </c>
      <c r="I75" s="38" t="s">
        <v>90</v>
      </c>
      <c r="J75" s="38" t="s">
        <v>90</v>
      </c>
      <c r="K75" s="21">
        <f t="shared" si="7"/>
        <v>0</v>
      </c>
      <c r="L75" s="38" t="s">
        <v>90</v>
      </c>
      <c r="M75" s="38" t="s">
        <v>90</v>
      </c>
      <c r="N75" s="38" t="s">
        <v>90</v>
      </c>
      <c r="O75" s="21">
        <f t="shared" si="8"/>
        <v>0</v>
      </c>
      <c r="P75" s="38" t="s">
        <v>90</v>
      </c>
      <c r="Q75" s="38" t="s">
        <v>90</v>
      </c>
      <c r="R75" s="38" t="s">
        <v>90</v>
      </c>
      <c r="S75" s="21">
        <f t="shared" si="9"/>
        <v>0</v>
      </c>
    </row>
    <row r="76" spans="1:19" x14ac:dyDescent="0.25">
      <c r="A76" s="1933"/>
      <c r="B76" s="19" t="s">
        <v>33</v>
      </c>
      <c r="C76" s="620"/>
      <c r="D76" s="38" t="s">
        <v>90</v>
      </c>
      <c r="E76" s="38" t="s">
        <v>90</v>
      </c>
      <c r="F76" s="38" t="s">
        <v>90</v>
      </c>
      <c r="G76" s="21">
        <f t="shared" si="3"/>
        <v>0</v>
      </c>
      <c r="H76" s="38" t="s">
        <v>90</v>
      </c>
      <c r="I76" s="38" t="s">
        <v>90</v>
      </c>
      <c r="J76" s="38" t="s">
        <v>90</v>
      </c>
      <c r="K76" s="21">
        <f t="shared" si="7"/>
        <v>0</v>
      </c>
      <c r="L76" s="38" t="s">
        <v>90</v>
      </c>
      <c r="M76" s="38" t="s">
        <v>90</v>
      </c>
      <c r="N76" s="38" t="s">
        <v>90</v>
      </c>
      <c r="O76" s="21">
        <f t="shared" si="8"/>
        <v>0</v>
      </c>
      <c r="P76" s="38" t="s">
        <v>90</v>
      </c>
      <c r="Q76" s="38" t="s">
        <v>90</v>
      </c>
      <c r="R76" s="38" t="s">
        <v>90</v>
      </c>
      <c r="S76" s="21">
        <f t="shared" si="9"/>
        <v>0</v>
      </c>
    </row>
    <row r="77" spans="1:19" x14ac:dyDescent="0.25">
      <c r="A77" s="1933"/>
      <c r="B77" s="13" t="s">
        <v>34</v>
      </c>
      <c r="C77" s="624"/>
      <c r="D77" s="38" t="s">
        <v>90</v>
      </c>
      <c r="E77" s="38" t="s">
        <v>90</v>
      </c>
      <c r="F77" s="38" t="s">
        <v>90</v>
      </c>
      <c r="G77" s="21">
        <f t="shared" si="3"/>
        <v>0</v>
      </c>
      <c r="H77" s="38" t="s">
        <v>90</v>
      </c>
      <c r="I77" s="38" t="s">
        <v>90</v>
      </c>
      <c r="J77" s="38" t="s">
        <v>90</v>
      </c>
      <c r="K77" s="21">
        <f t="shared" si="7"/>
        <v>0</v>
      </c>
      <c r="L77" s="38" t="s">
        <v>90</v>
      </c>
      <c r="M77" s="38" t="s">
        <v>90</v>
      </c>
      <c r="N77" s="38" t="s">
        <v>90</v>
      </c>
      <c r="O77" s="21">
        <f t="shared" si="8"/>
        <v>0</v>
      </c>
      <c r="P77" s="38" t="s">
        <v>90</v>
      </c>
      <c r="Q77" s="38" t="s">
        <v>90</v>
      </c>
      <c r="R77" s="38" t="s">
        <v>90</v>
      </c>
      <c r="S77" s="21">
        <f t="shared" si="9"/>
        <v>0</v>
      </c>
    </row>
    <row r="78" spans="1:19" x14ac:dyDescent="0.25">
      <c r="A78" s="1933" t="s">
        <v>181</v>
      </c>
      <c r="B78" s="19" t="s">
        <v>32</v>
      </c>
      <c r="C78" s="620"/>
      <c r="D78" s="493">
        <f t="shared" ref="D78:D85" si="11">D$3*0.25</f>
        <v>0</v>
      </c>
      <c r="E78" s="616">
        <v>0</v>
      </c>
      <c r="F78" s="484">
        <v>0</v>
      </c>
      <c r="G78" s="21">
        <f t="shared" si="3"/>
        <v>0</v>
      </c>
      <c r="H78" s="493">
        <f t="shared" ref="H78:H85" si="12">H$3*0.25</f>
        <v>0</v>
      </c>
      <c r="I78" s="616">
        <v>0</v>
      </c>
      <c r="J78" s="484">
        <v>0</v>
      </c>
      <c r="K78" s="21">
        <f t="shared" si="7"/>
        <v>0</v>
      </c>
      <c r="L78" s="493">
        <f t="shared" ref="L78:L85" si="13">L$3*0.25</f>
        <v>0</v>
      </c>
      <c r="M78" s="616">
        <v>0</v>
      </c>
      <c r="N78" s="484">
        <v>0</v>
      </c>
      <c r="O78" s="21">
        <f t="shared" si="8"/>
        <v>0</v>
      </c>
      <c r="P78" s="493">
        <f t="shared" ref="P78:P85" si="14">P$3*0.25</f>
        <v>0</v>
      </c>
      <c r="Q78" s="616">
        <v>0</v>
      </c>
      <c r="R78" s="484">
        <v>0</v>
      </c>
      <c r="S78" s="21">
        <f t="shared" si="9"/>
        <v>0</v>
      </c>
    </row>
    <row r="79" spans="1:19" x14ac:dyDescent="0.25">
      <c r="A79" s="1933"/>
      <c r="B79" s="19" t="s">
        <v>33</v>
      </c>
      <c r="C79" s="620"/>
      <c r="D79" s="493">
        <f t="shared" si="11"/>
        <v>0</v>
      </c>
      <c r="E79" s="616">
        <v>0</v>
      </c>
      <c r="F79" s="484">
        <v>0</v>
      </c>
      <c r="G79" s="21">
        <f t="shared" si="3"/>
        <v>0</v>
      </c>
      <c r="H79" s="493">
        <f t="shared" si="12"/>
        <v>0</v>
      </c>
      <c r="I79" s="616">
        <v>0</v>
      </c>
      <c r="J79" s="484">
        <v>0</v>
      </c>
      <c r="K79" s="21">
        <f t="shared" si="7"/>
        <v>0</v>
      </c>
      <c r="L79" s="493">
        <f t="shared" si="13"/>
        <v>0</v>
      </c>
      <c r="M79" s="616">
        <v>0</v>
      </c>
      <c r="N79" s="484">
        <v>0</v>
      </c>
      <c r="O79" s="21">
        <f t="shared" si="8"/>
        <v>0</v>
      </c>
      <c r="P79" s="493">
        <f t="shared" si="14"/>
        <v>0</v>
      </c>
      <c r="Q79" s="616">
        <v>0</v>
      </c>
      <c r="R79" s="484">
        <v>0</v>
      </c>
      <c r="S79" s="21">
        <f t="shared" si="9"/>
        <v>0</v>
      </c>
    </row>
    <row r="80" spans="1:19" x14ac:dyDescent="0.25">
      <c r="A80" s="1933"/>
      <c r="B80" s="19" t="s">
        <v>34</v>
      </c>
      <c r="C80" s="620"/>
      <c r="D80" s="493">
        <f t="shared" si="11"/>
        <v>0</v>
      </c>
      <c r="E80" s="616">
        <v>0</v>
      </c>
      <c r="F80" s="484">
        <v>0</v>
      </c>
      <c r="G80" s="21">
        <f t="shared" si="3"/>
        <v>0</v>
      </c>
      <c r="H80" s="493">
        <f t="shared" si="12"/>
        <v>0</v>
      </c>
      <c r="I80" s="616">
        <v>0</v>
      </c>
      <c r="J80" s="484">
        <v>0</v>
      </c>
      <c r="K80" s="21">
        <f t="shared" si="7"/>
        <v>0</v>
      </c>
      <c r="L80" s="493">
        <f t="shared" si="13"/>
        <v>0</v>
      </c>
      <c r="M80" s="616">
        <v>0</v>
      </c>
      <c r="N80" s="484">
        <v>0</v>
      </c>
      <c r="O80" s="21">
        <f t="shared" si="8"/>
        <v>0</v>
      </c>
      <c r="P80" s="493">
        <f t="shared" si="14"/>
        <v>0</v>
      </c>
      <c r="Q80" s="616">
        <v>0</v>
      </c>
      <c r="R80" s="484">
        <v>0</v>
      </c>
      <c r="S80" s="21">
        <f t="shared" si="9"/>
        <v>0</v>
      </c>
    </row>
    <row r="81" spans="1:19" x14ac:dyDescent="0.25">
      <c r="A81" s="1933" t="s">
        <v>182</v>
      </c>
      <c r="B81" s="19" t="s">
        <v>32</v>
      </c>
      <c r="C81" s="620"/>
      <c r="D81" s="493">
        <f t="shared" si="11"/>
        <v>0</v>
      </c>
      <c r="E81" s="616">
        <v>0</v>
      </c>
      <c r="F81" s="484">
        <v>0</v>
      </c>
      <c r="G81" s="21">
        <f t="shared" si="3"/>
        <v>0</v>
      </c>
      <c r="H81" s="493">
        <f t="shared" si="12"/>
        <v>0</v>
      </c>
      <c r="I81" s="616">
        <v>0</v>
      </c>
      <c r="J81" s="484">
        <v>0</v>
      </c>
      <c r="K81" s="21">
        <f t="shared" si="7"/>
        <v>0</v>
      </c>
      <c r="L81" s="493">
        <f t="shared" si="13"/>
        <v>0</v>
      </c>
      <c r="M81" s="616">
        <v>0</v>
      </c>
      <c r="N81" s="484">
        <v>0</v>
      </c>
      <c r="O81" s="21">
        <f t="shared" si="8"/>
        <v>0</v>
      </c>
      <c r="P81" s="493">
        <f t="shared" si="14"/>
        <v>0</v>
      </c>
      <c r="Q81" s="616">
        <v>0</v>
      </c>
      <c r="R81" s="484">
        <v>0</v>
      </c>
      <c r="S81" s="21">
        <f t="shared" si="9"/>
        <v>0</v>
      </c>
    </row>
    <row r="82" spans="1:19" x14ac:dyDescent="0.25">
      <c r="A82" s="1933"/>
      <c r="B82" s="19" t="s">
        <v>33</v>
      </c>
      <c r="C82" s="620"/>
      <c r="D82" s="493">
        <f t="shared" si="11"/>
        <v>0</v>
      </c>
      <c r="E82" s="616">
        <v>0</v>
      </c>
      <c r="F82" s="484">
        <v>0</v>
      </c>
      <c r="G82" s="21">
        <f t="shared" si="3"/>
        <v>0</v>
      </c>
      <c r="H82" s="493">
        <f t="shared" si="12"/>
        <v>0</v>
      </c>
      <c r="I82" s="616">
        <v>0</v>
      </c>
      <c r="J82" s="484">
        <v>0</v>
      </c>
      <c r="K82" s="21">
        <f t="shared" si="7"/>
        <v>0</v>
      </c>
      <c r="L82" s="493">
        <f t="shared" si="13"/>
        <v>0</v>
      </c>
      <c r="M82" s="616">
        <v>0</v>
      </c>
      <c r="N82" s="484">
        <v>0</v>
      </c>
      <c r="O82" s="21">
        <f t="shared" si="8"/>
        <v>0</v>
      </c>
      <c r="P82" s="493">
        <f t="shared" si="14"/>
        <v>0</v>
      </c>
      <c r="Q82" s="616">
        <v>0</v>
      </c>
      <c r="R82" s="484">
        <v>0</v>
      </c>
      <c r="S82" s="21">
        <f t="shared" si="9"/>
        <v>0</v>
      </c>
    </row>
    <row r="83" spans="1:19" x14ac:dyDescent="0.25">
      <c r="A83" s="1933"/>
      <c r="B83" s="19" t="s">
        <v>34</v>
      </c>
      <c r="C83" s="620"/>
      <c r="D83" s="493">
        <f t="shared" si="11"/>
        <v>0</v>
      </c>
      <c r="E83" s="616">
        <v>0</v>
      </c>
      <c r="F83" s="484">
        <v>0</v>
      </c>
      <c r="G83" s="21">
        <f t="shared" si="3"/>
        <v>0</v>
      </c>
      <c r="H83" s="493">
        <f t="shared" si="12"/>
        <v>0</v>
      </c>
      <c r="I83" s="616">
        <v>0</v>
      </c>
      <c r="J83" s="484">
        <v>0</v>
      </c>
      <c r="K83" s="21">
        <f t="shared" si="7"/>
        <v>0</v>
      </c>
      <c r="L83" s="493">
        <f t="shared" si="13"/>
        <v>0</v>
      </c>
      <c r="M83" s="616">
        <v>0</v>
      </c>
      <c r="N83" s="484">
        <v>0</v>
      </c>
      <c r="O83" s="21">
        <f t="shared" si="8"/>
        <v>0</v>
      </c>
      <c r="P83" s="493">
        <f t="shared" si="14"/>
        <v>0</v>
      </c>
      <c r="Q83" s="616">
        <v>0</v>
      </c>
      <c r="R83" s="484">
        <v>0</v>
      </c>
      <c r="S83" s="21">
        <f t="shared" si="9"/>
        <v>0</v>
      </c>
    </row>
    <row r="84" spans="1:19" x14ac:dyDescent="0.25">
      <c r="A84" s="1935" t="s">
        <v>183</v>
      </c>
      <c r="B84" s="19" t="s">
        <v>32</v>
      </c>
      <c r="C84" s="620"/>
      <c r="D84" s="493">
        <f t="shared" si="11"/>
        <v>0</v>
      </c>
      <c r="E84" s="616">
        <v>0</v>
      </c>
      <c r="F84" s="495">
        <v>0</v>
      </c>
      <c r="G84" s="21">
        <f t="shared" si="3"/>
        <v>0</v>
      </c>
      <c r="H84" s="493">
        <f t="shared" si="12"/>
        <v>0</v>
      </c>
      <c r="I84" s="616">
        <v>0</v>
      </c>
      <c r="J84" s="495">
        <v>0</v>
      </c>
      <c r="K84" s="21">
        <f t="shared" si="7"/>
        <v>0</v>
      </c>
      <c r="L84" s="493">
        <f t="shared" si="13"/>
        <v>0</v>
      </c>
      <c r="M84" s="616">
        <v>0</v>
      </c>
      <c r="N84" s="495">
        <v>0</v>
      </c>
      <c r="O84" s="21">
        <f t="shared" si="8"/>
        <v>0</v>
      </c>
      <c r="P84" s="493">
        <f t="shared" si="14"/>
        <v>0</v>
      </c>
      <c r="Q84" s="616">
        <v>0</v>
      </c>
      <c r="R84" s="495">
        <v>0</v>
      </c>
      <c r="S84" s="21">
        <f t="shared" si="9"/>
        <v>0</v>
      </c>
    </row>
    <row r="85" spans="1:19" x14ac:dyDescent="0.25">
      <c r="A85" s="1935"/>
      <c r="B85" s="19" t="s">
        <v>33</v>
      </c>
      <c r="C85" s="620"/>
      <c r="D85" s="493">
        <f t="shared" si="11"/>
        <v>0</v>
      </c>
      <c r="E85" s="616">
        <v>0</v>
      </c>
      <c r="F85" s="623">
        <v>0</v>
      </c>
      <c r="G85" s="21">
        <f t="shared" si="3"/>
        <v>0</v>
      </c>
      <c r="H85" s="493">
        <f t="shared" si="12"/>
        <v>0</v>
      </c>
      <c r="I85" s="616">
        <v>0</v>
      </c>
      <c r="J85" s="623">
        <v>0</v>
      </c>
      <c r="K85" s="21">
        <f t="shared" si="7"/>
        <v>0</v>
      </c>
      <c r="L85" s="493">
        <f t="shared" si="13"/>
        <v>0</v>
      </c>
      <c r="M85" s="616">
        <v>0</v>
      </c>
      <c r="N85" s="623">
        <v>0</v>
      </c>
      <c r="O85" s="21">
        <f t="shared" si="8"/>
        <v>0</v>
      </c>
      <c r="P85" s="493">
        <f t="shared" si="14"/>
        <v>0</v>
      </c>
      <c r="Q85" s="616">
        <v>0</v>
      </c>
      <c r="R85" s="623">
        <v>0</v>
      </c>
      <c r="S85" s="21">
        <f t="shared" si="9"/>
        <v>0</v>
      </c>
    </row>
    <row r="86" spans="1:19" ht="15.75" thickBot="1" x14ac:dyDescent="0.3">
      <c r="A86" s="1935"/>
      <c r="B86" s="13" t="s">
        <v>34</v>
      </c>
      <c r="C86" s="621"/>
      <c r="D86" s="504">
        <f>$D$3*0.25</f>
        <v>0</v>
      </c>
      <c r="E86" s="698">
        <v>0</v>
      </c>
      <c r="F86" s="432">
        <v>0</v>
      </c>
      <c r="G86" s="77">
        <f t="shared" si="3"/>
        <v>0</v>
      </c>
      <c r="H86" s="504">
        <f>$D$3*0.25</f>
        <v>0</v>
      </c>
      <c r="I86" s="698">
        <v>0</v>
      </c>
      <c r="J86" s="432">
        <v>0</v>
      </c>
      <c r="K86" s="77">
        <f t="shared" si="7"/>
        <v>0</v>
      </c>
      <c r="L86" s="504">
        <f>$D$3*0.25</f>
        <v>0</v>
      </c>
      <c r="M86" s="698">
        <v>0</v>
      </c>
      <c r="N86" s="432">
        <v>0</v>
      </c>
      <c r="O86" s="77">
        <f t="shared" si="8"/>
        <v>0</v>
      </c>
      <c r="P86" s="504">
        <f>$D$3*0.25</f>
        <v>0</v>
      </c>
      <c r="Q86" s="698">
        <v>0</v>
      </c>
      <c r="R86" s="432">
        <v>0</v>
      </c>
      <c r="S86" s="77">
        <f t="shared" si="9"/>
        <v>0</v>
      </c>
    </row>
    <row r="87" spans="1:19" ht="16.5" thickBot="1" x14ac:dyDescent="0.3">
      <c r="A87" s="330" t="s">
        <v>22</v>
      </c>
      <c r="B87" s="329"/>
      <c r="C87" s="329"/>
      <c r="D87" s="329"/>
      <c r="E87" s="329"/>
      <c r="F87" s="327"/>
      <c r="G87" s="327"/>
      <c r="H87" s="329"/>
      <c r="I87" s="329"/>
      <c r="J87" s="327"/>
      <c r="K87" s="327"/>
      <c r="L87" s="329"/>
      <c r="M87" s="329"/>
      <c r="N87" s="327"/>
      <c r="O87" s="327"/>
      <c r="P87" s="329"/>
      <c r="Q87" s="329"/>
      <c r="R87" s="327"/>
      <c r="S87" s="396"/>
    </row>
    <row r="88" spans="1:19" x14ac:dyDescent="0.25">
      <c r="A88" s="1932" t="s">
        <v>23</v>
      </c>
      <c r="B88" s="404" t="s">
        <v>32</v>
      </c>
      <c r="C88" s="324"/>
      <c r="D88" s="678">
        <v>0.25</v>
      </c>
      <c r="E88" s="708">
        <v>0</v>
      </c>
      <c r="F88" s="679">
        <v>0</v>
      </c>
      <c r="G88" s="230">
        <f t="shared" si="3"/>
        <v>0.25</v>
      </c>
      <c r="H88" s="678">
        <v>0.25</v>
      </c>
      <c r="I88" s="708">
        <v>0</v>
      </c>
      <c r="J88" s="679">
        <v>0</v>
      </c>
      <c r="K88" s="230">
        <f t="shared" ref="K88:K93" si="15" xml:space="preserve"> SUM(H88:J88) + $C88</f>
        <v>0.25</v>
      </c>
      <c r="L88" s="678">
        <v>1</v>
      </c>
      <c r="M88" s="708">
        <v>0</v>
      </c>
      <c r="N88" s="679">
        <v>0</v>
      </c>
      <c r="O88" s="230">
        <f t="shared" ref="O88:O93" si="16" xml:space="preserve"> SUM(L88:N88) + $C88</f>
        <v>1</v>
      </c>
      <c r="P88" s="678">
        <v>0.25</v>
      </c>
      <c r="Q88" s="708">
        <v>0</v>
      </c>
      <c r="R88" s="679">
        <v>0</v>
      </c>
      <c r="S88" s="230">
        <f t="shared" ref="S88:S93" si="17" xml:space="preserve"> SUM(P88:R88) + $C88</f>
        <v>0.25</v>
      </c>
    </row>
    <row r="89" spans="1:19" x14ac:dyDescent="0.25">
      <c r="A89" s="1932"/>
      <c r="B89" s="19" t="s">
        <v>33</v>
      </c>
      <c r="C89" s="22"/>
      <c r="D89" s="678">
        <v>0.25</v>
      </c>
      <c r="E89" s="616">
        <v>0</v>
      </c>
      <c r="F89" s="623">
        <v>0</v>
      </c>
      <c r="G89" s="21">
        <f t="shared" si="3"/>
        <v>0.25</v>
      </c>
      <c r="H89" s="678">
        <v>0.25</v>
      </c>
      <c r="I89" s="616">
        <v>0</v>
      </c>
      <c r="J89" s="623">
        <v>0</v>
      </c>
      <c r="K89" s="21">
        <f t="shared" si="15"/>
        <v>0.25</v>
      </c>
      <c r="L89" s="625">
        <v>1</v>
      </c>
      <c r="M89" s="616">
        <v>0</v>
      </c>
      <c r="N89" s="623">
        <v>0</v>
      </c>
      <c r="O89" s="21">
        <f t="shared" si="16"/>
        <v>1</v>
      </c>
      <c r="P89" s="678">
        <v>0.25</v>
      </c>
      <c r="Q89" s="616">
        <v>0</v>
      </c>
      <c r="R89" s="623">
        <v>0</v>
      </c>
      <c r="S89" s="21">
        <f t="shared" si="17"/>
        <v>0.25</v>
      </c>
    </row>
    <row r="90" spans="1:19" x14ac:dyDescent="0.25">
      <c r="A90" s="1932"/>
      <c r="B90" s="19" t="s">
        <v>34</v>
      </c>
      <c r="C90" s="22"/>
      <c r="D90" s="678">
        <v>0.25</v>
      </c>
      <c r="E90" s="616">
        <v>0</v>
      </c>
      <c r="F90" s="623">
        <v>0</v>
      </c>
      <c r="G90" s="21">
        <f t="shared" si="3"/>
        <v>0.25</v>
      </c>
      <c r="H90" s="678">
        <v>0.25</v>
      </c>
      <c r="I90" s="616">
        <v>0</v>
      </c>
      <c r="J90" s="623">
        <v>0</v>
      </c>
      <c r="K90" s="21">
        <f t="shared" si="15"/>
        <v>0.25</v>
      </c>
      <c r="L90" s="625">
        <v>1</v>
      </c>
      <c r="M90" s="616">
        <v>0</v>
      </c>
      <c r="N90" s="623">
        <v>0</v>
      </c>
      <c r="O90" s="21">
        <f t="shared" si="16"/>
        <v>1</v>
      </c>
      <c r="P90" s="678">
        <v>0.25</v>
      </c>
      <c r="Q90" s="616">
        <v>0</v>
      </c>
      <c r="R90" s="623">
        <v>0</v>
      </c>
      <c r="S90" s="21">
        <f t="shared" si="17"/>
        <v>0.25</v>
      </c>
    </row>
    <row r="91" spans="1:19" x14ac:dyDescent="0.25">
      <c r="A91" s="1933" t="s">
        <v>24</v>
      </c>
      <c r="B91" s="19" t="s">
        <v>32</v>
      </c>
      <c r="C91" s="22"/>
      <c r="D91" s="625">
        <v>8</v>
      </c>
      <c r="E91" s="630">
        <f t="shared" ref="E91:E96" si="18">0.5*E$3</f>
        <v>0</v>
      </c>
      <c r="F91" s="623">
        <v>0</v>
      </c>
      <c r="G91" s="21">
        <f t="shared" si="3"/>
        <v>8</v>
      </c>
      <c r="H91" s="625">
        <v>8</v>
      </c>
      <c r="I91" s="630">
        <f t="shared" ref="I91:I96" si="19">0.5*I$3</f>
        <v>0</v>
      </c>
      <c r="J91" s="623">
        <v>0</v>
      </c>
      <c r="K91" s="21">
        <f t="shared" si="15"/>
        <v>8</v>
      </c>
      <c r="L91" s="625">
        <v>24</v>
      </c>
      <c r="M91" s="616">
        <v>0</v>
      </c>
      <c r="N91" s="623">
        <v>0</v>
      </c>
      <c r="O91" s="21">
        <f t="shared" si="16"/>
        <v>24</v>
      </c>
      <c r="P91" s="625">
        <v>8</v>
      </c>
      <c r="Q91" s="630">
        <f t="shared" ref="Q91:Q96" si="20">0.5*Q$3</f>
        <v>0</v>
      </c>
      <c r="R91" s="623">
        <v>0</v>
      </c>
      <c r="S91" s="21">
        <f t="shared" si="17"/>
        <v>8</v>
      </c>
    </row>
    <row r="92" spans="1:19" x14ac:dyDescent="0.25">
      <c r="A92" s="1933"/>
      <c r="B92" s="19" t="s">
        <v>33</v>
      </c>
      <c r="C92" s="22"/>
      <c r="D92" s="625">
        <v>8</v>
      </c>
      <c r="E92" s="630">
        <f t="shared" si="18"/>
        <v>0</v>
      </c>
      <c r="F92" s="623">
        <v>0</v>
      </c>
      <c r="G92" s="21">
        <f t="shared" si="3"/>
        <v>8</v>
      </c>
      <c r="H92" s="625">
        <v>8</v>
      </c>
      <c r="I92" s="630">
        <f t="shared" si="19"/>
        <v>0</v>
      </c>
      <c r="J92" s="623">
        <v>0</v>
      </c>
      <c r="K92" s="21">
        <f t="shared" si="15"/>
        <v>8</v>
      </c>
      <c r="L92" s="625">
        <v>24</v>
      </c>
      <c r="M92" s="616">
        <v>0</v>
      </c>
      <c r="N92" s="623">
        <v>0</v>
      </c>
      <c r="O92" s="21">
        <f t="shared" si="16"/>
        <v>24</v>
      </c>
      <c r="P92" s="625">
        <v>8</v>
      </c>
      <c r="Q92" s="630">
        <f t="shared" si="20"/>
        <v>0</v>
      </c>
      <c r="R92" s="623">
        <v>0</v>
      </c>
      <c r="S92" s="21">
        <f t="shared" si="17"/>
        <v>8</v>
      </c>
    </row>
    <row r="93" spans="1:19" x14ac:dyDescent="0.25">
      <c r="A93" s="1933"/>
      <c r="B93" s="19" t="s">
        <v>34</v>
      </c>
      <c r="C93" s="22"/>
      <c r="D93" s="625">
        <v>8</v>
      </c>
      <c r="E93" s="630">
        <f t="shared" si="18"/>
        <v>0</v>
      </c>
      <c r="F93" s="623">
        <v>0</v>
      </c>
      <c r="G93" s="21">
        <f t="shared" si="3"/>
        <v>8</v>
      </c>
      <c r="H93" s="625">
        <v>8</v>
      </c>
      <c r="I93" s="630">
        <f t="shared" si="19"/>
        <v>0</v>
      </c>
      <c r="J93" s="623">
        <v>0</v>
      </c>
      <c r="K93" s="21">
        <f t="shared" si="15"/>
        <v>8</v>
      </c>
      <c r="L93" s="625">
        <v>24</v>
      </c>
      <c r="M93" s="616">
        <v>0</v>
      </c>
      <c r="N93" s="623">
        <v>0</v>
      </c>
      <c r="O93" s="21">
        <f t="shared" si="16"/>
        <v>24</v>
      </c>
      <c r="P93" s="625">
        <v>8</v>
      </c>
      <c r="Q93" s="630">
        <f t="shared" si="20"/>
        <v>0</v>
      </c>
      <c r="R93" s="623">
        <v>0</v>
      </c>
      <c r="S93" s="21">
        <f t="shared" si="17"/>
        <v>8</v>
      </c>
    </row>
    <row r="94" spans="1:19" x14ac:dyDescent="0.25">
      <c r="A94" s="1933" t="s">
        <v>25</v>
      </c>
      <c r="B94" s="19" t="s">
        <v>32</v>
      </c>
      <c r="C94" s="22"/>
      <c r="D94" s="625">
        <v>6</v>
      </c>
      <c r="E94" s="630">
        <f t="shared" si="18"/>
        <v>0</v>
      </c>
      <c r="F94" s="623">
        <v>0</v>
      </c>
      <c r="G94" s="21">
        <f t="shared" ref="G94:G105" si="21" xml:space="preserve"> SUM(D94:F94) + $C94</f>
        <v>6</v>
      </c>
      <c r="H94" s="625">
        <v>6</v>
      </c>
      <c r="I94" s="630">
        <f t="shared" si="19"/>
        <v>0</v>
      </c>
      <c r="J94" s="623">
        <v>0</v>
      </c>
      <c r="K94" s="21">
        <f t="shared" ref="K94:K105" si="22" xml:space="preserve"> SUM(H94:J94) + $C94</f>
        <v>6</v>
      </c>
      <c r="L94" s="625">
        <v>16</v>
      </c>
      <c r="M94" s="616">
        <v>0</v>
      </c>
      <c r="N94" s="623">
        <v>0</v>
      </c>
      <c r="O94" s="21">
        <f t="shared" ref="O94:O105" si="23" xml:space="preserve"> SUM(L94:N94) + $C94</f>
        <v>16</v>
      </c>
      <c r="P94" s="625">
        <v>6</v>
      </c>
      <c r="Q94" s="630">
        <f t="shared" si="20"/>
        <v>0</v>
      </c>
      <c r="R94" s="623">
        <v>0</v>
      </c>
      <c r="S94" s="21">
        <f t="shared" ref="S94:S105" si="24" xml:space="preserve"> SUM(P94:R94) + $C94</f>
        <v>6</v>
      </c>
    </row>
    <row r="95" spans="1:19" x14ac:dyDescent="0.25">
      <c r="A95" s="1933"/>
      <c r="B95" s="19" t="s">
        <v>33</v>
      </c>
      <c r="C95" s="22"/>
      <c r="D95" s="625">
        <v>6</v>
      </c>
      <c r="E95" s="630">
        <f t="shared" si="18"/>
        <v>0</v>
      </c>
      <c r="F95" s="623">
        <v>0</v>
      </c>
      <c r="G95" s="21">
        <f t="shared" si="21"/>
        <v>6</v>
      </c>
      <c r="H95" s="625">
        <v>6</v>
      </c>
      <c r="I95" s="630">
        <f t="shared" si="19"/>
        <v>0</v>
      </c>
      <c r="J95" s="623">
        <v>0</v>
      </c>
      <c r="K95" s="21">
        <f t="shared" si="22"/>
        <v>6</v>
      </c>
      <c r="L95" s="625">
        <v>16</v>
      </c>
      <c r="M95" s="616">
        <v>0</v>
      </c>
      <c r="N95" s="623">
        <v>0</v>
      </c>
      <c r="O95" s="21">
        <f t="shared" si="23"/>
        <v>16</v>
      </c>
      <c r="P95" s="625">
        <v>6</v>
      </c>
      <c r="Q95" s="630">
        <f t="shared" si="20"/>
        <v>0</v>
      </c>
      <c r="R95" s="623">
        <v>0</v>
      </c>
      <c r="S95" s="21">
        <f t="shared" si="24"/>
        <v>6</v>
      </c>
    </row>
    <row r="96" spans="1:19" x14ac:dyDescent="0.25">
      <c r="A96" s="1933"/>
      <c r="B96" s="19" t="s">
        <v>34</v>
      </c>
      <c r="C96" s="22"/>
      <c r="D96" s="625">
        <v>6</v>
      </c>
      <c r="E96" s="630">
        <f t="shared" si="18"/>
        <v>0</v>
      </c>
      <c r="F96" s="623">
        <v>0</v>
      </c>
      <c r="G96" s="21">
        <f t="shared" si="21"/>
        <v>6</v>
      </c>
      <c r="H96" s="625">
        <v>6</v>
      </c>
      <c r="I96" s="630">
        <f t="shared" si="19"/>
        <v>0</v>
      </c>
      <c r="J96" s="623">
        <v>0</v>
      </c>
      <c r="K96" s="21">
        <f t="shared" si="22"/>
        <v>6</v>
      </c>
      <c r="L96" s="625">
        <v>16</v>
      </c>
      <c r="M96" s="616">
        <v>0</v>
      </c>
      <c r="N96" s="623">
        <v>0</v>
      </c>
      <c r="O96" s="21">
        <f t="shared" si="23"/>
        <v>16</v>
      </c>
      <c r="P96" s="625">
        <v>6</v>
      </c>
      <c r="Q96" s="630">
        <f t="shared" si="20"/>
        <v>0</v>
      </c>
      <c r="R96" s="623">
        <v>0</v>
      </c>
      <c r="S96" s="21">
        <f t="shared" si="24"/>
        <v>6</v>
      </c>
    </row>
    <row r="97" spans="1:19" x14ac:dyDescent="0.25">
      <c r="A97" s="1933" t="s">
        <v>26</v>
      </c>
      <c r="B97" s="19" t="s">
        <v>32</v>
      </c>
      <c r="C97" s="22"/>
      <c r="D97" s="631">
        <f>4+(0.5*D$3)</f>
        <v>4</v>
      </c>
      <c r="E97" s="625">
        <v>0</v>
      </c>
      <c r="F97" s="625">
        <v>0</v>
      </c>
      <c r="G97" s="21">
        <f t="shared" si="21"/>
        <v>4</v>
      </c>
      <c r="H97" s="631">
        <f>4+(0.5*H$3)</f>
        <v>4</v>
      </c>
      <c r="I97" s="625">
        <v>0</v>
      </c>
      <c r="J97" s="625">
        <v>0</v>
      </c>
      <c r="K97" s="21">
        <f t="shared" si="22"/>
        <v>4</v>
      </c>
      <c r="L97" s="625">
        <v>8</v>
      </c>
      <c r="M97" s="616">
        <v>0</v>
      </c>
      <c r="N97" s="625">
        <v>0</v>
      </c>
      <c r="O97" s="21">
        <f t="shared" si="23"/>
        <v>8</v>
      </c>
      <c r="P97" s="631">
        <f>4+(0.5*P$3)</f>
        <v>4</v>
      </c>
      <c r="Q97" s="625">
        <v>0</v>
      </c>
      <c r="R97" s="625">
        <v>0</v>
      </c>
      <c r="S97" s="21">
        <f t="shared" si="24"/>
        <v>4</v>
      </c>
    </row>
    <row r="98" spans="1:19" x14ac:dyDescent="0.25">
      <c r="A98" s="1933"/>
      <c r="B98" s="19" t="s">
        <v>33</v>
      </c>
      <c r="C98" s="22"/>
      <c r="D98" s="631">
        <f>4+(0.5*D$3)</f>
        <v>4</v>
      </c>
      <c r="E98" s="625">
        <v>0</v>
      </c>
      <c r="F98" s="625">
        <v>0</v>
      </c>
      <c r="G98" s="21">
        <f t="shared" si="21"/>
        <v>4</v>
      </c>
      <c r="H98" s="631">
        <f>4+(0.5*H$3)</f>
        <v>4</v>
      </c>
      <c r="I98" s="625">
        <v>0</v>
      </c>
      <c r="J98" s="625">
        <v>0</v>
      </c>
      <c r="K98" s="21">
        <f t="shared" si="22"/>
        <v>4</v>
      </c>
      <c r="L98" s="625">
        <v>8</v>
      </c>
      <c r="M98" s="616">
        <v>0</v>
      </c>
      <c r="N98" s="625">
        <v>0</v>
      </c>
      <c r="O98" s="21">
        <f t="shared" si="23"/>
        <v>8</v>
      </c>
      <c r="P98" s="631">
        <f>4+(0.5*P$3)</f>
        <v>4</v>
      </c>
      <c r="Q98" s="625">
        <v>0</v>
      </c>
      <c r="R98" s="625">
        <v>0</v>
      </c>
      <c r="S98" s="21">
        <f t="shared" si="24"/>
        <v>4</v>
      </c>
    </row>
    <row r="99" spans="1:19" x14ac:dyDescent="0.25">
      <c r="A99" s="1933"/>
      <c r="B99" s="19" t="s">
        <v>34</v>
      </c>
      <c r="C99" s="22"/>
      <c r="D99" s="631">
        <f>4+(0.5*D$3)</f>
        <v>4</v>
      </c>
      <c r="E99" s="625">
        <v>0</v>
      </c>
      <c r="F99" s="625">
        <v>0</v>
      </c>
      <c r="G99" s="21">
        <f t="shared" si="21"/>
        <v>4</v>
      </c>
      <c r="H99" s="631">
        <f>4+(0.5*H$3)</f>
        <v>4</v>
      </c>
      <c r="I99" s="625">
        <v>0</v>
      </c>
      <c r="J99" s="625">
        <v>0</v>
      </c>
      <c r="K99" s="21">
        <f t="shared" si="22"/>
        <v>4</v>
      </c>
      <c r="L99" s="625">
        <v>8</v>
      </c>
      <c r="M99" s="616">
        <v>0</v>
      </c>
      <c r="N99" s="625">
        <v>0</v>
      </c>
      <c r="O99" s="21">
        <f t="shared" si="23"/>
        <v>8</v>
      </c>
      <c r="P99" s="631">
        <f>4+(0.5*P$3)</f>
        <v>4</v>
      </c>
      <c r="Q99" s="625">
        <v>0</v>
      </c>
      <c r="R99" s="625">
        <v>0</v>
      </c>
      <c r="S99" s="21">
        <f t="shared" si="24"/>
        <v>4</v>
      </c>
    </row>
    <row r="100" spans="1:19" x14ac:dyDescent="0.25">
      <c r="A100" s="1933" t="s">
        <v>27</v>
      </c>
      <c r="B100" s="19" t="s">
        <v>32</v>
      </c>
      <c r="C100" s="22"/>
      <c r="D100" s="631">
        <f>2+(0.5*D$3)</f>
        <v>2</v>
      </c>
      <c r="E100" s="625">
        <v>0</v>
      </c>
      <c r="F100" s="625">
        <v>0</v>
      </c>
      <c r="G100" s="21">
        <f t="shared" si="21"/>
        <v>2</v>
      </c>
      <c r="H100" s="631">
        <f>2+(0.5*H$3)</f>
        <v>2</v>
      </c>
      <c r="I100" s="625">
        <v>0</v>
      </c>
      <c r="J100" s="625">
        <v>0</v>
      </c>
      <c r="K100" s="21">
        <f t="shared" si="22"/>
        <v>2</v>
      </c>
      <c r="L100" s="625">
        <v>4</v>
      </c>
      <c r="M100" s="616">
        <v>0</v>
      </c>
      <c r="N100" s="625">
        <v>0</v>
      </c>
      <c r="O100" s="21">
        <f t="shared" si="23"/>
        <v>4</v>
      </c>
      <c r="P100" s="631">
        <f>2+(0.5*P$3)</f>
        <v>2</v>
      </c>
      <c r="Q100" s="625">
        <v>0</v>
      </c>
      <c r="R100" s="625">
        <v>0</v>
      </c>
      <c r="S100" s="21">
        <f t="shared" si="24"/>
        <v>2</v>
      </c>
    </row>
    <row r="101" spans="1:19" x14ac:dyDescent="0.25">
      <c r="A101" s="1933"/>
      <c r="B101" s="19" t="s">
        <v>33</v>
      </c>
      <c r="C101" s="22"/>
      <c r="D101" s="631">
        <f>3+(0.5*D$3)</f>
        <v>3</v>
      </c>
      <c r="E101" s="625">
        <v>0</v>
      </c>
      <c r="F101" s="625">
        <v>0</v>
      </c>
      <c r="G101" s="21">
        <f t="shared" si="21"/>
        <v>3</v>
      </c>
      <c r="H101" s="631">
        <f>3+(0.5*H$3)</f>
        <v>3</v>
      </c>
      <c r="I101" s="625">
        <v>0</v>
      </c>
      <c r="J101" s="625">
        <v>0</v>
      </c>
      <c r="K101" s="21">
        <f t="shared" si="22"/>
        <v>3</v>
      </c>
      <c r="L101" s="625">
        <v>4</v>
      </c>
      <c r="M101" s="616">
        <v>0</v>
      </c>
      <c r="N101" s="625">
        <v>0</v>
      </c>
      <c r="O101" s="21">
        <f t="shared" si="23"/>
        <v>4</v>
      </c>
      <c r="P101" s="631">
        <f>3+(0.5*P$3)</f>
        <v>3</v>
      </c>
      <c r="Q101" s="625">
        <v>0</v>
      </c>
      <c r="R101" s="625">
        <v>0</v>
      </c>
      <c r="S101" s="21">
        <f t="shared" si="24"/>
        <v>3</v>
      </c>
    </row>
    <row r="102" spans="1:19" x14ac:dyDescent="0.25">
      <c r="A102" s="1933"/>
      <c r="B102" s="19" t="s">
        <v>34</v>
      </c>
      <c r="C102" s="22"/>
      <c r="D102" s="631">
        <f>5+(0.5*D$3)</f>
        <v>5</v>
      </c>
      <c r="E102" s="625">
        <v>0</v>
      </c>
      <c r="F102" s="625">
        <v>0</v>
      </c>
      <c r="G102" s="21">
        <f t="shared" si="21"/>
        <v>5</v>
      </c>
      <c r="H102" s="631">
        <f>5+(0.5*H$3)</f>
        <v>5</v>
      </c>
      <c r="I102" s="625">
        <v>0</v>
      </c>
      <c r="J102" s="625">
        <v>0</v>
      </c>
      <c r="K102" s="21">
        <f t="shared" si="22"/>
        <v>5</v>
      </c>
      <c r="L102" s="625">
        <v>4</v>
      </c>
      <c r="M102" s="616">
        <v>0</v>
      </c>
      <c r="N102" s="625">
        <v>0</v>
      </c>
      <c r="O102" s="21">
        <f t="shared" si="23"/>
        <v>4</v>
      </c>
      <c r="P102" s="631">
        <f>5+(0.5*P$3)</f>
        <v>5</v>
      </c>
      <c r="Q102" s="625">
        <v>0</v>
      </c>
      <c r="R102" s="625">
        <v>0</v>
      </c>
      <c r="S102" s="21">
        <f t="shared" si="24"/>
        <v>5</v>
      </c>
    </row>
    <row r="103" spans="1:19" x14ac:dyDescent="0.25">
      <c r="A103" s="1932" t="s">
        <v>28</v>
      </c>
      <c r="B103" s="19" t="s">
        <v>32</v>
      </c>
      <c r="C103" s="22"/>
      <c r="D103" s="625">
        <v>2</v>
      </c>
      <c r="E103" s="628">
        <f>0.5*E$3</f>
        <v>0</v>
      </c>
      <c r="F103" s="625">
        <v>0</v>
      </c>
      <c r="G103" s="21">
        <f t="shared" si="21"/>
        <v>2</v>
      </c>
      <c r="H103" s="625">
        <v>2</v>
      </c>
      <c r="I103" s="628">
        <f>0.5*I$3</f>
        <v>0</v>
      </c>
      <c r="J103" s="625">
        <v>0</v>
      </c>
      <c r="K103" s="21">
        <f t="shared" si="22"/>
        <v>2</v>
      </c>
      <c r="L103" s="625">
        <v>4</v>
      </c>
      <c r="M103" s="616">
        <v>0</v>
      </c>
      <c r="N103" s="625">
        <v>0</v>
      </c>
      <c r="O103" s="21">
        <f t="shared" si="23"/>
        <v>4</v>
      </c>
      <c r="P103" s="625">
        <v>2</v>
      </c>
      <c r="Q103" s="628">
        <f>0.5*Q$3</f>
        <v>0</v>
      </c>
      <c r="R103" s="625">
        <v>0</v>
      </c>
      <c r="S103" s="21">
        <f t="shared" si="24"/>
        <v>2</v>
      </c>
    </row>
    <row r="104" spans="1:19" x14ac:dyDescent="0.25">
      <c r="A104" s="1932"/>
      <c r="B104" s="19" t="s">
        <v>33</v>
      </c>
      <c r="C104" s="22"/>
      <c r="D104" s="625">
        <v>3</v>
      </c>
      <c r="E104" s="628">
        <f>0.5*E$3</f>
        <v>0</v>
      </c>
      <c r="F104" s="625">
        <v>0</v>
      </c>
      <c r="G104" s="21">
        <f t="shared" si="21"/>
        <v>3</v>
      </c>
      <c r="H104" s="625">
        <v>3</v>
      </c>
      <c r="I104" s="628">
        <f>0.5*I$3</f>
        <v>0</v>
      </c>
      <c r="J104" s="625">
        <v>0</v>
      </c>
      <c r="K104" s="21">
        <f t="shared" si="22"/>
        <v>3</v>
      </c>
      <c r="L104" s="625">
        <v>5</v>
      </c>
      <c r="M104" s="616">
        <v>0</v>
      </c>
      <c r="N104" s="625">
        <v>0</v>
      </c>
      <c r="O104" s="21">
        <f t="shared" si="23"/>
        <v>5</v>
      </c>
      <c r="P104" s="625">
        <v>3</v>
      </c>
      <c r="Q104" s="628">
        <f>0.5*Q$3</f>
        <v>0</v>
      </c>
      <c r="R104" s="625">
        <v>0</v>
      </c>
      <c r="S104" s="21">
        <f t="shared" si="24"/>
        <v>3</v>
      </c>
    </row>
    <row r="105" spans="1:19" ht="15.75" thickBot="1" x14ac:dyDescent="0.3">
      <c r="A105" s="1934"/>
      <c r="B105" s="20" t="s">
        <v>34</v>
      </c>
      <c r="C105" s="23"/>
      <c r="D105" s="649">
        <v>4</v>
      </c>
      <c r="E105" s="657">
        <f>0.5*E$3</f>
        <v>0</v>
      </c>
      <c r="F105" s="408">
        <v>0</v>
      </c>
      <c r="G105" s="24">
        <f t="shared" si="21"/>
        <v>4</v>
      </c>
      <c r="H105" s="649">
        <v>4</v>
      </c>
      <c r="I105" s="657">
        <f>0.5*I$3</f>
        <v>0</v>
      </c>
      <c r="J105" s="408">
        <v>0</v>
      </c>
      <c r="K105" s="24">
        <f t="shared" si="22"/>
        <v>4</v>
      </c>
      <c r="L105" s="649">
        <v>6</v>
      </c>
      <c r="M105" s="711">
        <v>0</v>
      </c>
      <c r="N105" s="408">
        <v>0</v>
      </c>
      <c r="O105" s="24">
        <f t="shared" si="23"/>
        <v>6</v>
      </c>
      <c r="P105" s="649">
        <v>4</v>
      </c>
      <c r="Q105" s="657">
        <f>0.5*Q$3</f>
        <v>0</v>
      </c>
      <c r="R105" s="408">
        <v>0</v>
      </c>
      <c r="S105" s="24">
        <f t="shared" si="24"/>
        <v>4</v>
      </c>
    </row>
    <row r="107" spans="1:19" x14ac:dyDescent="0.25">
      <c r="A107" s="125" t="s">
        <v>89</v>
      </c>
    </row>
  </sheetData>
  <mergeCells count="41">
    <mergeCell ref="A97:A99"/>
    <mergeCell ref="A100:A102"/>
    <mergeCell ref="A103:A105"/>
    <mergeCell ref="A78:A80"/>
    <mergeCell ref="A81:A83"/>
    <mergeCell ref="A84:A86"/>
    <mergeCell ref="A88:A90"/>
    <mergeCell ref="A91:A93"/>
    <mergeCell ref="A94:A96"/>
    <mergeCell ref="A75:A77"/>
    <mergeCell ref="A28:A30"/>
    <mergeCell ref="A31:A33"/>
    <mergeCell ref="A34:A36"/>
    <mergeCell ref="A38:A40"/>
    <mergeCell ref="A42:A44"/>
    <mergeCell ref="A45:A47"/>
    <mergeCell ref="A48:A50"/>
    <mergeCell ref="A51:A53"/>
    <mergeCell ref="A54:A56"/>
    <mergeCell ref="A57:A59"/>
    <mergeCell ref="A60:A62"/>
    <mergeCell ref="A63:A65"/>
    <mergeCell ref="A66:A68"/>
    <mergeCell ref="A69:A71"/>
    <mergeCell ref="A72:A74"/>
    <mergeCell ref="A25:A27"/>
    <mergeCell ref="D1:G1"/>
    <mergeCell ref="H1:K1"/>
    <mergeCell ref="L1:O1"/>
    <mergeCell ref="P1:S1"/>
    <mergeCell ref="C2:C3"/>
    <mergeCell ref="G2:G3"/>
    <mergeCell ref="K2:K3"/>
    <mergeCell ref="O2:O3"/>
    <mergeCell ref="S2:S3"/>
    <mergeCell ref="A8:A10"/>
    <mergeCell ref="A12:A14"/>
    <mergeCell ref="A16:A18"/>
    <mergeCell ref="A19:A21"/>
    <mergeCell ref="A22:A24"/>
    <mergeCell ref="A5:A7"/>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Лист19"/>
  <dimension ref="A1:G107"/>
  <sheetViews>
    <sheetView zoomScale="70" zoomScaleNormal="70" workbookViewId="0">
      <selection activeCell="A88" sqref="A88:A105"/>
    </sheetView>
  </sheetViews>
  <sheetFormatPr defaultRowHeight="15" x14ac:dyDescent="0.25"/>
  <cols>
    <col min="1" max="1" width="53.42578125" bestFit="1" customWidth="1"/>
    <col min="2" max="2" width="23.5703125" bestFit="1" customWidth="1"/>
    <col min="4" max="4" width="71.140625" bestFit="1" customWidth="1"/>
    <col min="5" max="5" width="31.28515625" bestFit="1" customWidth="1"/>
    <col min="6" max="6" width="32.7109375" bestFit="1" customWidth="1"/>
  </cols>
  <sheetData>
    <row r="1" spans="1:7" ht="16.5" thickBot="1" x14ac:dyDescent="0.3">
      <c r="A1" s="465" t="s">
        <v>91</v>
      </c>
      <c r="B1" s="35"/>
      <c r="C1" s="43"/>
      <c r="D1" s="1939" t="str">
        <f>'Служебный АСУТП'!Z2</f>
        <v>Kaspersky Secure Mail Gateway</v>
      </c>
      <c r="E1" s="1940"/>
      <c r="F1" s="1940"/>
      <c r="G1" s="1941"/>
    </row>
    <row r="2" spans="1:7" ht="15.75" x14ac:dyDescent="0.25">
      <c r="B2" s="41" t="s">
        <v>37</v>
      </c>
      <c r="C2" s="1945" t="s">
        <v>35</v>
      </c>
      <c r="D2" s="439" t="s">
        <v>443</v>
      </c>
      <c r="E2" s="191" t="s">
        <v>571</v>
      </c>
      <c r="F2" s="546" t="s">
        <v>444</v>
      </c>
      <c r="G2" s="2324" t="s">
        <v>38</v>
      </c>
    </row>
    <row r="3" spans="1:7" ht="16.5" thickBot="1" x14ac:dyDescent="0.3">
      <c r="A3" s="12" t="s">
        <v>36</v>
      </c>
      <c r="B3" s="295">
        <f>ТрЗ_ОП!F5</f>
        <v>1</v>
      </c>
      <c r="C3" s="1946"/>
      <c r="D3" s="37">
        <f>INDEX(ТрЗ_ОП!$P$11:$P$102,MATCH(D2,ТрЗ_ОП!$O$11:$O$102,0))</f>
        <v>0</v>
      </c>
      <c r="E3" s="37">
        <f>INDEX(ТрЗ_ОП!$P$11:$P$102,MATCH(E2,ТрЗ_ОП!$O$11:$O$102,0))</f>
        <v>0</v>
      </c>
      <c r="F3" s="264">
        <f>INDEX(ТрЗ_ОП!$P$11:$P$102,MATCH(F2,ТрЗ_ОП!$O$11:$O$102,0))</f>
        <v>0</v>
      </c>
      <c r="G3" s="2322"/>
    </row>
    <row r="4" spans="1:7" ht="16.5" thickBot="1" x14ac:dyDescent="0.3">
      <c r="A4" s="326" t="s">
        <v>448</v>
      </c>
      <c r="B4" s="327"/>
      <c r="C4" s="327"/>
      <c r="D4" s="327"/>
      <c r="E4" s="327"/>
      <c r="F4" s="327"/>
      <c r="G4" s="396"/>
    </row>
    <row r="5" spans="1:7" x14ac:dyDescent="0.25">
      <c r="A5" s="2325" t="s">
        <v>0</v>
      </c>
      <c r="B5" s="404" t="s">
        <v>32</v>
      </c>
      <c r="C5" s="324"/>
      <c r="D5" s="405">
        <v>2</v>
      </c>
      <c r="E5" s="405">
        <v>0.5</v>
      </c>
      <c r="F5" s="405">
        <v>0</v>
      </c>
      <c r="G5" s="230">
        <f xml:space="preserve"> SUM(D5:F5) + $C5</f>
        <v>2.5</v>
      </c>
    </row>
    <row r="6" spans="1:7" x14ac:dyDescent="0.25">
      <c r="A6" s="1943"/>
      <c r="B6" s="19" t="s">
        <v>33</v>
      </c>
      <c r="C6" s="22"/>
      <c r="D6" s="11">
        <v>4</v>
      </c>
      <c r="E6" s="11">
        <v>0.5</v>
      </c>
      <c r="F6" s="11">
        <v>0</v>
      </c>
      <c r="G6" s="21">
        <f xml:space="preserve"> SUM(D6:F6) + $C6</f>
        <v>4.5</v>
      </c>
    </row>
    <row r="7" spans="1:7" x14ac:dyDescent="0.25">
      <c r="A7" s="1944"/>
      <c r="B7" s="13" t="s">
        <v>34</v>
      </c>
      <c r="C7" s="34"/>
      <c r="D7" s="11">
        <v>8</v>
      </c>
      <c r="E7" s="11">
        <v>0.5</v>
      </c>
      <c r="F7" s="222">
        <v>0</v>
      </c>
      <c r="G7" s="77">
        <f xml:space="preserve"> SUM(D7:F7) + $C7</f>
        <v>8.5</v>
      </c>
    </row>
    <row r="8" spans="1:7" x14ac:dyDescent="0.25">
      <c r="A8" s="1932" t="s">
        <v>449</v>
      </c>
      <c r="B8" s="404" t="s">
        <v>32</v>
      </c>
      <c r="C8" s="324"/>
      <c r="D8" s="405">
        <v>2</v>
      </c>
      <c r="E8" s="405">
        <v>0.5</v>
      </c>
      <c r="F8" s="405">
        <v>0</v>
      </c>
      <c r="G8" s="230">
        <f xml:space="preserve"> SUM(D8:F8) + $C8</f>
        <v>2.5</v>
      </c>
    </row>
    <row r="9" spans="1:7" x14ac:dyDescent="0.25">
      <c r="A9" s="1932"/>
      <c r="B9" s="19" t="s">
        <v>33</v>
      </c>
      <c r="C9" s="22"/>
      <c r="D9" s="11">
        <v>4</v>
      </c>
      <c r="E9" s="11">
        <v>0.5</v>
      </c>
      <c r="F9" s="11">
        <v>0</v>
      </c>
      <c r="G9" s="21">
        <f t="shared" ref="G9:G93" si="0" xml:space="preserve"> SUM(D9:F9) + $C9</f>
        <v>4.5</v>
      </c>
    </row>
    <row r="10" spans="1:7" ht="15.75" thickBot="1" x14ac:dyDescent="0.3">
      <c r="A10" s="1932"/>
      <c r="B10" s="13" t="s">
        <v>34</v>
      </c>
      <c r="C10" s="34"/>
      <c r="D10" s="11">
        <v>8</v>
      </c>
      <c r="E10" s="422">
        <v>0.5</v>
      </c>
      <c r="F10" s="422">
        <v>0</v>
      </c>
      <c r="G10" s="77">
        <f t="shared" si="0"/>
        <v>8.5</v>
      </c>
    </row>
    <row r="11" spans="1:7" ht="16.5" thickBot="1" x14ac:dyDescent="0.3">
      <c r="A11" s="326" t="s">
        <v>1</v>
      </c>
      <c r="B11" s="327"/>
      <c r="C11" s="327"/>
      <c r="D11" s="327"/>
      <c r="E11" s="327"/>
      <c r="F11" s="327"/>
      <c r="G11" s="396"/>
    </row>
    <row r="12" spans="1:7" x14ac:dyDescent="0.25">
      <c r="A12" s="1932" t="s">
        <v>2</v>
      </c>
      <c r="B12" s="404" t="s">
        <v>32</v>
      </c>
      <c r="C12" s="324"/>
      <c r="D12" s="423">
        <f>D22*0.7</f>
        <v>5.6</v>
      </c>
      <c r="E12" s="423">
        <f>E$22*0.7</f>
        <v>0</v>
      </c>
      <c r="F12" s="405">
        <f>F22*0.7</f>
        <v>0</v>
      </c>
      <c r="G12" s="230">
        <f t="shared" si="0"/>
        <v>5.6</v>
      </c>
    </row>
    <row r="13" spans="1:7" x14ac:dyDescent="0.25">
      <c r="A13" s="1932"/>
      <c r="B13" s="19" t="s">
        <v>33</v>
      </c>
      <c r="C13" s="22"/>
      <c r="D13" s="123">
        <f>D23*0.7</f>
        <v>8.3999999999999986</v>
      </c>
      <c r="E13" s="123">
        <f>E$23*0.7</f>
        <v>0</v>
      </c>
      <c r="F13" s="11">
        <f>F23*0.7</f>
        <v>0</v>
      </c>
      <c r="G13" s="21">
        <f t="shared" si="0"/>
        <v>8.3999999999999986</v>
      </c>
    </row>
    <row r="14" spans="1:7" ht="15.75" thickBot="1" x14ac:dyDescent="0.3">
      <c r="A14" s="1932"/>
      <c r="B14" s="13" t="s">
        <v>34</v>
      </c>
      <c r="C14" s="34"/>
      <c r="D14" s="424">
        <f>D24*0.7</f>
        <v>9.7999999999999989</v>
      </c>
      <c r="E14" s="424">
        <f>E$24*0.7</f>
        <v>0</v>
      </c>
      <c r="F14" s="422">
        <f>F24*0.7</f>
        <v>0</v>
      </c>
      <c r="G14" s="77">
        <f t="shared" si="0"/>
        <v>9.7999999999999989</v>
      </c>
    </row>
    <row r="15" spans="1:7" ht="16.5" thickBot="1" x14ac:dyDescent="0.3">
      <c r="A15" s="330" t="s">
        <v>3</v>
      </c>
      <c r="B15" s="329"/>
      <c r="C15" s="329"/>
      <c r="D15" s="329"/>
      <c r="E15" s="329"/>
      <c r="F15" s="327"/>
      <c r="G15" s="396"/>
    </row>
    <row r="16" spans="1:7" x14ac:dyDescent="0.25">
      <c r="A16" s="1944" t="s">
        <v>4</v>
      </c>
      <c r="B16" s="325" t="s">
        <v>32</v>
      </c>
      <c r="C16" s="324"/>
      <c r="D16" s="427">
        <v>0.25</v>
      </c>
      <c r="E16" s="540">
        <v>0</v>
      </c>
      <c r="F16" s="428">
        <v>0</v>
      </c>
      <c r="G16" s="230">
        <f t="shared" si="0"/>
        <v>0.25</v>
      </c>
    </row>
    <row r="17" spans="1:7" x14ac:dyDescent="0.25">
      <c r="A17" s="1937"/>
      <c r="B17" s="18" t="s">
        <v>33</v>
      </c>
      <c r="C17" s="22"/>
      <c r="D17" s="427">
        <v>0.25</v>
      </c>
      <c r="E17" s="15">
        <v>0</v>
      </c>
      <c r="F17" s="33">
        <v>0</v>
      </c>
      <c r="G17" s="21">
        <f t="shared" si="0"/>
        <v>0.25</v>
      </c>
    </row>
    <row r="18" spans="1:7" x14ac:dyDescent="0.25">
      <c r="A18" s="1937"/>
      <c r="B18" s="18" t="s">
        <v>34</v>
      </c>
      <c r="C18" s="22"/>
      <c r="D18" s="427">
        <v>0.25</v>
      </c>
      <c r="E18" s="15">
        <v>0</v>
      </c>
      <c r="F18" s="33">
        <v>0</v>
      </c>
      <c r="G18" s="21">
        <f t="shared" si="0"/>
        <v>0.25</v>
      </c>
    </row>
    <row r="19" spans="1:7" x14ac:dyDescent="0.25">
      <c r="A19" s="1937" t="s">
        <v>5</v>
      </c>
      <c r="B19" s="19" t="s">
        <v>32</v>
      </c>
      <c r="C19" s="22"/>
      <c r="D19" s="38">
        <v>1</v>
      </c>
      <c r="E19" s="15">
        <v>0</v>
      </c>
      <c r="F19" s="33">
        <v>0</v>
      </c>
      <c r="G19" s="21">
        <f t="shared" si="0"/>
        <v>1</v>
      </c>
    </row>
    <row r="20" spans="1:7" x14ac:dyDescent="0.25">
      <c r="A20" s="1937"/>
      <c r="B20" s="19" t="s">
        <v>33</v>
      </c>
      <c r="C20" s="22"/>
      <c r="D20" s="38">
        <v>2</v>
      </c>
      <c r="E20" s="15">
        <v>0</v>
      </c>
      <c r="F20" s="33">
        <v>0</v>
      </c>
      <c r="G20" s="21">
        <f t="shared" si="0"/>
        <v>2</v>
      </c>
    </row>
    <row r="21" spans="1:7" x14ac:dyDescent="0.25">
      <c r="A21" s="1937"/>
      <c r="B21" s="19" t="s">
        <v>34</v>
      </c>
      <c r="C21" s="22"/>
      <c r="D21" s="38">
        <v>3</v>
      </c>
      <c r="E21" s="15">
        <v>0</v>
      </c>
      <c r="F21" s="33">
        <v>0</v>
      </c>
      <c r="G21" s="21">
        <f t="shared" si="0"/>
        <v>3</v>
      </c>
    </row>
    <row r="22" spans="1:7" x14ac:dyDescent="0.25">
      <c r="A22" s="1937" t="s">
        <v>6</v>
      </c>
      <c r="B22" s="19" t="s">
        <v>32</v>
      </c>
      <c r="C22" s="22"/>
      <c r="D22" s="11">
        <v>8</v>
      </c>
      <c r="E22" s="123">
        <f>2*E$3</f>
        <v>0</v>
      </c>
      <c r="F22" s="11">
        <v>0</v>
      </c>
      <c r="G22" s="21">
        <f t="shared" si="0"/>
        <v>8</v>
      </c>
    </row>
    <row r="23" spans="1:7" x14ac:dyDescent="0.25">
      <c r="A23" s="1937"/>
      <c r="B23" s="19" t="s">
        <v>33</v>
      </c>
      <c r="C23" s="22"/>
      <c r="D23" s="11">
        <v>12</v>
      </c>
      <c r="E23" s="123">
        <f>2*E$3</f>
        <v>0</v>
      </c>
      <c r="F23" s="11">
        <v>0</v>
      </c>
      <c r="G23" s="21">
        <f t="shared" si="0"/>
        <v>12</v>
      </c>
    </row>
    <row r="24" spans="1:7" x14ac:dyDescent="0.25">
      <c r="A24" s="1937"/>
      <c r="B24" s="19" t="s">
        <v>34</v>
      </c>
      <c r="C24" s="22"/>
      <c r="D24" s="11">
        <v>14</v>
      </c>
      <c r="E24" s="123">
        <f>2*E$3</f>
        <v>0</v>
      </c>
      <c r="F24" s="11">
        <v>0</v>
      </c>
      <c r="G24" s="21">
        <f t="shared" si="0"/>
        <v>14</v>
      </c>
    </row>
    <row r="25" spans="1:7" x14ac:dyDescent="0.25">
      <c r="A25" s="1937" t="s">
        <v>7</v>
      </c>
      <c r="B25" s="19" t="s">
        <v>32</v>
      </c>
      <c r="C25" s="22"/>
      <c r="D25" s="38">
        <v>4</v>
      </c>
      <c r="E25" s="15">
        <v>0</v>
      </c>
      <c r="F25" s="33">
        <v>0</v>
      </c>
      <c r="G25" s="21">
        <f t="shared" si="0"/>
        <v>4</v>
      </c>
    </row>
    <row r="26" spans="1:7" x14ac:dyDescent="0.25">
      <c r="A26" s="1937"/>
      <c r="B26" s="19" t="s">
        <v>33</v>
      </c>
      <c r="C26" s="22"/>
      <c r="D26" s="38">
        <v>6</v>
      </c>
      <c r="E26" s="15">
        <v>0</v>
      </c>
      <c r="F26" s="33">
        <v>0</v>
      </c>
      <c r="G26" s="21">
        <f t="shared" si="0"/>
        <v>6</v>
      </c>
    </row>
    <row r="27" spans="1:7" x14ac:dyDescent="0.25">
      <c r="A27" s="1937"/>
      <c r="B27" s="19" t="s">
        <v>34</v>
      </c>
      <c r="C27" s="22"/>
      <c r="D27" s="38">
        <v>8</v>
      </c>
      <c r="E27" s="15">
        <v>0</v>
      </c>
      <c r="F27" s="33">
        <v>0</v>
      </c>
      <c r="G27" s="21">
        <f t="shared" si="0"/>
        <v>8</v>
      </c>
    </row>
    <row r="28" spans="1:7" x14ac:dyDescent="0.25">
      <c r="A28" s="1937" t="s">
        <v>8</v>
      </c>
      <c r="B28" s="19" t="s">
        <v>32</v>
      </c>
      <c r="C28" s="22"/>
      <c r="D28" s="38">
        <v>3</v>
      </c>
      <c r="E28" s="15">
        <v>0</v>
      </c>
      <c r="F28" s="33">
        <v>0</v>
      </c>
      <c r="G28" s="21">
        <f t="shared" si="0"/>
        <v>3</v>
      </c>
    </row>
    <row r="29" spans="1:7" x14ac:dyDescent="0.25">
      <c r="A29" s="1937"/>
      <c r="B29" s="19" t="s">
        <v>33</v>
      </c>
      <c r="C29" s="22"/>
      <c r="D29" s="38">
        <v>4</v>
      </c>
      <c r="E29" s="15">
        <v>0</v>
      </c>
      <c r="F29" s="33">
        <v>0</v>
      </c>
      <c r="G29" s="21">
        <f t="shared" si="0"/>
        <v>4</v>
      </c>
    </row>
    <row r="30" spans="1:7" x14ac:dyDescent="0.25">
      <c r="A30" s="1937"/>
      <c r="B30" s="19" t="s">
        <v>34</v>
      </c>
      <c r="C30" s="22"/>
      <c r="D30" s="38">
        <v>6</v>
      </c>
      <c r="E30" s="15">
        <v>0</v>
      </c>
      <c r="F30" s="33">
        <v>0</v>
      </c>
      <c r="G30" s="21">
        <f t="shared" si="0"/>
        <v>6</v>
      </c>
    </row>
    <row r="31" spans="1:7" x14ac:dyDescent="0.25">
      <c r="A31" s="1937" t="s">
        <v>9</v>
      </c>
      <c r="B31" s="19" t="s">
        <v>32</v>
      </c>
      <c r="C31" s="22"/>
      <c r="D31" s="124">
        <f>1+(0.5*D$3)</f>
        <v>1</v>
      </c>
      <c r="E31" s="15">
        <v>0</v>
      </c>
      <c r="F31" s="15">
        <v>0</v>
      </c>
      <c r="G31" s="21">
        <f t="shared" si="0"/>
        <v>1</v>
      </c>
    </row>
    <row r="32" spans="1:7" x14ac:dyDescent="0.25">
      <c r="A32" s="1937"/>
      <c r="B32" s="19" t="s">
        <v>33</v>
      </c>
      <c r="C32" s="22"/>
      <c r="D32" s="124">
        <f>3+(0.5*D$3)</f>
        <v>3</v>
      </c>
      <c r="E32" s="15">
        <v>0</v>
      </c>
      <c r="F32" s="15">
        <v>0</v>
      </c>
      <c r="G32" s="21">
        <f t="shared" si="0"/>
        <v>3</v>
      </c>
    </row>
    <row r="33" spans="1:7" x14ac:dyDescent="0.25">
      <c r="A33" s="1937"/>
      <c r="B33" s="19" t="s">
        <v>34</v>
      </c>
      <c r="C33" s="22"/>
      <c r="D33" s="124">
        <f>5+(0.5*D$3)</f>
        <v>5</v>
      </c>
      <c r="E33" s="15">
        <v>0</v>
      </c>
      <c r="F33" s="15">
        <v>0</v>
      </c>
      <c r="G33" s="21">
        <f t="shared" si="0"/>
        <v>5</v>
      </c>
    </row>
    <row r="34" spans="1:7" x14ac:dyDescent="0.25">
      <c r="A34" s="1937" t="s">
        <v>10</v>
      </c>
      <c r="B34" s="19" t="s">
        <v>32</v>
      </c>
      <c r="C34" s="22"/>
      <c r="D34" s="38">
        <v>2</v>
      </c>
      <c r="E34" s="15">
        <v>0</v>
      </c>
      <c r="F34" s="15">
        <v>0</v>
      </c>
      <c r="G34" s="21">
        <f t="shared" si="0"/>
        <v>2</v>
      </c>
    </row>
    <row r="35" spans="1:7" x14ac:dyDescent="0.25">
      <c r="A35" s="1937"/>
      <c r="B35" s="19" t="s">
        <v>33</v>
      </c>
      <c r="C35" s="22"/>
      <c r="D35" s="38">
        <v>2</v>
      </c>
      <c r="E35" s="15">
        <v>0</v>
      </c>
      <c r="F35" s="15">
        <v>0</v>
      </c>
      <c r="G35" s="21">
        <f t="shared" si="0"/>
        <v>2</v>
      </c>
    </row>
    <row r="36" spans="1:7" ht="15.75" thickBot="1" x14ac:dyDescent="0.3">
      <c r="A36" s="1938"/>
      <c r="B36" s="13" t="s">
        <v>34</v>
      </c>
      <c r="C36" s="34"/>
      <c r="D36" s="39">
        <v>2</v>
      </c>
      <c r="E36" s="539">
        <v>0</v>
      </c>
      <c r="F36" s="539">
        <v>0</v>
      </c>
      <c r="G36" s="77">
        <f t="shared" si="0"/>
        <v>2</v>
      </c>
    </row>
    <row r="37" spans="1:7" ht="16.5" thickBot="1" x14ac:dyDescent="0.3">
      <c r="A37" s="330" t="s">
        <v>11</v>
      </c>
      <c r="B37" s="329"/>
      <c r="C37" s="329"/>
      <c r="D37" s="329"/>
      <c r="E37" s="329"/>
      <c r="F37" s="327"/>
      <c r="G37" s="396"/>
    </row>
    <row r="38" spans="1:7" x14ac:dyDescent="0.25">
      <c r="A38" s="1932" t="s">
        <v>12</v>
      </c>
      <c r="B38" s="404" t="s">
        <v>32</v>
      </c>
      <c r="C38" s="324"/>
      <c r="D38" s="405">
        <v>8</v>
      </c>
      <c r="E38" s="423">
        <f>2*E$3</f>
        <v>0</v>
      </c>
      <c r="F38" s="405">
        <v>0</v>
      </c>
      <c r="G38" s="230">
        <f t="shared" si="0"/>
        <v>8</v>
      </c>
    </row>
    <row r="39" spans="1:7" x14ac:dyDescent="0.25">
      <c r="A39" s="1932"/>
      <c r="B39" s="19" t="s">
        <v>33</v>
      </c>
      <c r="C39" s="22"/>
      <c r="D39" s="11">
        <v>12</v>
      </c>
      <c r="E39" s="423">
        <f>2*E$3</f>
        <v>0</v>
      </c>
      <c r="F39" s="11">
        <v>0</v>
      </c>
      <c r="G39" s="21">
        <f t="shared" si="0"/>
        <v>12</v>
      </c>
    </row>
    <row r="40" spans="1:7" ht="15.75" thickBot="1" x14ac:dyDescent="0.3">
      <c r="A40" s="1932"/>
      <c r="B40" s="13" t="s">
        <v>34</v>
      </c>
      <c r="C40" s="34"/>
      <c r="D40" s="422">
        <v>14</v>
      </c>
      <c r="E40" s="423">
        <f>2*E$3</f>
        <v>0</v>
      </c>
      <c r="F40" s="422">
        <v>0</v>
      </c>
      <c r="G40" s="77">
        <f t="shared" si="0"/>
        <v>14</v>
      </c>
    </row>
    <row r="41" spans="1:7" ht="16.5" thickBot="1" x14ac:dyDescent="0.3">
      <c r="A41" s="330" t="s">
        <v>13</v>
      </c>
      <c r="B41" s="329"/>
      <c r="C41" s="329"/>
      <c r="D41" s="329"/>
      <c r="E41" s="329"/>
      <c r="F41" s="327"/>
      <c r="G41" s="396"/>
    </row>
    <row r="42" spans="1:7" x14ac:dyDescent="0.25">
      <c r="A42" s="1932" t="s">
        <v>14</v>
      </c>
      <c r="B42" s="404" t="s">
        <v>32</v>
      </c>
      <c r="C42" s="324"/>
      <c r="D42" s="38">
        <v>1</v>
      </c>
      <c r="E42" s="15">
        <v>0</v>
      </c>
      <c r="F42" s="33">
        <v>0</v>
      </c>
      <c r="G42" s="230">
        <f t="shared" si="0"/>
        <v>1</v>
      </c>
    </row>
    <row r="43" spans="1:7" x14ac:dyDescent="0.25">
      <c r="A43" s="1932"/>
      <c r="B43" s="19" t="s">
        <v>33</v>
      </c>
      <c r="C43" s="22"/>
      <c r="D43" s="38">
        <v>2</v>
      </c>
      <c r="E43" s="15">
        <v>0</v>
      </c>
      <c r="F43" s="33">
        <v>0</v>
      </c>
      <c r="G43" s="21">
        <f t="shared" si="0"/>
        <v>2</v>
      </c>
    </row>
    <row r="44" spans="1:7" x14ac:dyDescent="0.25">
      <c r="A44" s="1932"/>
      <c r="B44" s="19" t="s">
        <v>34</v>
      </c>
      <c r="C44" s="22"/>
      <c r="D44" s="38">
        <v>3</v>
      </c>
      <c r="E44" s="15">
        <v>0</v>
      </c>
      <c r="F44" s="33">
        <v>0</v>
      </c>
      <c r="G44" s="21">
        <f t="shared" si="0"/>
        <v>3</v>
      </c>
    </row>
    <row r="45" spans="1:7" x14ac:dyDescent="0.25">
      <c r="A45" s="1933" t="s">
        <v>15</v>
      </c>
      <c r="B45" s="19" t="s">
        <v>32</v>
      </c>
      <c r="C45" s="22"/>
      <c r="D45" s="38">
        <v>8</v>
      </c>
      <c r="E45" s="423">
        <f>4*E$3</f>
        <v>0</v>
      </c>
      <c r="F45" s="15">
        <v>0</v>
      </c>
      <c r="G45" s="21">
        <f t="shared" si="0"/>
        <v>8</v>
      </c>
    </row>
    <row r="46" spans="1:7" x14ac:dyDescent="0.25">
      <c r="A46" s="1933"/>
      <c r="B46" s="19" t="s">
        <v>33</v>
      </c>
      <c r="C46" s="22"/>
      <c r="D46" s="38">
        <v>16</v>
      </c>
      <c r="E46" s="423">
        <f>4*E$3</f>
        <v>0</v>
      </c>
      <c r="F46" s="15">
        <v>0</v>
      </c>
      <c r="G46" s="21">
        <f t="shared" si="0"/>
        <v>16</v>
      </c>
    </row>
    <row r="47" spans="1:7" x14ac:dyDescent="0.25">
      <c r="A47" s="1933"/>
      <c r="B47" s="19" t="s">
        <v>34</v>
      </c>
      <c r="C47" s="22"/>
      <c r="D47" s="38">
        <v>24</v>
      </c>
      <c r="E47" s="423">
        <f>4*E$3</f>
        <v>0</v>
      </c>
      <c r="F47" s="15">
        <v>0</v>
      </c>
      <c r="G47" s="21">
        <f t="shared" si="0"/>
        <v>24</v>
      </c>
    </row>
    <row r="48" spans="1:7" x14ac:dyDescent="0.25">
      <c r="A48" s="1933" t="s">
        <v>16</v>
      </c>
      <c r="B48" s="19" t="s">
        <v>32</v>
      </c>
      <c r="C48" s="22"/>
      <c r="D48" s="124">
        <f>1*D$3+(0.5*E$3)</f>
        <v>0</v>
      </c>
      <c r="E48" s="15">
        <v>0</v>
      </c>
      <c r="F48" s="33">
        <v>0</v>
      </c>
      <c r="G48" s="21">
        <f t="shared" si="0"/>
        <v>0</v>
      </c>
    </row>
    <row r="49" spans="1:7" x14ac:dyDescent="0.25">
      <c r="A49" s="1933"/>
      <c r="B49" s="19" t="s">
        <v>33</v>
      </c>
      <c r="C49" s="22"/>
      <c r="D49" s="124">
        <f>1*D$3+(0.5*E$3)</f>
        <v>0</v>
      </c>
      <c r="E49" s="15">
        <v>0</v>
      </c>
      <c r="F49" s="33">
        <v>0</v>
      </c>
      <c r="G49" s="21">
        <f t="shared" si="0"/>
        <v>0</v>
      </c>
    </row>
    <row r="50" spans="1:7" x14ac:dyDescent="0.25">
      <c r="A50" s="1933"/>
      <c r="B50" s="19" t="s">
        <v>34</v>
      </c>
      <c r="C50" s="22"/>
      <c r="D50" s="124">
        <f>2*D$3+(0.5*E$3)</f>
        <v>0</v>
      </c>
      <c r="E50" s="15">
        <v>0</v>
      </c>
      <c r="F50" s="33">
        <v>0</v>
      </c>
      <c r="G50" s="21">
        <f t="shared" si="0"/>
        <v>0</v>
      </c>
    </row>
    <row r="51" spans="1:7" x14ac:dyDescent="0.25">
      <c r="A51" s="1933" t="s">
        <v>17</v>
      </c>
      <c r="B51" s="19" t="s">
        <v>32</v>
      </c>
      <c r="C51" s="22"/>
      <c r="D51" s="124">
        <f>1*D$3+(0.5*E$3)</f>
        <v>0</v>
      </c>
      <c r="E51" s="15">
        <v>0</v>
      </c>
      <c r="F51" s="15">
        <v>0</v>
      </c>
      <c r="G51" s="21">
        <f t="shared" si="0"/>
        <v>0</v>
      </c>
    </row>
    <row r="52" spans="1:7" x14ac:dyDescent="0.25">
      <c r="A52" s="1933"/>
      <c r="B52" s="19" t="s">
        <v>33</v>
      </c>
      <c r="C52" s="22"/>
      <c r="D52" s="124">
        <f>1*D$3+(0.5*E$3)</f>
        <v>0</v>
      </c>
      <c r="E52" s="15">
        <v>0</v>
      </c>
      <c r="F52" s="15">
        <v>0</v>
      </c>
      <c r="G52" s="21">
        <f t="shared" si="0"/>
        <v>0</v>
      </c>
    </row>
    <row r="53" spans="1:7" x14ac:dyDescent="0.25">
      <c r="A53" s="1933"/>
      <c r="B53" s="19" t="s">
        <v>34</v>
      </c>
      <c r="C53" s="22"/>
      <c r="D53" s="124">
        <f>2*D$3+(0.5*E$3)</f>
        <v>0</v>
      </c>
      <c r="E53" s="15">
        <v>0</v>
      </c>
      <c r="F53" s="15">
        <v>0</v>
      </c>
      <c r="G53" s="21">
        <f t="shared" si="0"/>
        <v>0</v>
      </c>
    </row>
    <row r="54" spans="1:7" x14ac:dyDescent="0.25">
      <c r="A54" s="1933" t="s">
        <v>18</v>
      </c>
      <c r="B54" s="19" t="s">
        <v>32</v>
      </c>
      <c r="C54" s="22"/>
      <c r="D54" s="124">
        <f>1*D$3</f>
        <v>0</v>
      </c>
      <c r="E54" s="15">
        <v>0</v>
      </c>
      <c r="F54" s="15">
        <v>0</v>
      </c>
      <c r="G54" s="21">
        <f t="shared" si="0"/>
        <v>0</v>
      </c>
    </row>
    <row r="55" spans="1:7" x14ac:dyDescent="0.25">
      <c r="A55" s="1933"/>
      <c r="B55" s="19" t="s">
        <v>33</v>
      </c>
      <c r="C55" s="22"/>
      <c r="D55" s="124">
        <f>1*D$3</f>
        <v>0</v>
      </c>
      <c r="E55" s="15">
        <v>0</v>
      </c>
      <c r="F55" s="15">
        <v>0</v>
      </c>
      <c r="G55" s="21">
        <f t="shared" si="0"/>
        <v>0</v>
      </c>
    </row>
    <row r="56" spans="1:7" x14ac:dyDescent="0.25">
      <c r="A56" s="1933"/>
      <c r="B56" s="19" t="s">
        <v>34</v>
      </c>
      <c r="C56" s="22"/>
      <c r="D56" s="124">
        <f>1*D$3</f>
        <v>0</v>
      </c>
      <c r="E56" s="15">
        <v>0</v>
      </c>
      <c r="F56" s="15">
        <v>0</v>
      </c>
      <c r="G56" s="21">
        <f t="shared" si="0"/>
        <v>0</v>
      </c>
    </row>
    <row r="57" spans="1:7" x14ac:dyDescent="0.25">
      <c r="A57" s="1933" t="s">
        <v>19</v>
      </c>
      <c r="B57" s="19" t="s">
        <v>32</v>
      </c>
      <c r="C57" s="22"/>
      <c r="D57" s="38">
        <v>2</v>
      </c>
      <c r="E57" s="15">
        <v>0</v>
      </c>
      <c r="F57" s="15">
        <v>0</v>
      </c>
      <c r="G57" s="21">
        <f t="shared" si="0"/>
        <v>2</v>
      </c>
    </row>
    <row r="58" spans="1:7" x14ac:dyDescent="0.25">
      <c r="A58" s="1933"/>
      <c r="B58" s="19" t="s">
        <v>33</v>
      </c>
      <c r="C58" s="22"/>
      <c r="D58" s="38">
        <v>4</v>
      </c>
      <c r="E58" s="15">
        <v>0</v>
      </c>
      <c r="F58" s="15">
        <v>0</v>
      </c>
      <c r="G58" s="21">
        <f t="shared" si="0"/>
        <v>4</v>
      </c>
    </row>
    <row r="59" spans="1:7" x14ac:dyDescent="0.25">
      <c r="A59" s="1933"/>
      <c r="B59" s="19" t="s">
        <v>34</v>
      </c>
      <c r="C59" s="22"/>
      <c r="D59" s="38">
        <v>6</v>
      </c>
      <c r="E59" s="15">
        <v>0</v>
      </c>
      <c r="F59" s="15">
        <v>0</v>
      </c>
      <c r="G59" s="21">
        <f t="shared" si="0"/>
        <v>6</v>
      </c>
    </row>
    <row r="60" spans="1:7" x14ac:dyDescent="0.25">
      <c r="A60" s="1933" t="s">
        <v>20</v>
      </c>
      <c r="B60" s="19" t="s">
        <v>32</v>
      </c>
      <c r="C60" s="22"/>
      <c r="D60" s="38">
        <v>8</v>
      </c>
      <c r="E60" s="123">
        <f>2*E$3</f>
        <v>0</v>
      </c>
      <c r="F60" s="33">
        <v>0</v>
      </c>
      <c r="G60" s="21">
        <f t="shared" si="0"/>
        <v>8</v>
      </c>
    </row>
    <row r="61" spans="1:7" x14ac:dyDescent="0.25">
      <c r="A61" s="1933"/>
      <c r="B61" s="19" t="s">
        <v>33</v>
      </c>
      <c r="C61" s="22"/>
      <c r="D61" s="38">
        <v>10</v>
      </c>
      <c r="E61" s="123">
        <f>2*E$3</f>
        <v>0</v>
      </c>
      <c r="F61" s="33">
        <v>0</v>
      </c>
      <c r="G61" s="21">
        <f t="shared" si="0"/>
        <v>10</v>
      </c>
    </row>
    <row r="62" spans="1:7" x14ac:dyDescent="0.25">
      <c r="A62" s="1933"/>
      <c r="B62" s="19" t="s">
        <v>34</v>
      </c>
      <c r="C62" s="22"/>
      <c r="D62" s="38">
        <v>12</v>
      </c>
      <c r="E62" s="123">
        <f>2*E$3</f>
        <v>0</v>
      </c>
      <c r="F62" s="33">
        <v>0</v>
      </c>
      <c r="G62" s="21">
        <f t="shared" si="0"/>
        <v>12</v>
      </c>
    </row>
    <row r="63" spans="1:7" x14ac:dyDescent="0.25">
      <c r="A63" s="1933" t="s">
        <v>451</v>
      </c>
      <c r="B63" s="19" t="s">
        <v>32</v>
      </c>
      <c r="C63" s="22"/>
      <c r="D63" s="38">
        <v>8</v>
      </c>
      <c r="E63" s="475">
        <v>0</v>
      </c>
      <c r="F63" s="33">
        <v>0</v>
      </c>
      <c r="G63" s="21">
        <f t="shared" si="0"/>
        <v>8</v>
      </c>
    </row>
    <row r="64" spans="1:7" x14ac:dyDescent="0.25">
      <c r="A64" s="1933"/>
      <c r="B64" s="19" t="s">
        <v>33</v>
      </c>
      <c r="C64" s="22"/>
      <c r="D64" s="38">
        <v>8</v>
      </c>
      <c r="E64" s="475">
        <v>0</v>
      </c>
      <c r="F64" s="33">
        <v>0</v>
      </c>
      <c r="G64" s="21">
        <f t="shared" si="0"/>
        <v>8</v>
      </c>
    </row>
    <row r="65" spans="1:7" x14ac:dyDescent="0.25">
      <c r="A65" s="1933"/>
      <c r="B65" s="19" t="s">
        <v>34</v>
      </c>
      <c r="C65" s="22"/>
      <c r="D65" s="38">
        <v>8</v>
      </c>
      <c r="E65" s="475">
        <v>0</v>
      </c>
      <c r="F65" s="33">
        <v>0</v>
      </c>
      <c r="G65" s="21">
        <f t="shared" si="0"/>
        <v>8</v>
      </c>
    </row>
    <row r="66" spans="1:7" x14ac:dyDescent="0.25">
      <c r="A66" s="1933" t="s">
        <v>452</v>
      </c>
      <c r="B66" s="19" t="s">
        <v>32</v>
      </c>
      <c r="C66" s="22"/>
      <c r="D66" s="123">
        <f>IF(D$3&gt;1,8+(2*D$3)+(0.5*E$3),8)</f>
        <v>8</v>
      </c>
      <c r="E66" s="475">
        <v>0</v>
      </c>
      <c r="F66" s="33">
        <v>0</v>
      </c>
      <c r="G66" s="21">
        <f t="shared" si="0"/>
        <v>8</v>
      </c>
    </row>
    <row r="67" spans="1:7" x14ac:dyDescent="0.25">
      <c r="A67" s="1933"/>
      <c r="B67" s="19" t="s">
        <v>33</v>
      </c>
      <c r="C67" s="22"/>
      <c r="D67" s="123">
        <f>IF(D$3&gt;1,16+(2*D$3)+(2*E$3),16)</f>
        <v>16</v>
      </c>
      <c r="E67" s="475">
        <v>0</v>
      </c>
      <c r="F67" s="33">
        <v>0</v>
      </c>
      <c r="G67" s="21">
        <f t="shared" si="0"/>
        <v>16</v>
      </c>
    </row>
    <row r="68" spans="1:7" x14ac:dyDescent="0.25">
      <c r="A68" s="1933"/>
      <c r="B68" s="19" t="s">
        <v>34</v>
      </c>
      <c r="C68" s="22"/>
      <c r="D68" s="123">
        <f>IF(D$3&gt;1,24+(2*D$3)+(2*E$3),24)</f>
        <v>24</v>
      </c>
      <c r="E68" s="475">
        <v>0</v>
      </c>
      <c r="F68" s="33">
        <v>0</v>
      </c>
      <c r="G68" s="21">
        <f t="shared" si="0"/>
        <v>24</v>
      </c>
    </row>
    <row r="69" spans="1:7" x14ac:dyDescent="0.25">
      <c r="A69" s="1936" t="s">
        <v>533</v>
      </c>
      <c r="B69" s="19" t="s">
        <v>32</v>
      </c>
      <c r="C69" s="22"/>
      <c r="D69" s="123">
        <f>IF(D$3&gt;1,8+(2*D$3)+(2*E$3),8)</f>
        <v>8</v>
      </c>
      <c r="E69" s="123">
        <f>1*E$3</f>
        <v>0</v>
      </c>
      <c r="F69" s="33">
        <v>0</v>
      </c>
      <c r="G69" s="21">
        <f t="shared" si="0"/>
        <v>8</v>
      </c>
    </row>
    <row r="70" spans="1:7" x14ac:dyDescent="0.25">
      <c r="A70" s="1936"/>
      <c r="B70" s="19" t="s">
        <v>33</v>
      </c>
      <c r="C70" s="22"/>
      <c r="D70" s="123">
        <f>IF(D$3&gt;1,16+(2*D$3)+(1*E$3),16)</f>
        <v>16</v>
      </c>
      <c r="E70" s="123">
        <f>1*E$3</f>
        <v>0</v>
      </c>
      <c r="F70" s="33">
        <v>0</v>
      </c>
      <c r="G70" s="21">
        <f t="shared" si="0"/>
        <v>16</v>
      </c>
    </row>
    <row r="71" spans="1:7" x14ac:dyDescent="0.25">
      <c r="A71" s="1936"/>
      <c r="B71" s="19" t="s">
        <v>34</v>
      </c>
      <c r="C71" s="22"/>
      <c r="D71" s="123">
        <f>IF(D$3&gt;1,24+(2*D$3)+(2*E$3),24)</f>
        <v>24</v>
      </c>
      <c r="E71" s="123">
        <f>1*E$3</f>
        <v>0</v>
      </c>
      <c r="F71" s="33">
        <v>0</v>
      </c>
      <c r="G71" s="21">
        <f t="shared" si="0"/>
        <v>24</v>
      </c>
    </row>
    <row r="72" spans="1:7" x14ac:dyDescent="0.25">
      <c r="A72" s="1933" t="s">
        <v>534</v>
      </c>
      <c r="B72" s="19" t="s">
        <v>32</v>
      </c>
      <c r="C72" s="22"/>
      <c r="D72" s="123">
        <f>IF(D$3&gt;1,8+(2*D$3)+(2*E$3),10)</f>
        <v>10</v>
      </c>
      <c r="E72" s="123">
        <f>2*E$3</f>
        <v>0</v>
      </c>
      <c r="F72" s="33">
        <v>0</v>
      </c>
      <c r="G72" s="21">
        <f t="shared" si="0"/>
        <v>10</v>
      </c>
    </row>
    <row r="73" spans="1:7" x14ac:dyDescent="0.25">
      <c r="A73" s="1933"/>
      <c r="B73" s="19" t="s">
        <v>33</v>
      </c>
      <c r="C73" s="22"/>
      <c r="D73" s="123">
        <f>IF(D$3&gt;1,16+(2*D$3)+(2*E$3),16)</f>
        <v>16</v>
      </c>
      <c r="E73" s="123">
        <f>2*E$3</f>
        <v>0</v>
      </c>
      <c r="F73" s="33">
        <v>0</v>
      </c>
      <c r="G73" s="21">
        <f t="shared" si="0"/>
        <v>16</v>
      </c>
    </row>
    <row r="74" spans="1:7" x14ac:dyDescent="0.25">
      <c r="A74" s="1933"/>
      <c r="B74" s="19" t="s">
        <v>34</v>
      </c>
      <c r="C74" s="22"/>
      <c r="D74" s="123">
        <f>IF(D$3&gt;1,24+(2*D$3)+(2*E$3),24)</f>
        <v>24</v>
      </c>
      <c r="E74" s="123">
        <f>2*E$3</f>
        <v>0</v>
      </c>
      <c r="F74" s="33">
        <v>0</v>
      </c>
      <c r="G74" s="21">
        <f t="shared" si="0"/>
        <v>24</v>
      </c>
    </row>
    <row r="75" spans="1:7" x14ac:dyDescent="0.25">
      <c r="A75" s="1933" t="s">
        <v>21</v>
      </c>
      <c r="B75" s="19" t="s">
        <v>32</v>
      </c>
      <c r="C75" s="22"/>
      <c r="D75" s="38" t="s">
        <v>90</v>
      </c>
      <c r="E75" s="38" t="s">
        <v>90</v>
      </c>
      <c r="F75" s="38" t="s">
        <v>90</v>
      </c>
      <c r="G75" s="21">
        <f t="shared" si="0"/>
        <v>0</v>
      </c>
    </row>
    <row r="76" spans="1:7" x14ac:dyDescent="0.25">
      <c r="A76" s="1933"/>
      <c r="B76" s="19" t="s">
        <v>33</v>
      </c>
      <c r="C76" s="22"/>
      <c r="D76" s="38" t="s">
        <v>90</v>
      </c>
      <c r="E76" s="38" t="s">
        <v>90</v>
      </c>
      <c r="F76" s="38" t="s">
        <v>90</v>
      </c>
      <c r="G76" s="21">
        <f t="shared" si="0"/>
        <v>0</v>
      </c>
    </row>
    <row r="77" spans="1:7" x14ac:dyDescent="0.25">
      <c r="A77" s="1933"/>
      <c r="B77" s="13" t="s">
        <v>34</v>
      </c>
      <c r="C77" s="34"/>
      <c r="D77" s="38" t="s">
        <v>90</v>
      </c>
      <c r="E77" s="38" t="s">
        <v>90</v>
      </c>
      <c r="F77" s="38" t="s">
        <v>90</v>
      </c>
      <c r="G77" s="21">
        <f t="shared" si="0"/>
        <v>0</v>
      </c>
    </row>
    <row r="78" spans="1:7" x14ac:dyDescent="0.25">
      <c r="A78" s="1933" t="s">
        <v>181</v>
      </c>
      <c r="B78" s="19" t="s">
        <v>32</v>
      </c>
      <c r="C78" s="198"/>
      <c r="D78" s="223">
        <f>IF(D$3=0,0,2.2)</f>
        <v>0</v>
      </c>
      <c r="E78" s="15">
        <v>0</v>
      </c>
      <c r="F78" s="193">
        <v>0</v>
      </c>
      <c r="G78" s="21">
        <f t="shared" si="0"/>
        <v>0</v>
      </c>
    </row>
    <row r="79" spans="1:7" x14ac:dyDescent="0.25">
      <c r="A79" s="1933"/>
      <c r="B79" s="19" t="s">
        <v>33</v>
      </c>
      <c r="C79" s="198"/>
      <c r="D79" s="223">
        <f>IF(D$3=0,0,2.6)</f>
        <v>0</v>
      </c>
      <c r="E79" s="15">
        <v>0</v>
      </c>
      <c r="F79" s="193">
        <v>0</v>
      </c>
      <c r="G79" s="21">
        <f t="shared" si="0"/>
        <v>0</v>
      </c>
    </row>
    <row r="80" spans="1:7" x14ac:dyDescent="0.25">
      <c r="A80" s="1933"/>
      <c r="B80" s="19" t="s">
        <v>34</v>
      </c>
      <c r="C80" s="198"/>
      <c r="D80" s="223">
        <f>IF(D$3=0,0,2.6)</f>
        <v>0</v>
      </c>
      <c r="E80" s="15">
        <v>0</v>
      </c>
      <c r="F80" s="193">
        <v>0</v>
      </c>
      <c r="G80" s="21">
        <f t="shared" si="0"/>
        <v>0</v>
      </c>
    </row>
    <row r="81" spans="1:7" x14ac:dyDescent="0.25">
      <c r="A81" s="1933" t="s">
        <v>182</v>
      </c>
      <c r="B81" s="19" t="s">
        <v>32</v>
      </c>
      <c r="C81" s="198"/>
      <c r="D81" s="223">
        <f>IF(D$3=0,0,2)</f>
        <v>0</v>
      </c>
      <c r="E81" s="15">
        <v>0</v>
      </c>
      <c r="F81" s="193">
        <v>0</v>
      </c>
      <c r="G81" s="21">
        <f t="shared" si="0"/>
        <v>0</v>
      </c>
    </row>
    <row r="82" spans="1:7" x14ac:dyDescent="0.25">
      <c r="A82" s="1933"/>
      <c r="B82" s="19" t="s">
        <v>33</v>
      </c>
      <c r="C82" s="198"/>
      <c r="D82" s="223">
        <f>IF(D$3=0,0,2.4)</f>
        <v>0</v>
      </c>
      <c r="E82" s="15">
        <v>0</v>
      </c>
      <c r="F82" s="193">
        <v>0</v>
      </c>
      <c r="G82" s="21">
        <f t="shared" si="0"/>
        <v>0</v>
      </c>
    </row>
    <row r="83" spans="1:7" x14ac:dyDescent="0.25">
      <c r="A83" s="1933"/>
      <c r="B83" s="19" t="s">
        <v>34</v>
      </c>
      <c r="C83" s="198"/>
      <c r="D83" s="223">
        <f>IF(D$3=0,0,2.4)</f>
        <v>0</v>
      </c>
      <c r="E83" s="15">
        <v>0</v>
      </c>
      <c r="F83" s="193">
        <v>0</v>
      </c>
      <c r="G83" s="21">
        <f t="shared" si="0"/>
        <v>0</v>
      </c>
    </row>
    <row r="84" spans="1:7" x14ac:dyDescent="0.25">
      <c r="A84" s="1935" t="s">
        <v>183</v>
      </c>
      <c r="B84" s="19" t="s">
        <v>32</v>
      </c>
      <c r="C84" s="198"/>
      <c r="D84" s="195">
        <f>0.2+0.1*(D$3-1)</f>
        <v>0.1</v>
      </c>
      <c r="E84" s="15">
        <v>0</v>
      </c>
      <c r="F84" s="193">
        <v>0</v>
      </c>
      <c r="G84" s="21">
        <f t="shared" si="0"/>
        <v>0.1</v>
      </c>
    </row>
    <row r="85" spans="1:7" x14ac:dyDescent="0.25">
      <c r="A85" s="1935"/>
      <c r="B85" s="19" t="s">
        <v>33</v>
      </c>
      <c r="C85" s="198"/>
      <c r="D85" s="195">
        <f>0.3+0.1*(D$3-1)</f>
        <v>0.19999999999999998</v>
      </c>
      <c r="E85" s="15">
        <v>0</v>
      </c>
      <c r="F85" s="193">
        <v>0</v>
      </c>
      <c r="G85" s="21">
        <f t="shared" si="0"/>
        <v>0.19999999999999998</v>
      </c>
    </row>
    <row r="86" spans="1:7" ht="15.75" thickBot="1" x14ac:dyDescent="0.3">
      <c r="A86" s="1935"/>
      <c r="B86" s="13" t="s">
        <v>34</v>
      </c>
      <c r="C86" s="220"/>
      <c r="D86" s="461">
        <f>0.3+0.1*(D$3-1)</f>
        <v>0.19999999999999998</v>
      </c>
      <c r="E86" s="539">
        <v>0</v>
      </c>
      <c r="F86" s="410">
        <v>0</v>
      </c>
      <c r="G86" s="77">
        <f t="shared" si="0"/>
        <v>0.19999999999999998</v>
      </c>
    </row>
    <row r="87" spans="1:7" ht="16.5" thickBot="1" x14ac:dyDescent="0.3">
      <c r="A87" s="330" t="s">
        <v>22</v>
      </c>
      <c r="B87" s="329"/>
      <c r="C87" s="329"/>
      <c r="D87" s="329"/>
      <c r="E87" s="329"/>
      <c r="F87" s="327"/>
      <c r="G87" s="396"/>
    </row>
    <row r="88" spans="1:7" x14ac:dyDescent="0.25">
      <c r="A88" s="1932" t="s">
        <v>23</v>
      </c>
      <c r="B88" s="404" t="s">
        <v>32</v>
      </c>
      <c r="C88" s="324"/>
      <c r="D88" s="427">
        <v>0.25</v>
      </c>
      <c r="E88" s="540">
        <v>0</v>
      </c>
      <c r="F88" s="428">
        <v>0</v>
      </c>
      <c r="G88" s="230">
        <f t="shared" si="0"/>
        <v>0.25</v>
      </c>
    </row>
    <row r="89" spans="1:7" x14ac:dyDescent="0.25">
      <c r="A89" s="1932"/>
      <c r="B89" s="19" t="s">
        <v>33</v>
      </c>
      <c r="C89" s="22"/>
      <c r="D89" s="427">
        <v>0.25</v>
      </c>
      <c r="E89" s="15">
        <v>0</v>
      </c>
      <c r="F89" s="33">
        <v>0</v>
      </c>
      <c r="G89" s="21">
        <f t="shared" si="0"/>
        <v>0.25</v>
      </c>
    </row>
    <row r="90" spans="1:7" x14ac:dyDescent="0.25">
      <c r="A90" s="1932"/>
      <c r="B90" s="19" t="s">
        <v>34</v>
      </c>
      <c r="C90" s="22"/>
      <c r="D90" s="427">
        <v>0.25</v>
      </c>
      <c r="E90" s="15">
        <v>0</v>
      </c>
      <c r="F90" s="33">
        <v>0</v>
      </c>
      <c r="G90" s="21">
        <f t="shared" si="0"/>
        <v>0.25</v>
      </c>
    </row>
    <row r="91" spans="1:7" x14ac:dyDescent="0.25">
      <c r="A91" s="1933" t="s">
        <v>24</v>
      </c>
      <c r="B91" s="19" t="s">
        <v>32</v>
      </c>
      <c r="C91" s="22"/>
      <c r="D91" s="38">
        <v>8</v>
      </c>
      <c r="E91" s="123">
        <f t="shared" ref="E91:E96" si="1">0.5*E$3</f>
        <v>0</v>
      </c>
      <c r="F91" s="33">
        <v>0</v>
      </c>
      <c r="G91" s="21">
        <f t="shared" si="0"/>
        <v>8</v>
      </c>
    </row>
    <row r="92" spans="1:7" x14ac:dyDescent="0.25">
      <c r="A92" s="1933"/>
      <c r="B92" s="19" t="s">
        <v>33</v>
      </c>
      <c r="C92" s="22"/>
      <c r="D92" s="38">
        <v>8</v>
      </c>
      <c r="E92" s="123">
        <f t="shared" si="1"/>
        <v>0</v>
      </c>
      <c r="F92" s="33">
        <v>0</v>
      </c>
      <c r="G92" s="21">
        <f t="shared" si="0"/>
        <v>8</v>
      </c>
    </row>
    <row r="93" spans="1:7" x14ac:dyDescent="0.25">
      <c r="A93" s="1933"/>
      <c r="B93" s="19" t="s">
        <v>34</v>
      </c>
      <c r="C93" s="22"/>
      <c r="D93" s="38">
        <v>8</v>
      </c>
      <c r="E93" s="123">
        <f t="shared" si="1"/>
        <v>0</v>
      </c>
      <c r="F93" s="33">
        <v>0</v>
      </c>
      <c r="G93" s="21">
        <f t="shared" si="0"/>
        <v>8</v>
      </c>
    </row>
    <row r="94" spans="1:7" x14ac:dyDescent="0.25">
      <c r="A94" s="1933" t="s">
        <v>25</v>
      </c>
      <c r="B94" s="19" t="s">
        <v>32</v>
      </c>
      <c r="C94" s="22"/>
      <c r="D94" s="38">
        <v>6</v>
      </c>
      <c r="E94" s="123">
        <f t="shared" si="1"/>
        <v>0</v>
      </c>
      <c r="F94" s="33">
        <v>0</v>
      </c>
      <c r="G94" s="21">
        <f t="shared" ref="G94:G105" si="2" xml:space="preserve"> SUM(D94:F94) + $C94</f>
        <v>6</v>
      </c>
    </row>
    <row r="95" spans="1:7" x14ac:dyDescent="0.25">
      <c r="A95" s="1933"/>
      <c r="B95" s="19" t="s">
        <v>33</v>
      </c>
      <c r="C95" s="22"/>
      <c r="D95" s="38">
        <v>6</v>
      </c>
      <c r="E95" s="123">
        <f t="shared" si="1"/>
        <v>0</v>
      </c>
      <c r="F95" s="33">
        <v>0</v>
      </c>
      <c r="G95" s="21">
        <f t="shared" si="2"/>
        <v>6</v>
      </c>
    </row>
    <row r="96" spans="1:7" x14ac:dyDescent="0.25">
      <c r="A96" s="1933"/>
      <c r="B96" s="19" t="s">
        <v>34</v>
      </c>
      <c r="C96" s="22"/>
      <c r="D96" s="38">
        <v>6</v>
      </c>
      <c r="E96" s="123">
        <f t="shared" si="1"/>
        <v>0</v>
      </c>
      <c r="F96" s="33">
        <v>0</v>
      </c>
      <c r="G96" s="21">
        <f t="shared" si="2"/>
        <v>6</v>
      </c>
    </row>
    <row r="97" spans="1:7" x14ac:dyDescent="0.25">
      <c r="A97" s="1933" t="s">
        <v>26</v>
      </c>
      <c r="B97" s="19" t="s">
        <v>32</v>
      </c>
      <c r="C97" s="22"/>
      <c r="D97" s="124">
        <f>4+(0.5*D$3)</f>
        <v>4</v>
      </c>
      <c r="E97" s="38">
        <v>0</v>
      </c>
      <c r="F97" s="38">
        <v>0</v>
      </c>
      <c r="G97" s="21">
        <f t="shared" si="2"/>
        <v>4</v>
      </c>
    </row>
    <row r="98" spans="1:7" x14ac:dyDescent="0.25">
      <c r="A98" s="1933"/>
      <c r="B98" s="19" t="s">
        <v>33</v>
      </c>
      <c r="C98" s="22"/>
      <c r="D98" s="124">
        <f>4+(0.5*D$3)</f>
        <v>4</v>
      </c>
      <c r="E98" s="38">
        <v>0</v>
      </c>
      <c r="F98" s="38">
        <v>0</v>
      </c>
      <c r="G98" s="21">
        <f t="shared" si="2"/>
        <v>4</v>
      </c>
    </row>
    <row r="99" spans="1:7" x14ac:dyDescent="0.25">
      <c r="A99" s="1933"/>
      <c r="B99" s="19" t="s">
        <v>34</v>
      </c>
      <c r="C99" s="22"/>
      <c r="D99" s="124">
        <f>4+(0.5*D$3)</f>
        <v>4</v>
      </c>
      <c r="E99" s="38">
        <v>0</v>
      </c>
      <c r="F99" s="38">
        <v>0</v>
      </c>
      <c r="G99" s="21">
        <f t="shared" si="2"/>
        <v>4</v>
      </c>
    </row>
    <row r="100" spans="1:7" x14ac:dyDescent="0.25">
      <c r="A100" s="1933" t="s">
        <v>27</v>
      </c>
      <c r="B100" s="19" t="s">
        <v>32</v>
      </c>
      <c r="C100" s="22"/>
      <c r="D100" s="124">
        <f>2+(0.5*D$3)</f>
        <v>2</v>
      </c>
      <c r="E100" s="38">
        <v>0</v>
      </c>
      <c r="F100" s="38">
        <v>0</v>
      </c>
      <c r="G100" s="21">
        <f t="shared" si="2"/>
        <v>2</v>
      </c>
    </row>
    <row r="101" spans="1:7" x14ac:dyDescent="0.25">
      <c r="A101" s="1933"/>
      <c r="B101" s="19" t="s">
        <v>33</v>
      </c>
      <c r="C101" s="22"/>
      <c r="D101" s="124">
        <f>3+(0.5*D$3)</f>
        <v>3</v>
      </c>
      <c r="E101" s="38">
        <v>0</v>
      </c>
      <c r="F101" s="38">
        <v>0</v>
      </c>
      <c r="G101" s="21">
        <f t="shared" si="2"/>
        <v>3</v>
      </c>
    </row>
    <row r="102" spans="1:7" x14ac:dyDescent="0.25">
      <c r="A102" s="1933"/>
      <c r="B102" s="19" t="s">
        <v>34</v>
      </c>
      <c r="C102" s="22"/>
      <c r="D102" s="124">
        <f>5+(0.5*D$3)</f>
        <v>5</v>
      </c>
      <c r="E102" s="38">
        <v>0</v>
      </c>
      <c r="F102" s="38">
        <v>0</v>
      </c>
      <c r="G102" s="21">
        <f t="shared" si="2"/>
        <v>5</v>
      </c>
    </row>
    <row r="103" spans="1:7" x14ac:dyDescent="0.25">
      <c r="A103" s="1932" t="s">
        <v>28</v>
      </c>
      <c r="B103" s="19" t="s">
        <v>32</v>
      </c>
      <c r="C103" s="22"/>
      <c r="D103" s="38">
        <v>2</v>
      </c>
      <c r="E103" s="122">
        <f>0.5*E$3</f>
        <v>0</v>
      </c>
      <c r="F103" s="38">
        <v>0</v>
      </c>
      <c r="G103" s="21">
        <f t="shared" si="2"/>
        <v>2</v>
      </c>
    </row>
    <row r="104" spans="1:7" x14ac:dyDescent="0.25">
      <c r="A104" s="1932"/>
      <c r="B104" s="19" t="s">
        <v>33</v>
      </c>
      <c r="C104" s="22"/>
      <c r="D104" s="38">
        <v>3</v>
      </c>
      <c r="E104" s="122">
        <f>0.5*E$3</f>
        <v>0</v>
      </c>
      <c r="F104" s="38">
        <v>0</v>
      </c>
      <c r="G104" s="21">
        <f t="shared" si="2"/>
        <v>3</v>
      </c>
    </row>
    <row r="105" spans="1:7" ht="15.75" thickBot="1" x14ac:dyDescent="0.3">
      <c r="A105" s="1934"/>
      <c r="B105" s="20" t="s">
        <v>34</v>
      </c>
      <c r="C105" s="23"/>
      <c r="D105" s="196">
        <v>4</v>
      </c>
      <c r="E105" s="224">
        <f>0.5*E$3</f>
        <v>0</v>
      </c>
      <c r="F105" s="17">
        <v>0</v>
      </c>
      <c r="G105" s="24">
        <f t="shared" si="2"/>
        <v>4</v>
      </c>
    </row>
    <row r="107" spans="1:7" x14ac:dyDescent="0.25">
      <c r="A107" s="125" t="s">
        <v>89</v>
      </c>
    </row>
  </sheetData>
  <mergeCells count="35">
    <mergeCell ref="A103:A105"/>
    <mergeCell ref="A57:A59"/>
    <mergeCell ref="A60:A62"/>
    <mergeCell ref="A75:A77"/>
    <mergeCell ref="A78:A80"/>
    <mergeCell ref="A81:A83"/>
    <mergeCell ref="A84:A86"/>
    <mergeCell ref="A88:A90"/>
    <mergeCell ref="A91:A93"/>
    <mergeCell ref="A94:A96"/>
    <mergeCell ref="A97:A99"/>
    <mergeCell ref="A100:A102"/>
    <mergeCell ref="A63:A65"/>
    <mergeCell ref="A66:A68"/>
    <mergeCell ref="A69:A71"/>
    <mergeCell ref="A72:A74"/>
    <mergeCell ref="A54:A56"/>
    <mergeCell ref="A19:A21"/>
    <mergeCell ref="A22:A24"/>
    <mergeCell ref="A25:A27"/>
    <mergeCell ref="A28:A30"/>
    <mergeCell ref="A31:A33"/>
    <mergeCell ref="A34:A36"/>
    <mergeCell ref="A38:A40"/>
    <mergeCell ref="A42:A44"/>
    <mergeCell ref="A45:A47"/>
    <mergeCell ref="A48:A50"/>
    <mergeCell ref="A51:A53"/>
    <mergeCell ref="A16:A18"/>
    <mergeCell ref="D1:G1"/>
    <mergeCell ref="C2:C3"/>
    <mergeCell ref="G2:G3"/>
    <mergeCell ref="A8:A10"/>
    <mergeCell ref="A12:A14"/>
    <mergeCell ref="A5:A7"/>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Лист37"/>
  <dimension ref="A1:O108"/>
  <sheetViews>
    <sheetView topLeftCell="A64" zoomScale="70" zoomScaleNormal="70" workbookViewId="0">
      <selection activeCell="D78" sqref="D78:F86"/>
    </sheetView>
  </sheetViews>
  <sheetFormatPr defaultRowHeight="15" x14ac:dyDescent="0.25"/>
  <cols>
    <col min="1" max="1" width="53.42578125" bestFit="1" customWidth="1"/>
    <col min="2" max="2" width="23.5703125" bestFit="1" customWidth="1"/>
    <col min="4" max="4" width="31.28515625" bestFit="1" customWidth="1"/>
    <col min="5" max="5" width="41.7109375" bestFit="1" customWidth="1"/>
    <col min="6" max="6" width="31.28515625" bestFit="1" customWidth="1"/>
    <col min="7" max="7" width="7.5703125" bestFit="1" customWidth="1"/>
    <col min="8" max="8" width="31.28515625" bestFit="1" customWidth="1"/>
    <col min="9" max="9" width="41.7109375" bestFit="1" customWidth="1"/>
    <col min="10" max="10" width="31.28515625" bestFit="1" customWidth="1"/>
    <col min="11" max="11" width="7.5703125" bestFit="1" customWidth="1"/>
    <col min="12" max="12" width="31.28515625" bestFit="1" customWidth="1"/>
    <col min="13" max="13" width="41.7109375" bestFit="1" customWidth="1"/>
    <col min="14" max="14" width="31.28515625" bestFit="1" customWidth="1"/>
    <col min="15" max="15" width="7.5703125" bestFit="1" customWidth="1"/>
  </cols>
  <sheetData>
    <row r="1" spans="1:15" ht="16.5" thickBot="1" x14ac:dyDescent="0.3">
      <c r="A1" s="465" t="s">
        <v>91</v>
      </c>
      <c r="B1" s="35"/>
      <c r="C1" s="448"/>
      <c r="D1" s="2326" t="s">
        <v>538</v>
      </c>
      <c r="E1" s="2326"/>
      <c r="F1" s="2326"/>
      <c r="G1" s="2327"/>
      <c r="H1" s="2326" t="s">
        <v>537</v>
      </c>
      <c r="I1" s="2326"/>
      <c r="J1" s="2326"/>
      <c r="K1" s="2327"/>
      <c r="L1" s="2326" t="s">
        <v>539</v>
      </c>
      <c r="M1" s="2326"/>
      <c r="N1" s="2326"/>
      <c r="O1" s="294"/>
    </row>
    <row r="2" spans="1:15" s="118" customFormat="1" ht="32.25" thickBot="1" x14ac:dyDescent="0.3">
      <c r="B2" s="119" t="s">
        <v>37</v>
      </c>
      <c r="C2" s="449" t="s">
        <v>35</v>
      </c>
      <c r="D2" s="451" t="s">
        <v>560</v>
      </c>
      <c r="E2" s="451" t="s">
        <v>553</v>
      </c>
      <c r="F2" s="452" t="s">
        <v>554</v>
      </c>
      <c r="G2" s="454" t="s">
        <v>38</v>
      </c>
      <c r="H2" s="453" t="s">
        <v>560</v>
      </c>
      <c r="I2" s="451" t="s">
        <v>553</v>
      </c>
      <c r="J2" s="452" t="s">
        <v>554</v>
      </c>
      <c r="K2" s="454" t="s">
        <v>38</v>
      </c>
      <c r="L2" s="453" t="s">
        <v>560</v>
      </c>
      <c r="M2" s="451" t="s">
        <v>553</v>
      </c>
      <c r="N2" s="452" t="s">
        <v>554</v>
      </c>
      <c r="O2" s="454" t="s">
        <v>38</v>
      </c>
    </row>
    <row r="3" spans="1:15" ht="16.5" thickBot="1" x14ac:dyDescent="0.3">
      <c r="A3" s="12" t="s">
        <v>36</v>
      </c>
      <c r="B3" s="206">
        <f>ТрЗ_ОП!F5</f>
        <v>1</v>
      </c>
      <c r="D3" s="450">
        <f>INDEX(ТрЗ_ОП!$P$11:$P$102,MATCH(D2,ТрЗ_ОП!$O$11:$O$102,0))</f>
        <v>0</v>
      </c>
      <c r="E3" s="450">
        <f>INDEX(ТрЗ_ОП!$P$11:$P$102,MATCH(E2,ТрЗ_ОП!$O$11:$O$102,0))</f>
        <v>0</v>
      </c>
      <c r="F3" s="450">
        <f>INDEX(ТрЗ_ОП!$P$11:$P$102,MATCH(F2,ТрЗ_ОП!$O$11:$O$102,0))</f>
        <v>0</v>
      </c>
      <c r="H3" s="450">
        <f>INDEX(ТрЗ_ОП!$P$11:$P$102,MATCH(H2,ТрЗ_ОП!$O$11:$O$102,0))</f>
        <v>0</v>
      </c>
      <c r="I3" s="450">
        <f>INDEX(ТрЗ_ОП!$P$11:$P$102,MATCH(I2,ТрЗ_ОП!$O$11:$O$102,0))</f>
        <v>0</v>
      </c>
      <c r="J3" s="450">
        <f>INDEX(ТрЗ_ОП!$P$11:$P$102,MATCH(J2,ТрЗ_ОП!$O$11:$O$102,0))</f>
        <v>0</v>
      </c>
      <c r="L3" s="37">
        <f>INDEX(ТрЗ_ОП!$P$11:$P$102,MATCH(L2,ТрЗ_ОП!$O$11:$O$102,0))</f>
        <v>0</v>
      </c>
      <c r="M3" s="37">
        <f>INDEX(ТрЗ_ОП!$P$11:$P$102,MATCH(M2,ТрЗ_ОП!$O$11:$O$102,0))</f>
        <v>0</v>
      </c>
      <c r="N3" s="37">
        <f>INDEX(ТрЗ_ОП!$P$11:$P$102,MATCH(N2,ТрЗ_ОП!$O$11:$O$102,0))</f>
        <v>0</v>
      </c>
    </row>
    <row r="4" spans="1:15" ht="16.5" thickBot="1" x14ac:dyDescent="0.3">
      <c r="A4" s="326" t="s">
        <v>448</v>
      </c>
      <c r="B4" s="530"/>
      <c r="C4" s="327"/>
      <c r="D4" s="327"/>
      <c r="E4" s="327"/>
      <c r="F4" s="327"/>
      <c r="G4" s="327"/>
      <c r="H4" s="327"/>
      <c r="I4" s="327"/>
      <c r="J4" s="327"/>
      <c r="K4" s="327"/>
      <c r="L4" s="327"/>
      <c r="M4" s="327"/>
      <c r="N4" s="327"/>
      <c r="O4" s="396"/>
    </row>
    <row r="5" spans="1:15" ht="15.6" customHeight="1" x14ac:dyDescent="0.25">
      <c r="A5" s="2313" t="s">
        <v>0</v>
      </c>
      <c r="B5" s="404" t="s">
        <v>32</v>
      </c>
      <c r="C5" s="324"/>
      <c r="D5" s="405">
        <v>1</v>
      </c>
      <c r="E5" s="425">
        <f t="shared" ref="E5:F10" si="0">0.25*E$3</f>
        <v>0</v>
      </c>
      <c r="F5" s="423">
        <f t="shared" si="0"/>
        <v>0</v>
      </c>
      <c r="G5" s="230">
        <f xml:space="preserve"> SUM(D5:F5) + $C5</f>
        <v>1</v>
      </c>
      <c r="H5" s="405">
        <v>1</v>
      </c>
      <c r="I5" s="425">
        <f t="shared" ref="I5:J10" si="1">0.25*I$3</f>
        <v>0</v>
      </c>
      <c r="J5" s="423">
        <f t="shared" si="1"/>
        <v>0</v>
      </c>
      <c r="K5" s="230">
        <f t="shared" ref="K5:K10" si="2" xml:space="preserve"> SUM(H5:J5) + $C5</f>
        <v>1</v>
      </c>
      <c r="L5" s="405">
        <v>1</v>
      </c>
      <c r="M5" s="425">
        <f t="shared" ref="M5:N10" si="3">0.25*M$3</f>
        <v>0</v>
      </c>
      <c r="N5" s="423">
        <f t="shared" si="3"/>
        <v>0</v>
      </c>
      <c r="O5" s="230">
        <f t="shared" ref="O5:O10" si="4" xml:space="preserve"> SUM(L5:N5) + $C5</f>
        <v>1</v>
      </c>
    </row>
    <row r="6" spans="1:15" x14ac:dyDescent="0.25">
      <c r="A6" s="2313"/>
      <c r="B6" s="19" t="s">
        <v>33</v>
      </c>
      <c r="C6" s="22"/>
      <c r="D6" s="11">
        <v>2</v>
      </c>
      <c r="E6" s="425">
        <f t="shared" si="0"/>
        <v>0</v>
      </c>
      <c r="F6" s="423">
        <f t="shared" si="0"/>
        <v>0</v>
      </c>
      <c r="G6" s="21">
        <f xml:space="preserve"> SUM(D6:F6) + $C6</f>
        <v>2</v>
      </c>
      <c r="H6" s="11">
        <v>2</v>
      </c>
      <c r="I6" s="425">
        <f t="shared" si="1"/>
        <v>0</v>
      </c>
      <c r="J6" s="423">
        <f t="shared" si="1"/>
        <v>0</v>
      </c>
      <c r="K6" s="21">
        <f t="shared" si="2"/>
        <v>2</v>
      </c>
      <c r="L6" s="11">
        <v>2</v>
      </c>
      <c r="M6" s="425">
        <f t="shared" si="3"/>
        <v>0</v>
      </c>
      <c r="N6" s="423">
        <f t="shared" si="3"/>
        <v>0</v>
      </c>
      <c r="O6" s="21">
        <f t="shared" si="4"/>
        <v>2</v>
      </c>
    </row>
    <row r="7" spans="1:15" x14ac:dyDescent="0.25">
      <c r="A7" s="2317"/>
      <c r="B7" s="19" t="s">
        <v>34</v>
      </c>
      <c r="C7" s="22"/>
      <c r="D7" s="11">
        <v>4</v>
      </c>
      <c r="E7" s="425">
        <f t="shared" si="0"/>
        <v>0</v>
      </c>
      <c r="F7" s="423">
        <f t="shared" si="0"/>
        <v>0</v>
      </c>
      <c r="G7" s="21">
        <f xml:space="preserve"> SUM(D7:F7) + $C7</f>
        <v>4</v>
      </c>
      <c r="H7" s="11">
        <v>4</v>
      </c>
      <c r="I7" s="425">
        <f t="shared" si="1"/>
        <v>0</v>
      </c>
      <c r="J7" s="423">
        <f t="shared" si="1"/>
        <v>0</v>
      </c>
      <c r="K7" s="21">
        <f t="shared" si="2"/>
        <v>4</v>
      </c>
      <c r="L7" s="11">
        <v>4</v>
      </c>
      <c r="M7" s="425">
        <f t="shared" si="3"/>
        <v>0</v>
      </c>
      <c r="N7" s="423">
        <f t="shared" si="3"/>
        <v>0</v>
      </c>
      <c r="O7" s="21">
        <f t="shared" si="4"/>
        <v>4</v>
      </c>
    </row>
    <row r="8" spans="1:15" ht="15.6" customHeight="1" x14ac:dyDescent="0.25">
      <c r="A8" s="2313" t="s">
        <v>449</v>
      </c>
      <c r="B8" s="404" t="s">
        <v>32</v>
      </c>
      <c r="C8" s="324"/>
      <c r="D8" s="405">
        <v>1</v>
      </c>
      <c r="E8" s="425">
        <f t="shared" si="0"/>
        <v>0</v>
      </c>
      <c r="F8" s="423">
        <f t="shared" si="0"/>
        <v>0</v>
      </c>
      <c r="G8" s="21">
        <f xml:space="preserve"> SUM(D8:F8) + $C8</f>
        <v>1</v>
      </c>
      <c r="H8" s="405">
        <v>1</v>
      </c>
      <c r="I8" s="425">
        <f t="shared" si="1"/>
        <v>0</v>
      </c>
      <c r="J8" s="423">
        <f t="shared" si="1"/>
        <v>0</v>
      </c>
      <c r="K8" s="21">
        <f t="shared" si="2"/>
        <v>1</v>
      </c>
      <c r="L8" s="405">
        <v>1</v>
      </c>
      <c r="M8" s="425">
        <f t="shared" si="3"/>
        <v>0</v>
      </c>
      <c r="N8" s="423">
        <f t="shared" si="3"/>
        <v>0</v>
      </c>
      <c r="O8" s="21">
        <f t="shared" si="4"/>
        <v>1</v>
      </c>
    </row>
    <row r="9" spans="1:15" x14ac:dyDescent="0.25">
      <c r="A9" s="2313"/>
      <c r="B9" s="19" t="s">
        <v>33</v>
      </c>
      <c r="C9" s="22"/>
      <c r="D9" s="11">
        <v>2</v>
      </c>
      <c r="E9" s="425">
        <f t="shared" si="0"/>
        <v>0</v>
      </c>
      <c r="F9" s="423">
        <f t="shared" si="0"/>
        <v>0</v>
      </c>
      <c r="G9" s="21">
        <f t="shared" ref="G9:G93" si="5" xml:space="preserve"> SUM(D9:F9) + $C9</f>
        <v>2</v>
      </c>
      <c r="H9" s="11">
        <v>2</v>
      </c>
      <c r="I9" s="425">
        <f t="shared" si="1"/>
        <v>0</v>
      </c>
      <c r="J9" s="423">
        <f t="shared" si="1"/>
        <v>0</v>
      </c>
      <c r="K9" s="21">
        <f t="shared" si="2"/>
        <v>2</v>
      </c>
      <c r="L9" s="11">
        <v>2</v>
      </c>
      <c r="M9" s="425">
        <f t="shared" si="3"/>
        <v>0</v>
      </c>
      <c r="N9" s="423">
        <f t="shared" si="3"/>
        <v>0</v>
      </c>
      <c r="O9" s="21">
        <f t="shared" si="4"/>
        <v>2</v>
      </c>
    </row>
    <row r="10" spans="1:15" ht="15.75" thickBot="1" x14ac:dyDescent="0.3">
      <c r="A10" s="2313"/>
      <c r="B10" s="13" t="s">
        <v>34</v>
      </c>
      <c r="C10" s="34"/>
      <c r="D10" s="11">
        <v>4</v>
      </c>
      <c r="E10" s="425">
        <f t="shared" si="0"/>
        <v>0</v>
      </c>
      <c r="F10" s="423">
        <f t="shared" si="0"/>
        <v>0</v>
      </c>
      <c r="G10" s="77">
        <f t="shared" si="5"/>
        <v>4</v>
      </c>
      <c r="H10" s="11">
        <v>4</v>
      </c>
      <c r="I10" s="425">
        <f t="shared" si="1"/>
        <v>0</v>
      </c>
      <c r="J10" s="423">
        <f t="shared" si="1"/>
        <v>0</v>
      </c>
      <c r="K10" s="77">
        <f t="shared" si="2"/>
        <v>4</v>
      </c>
      <c r="L10" s="11">
        <v>4</v>
      </c>
      <c r="M10" s="425">
        <f t="shared" si="3"/>
        <v>0</v>
      </c>
      <c r="N10" s="423">
        <f t="shared" si="3"/>
        <v>0</v>
      </c>
      <c r="O10" s="77">
        <f t="shared" si="4"/>
        <v>4</v>
      </c>
    </row>
    <row r="11" spans="1:15" ht="16.5" thickBot="1" x14ac:dyDescent="0.3">
      <c r="A11" s="326" t="s">
        <v>1</v>
      </c>
      <c r="B11" s="327"/>
      <c r="C11" s="327"/>
      <c r="D11" s="327"/>
      <c r="E11" s="327"/>
      <c r="F11" s="327"/>
      <c r="G11" s="329"/>
      <c r="H11" s="327"/>
      <c r="I11" s="327"/>
      <c r="J11" s="327"/>
      <c r="K11" s="329"/>
      <c r="L11" s="327"/>
      <c r="M11" s="327"/>
      <c r="N11" s="327"/>
      <c r="O11" s="328"/>
    </row>
    <row r="12" spans="1:15" ht="15.6" customHeight="1" x14ac:dyDescent="0.25">
      <c r="A12" s="2313" t="s">
        <v>2</v>
      </c>
      <c r="B12" s="404" t="s">
        <v>32</v>
      </c>
      <c r="C12" s="324"/>
      <c r="D12" s="405">
        <v>8</v>
      </c>
      <c r="E12" s="423">
        <f>2*E$3</f>
        <v>0</v>
      </c>
      <c r="F12" s="531">
        <v>0</v>
      </c>
      <c r="G12" s="230">
        <f t="shared" si="5"/>
        <v>8</v>
      </c>
      <c r="H12" s="405">
        <v>8</v>
      </c>
      <c r="I12" s="423">
        <f>2*I$3</f>
        <v>0</v>
      </c>
      <c r="J12" s="531">
        <v>0</v>
      </c>
      <c r="K12" s="230">
        <f xml:space="preserve"> SUM(H12:J12) + $C12</f>
        <v>8</v>
      </c>
      <c r="L12" s="405">
        <v>8</v>
      </c>
      <c r="M12" s="423">
        <f>2*M$3</f>
        <v>0</v>
      </c>
      <c r="N12" s="531">
        <v>0</v>
      </c>
      <c r="O12" s="230">
        <f xml:space="preserve"> SUM(L12:N12) + $C12</f>
        <v>8</v>
      </c>
    </row>
    <row r="13" spans="1:15" x14ac:dyDescent="0.25">
      <c r="A13" s="2313"/>
      <c r="B13" s="19" t="s">
        <v>33</v>
      </c>
      <c r="C13" s="22"/>
      <c r="D13" s="11">
        <v>12</v>
      </c>
      <c r="E13" s="123">
        <f>2*E$3</f>
        <v>0</v>
      </c>
      <c r="F13" s="531">
        <v>0</v>
      </c>
      <c r="G13" s="21">
        <f t="shared" si="5"/>
        <v>12</v>
      </c>
      <c r="H13" s="11">
        <v>12</v>
      </c>
      <c r="I13" s="123">
        <f>2*I$3</f>
        <v>0</v>
      </c>
      <c r="J13" s="531">
        <v>0</v>
      </c>
      <c r="K13" s="21">
        <f xml:space="preserve"> SUM(H13:J13) + $C13</f>
        <v>12</v>
      </c>
      <c r="L13" s="11">
        <v>12</v>
      </c>
      <c r="M13" s="123">
        <f>2*M$3</f>
        <v>0</v>
      </c>
      <c r="N13" s="531">
        <v>0</v>
      </c>
      <c r="O13" s="21">
        <f xml:space="preserve"> SUM(L13:N13) + $C13</f>
        <v>12</v>
      </c>
    </row>
    <row r="14" spans="1:15" ht="15.75" thickBot="1" x14ac:dyDescent="0.3">
      <c r="A14" s="2313"/>
      <c r="B14" s="13" t="s">
        <v>34</v>
      </c>
      <c r="C14" s="34"/>
      <c r="D14" s="422">
        <v>16</v>
      </c>
      <c r="E14" s="424">
        <f>2*E$3</f>
        <v>0</v>
      </c>
      <c r="F14" s="531">
        <v>0</v>
      </c>
      <c r="G14" s="77">
        <f t="shared" si="5"/>
        <v>16</v>
      </c>
      <c r="H14" s="422">
        <v>16</v>
      </c>
      <c r="I14" s="424">
        <f>2*I$3</f>
        <v>0</v>
      </c>
      <c r="J14" s="531">
        <v>0</v>
      </c>
      <c r="K14" s="77">
        <f xml:space="preserve"> SUM(H14:J14) + $C14</f>
        <v>16</v>
      </c>
      <c r="L14" s="422">
        <v>16</v>
      </c>
      <c r="M14" s="424">
        <f>2*M$3</f>
        <v>0</v>
      </c>
      <c r="N14" s="531">
        <v>0</v>
      </c>
      <c r="O14" s="77">
        <f xml:space="preserve"> SUM(L14:N14) + $C14</f>
        <v>16</v>
      </c>
    </row>
    <row r="15" spans="1:15" ht="16.5" thickBot="1" x14ac:dyDescent="0.3">
      <c r="A15" s="330" t="s">
        <v>3</v>
      </c>
      <c r="B15" s="329"/>
      <c r="C15" s="329"/>
      <c r="D15" s="329"/>
      <c r="E15" s="329"/>
      <c r="F15" s="329"/>
      <c r="G15" s="329"/>
      <c r="H15" s="329"/>
      <c r="I15" s="329"/>
      <c r="J15" s="329"/>
      <c r="K15" s="329"/>
      <c r="L15" s="329"/>
      <c r="M15" s="329"/>
      <c r="N15" s="329"/>
      <c r="O15" s="328"/>
    </row>
    <row r="16" spans="1:15" ht="15.6" customHeight="1" x14ac:dyDescent="0.25">
      <c r="A16" s="2320" t="s">
        <v>4</v>
      </c>
      <c r="B16" s="325" t="s">
        <v>32</v>
      </c>
      <c r="C16" s="324"/>
      <c r="D16" s="481">
        <v>0.25</v>
      </c>
      <c r="E16" s="479">
        <v>0</v>
      </c>
      <c r="F16" s="480">
        <v>0</v>
      </c>
      <c r="G16" s="230">
        <f t="shared" si="5"/>
        <v>0.25</v>
      </c>
      <c r="H16" s="481">
        <v>0.25</v>
      </c>
      <c r="I16" s="479">
        <v>0</v>
      </c>
      <c r="J16" s="480">
        <v>0</v>
      </c>
      <c r="K16" s="230">
        <f t="shared" ref="K16:K36" si="6" xml:space="preserve"> SUM(H16:J16) + $C16</f>
        <v>0.25</v>
      </c>
      <c r="L16" s="481">
        <v>0.25</v>
      </c>
      <c r="M16" s="479">
        <v>0</v>
      </c>
      <c r="N16" s="480">
        <v>0</v>
      </c>
      <c r="O16" s="230">
        <f t="shared" ref="O16:O36" si="7" xml:space="preserve"> SUM(L16:N16) + $C16</f>
        <v>0.25</v>
      </c>
    </row>
    <row r="17" spans="1:15" x14ac:dyDescent="0.25">
      <c r="A17" s="2320"/>
      <c r="B17" s="18" t="s">
        <v>33</v>
      </c>
      <c r="C17" s="22"/>
      <c r="D17" s="482">
        <v>0.25</v>
      </c>
      <c r="E17" s="15">
        <v>0</v>
      </c>
      <c r="F17" s="33">
        <v>0</v>
      </c>
      <c r="G17" s="21">
        <f t="shared" si="5"/>
        <v>0.25</v>
      </c>
      <c r="H17" s="482">
        <v>0.25</v>
      </c>
      <c r="I17" s="15">
        <v>0</v>
      </c>
      <c r="J17" s="33">
        <v>0</v>
      </c>
      <c r="K17" s="21">
        <f t="shared" si="6"/>
        <v>0.25</v>
      </c>
      <c r="L17" s="482">
        <v>0.25</v>
      </c>
      <c r="M17" s="15">
        <v>0</v>
      </c>
      <c r="N17" s="33">
        <v>0</v>
      </c>
      <c r="O17" s="21">
        <f t="shared" si="7"/>
        <v>0.25</v>
      </c>
    </row>
    <row r="18" spans="1:15" x14ac:dyDescent="0.25">
      <c r="A18" s="2321"/>
      <c r="B18" s="18" t="s">
        <v>34</v>
      </c>
      <c r="C18" s="22"/>
      <c r="D18" s="483">
        <v>0.25</v>
      </c>
      <c r="E18" s="15">
        <v>0</v>
      </c>
      <c r="F18" s="33">
        <v>0</v>
      </c>
      <c r="G18" s="21">
        <f t="shared" si="5"/>
        <v>0.25</v>
      </c>
      <c r="H18" s="483">
        <v>0.25</v>
      </c>
      <c r="I18" s="15">
        <v>0</v>
      </c>
      <c r="J18" s="33">
        <v>0</v>
      </c>
      <c r="K18" s="21">
        <f t="shared" si="6"/>
        <v>0.25</v>
      </c>
      <c r="L18" s="483">
        <v>0.25</v>
      </c>
      <c r="M18" s="15">
        <v>0</v>
      </c>
      <c r="N18" s="33">
        <v>0</v>
      </c>
      <c r="O18" s="21">
        <f t="shared" si="7"/>
        <v>0.25</v>
      </c>
    </row>
    <row r="19" spans="1:15" ht="15.6" customHeight="1" x14ac:dyDescent="0.25">
      <c r="A19" s="2318" t="s">
        <v>5</v>
      </c>
      <c r="B19" s="19" t="s">
        <v>32</v>
      </c>
      <c r="C19" s="22"/>
      <c r="D19" s="124">
        <f>0.5*D$3</f>
        <v>0</v>
      </c>
      <c r="E19" s="15">
        <v>0</v>
      </c>
      <c r="F19" s="423">
        <f>0.5*F$3</f>
        <v>0</v>
      </c>
      <c r="G19" s="21">
        <f t="shared" si="5"/>
        <v>0</v>
      </c>
      <c r="H19" s="124">
        <f>0.5*H$3</f>
        <v>0</v>
      </c>
      <c r="I19" s="15">
        <v>0</v>
      </c>
      <c r="J19" s="423">
        <f>0.5*J$3</f>
        <v>0</v>
      </c>
      <c r="K19" s="21">
        <f t="shared" si="6"/>
        <v>0</v>
      </c>
      <c r="L19" s="124">
        <f>0.5*L$3</f>
        <v>0</v>
      </c>
      <c r="M19" s="15">
        <v>0</v>
      </c>
      <c r="N19" s="423">
        <f>0.5*N$3</f>
        <v>0</v>
      </c>
      <c r="O19" s="21">
        <f t="shared" si="7"/>
        <v>0</v>
      </c>
    </row>
    <row r="20" spans="1:15" x14ac:dyDescent="0.25">
      <c r="A20" s="2313"/>
      <c r="B20" s="19" t="s">
        <v>33</v>
      </c>
      <c r="C20" s="22"/>
      <c r="D20" s="124">
        <f>1*D$3</f>
        <v>0</v>
      </c>
      <c r="E20" s="15">
        <v>0</v>
      </c>
      <c r="F20" s="423">
        <f>0.5*F$3</f>
        <v>0</v>
      </c>
      <c r="G20" s="21">
        <f t="shared" si="5"/>
        <v>0</v>
      </c>
      <c r="H20" s="124">
        <f>1*H$3</f>
        <v>0</v>
      </c>
      <c r="I20" s="15">
        <v>0</v>
      </c>
      <c r="J20" s="423">
        <f>0.5*J$3</f>
        <v>0</v>
      </c>
      <c r="K20" s="21">
        <f t="shared" si="6"/>
        <v>0</v>
      </c>
      <c r="L20" s="124">
        <f>1*L$3</f>
        <v>0</v>
      </c>
      <c r="M20" s="15">
        <v>0</v>
      </c>
      <c r="N20" s="423">
        <f>0.5*N$3</f>
        <v>0</v>
      </c>
      <c r="O20" s="21">
        <f t="shared" si="7"/>
        <v>0</v>
      </c>
    </row>
    <row r="21" spans="1:15" x14ac:dyDescent="0.25">
      <c r="A21" s="2317"/>
      <c r="B21" s="19" t="s">
        <v>34</v>
      </c>
      <c r="C21" s="22"/>
      <c r="D21" s="124">
        <f>2*D$3</f>
        <v>0</v>
      </c>
      <c r="E21" s="15">
        <v>0</v>
      </c>
      <c r="F21" s="423">
        <f>0.5*F$3</f>
        <v>0</v>
      </c>
      <c r="G21" s="21">
        <f t="shared" si="5"/>
        <v>0</v>
      </c>
      <c r="H21" s="124">
        <f>2*H$3</f>
        <v>0</v>
      </c>
      <c r="I21" s="15">
        <v>0</v>
      </c>
      <c r="J21" s="423">
        <f>0.5*J$3</f>
        <v>0</v>
      </c>
      <c r="K21" s="21">
        <f t="shared" si="6"/>
        <v>0</v>
      </c>
      <c r="L21" s="124">
        <f>2*L$3</f>
        <v>0</v>
      </c>
      <c r="M21" s="15">
        <v>0</v>
      </c>
      <c r="N21" s="423">
        <f>0.5*N$3</f>
        <v>0</v>
      </c>
      <c r="O21" s="21">
        <f t="shared" si="7"/>
        <v>0</v>
      </c>
    </row>
    <row r="22" spans="1:15" ht="15.6" customHeight="1" x14ac:dyDescent="0.25">
      <c r="A22" s="2318" t="s">
        <v>6</v>
      </c>
      <c r="B22" s="19" t="s">
        <v>32</v>
      </c>
      <c r="C22" s="22"/>
      <c r="D22" s="11">
        <v>24</v>
      </c>
      <c r="E22" s="123">
        <f>2*E$3</f>
        <v>0</v>
      </c>
      <c r="F22" s="11">
        <v>0</v>
      </c>
      <c r="G22" s="21">
        <f t="shared" si="5"/>
        <v>24</v>
      </c>
      <c r="H22" s="11">
        <v>24</v>
      </c>
      <c r="I22" s="123">
        <f>2*I$3</f>
        <v>0</v>
      </c>
      <c r="J22" s="11">
        <v>0</v>
      </c>
      <c r="K22" s="21">
        <f t="shared" si="6"/>
        <v>24</v>
      </c>
      <c r="L22" s="11">
        <v>24</v>
      </c>
      <c r="M22" s="123">
        <f>2*M$3</f>
        <v>0</v>
      </c>
      <c r="N22" s="11">
        <v>0</v>
      </c>
      <c r="O22" s="21">
        <f t="shared" si="7"/>
        <v>24</v>
      </c>
    </row>
    <row r="23" spans="1:15" x14ac:dyDescent="0.25">
      <c r="A23" s="2313"/>
      <c r="B23" s="19" t="s">
        <v>33</v>
      </c>
      <c r="C23" s="22"/>
      <c r="D23" s="11">
        <v>32</v>
      </c>
      <c r="E23" s="123">
        <f>3*E$3</f>
        <v>0</v>
      </c>
      <c r="F23" s="11">
        <v>0</v>
      </c>
      <c r="G23" s="21">
        <f t="shared" si="5"/>
        <v>32</v>
      </c>
      <c r="H23" s="11">
        <v>32</v>
      </c>
      <c r="I23" s="123">
        <f>3*I$3</f>
        <v>0</v>
      </c>
      <c r="J23" s="11">
        <v>0</v>
      </c>
      <c r="K23" s="21">
        <f t="shared" si="6"/>
        <v>32</v>
      </c>
      <c r="L23" s="11">
        <v>32</v>
      </c>
      <c r="M23" s="123">
        <f>3*M$3</f>
        <v>0</v>
      </c>
      <c r="N23" s="11">
        <v>0</v>
      </c>
      <c r="O23" s="21">
        <f t="shared" si="7"/>
        <v>32</v>
      </c>
    </row>
    <row r="24" spans="1:15" x14ac:dyDescent="0.25">
      <c r="A24" s="2317"/>
      <c r="B24" s="19" t="s">
        <v>34</v>
      </c>
      <c r="C24" s="22"/>
      <c r="D24" s="11">
        <v>40</v>
      </c>
      <c r="E24" s="123">
        <f>4*E$3</f>
        <v>0</v>
      </c>
      <c r="F24" s="11">
        <v>0</v>
      </c>
      <c r="G24" s="21">
        <f t="shared" si="5"/>
        <v>40</v>
      </c>
      <c r="H24" s="11">
        <v>40</v>
      </c>
      <c r="I24" s="123">
        <f>4*I$3</f>
        <v>0</v>
      </c>
      <c r="J24" s="11">
        <v>0</v>
      </c>
      <c r="K24" s="21">
        <f t="shared" si="6"/>
        <v>40</v>
      </c>
      <c r="L24" s="11">
        <v>40</v>
      </c>
      <c r="M24" s="123">
        <f>4*M$3</f>
        <v>0</v>
      </c>
      <c r="N24" s="11">
        <v>0</v>
      </c>
      <c r="O24" s="21">
        <f t="shared" si="7"/>
        <v>40</v>
      </c>
    </row>
    <row r="25" spans="1:15" ht="15.6" customHeight="1" x14ac:dyDescent="0.25">
      <c r="A25" s="2318" t="s">
        <v>7</v>
      </c>
      <c r="B25" s="19" t="s">
        <v>32</v>
      </c>
      <c r="C25" s="22"/>
      <c r="D25" s="38">
        <v>4</v>
      </c>
      <c r="E25" s="15">
        <v>0</v>
      </c>
      <c r="F25" s="11">
        <v>0</v>
      </c>
      <c r="G25" s="21">
        <f t="shared" si="5"/>
        <v>4</v>
      </c>
      <c r="H25" s="38">
        <v>4</v>
      </c>
      <c r="I25" s="15">
        <v>0</v>
      </c>
      <c r="J25" s="11">
        <v>0</v>
      </c>
      <c r="K25" s="21">
        <f t="shared" si="6"/>
        <v>4</v>
      </c>
      <c r="L25" s="38">
        <v>4</v>
      </c>
      <c r="M25" s="15">
        <v>0</v>
      </c>
      <c r="N25" s="11">
        <v>0</v>
      </c>
      <c r="O25" s="21">
        <f t="shared" si="7"/>
        <v>4</v>
      </c>
    </row>
    <row r="26" spans="1:15" x14ac:dyDescent="0.25">
      <c r="A26" s="2313"/>
      <c r="B26" s="19" t="s">
        <v>33</v>
      </c>
      <c r="C26" s="22"/>
      <c r="D26" s="38">
        <v>8</v>
      </c>
      <c r="E26" s="15">
        <v>0</v>
      </c>
      <c r="F26" s="11">
        <v>0</v>
      </c>
      <c r="G26" s="21">
        <f t="shared" si="5"/>
        <v>8</v>
      </c>
      <c r="H26" s="38">
        <v>8</v>
      </c>
      <c r="I26" s="15">
        <v>0</v>
      </c>
      <c r="J26" s="11">
        <v>0</v>
      </c>
      <c r="K26" s="21">
        <f t="shared" si="6"/>
        <v>8</v>
      </c>
      <c r="L26" s="38">
        <v>8</v>
      </c>
      <c r="M26" s="15">
        <v>0</v>
      </c>
      <c r="N26" s="11">
        <v>0</v>
      </c>
      <c r="O26" s="21">
        <f t="shared" si="7"/>
        <v>8</v>
      </c>
    </row>
    <row r="27" spans="1:15" x14ac:dyDescent="0.25">
      <c r="A27" s="2317"/>
      <c r="B27" s="19" t="s">
        <v>34</v>
      </c>
      <c r="C27" s="22"/>
      <c r="D27" s="33">
        <v>12</v>
      </c>
      <c r="E27" s="15">
        <v>0</v>
      </c>
      <c r="F27" s="11">
        <v>0</v>
      </c>
      <c r="G27" s="21">
        <f t="shared" si="5"/>
        <v>12</v>
      </c>
      <c r="H27" s="33">
        <v>12</v>
      </c>
      <c r="I27" s="15">
        <v>0</v>
      </c>
      <c r="J27" s="11">
        <v>0</v>
      </c>
      <c r="K27" s="21">
        <f t="shared" si="6"/>
        <v>12</v>
      </c>
      <c r="L27" s="33">
        <v>12</v>
      </c>
      <c r="M27" s="15">
        <v>0</v>
      </c>
      <c r="N27" s="11">
        <v>0</v>
      </c>
      <c r="O27" s="21">
        <f t="shared" si="7"/>
        <v>12</v>
      </c>
    </row>
    <row r="28" spans="1:15" ht="15.6" customHeight="1" x14ac:dyDescent="0.25">
      <c r="A28" s="2318" t="s">
        <v>8</v>
      </c>
      <c r="B28" s="19" t="s">
        <v>32</v>
      </c>
      <c r="C28" s="22"/>
      <c r="D28" s="38">
        <v>4</v>
      </c>
      <c r="E28" s="15">
        <v>0</v>
      </c>
      <c r="F28" s="33">
        <v>0</v>
      </c>
      <c r="G28" s="21">
        <f t="shared" si="5"/>
        <v>4</v>
      </c>
      <c r="H28" s="38">
        <v>4</v>
      </c>
      <c r="I28" s="15">
        <v>0</v>
      </c>
      <c r="J28" s="33">
        <v>0</v>
      </c>
      <c r="K28" s="21">
        <f t="shared" si="6"/>
        <v>4</v>
      </c>
      <c r="L28" s="38">
        <v>4</v>
      </c>
      <c r="M28" s="15">
        <v>0</v>
      </c>
      <c r="N28" s="33">
        <v>0</v>
      </c>
      <c r="O28" s="21">
        <f t="shared" si="7"/>
        <v>4</v>
      </c>
    </row>
    <row r="29" spans="1:15" x14ac:dyDescent="0.25">
      <c r="A29" s="2313"/>
      <c r="B29" s="19" t="s">
        <v>33</v>
      </c>
      <c r="C29" s="22"/>
      <c r="D29" s="38">
        <v>8</v>
      </c>
      <c r="E29" s="15">
        <v>0</v>
      </c>
      <c r="F29" s="33">
        <v>0</v>
      </c>
      <c r="G29" s="21">
        <f t="shared" si="5"/>
        <v>8</v>
      </c>
      <c r="H29" s="38">
        <v>8</v>
      </c>
      <c r="I29" s="15">
        <v>0</v>
      </c>
      <c r="J29" s="33">
        <v>0</v>
      </c>
      <c r="K29" s="21">
        <f t="shared" si="6"/>
        <v>8</v>
      </c>
      <c r="L29" s="38">
        <v>8</v>
      </c>
      <c r="M29" s="15">
        <v>0</v>
      </c>
      <c r="N29" s="33">
        <v>0</v>
      </c>
      <c r="O29" s="21">
        <f t="shared" si="7"/>
        <v>8</v>
      </c>
    </row>
    <row r="30" spans="1:15" x14ac:dyDescent="0.25">
      <c r="A30" s="2317"/>
      <c r="B30" s="19" t="s">
        <v>34</v>
      </c>
      <c r="C30" s="22"/>
      <c r="D30" s="33">
        <v>12</v>
      </c>
      <c r="E30" s="15">
        <v>0</v>
      </c>
      <c r="F30" s="33">
        <v>0</v>
      </c>
      <c r="G30" s="21">
        <f t="shared" si="5"/>
        <v>12</v>
      </c>
      <c r="H30" s="33">
        <v>12</v>
      </c>
      <c r="I30" s="15">
        <v>0</v>
      </c>
      <c r="J30" s="33">
        <v>0</v>
      </c>
      <c r="K30" s="21">
        <f t="shared" si="6"/>
        <v>12</v>
      </c>
      <c r="L30" s="33">
        <v>12</v>
      </c>
      <c r="M30" s="15">
        <v>0</v>
      </c>
      <c r="N30" s="33">
        <v>0</v>
      </c>
      <c r="O30" s="21">
        <f t="shared" si="7"/>
        <v>12</v>
      </c>
    </row>
    <row r="31" spans="1:15" ht="15.6" customHeight="1" x14ac:dyDescent="0.25">
      <c r="A31" s="2318" t="s">
        <v>9</v>
      </c>
      <c r="B31" s="19" t="s">
        <v>32</v>
      </c>
      <c r="C31" s="22"/>
      <c r="D31" s="124">
        <f>4+(0.5*D$3)</f>
        <v>4</v>
      </c>
      <c r="E31" s="15">
        <v>0</v>
      </c>
      <c r="F31" s="124">
        <f>1*F$3</f>
        <v>0</v>
      </c>
      <c r="G31" s="21">
        <f t="shared" si="5"/>
        <v>4</v>
      </c>
      <c r="H31" s="124">
        <f>4+(0.5*H$3)</f>
        <v>4</v>
      </c>
      <c r="I31" s="15">
        <v>0</v>
      </c>
      <c r="J31" s="124">
        <f>1*J$3</f>
        <v>0</v>
      </c>
      <c r="K31" s="21">
        <f t="shared" si="6"/>
        <v>4</v>
      </c>
      <c r="L31" s="124">
        <f>4+(0.5*L$3)</f>
        <v>4</v>
      </c>
      <c r="M31" s="15">
        <v>0</v>
      </c>
      <c r="N31" s="124">
        <f>1*N$3</f>
        <v>0</v>
      </c>
      <c r="O31" s="21">
        <f t="shared" si="7"/>
        <v>4</v>
      </c>
    </row>
    <row r="32" spans="1:15" x14ac:dyDescent="0.25">
      <c r="A32" s="2313"/>
      <c r="B32" s="19" t="s">
        <v>33</v>
      </c>
      <c r="C32" s="22"/>
      <c r="D32" s="124">
        <f>6+(0.5*D$3)</f>
        <v>6</v>
      </c>
      <c r="E32" s="15">
        <v>0</v>
      </c>
      <c r="F32" s="124">
        <f>1.5*F$3</f>
        <v>0</v>
      </c>
      <c r="G32" s="21">
        <f t="shared" si="5"/>
        <v>6</v>
      </c>
      <c r="H32" s="124">
        <f>6+(0.5*H$3)</f>
        <v>6</v>
      </c>
      <c r="I32" s="15">
        <v>0</v>
      </c>
      <c r="J32" s="124">
        <f>1.5*J$3</f>
        <v>0</v>
      </c>
      <c r="K32" s="21">
        <f t="shared" si="6"/>
        <v>6</v>
      </c>
      <c r="L32" s="124">
        <f>6+(0.5*L$3)</f>
        <v>6</v>
      </c>
      <c r="M32" s="15">
        <v>0</v>
      </c>
      <c r="N32" s="124">
        <f>1.5*N$3</f>
        <v>0</v>
      </c>
      <c r="O32" s="21">
        <f t="shared" si="7"/>
        <v>6</v>
      </c>
    </row>
    <row r="33" spans="1:15" x14ac:dyDescent="0.25">
      <c r="A33" s="2317"/>
      <c r="B33" s="19" t="s">
        <v>34</v>
      </c>
      <c r="C33" s="22"/>
      <c r="D33" s="124">
        <f>8+(0.5*D$3)</f>
        <v>8</v>
      </c>
      <c r="E33" s="15">
        <v>0</v>
      </c>
      <c r="F33" s="124">
        <f>2*F$3</f>
        <v>0</v>
      </c>
      <c r="G33" s="21">
        <f t="shared" si="5"/>
        <v>8</v>
      </c>
      <c r="H33" s="124">
        <f>8+(0.5*H$3)</f>
        <v>8</v>
      </c>
      <c r="I33" s="15">
        <v>0</v>
      </c>
      <c r="J33" s="124">
        <f>2*J$3</f>
        <v>0</v>
      </c>
      <c r="K33" s="21">
        <f t="shared" si="6"/>
        <v>8</v>
      </c>
      <c r="L33" s="124">
        <f>8+(0.5*L$3)</f>
        <v>8</v>
      </c>
      <c r="M33" s="15">
        <v>0</v>
      </c>
      <c r="N33" s="124">
        <f>2*N$3</f>
        <v>0</v>
      </c>
      <c r="O33" s="21">
        <f t="shared" si="7"/>
        <v>8</v>
      </c>
    </row>
    <row r="34" spans="1:15" ht="15.6" customHeight="1" x14ac:dyDescent="0.25">
      <c r="A34" s="2318" t="s">
        <v>10</v>
      </c>
      <c r="B34" s="19" t="s">
        <v>32</v>
      </c>
      <c r="C34" s="22"/>
      <c r="D34" s="38">
        <v>4</v>
      </c>
      <c r="E34" s="124">
        <f>0.5*E$3</f>
        <v>0</v>
      </c>
      <c r="F34" s="523">
        <v>0</v>
      </c>
      <c r="G34" s="21">
        <f t="shared" si="5"/>
        <v>4</v>
      </c>
      <c r="H34" s="38">
        <v>4</v>
      </c>
      <c r="I34" s="124">
        <f>0.5*I$3</f>
        <v>0</v>
      </c>
      <c r="J34" s="523">
        <v>0</v>
      </c>
      <c r="K34" s="21">
        <f t="shared" si="6"/>
        <v>4</v>
      </c>
      <c r="L34" s="38">
        <v>4</v>
      </c>
      <c r="M34" s="124">
        <f>0.5*M$3</f>
        <v>0</v>
      </c>
      <c r="N34" s="523">
        <v>0</v>
      </c>
      <c r="O34" s="21">
        <f t="shared" si="7"/>
        <v>4</v>
      </c>
    </row>
    <row r="35" spans="1:15" x14ac:dyDescent="0.25">
      <c r="A35" s="2313"/>
      <c r="B35" s="19" t="s">
        <v>33</v>
      </c>
      <c r="C35" s="22"/>
      <c r="D35" s="38">
        <v>6</v>
      </c>
      <c r="E35" s="124">
        <f>0.5*E$3</f>
        <v>0</v>
      </c>
      <c r="F35" s="523">
        <v>0</v>
      </c>
      <c r="G35" s="21">
        <f t="shared" si="5"/>
        <v>6</v>
      </c>
      <c r="H35" s="38">
        <v>6</v>
      </c>
      <c r="I35" s="124">
        <f>0.5*I$3</f>
        <v>0</v>
      </c>
      <c r="J35" s="523">
        <v>0</v>
      </c>
      <c r="K35" s="21">
        <f t="shared" si="6"/>
        <v>6</v>
      </c>
      <c r="L35" s="38">
        <v>6</v>
      </c>
      <c r="M35" s="124">
        <f>0.5*M$3</f>
        <v>0</v>
      </c>
      <c r="N35" s="523">
        <v>0</v>
      </c>
      <c r="O35" s="21">
        <f t="shared" si="7"/>
        <v>6</v>
      </c>
    </row>
    <row r="36" spans="1:15" ht="15.75" thickBot="1" x14ac:dyDescent="0.3">
      <c r="A36" s="2313"/>
      <c r="B36" s="13" t="s">
        <v>34</v>
      </c>
      <c r="C36" s="34"/>
      <c r="D36" s="39">
        <v>8</v>
      </c>
      <c r="E36" s="431">
        <f>0.5*E$3</f>
        <v>0</v>
      </c>
      <c r="F36" s="532">
        <v>0</v>
      </c>
      <c r="G36" s="77">
        <f t="shared" si="5"/>
        <v>8</v>
      </c>
      <c r="H36" s="39">
        <v>8</v>
      </c>
      <c r="I36" s="431">
        <f>0.5*I$3</f>
        <v>0</v>
      </c>
      <c r="J36" s="532">
        <v>0</v>
      </c>
      <c r="K36" s="77">
        <f t="shared" si="6"/>
        <v>8</v>
      </c>
      <c r="L36" s="39">
        <v>8</v>
      </c>
      <c r="M36" s="431">
        <f>0.5*M$3</f>
        <v>0</v>
      </c>
      <c r="N36" s="532">
        <v>0</v>
      </c>
      <c r="O36" s="77">
        <f t="shared" si="7"/>
        <v>8</v>
      </c>
    </row>
    <row r="37" spans="1:15" ht="16.5" thickBot="1" x14ac:dyDescent="0.3">
      <c r="A37" s="330" t="s">
        <v>11</v>
      </c>
      <c r="B37" s="329"/>
      <c r="C37" s="329"/>
      <c r="D37" s="329"/>
      <c r="E37" s="329"/>
      <c r="F37" s="329"/>
      <c r="G37" s="329"/>
      <c r="H37" s="329"/>
      <c r="I37" s="329"/>
      <c r="J37" s="329"/>
      <c r="K37" s="329"/>
      <c r="L37" s="329"/>
      <c r="M37" s="329"/>
      <c r="N37" s="329"/>
      <c r="O37" s="328"/>
    </row>
    <row r="38" spans="1:15" ht="15.6" customHeight="1" x14ac:dyDescent="0.25">
      <c r="A38" s="2313" t="s">
        <v>12</v>
      </c>
      <c r="B38" s="404" t="s">
        <v>32</v>
      </c>
      <c r="C38" s="324"/>
      <c r="D38" s="405">
        <v>32</v>
      </c>
      <c r="E38" s="423">
        <f>4*E$3</f>
        <v>0</v>
      </c>
      <c r="F38" s="405">
        <v>0</v>
      </c>
      <c r="G38" s="230">
        <f t="shared" si="5"/>
        <v>32</v>
      </c>
      <c r="H38" s="405">
        <v>32</v>
      </c>
      <c r="I38" s="423">
        <f>4*I$3</f>
        <v>0</v>
      </c>
      <c r="J38" s="405">
        <v>0</v>
      </c>
      <c r="K38" s="230">
        <f xml:space="preserve"> SUM(H38:J38) + $C38</f>
        <v>32</v>
      </c>
      <c r="L38" s="405">
        <v>32</v>
      </c>
      <c r="M38" s="423">
        <f>4*M$3</f>
        <v>0</v>
      </c>
      <c r="N38" s="405">
        <v>0</v>
      </c>
      <c r="O38" s="230">
        <f xml:space="preserve"> SUM(L38:N38) + $C38</f>
        <v>32</v>
      </c>
    </row>
    <row r="39" spans="1:15" x14ac:dyDescent="0.25">
      <c r="A39" s="2313"/>
      <c r="B39" s="19" t="s">
        <v>33</v>
      </c>
      <c r="C39" s="22"/>
      <c r="D39" s="11">
        <v>40</v>
      </c>
      <c r="E39" s="423">
        <f>4*E$3</f>
        <v>0</v>
      </c>
      <c r="F39" s="11">
        <v>0</v>
      </c>
      <c r="G39" s="21">
        <f t="shared" si="5"/>
        <v>40</v>
      </c>
      <c r="H39" s="11">
        <v>40</v>
      </c>
      <c r="I39" s="423">
        <f>4*I$3</f>
        <v>0</v>
      </c>
      <c r="J39" s="11">
        <v>0</v>
      </c>
      <c r="K39" s="21">
        <f xml:space="preserve"> SUM(H39:J39) + $C39</f>
        <v>40</v>
      </c>
      <c r="L39" s="11">
        <v>40</v>
      </c>
      <c r="M39" s="423">
        <f>4*M$3</f>
        <v>0</v>
      </c>
      <c r="N39" s="11">
        <v>0</v>
      </c>
      <c r="O39" s="21">
        <f xml:space="preserve"> SUM(L39:N39) + $C39</f>
        <v>40</v>
      </c>
    </row>
    <row r="40" spans="1:15" ht="15.75" thickBot="1" x14ac:dyDescent="0.3">
      <c r="A40" s="2313"/>
      <c r="B40" s="13" t="s">
        <v>34</v>
      </c>
      <c r="C40" s="34"/>
      <c r="D40" s="422">
        <v>60</v>
      </c>
      <c r="E40" s="423">
        <f>4*E$3</f>
        <v>0</v>
      </c>
      <c r="F40" s="422">
        <v>0</v>
      </c>
      <c r="G40" s="77">
        <f t="shared" si="5"/>
        <v>60</v>
      </c>
      <c r="H40" s="422">
        <v>60</v>
      </c>
      <c r="I40" s="423">
        <f>4*I$3</f>
        <v>0</v>
      </c>
      <c r="J40" s="422">
        <v>0</v>
      </c>
      <c r="K40" s="77">
        <f xml:space="preserve"> SUM(H40:J40) + $C40</f>
        <v>60</v>
      </c>
      <c r="L40" s="422">
        <v>60</v>
      </c>
      <c r="M40" s="423">
        <f>4*M$3</f>
        <v>0</v>
      </c>
      <c r="N40" s="422">
        <v>0</v>
      </c>
      <c r="O40" s="77">
        <f xml:space="preserve"> SUM(L40:N40) + $C40</f>
        <v>60</v>
      </c>
    </row>
    <row r="41" spans="1:15" ht="16.5" thickBot="1" x14ac:dyDescent="0.3">
      <c r="A41" s="330" t="s">
        <v>13</v>
      </c>
      <c r="B41" s="329"/>
      <c r="C41" s="329"/>
      <c r="D41" s="329"/>
      <c r="E41" s="329"/>
      <c r="F41" s="329"/>
      <c r="G41" s="329"/>
      <c r="H41" s="329"/>
      <c r="I41" s="329"/>
      <c r="J41" s="329"/>
      <c r="K41" s="329"/>
      <c r="L41" s="329"/>
      <c r="M41" s="329"/>
      <c r="N41" s="329"/>
      <c r="O41" s="328"/>
    </row>
    <row r="42" spans="1:15" ht="15.6" customHeight="1" x14ac:dyDescent="0.25">
      <c r="A42" s="2313" t="s">
        <v>14</v>
      </c>
      <c r="B42" s="404" t="s">
        <v>32</v>
      </c>
      <c r="C42" s="324"/>
      <c r="D42" s="124">
        <f>0.5*D$3</f>
        <v>0</v>
      </c>
      <c r="E42" s="15">
        <v>0</v>
      </c>
      <c r="F42" s="423">
        <f>0.5*F$3</f>
        <v>0</v>
      </c>
      <c r="G42" s="230">
        <f t="shared" si="5"/>
        <v>0</v>
      </c>
      <c r="H42" s="124">
        <f>0.5*H$3</f>
        <v>0</v>
      </c>
      <c r="I42" s="15">
        <v>0</v>
      </c>
      <c r="J42" s="423">
        <f>0.5*J$3</f>
        <v>0</v>
      </c>
      <c r="K42" s="230">
        <f t="shared" ref="K42:K86" si="8" xml:space="preserve"> SUM(H42:J42) + $C42</f>
        <v>0</v>
      </c>
      <c r="L42" s="124">
        <f>0.5*L$3</f>
        <v>0</v>
      </c>
      <c r="M42" s="15">
        <v>0</v>
      </c>
      <c r="N42" s="423">
        <f>0.5*N$3</f>
        <v>0</v>
      </c>
      <c r="O42" s="230">
        <f t="shared" ref="O42:O86" si="9" xml:space="preserve"> SUM(L42:N42) + $C42</f>
        <v>0</v>
      </c>
    </row>
    <row r="43" spans="1:15" x14ac:dyDescent="0.25">
      <c r="A43" s="2313"/>
      <c r="B43" s="19" t="s">
        <v>33</v>
      </c>
      <c r="C43" s="22"/>
      <c r="D43" s="124">
        <f>1*D$3</f>
        <v>0</v>
      </c>
      <c r="E43" s="15">
        <v>0</v>
      </c>
      <c r="F43" s="423">
        <f>0.5*F$3</f>
        <v>0</v>
      </c>
      <c r="G43" s="21">
        <f t="shared" si="5"/>
        <v>0</v>
      </c>
      <c r="H43" s="124">
        <f>1*H$3</f>
        <v>0</v>
      </c>
      <c r="I43" s="15">
        <v>0</v>
      </c>
      <c r="J43" s="423">
        <f>0.5*J$3</f>
        <v>0</v>
      </c>
      <c r="K43" s="21">
        <f t="shared" si="8"/>
        <v>0</v>
      </c>
      <c r="L43" s="124">
        <f>1*L$3</f>
        <v>0</v>
      </c>
      <c r="M43" s="15">
        <v>0</v>
      </c>
      <c r="N43" s="423">
        <f>0.5*N$3</f>
        <v>0</v>
      </c>
      <c r="O43" s="21">
        <f t="shared" si="9"/>
        <v>0</v>
      </c>
    </row>
    <row r="44" spans="1:15" x14ac:dyDescent="0.25">
      <c r="A44" s="2313"/>
      <c r="B44" s="19" t="s">
        <v>34</v>
      </c>
      <c r="C44" s="22"/>
      <c r="D44" s="124">
        <f>2*D$3</f>
        <v>0</v>
      </c>
      <c r="E44" s="15">
        <v>0</v>
      </c>
      <c r="F44" s="423">
        <f>0.5*F$3</f>
        <v>0</v>
      </c>
      <c r="G44" s="21">
        <f t="shared" si="5"/>
        <v>0</v>
      </c>
      <c r="H44" s="124">
        <f>2*H$3</f>
        <v>0</v>
      </c>
      <c r="I44" s="15">
        <v>0</v>
      </c>
      <c r="J44" s="423">
        <f>0.5*J$3</f>
        <v>0</v>
      </c>
      <c r="K44" s="21">
        <f t="shared" si="8"/>
        <v>0</v>
      </c>
      <c r="L44" s="124">
        <f>2*L$3</f>
        <v>0</v>
      </c>
      <c r="M44" s="15">
        <v>0</v>
      </c>
      <c r="N44" s="423">
        <f>0.5*N$3</f>
        <v>0</v>
      </c>
      <c r="O44" s="21">
        <f t="shared" si="9"/>
        <v>0</v>
      </c>
    </row>
    <row r="45" spans="1:15" ht="15.6" customHeight="1" x14ac:dyDescent="0.25">
      <c r="A45" s="1933" t="s">
        <v>15</v>
      </c>
      <c r="B45" s="19" t="s">
        <v>32</v>
      </c>
      <c r="C45" s="22"/>
      <c r="D45" s="38">
        <v>16</v>
      </c>
      <c r="E45" s="423">
        <f>3*E$3</f>
        <v>0</v>
      </c>
      <c r="F45" s="124">
        <f>1.5*F$3</f>
        <v>0</v>
      </c>
      <c r="G45" s="21">
        <f t="shared" si="5"/>
        <v>16</v>
      </c>
      <c r="H45" s="38">
        <v>16</v>
      </c>
      <c r="I45" s="423">
        <f>I$3*3</f>
        <v>0</v>
      </c>
      <c r="J45" s="124">
        <f>1.5*J$3</f>
        <v>0</v>
      </c>
      <c r="K45" s="21">
        <f t="shared" si="8"/>
        <v>16</v>
      </c>
      <c r="L45" s="38">
        <v>16</v>
      </c>
      <c r="M45" s="423">
        <f>M$3*3</f>
        <v>0</v>
      </c>
      <c r="N45" s="124">
        <f>1.5*N$3</f>
        <v>0</v>
      </c>
      <c r="O45" s="21">
        <f t="shared" si="9"/>
        <v>16</v>
      </c>
    </row>
    <row r="46" spans="1:15" x14ac:dyDescent="0.25">
      <c r="A46" s="1933"/>
      <c r="B46" s="19" t="s">
        <v>33</v>
      </c>
      <c r="C46" s="22"/>
      <c r="D46" s="38">
        <v>28</v>
      </c>
      <c r="E46" s="423">
        <f>3.5*E$3</f>
        <v>0</v>
      </c>
      <c r="F46" s="124">
        <f>2*F$3</f>
        <v>0</v>
      </c>
      <c r="G46" s="21">
        <f t="shared" si="5"/>
        <v>28</v>
      </c>
      <c r="H46" s="38">
        <v>28</v>
      </c>
      <c r="I46" s="423">
        <f>I$3*3.5</f>
        <v>0</v>
      </c>
      <c r="J46" s="124">
        <f>2*J$3</f>
        <v>0</v>
      </c>
      <c r="K46" s="21">
        <f t="shared" si="8"/>
        <v>28</v>
      </c>
      <c r="L46" s="38">
        <v>28</v>
      </c>
      <c r="M46" s="423">
        <f>M$3*3.5</f>
        <v>0</v>
      </c>
      <c r="N46" s="124">
        <f>2*N$3</f>
        <v>0</v>
      </c>
      <c r="O46" s="21">
        <f t="shared" si="9"/>
        <v>28</v>
      </c>
    </row>
    <row r="47" spans="1:15" x14ac:dyDescent="0.25">
      <c r="A47" s="1933"/>
      <c r="B47" s="19" t="s">
        <v>34</v>
      </c>
      <c r="C47" s="22"/>
      <c r="D47" s="38">
        <v>36</v>
      </c>
      <c r="E47" s="423">
        <f>4*E$3</f>
        <v>0</v>
      </c>
      <c r="F47" s="124">
        <f>2.5*F$3</f>
        <v>0</v>
      </c>
      <c r="G47" s="21">
        <f t="shared" si="5"/>
        <v>36</v>
      </c>
      <c r="H47" s="38">
        <v>36</v>
      </c>
      <c r="I47" s="423">
        <f>I$3*4</f>
        <v>0</v>
      </c>
      <c r="J47" s="124">
        <f>2.5*J$3</f>
        <v>0</v>
      </c>
      <c r="K47" s="21">
        <f t="shared" si="8"/>
        <v>36</v>
      </c>
      <c r="L47" s="38">
        <v>36</v>
      </c>
      <c r="M47" s="423">
        <f>M$3*4</f>
        <v>0</v>
      </c>
      <c r="N47" s="124">
        <f>2.5*N$3</f>
        <v>0</v>
      </c>
      <c r="O47" s="21">
        <f t="shared" si="9"/>
        <v>36</v>
      </c>
    </row>
    <row r="48" spans="1:15" ht="15.6" customHeight="1" x14ac:dyDescent="0.25">
      <c r="A48" s="1933" t="s">
        <v>555</v>
      </c>
      <c r="B48" s="19" t="s">
        <v>32</v>
      </c>
      <c r="C48" s="22"/>
      <c r="D48" s="124">
        <f>1*D$3</f>
        <v>0</v>
      </c>
      <c r="E48" s="15">
        <v>0</v>
      </c>
      <c r="F48" s="523">
        <v>0</v>
      </c>
      <c r="G48" s="21">
        <f t="shared" si="5"/>
        <v>0</v>
      </c>
      <c r="H48" s="124">
        <f>1*H$3</f>
        <v>0</v>
      </c>
      <c r="I48" s="15">
        <v>0</v>
      </c>
      <c r="J48" s="523">
        <v>0</v>
      </c>
      <c r="K48" s="21">
        <f t="shared" si="8"/>
        <v>0</v>
      </c>
      <c r="L48" s="124">
        <f>1*L$3</f>
        <v>0</v>
      </c>
      <c r="M48" s="15">
        <v>0</v>
      </c>
      <c r="N48" s="523">
        <v>0</v>
      </c>
      <c r="O48" s="21">
        <f t="shared" si="9"/>
        <v>0</v>
      </c>
    </row>
    <row r="49" spans="1:15" x14ac:dyDescent="0.25">
      <c r="A49" s="1933"/>
      <c r="B49" s="19" t="s">
        <v>33</v>
      </c>
      <c r="C49" s="22"/>
      <c r="D49" s="124">
        <f>1.5*D$3</f>
        <v>0</v>
      </c>
      <c r="E49" s="15">
        <v>0</v>
      </c>
      <c r="F49" s="523">
        <v>0</v>
      </c>
      <c r="G49" s="21">
        <f t="shared" si="5"/>
        <v>0</v>
      </c>
      <c r="H49" s="124">
        <f>1.5*H$3</f>
        <v>0</v>
      </c>
      <c r="I49" s="15">
        <v>0</v>
      </c>
      <c r="J49" s="523">
        <v>0</v>
      </c>
      <c r="K49" s="21">
        <f t="shared" si="8"/>
        <v>0</v>
      </c>
      <c r="L49" s="124">
        <f>1.5*L$3</f>
        <v>0</v>
      </c>
      <c r="M49" s="15">
        <v>0</v>
      </c>
      <c r="N49" s="523">
        <v>0</v>
      </c>
      <c r="O49" s="21">
        <f t="shared" si="9"/>
        <v>0</v>
      </c>
    </row>
    <row r="50" spans="1:15" x14ac:dyDescent="0.25">
      <c r="A50" s="1933"/>
      <c r="B50" s="19" t="s">
        <v>34</v>
      </c>
      <c r="C50" s="22"/>
      <c r="D50" s="124">
        <f>2*D$3</f>
        <v>0</v>
      </c>
      <c r="E50" s="15">
        <v>0</v>
      </c>
      <c r="F50" s="523">
        <v>0</v>
      </c>
      <c r="G50" s="21">
        <f t="shared" si="5"/>
        <v>0</v>
      </c>
      <c r="H50" s="124">
        <f>2*H$3</f>
        <v>0</v>
      </c>
      <c r="I50" s="15">
        <v>0</v>
      </c>
      <c r="J50" s="523">
        <v>0</v>
      </c>
      <c r="K50" s="21">
        <f t="shared" si="8"/>
        <v>0</v>
      </c>
      <c r="L50" s="124">
        <f>2*L$3</f>
        <v>0</v>
      </c>
      <c r="M50" s="15">
        <v>0</v>
      </c>
      <c r="N50" s="523">
        <v>0</v>
      </c>
      <c r="O50" s="21">
        <f t="shared" si="9"/>
        <v>0</v>
      </c>
    </row>
    <row r="51" spans="1:15" ht="15.6" customHeight="1" x14ac:dyDescent="0.25">
      <c r="A51" s="1933" t="s">
        <v>556</v>
      </c>
      <c r="B51" s="19" t="s">
        <v>32</v>
      </c>
      <c r="C51" s="22"/>
      <c r="D51" s="124">
        <f>1*D$3</f>
        <v>0</v>
      </c>
      <c r="E51" s="15">
        <v>0</v>
      </c>
      <c r="F51" s="523">
        <v>0</v>
      </c>
      <c r="G51" s="21">
        <f t="shared" si="5"/>
        <v>0</v>
      </c>
      <c r="H51" s="124">
        <f>1*H$3</f>
        <v>0</v>
      </c>
      <c r="I51" s="15">
        <v>0</v>
      </c>
      <c r="J51" s="523">
        <v>0</v>
      </c>
      <c r="K51" s="21">
        <f t="shared" si="8"/>
        <v>0</v>
      </c>
      <c r="L51" s="124">
        <f>1*L$3</f>
        <v>0</v>
      </c>
      <c r="M51" s="15">
        <v>0</v>
      </c>
      <c r="N51" s="523">
        <v>0</v>
      </c>
      <c r="O51" s="21">
        <f t="shared" si="9"/>
        <v>0</v>
      </c>
    </row>
    <row r="52" spans="1:15" x14ac:dyDescent="0.25">
      <c r="A52" s="1933"/>
      <c r="B52" s="19" t="s">
        <v>33</v>
      </c>
      <c r="C52" s="22"/>
      <c r="D52" s="124">
        <f>1.5*D$3</f>
        <v>0</v>
      </c>
      <c r="E52" s="15">
        <v>0</v>
      </c>
      <c r="F52" s="523">
        <v>0</v>
      </c>
      <c r="G52" s="21">
        <f t="shared" si="5"/>
        <v>0</v>
      </c>
      <c r="H52" s="124">
        <f>1.5*H$3</f>
        <v>0</v>
      </c>
      <c r="I52" s="15">
        <v>0</v>
      </c>
      <c r="J52" s="523">
        <v>0</v>
      </c>
      <c r="K52" s="21">
        <f t="shared" si="8"/>
        <v>0</v>
      </c>
      <c r="L52" s="124">
        <f>1.5*L$3</f>
        <v>0</v>
      </c>
      <c r="M52" s="15">
        <v>0</v>
      </c>
      <c r="N52" s="523">
        <v>0</v>
      </c>
      <c r="O52" s="21">
        <f t="shared" si="9"/>
        <v>0</v>
      </c>
    </row>
    <row r="53" spans="1:15" x14ac:dyDescent="0.25">
      <c r="A53" s="1933"/>
      <c r="B53" s="19" t="s">
        <v>34</v>
      </c>
      <c r="C53" s="22"/>
      <c r="D53" s="124">
        <f>2*D$3</f>
        <v>0</v>
      </c>
      <c r="E53" s="15">
        <v>0</v>
      </c>
      <c r="F53" s="523">
        <v>0</v>
      </c>
      <c r="G53" s="21">
        <f t="shared" si="5"/>
        <v>0</v>
      </c>
      <c r="H53" s="124">
        <f>2*H$3</f>
        <v>0</v>
      </c>
      <c r="I53" s="15">
        <v>0</v>
      </c>
      <c r="J53" s="523">
        <v>0</v>
      </c>
      <c r="K53" s="21">
        <f t="shared" si="8"/>
        <v>0</v>
      </c>
      <c r="L53" s="124">
        <f>2*L$3</f>
        <v>0</v>
      </c>
      <c r="M53" s="15">
        <v>0</v>
      </c>
      <c r="N53" s="523">
        <v>0</v>
      </c>
      <c r="O53" s="21">
        <f t="shared" si="9"/>
        <v>0</v>
      </c>
    </row>
    <row r="54" spans="1:15" ht="15.6" customHeight="1" x14ac:dyDescent="0.25">
      <c r="A54" s="1933" t="s">
        <v>557</v>
      </c>
      <c r="B54" s="19" t="s">
        <v>32</v>
      </c>
      <c r="C54" s="22"/>
      <c r="D54" s="124">
        <f>1*D$3</f>
        <v>0</v>
      </c>
      <c r="E54" s="15">
        <v>0</v>
      </c>
      <c r="F54" s="15">
        <v>0</v>
      </c>
      <c r="G54" s="21">
        <f t="shared" si="5"/>
        <v>0</v>
      </c>
      <c r="H54" s="124">
        <f>1*H$3</f>
        <v>0</v>
      </c>
      <c r="I54" s="15">
        <v>0</v>
      </c>
      <c r="J54" s="15">
        <v>0</v>
      </c>
      <c r="K54" s="21">
        <f t="shared" si="8"/>
        <v>0</v>
      </c>
      <c r="L54" s="124">
        <f>1*L$3</f>
        <v>0</v>
      </c>
      <c r="M54" s="15">
        <v>0</v>
      </c>
      <c r="N54" s="15">
        <v>0</v>
      </c>
      <c r="O54" s="21">
        <f t="shared" si="9"/>
        <v>0</v>
      </c>
    </row>
    <row r="55" spans="1:15" x14ac:dyDescent="0.25">
      <c r="A55" s="1933"/>
      <c r="B55" s="19" t="s">
        <v>33</v>
      </c>
      <c r="C55" s="22"/>
      <c r="D55" s="124">
        <f>1*D$3</f>
        <v>0</v>
      </c>
      <c r="E55" s="15">
        <v>0</v>
      </c>
      <c r="F55" s="15">
        <v>0</v>
      </c>
      <c r="G55" s="21">
        <f t="shared" si="5"/>
        <v>0</v>
      </c>
      <c r="H55" s="124">
        <f>1*H$3</f>
        <v>0</v>
      </c>
      <c r="I55" s="15">
        <v>0</v>
      </c>
      <c r="J55" s="15">
        <v>0</v>
      </c>
      <c r="K55" s="21">
        <f t="shared" si="8"/>
        <v>0</v>
      </c>
      <c r="L55" s="124">
        <f>1*L$3</f>
        <v>0</v>
      </c>
      <c r="M55" s="15">
        <v>0</v>
      </c>
      <c r="N55" s="15">
        <v>0</v>
      </c>
      <c r="O55" s="21">
        <f t="shared" si="9"/>
        <v>0</v>
      </c>
    </row>
    <row r="56" spans="1:15" x14ac:dyDescent="0.25">
      <c r="A56" s="1933"/>
      <c r="B56" s="19" t="s">
        <v>34</v>
      </c>
      <c r="C56" s="22"/>
      <c r="D56" s="124">
        <f>1*D$3</f>
        <v>0</v>
      </c>
      <c r="E56" s="15">
        <v>0</v>
      </c>
      <c r="F56" s="15">
        <v>0</v>
      </c>
      <c r="G56" s="21">
        <f t="shared" si="5"/>
        <v>0</v>
      </c>
      <c r="H56" s="124">
        <f>1*H$3</f>
        <v>0</v>
      </c>
      <c r="I56" s="15">
        <v>0</v>
      </c>
      <c r="J56" s="15">
        <v>0</v>
      </c>
      <c r="K56" s="21">
        <f t="shared" si="8"/>
        <v>0</v>
      </c>
      <c r="L56" s="124">
        <f>1*L$3</f>
        <v>0</v>
      </c>
      <c r="M56" s="15">
        <v>0</v>
      </c>
      <c r="N56" s="15">
        <v>0</v>
      </c>
      <c r="O56" s="21">
        <f t="shared" si="9"/>
        <v>0</v>
      </c>
    </row>
    <row r="57" spans="1:15" ht="15.6" customHeight="1" x14ac:dyDescent="0.25">
      <c r="A57" s="1933" t="s">
        <v>19</v>
      </c>
      <c r="B57" s="19" t="s">
        <v>32</v>
      </c>
      <c r="C57" s="22"/>
      <c r="D57" s="38">
        <v>4</v>
      </c>
      <c r="E57" s="15">
        <v>0</v>
      </c>
      <c r="F57" s="15">
        <v>0</v>
      </c>
      <c r="G57" s="21">
        <f t="shared" si="5"/>
        <v>4</v>
      </c>
      <c r="H57" s="38">
        <v>4</v>
      </c>
      <c r="I57" s="15">
        <v>0</v>
      </c>
      <c r="J57" s="15">
        <v>0</v>
      </c>
      <c r="K57" s="21">
        <f t="shared" si="8"/>
        <v>4</v>
      </c>
      <c r="L57" s="38">
        <v>4</v>
      </c>
      <c r="M57" s="15">
        <v>0</v>
      </c>
      <c r="N57" s="15">
        <v>0</v>
      </c>
      <c r="O57" s="21">
        <f t="shared" si="9"/>
        <v>4</v>
      </c>
    </row>
    <row r="58" spans="1:15" x14ac:dyDescent="0.25">
      <c r="A58" s="1933"/>
      <c r="B58" s="19" t="s">
        <v>33</v>
      </c>
      <c r="C58" s="22"/>
      <c r="D58" s="38">
        <v>6</v>
      </c>
      <c r="E58" s="15">
        <v>0</v>
      </c>
      <c r="F58" s="15">
        <v>0</v>
      </c>
      <c r="G58" s="21">
        <f t="shared" si="5"/>
        <v>6</v>
      </c>
      <c r="H58" s="38">
        <v>6</v>
      </c>
      <c r="I58" s="15">
        <v>0</v>
      </c>
      <c r="J58" s="15">
        <v>0</v>
      </c>
      <c r="K58" s="21">
        <f t="shared" si="8"/>
        <v>6</v>
      </c>
      <c r="L58" s="38">
        <v>6</v>
      </c>
      <c r="M58" s="15">
        <v>0</v>
      </c>
      <c r="N58" s="15">
        <v>0</v>
      </c>
      <c r="O58" s="21">
        <f t="shared" si="9"/>
        <v>6</v>
      </c>
    </row>
    <row r="59" spans="1:15" x14ac:dyDescent="0.25">
      <c r="A59" s="1933"/>
      <c r="B59" s="19" t="s">
        <v>34</v>
      </c>
      <c r="C59" s="22"/>
      <c r="D59" s="38">
        <v>8</v>
      </c>
      <c r="E59" s="15">
        <v>0</v>
      </c>
      <c r="F59" s="15">
        <v>0</v>
      </c>
      <c r="G59" s="21">
        <f t="shared" si="5"/>
        <v>8</v>
      </c>
      <c r="H59" s="38">
        <v>8</v>
      </c>
      <c r="I59" s="15">
        <v>0</v>
      </c>
      <c r="J59" s="15">
        <v>0</v>
      </c>
      <c r="K59" s="21">
        <f t="shared" si="8"/>
        <v>8</v>
      </c>
      <c r="L59" s="38">
        <v>8</v>
      </c>
      <c r="M59" s="15">
        <v>0</v>
      </c>
      <c r="N59" s="15">
        <v>0</v>
      </c>
      <c r="O59" s="21">
        <f t="shared" si="9"/>
        <v>8</v>
      </c>
    </row>
    <row r="60" spans="1:15" ht="15.6" customHeight="1" x14ac:dyDescent="0.25">
      <c r="A60" s="1933" t="s">
        <v>20</v>
      </c>
      <c r="B60" s="19" t="s">
        <v>32</v>
      </c>
      <c r="C60" s="22"/>
      <c r="D60" s="38">
        <v>6</v>
      </c>
      <c r="E60" s="123">
        <f>2*E$3</f>
        <v>0</v>
      </c>
      <c r="F60" s="423">
        <f>1*F$3</f>
        <v>0</v>
      </c>
      <c r="G60" s="21">
        <f t="shared" si="5"/>
        <v>6</v>
      </c>
      <c r="H60" s="38">
        <v>6</v>
      </c>
      <c r="I60" s="123">
        <f>2*I$3</f>
        <v>0</v>
      </c>
      <c r="J60" s="423">
        <f>1*J$3</f>
        <v>0</v>
      </c>
      <c r="K60" s="21">
        <f t="shared" si="8"/>
        <v>6</v>
      </c>
      <c r="L60" s="38">
        <v>6</v>
      </c>
      <c r="M60" s="123">
        <f>2*M$3</f>
        <v>0</v>
      </c>
      <c r="N60" s="423">
        <f>1*N$3</f>
        <v>0</v>
      </c>
      <c r="O60" s="21">
        <f t="shared" si="9"/>
        <v>6</v>
      </c>
    </row>
    <row r="61" spans="1:15" x14ac:dyDescent="0.25">
      <c r="A61" s="1933"/>
      <c r="B61" s="19" t="s">
        <v>33</v>
      </c>
      <c r="C61" s="22"/>
      <c r="D61" s="38">
        <v>12</v>
      </c>
      <c r="E61" s="123">
        <f>2*E$3</f>
        <v>0</v>
      </c>
      <c r="F61" s="423">
        <f>1*F$3</f>
        <v>0</v>
      </c>
      <c r="G61" s="21">
        <f t="shared" si="5"/>
        <v>12</v>
      </c>
      <c r="H61" s="38">
        <v>12</v>
      </c>
      <c r="I61" s="123">
        <f>2*I$3</f>
        <v>0</v>
      </c>
      <c r="J61" s="423">
        <f>1*J$3</f>
        <v>0</v>
      </c>
      <c r="K61" s="21">
        <f t="shared" si="8"/>
        <v>12</v>
      </c>
      <c r="L61" s="38">
        <v>12</v>
      </c>
      <c r="M61" s="123">
        <f>2*M$3</f>
        <v>0</v>
      </c>
      <c r="N61" s="423">
        <f>1*N$3</f>
        <v>0</v>
      </c>
      <c r="O61" s="21">
        <f t="shared" si="9"/>
        <v>12</v>
      </c>
    </row>
    <row r="62" spans="1:15" x14ac:dyDescent="0.25">
      <c r="A62" s="1933"/>
      <c r="B62" s="19" t="s">
        <v>34</v>
      </c>
      <c r="C62" s="22"/>
      <c r="D62" s="38">
        <v>24</v>
      </c>
      <c r="E62" s="123">
        <f>2*E$3</f>
        <v>0</v>
      </c>
      <c r="F62" s="423">
        <f>1*F$3</f>
        <v>0</v>
      </c>
      <c r="G62" s="21">
        <f t="shared" si="5"/>
        <v>24</v>
      </c>
      <c r="H62" s="38">
        <v>24</v>
      </c>
      <c r="I62" s="123">
        <f>2*I$3</f>
        <v>0</v>
      </c>
      <c r="J62" s="423">
        <f>1*J$3</f>
        <v>0</v>
      </c>
      <c r="K62" s="21">
        <f t="shared" si="8"/>
        <v>24</v>
      </c>
      <c r="L62" s="38">
        <v>24</v>
      </c>
      <c r="M62" s="123">
        <f>2*M$3</f>
        <v>0</v>
      </c>
      <c r="N62" s="423">
        <f>1*N$3</f>
        <v>0</v>
      </c>
      <c r="O62" s="21">
        <f t="shared" si="9"/>
        <v>24</v>
      </c>
    </row>
    <row r="63" spans="1:15" x14ac:dyDescent="0.25">
      <c r="A63" s="1933" t="s">
        <v>451</v>
      </c>
      <c r="B63" s="19" t="s">
        <v>32</v>
      </c>
      <c r="C63" s="22"/>
      <c r="D63" s="482">
        <v>0.25</v>
      </c>
      <c r="E63" s="475">
        <v>0</v>
      </c>
      <c r="F63" s="495">
        <v>0</v>
      </c>
      <c r="G63" s="21">
        <f t="shared" si="5"/>
        <v>0.25</v>
      </c>
      <c r="H63" s="482">
        <v>0.25</v>
      </c>
      <c r="I63" s="475">
        <v>0</v>
      </c>
      <c r="J63" s="495">
        <v>0</v>
      </c>
      <c r="K63" s="21">
        <f t="shared" si="8"/>
        <v>0.25</v>
      </c>
      <c r="L63" s="482">
        <v>0.25</v>
      </c>
      <c r="M63" s="475">
        <v>0</v>
      </c>
      <c r="N63" s="495">
        <v>0</v>
      </c>
      <c r="O63" s="21">
        <f t="shared" si="9"/>
        <v>0.25</v>
      </c>
    </row>
    <row r="64" spans="1:15" x14ac:dyDescent="0.25">
      <c r="A64" s="1933"/>
      <c r="B64" s="19" t="s">
        <v>33</v>
      </c>
      <c r="C64" s="22"/>
      <c r="D64" s="38">
        <v>0.5</v>
      </c>
      <c r="E64" s="475">
        <v>0</v>
      </c>
      <c r="F64" s="495">
        <v>0</v>
      </c>
      <c r="G64" s="21">
        <f t="shared" si="5"/>
        <v>0.5</v>
      </c>
      <c r="H64" s="38">
        <v>0.5</v>
      </c>
      <c r="I64" s="475">
        <v>0</v>
      </c>
      <c r="J64" s="495">
        <v>0</v>
      </c>
      <c r="K64" s="21">
        <f t="shared" si="8"/>
        <v>0.5</v>
      </c>
      <c r="L64" s="38">
        <v>0.5</v>
      </c>
      <c r="M64" s="475">
        <v>0</v>
      </c>
      <c r="N64" s="495">
        <v>0</v>
      </c>
      <c r="O64" s="21">
        <f t="shared" si="9"/>
        <v>0.5</v>
      </c>
    </row>
    <row r="65" spans="1:15" x14ac:dyDescent="0.25">
      <c r="A65" s="1933"/>
      <c r="B65" s="19" t="s">
        <v>34</v>
      </c>
      <c r="C65" s="22"/>
      <c r="D65" s="38">
        <v>1</v>
      </c>
      <c r="E65" s="475">
        <v>0</v>
      </c>
      <c r="F65" s="495">
        <v>0</v>
      </c>
      <c r="G65" s="21">
        <f t="shared" si="5"/>
        <v>1</v>
      </c>
      <c r="H65" s="38">
        <v>1</v>
      </c>
      <c r="I65" s="475">
        <v>0</v>
      </c>
      <c r="J65" s="495">
        <v>0</v>
      </c>
      <c r="K65" s="21">
        <f t="shared" si="8"/>
        <v>1</v>
      </c>
      <c r="L65" s="38">
        <v>1</v>
      </c>
      <c r="M65" s="475">
        <v>0</v>
      </c>
      <c r="N65" s="495">
        <v>0</v>
      </c>
      <c r="O65" s="21">
        <f t="shared" si="9"/>
        <v>1</v>
      </c>
    </row>
    <row r="66" spans="1:15" x14ac:dyDescent="0.25">
      <c r="A66" s="1933" t="s">
        <v>452</v>
      </c>
      <c r="B66" s="19" t="s">
        <v>32</v>
      </c>
      <c r="C66" s="22"/>
      <c r="D66" s="482">
        <v>0.25</v>
      </c>
      <c r="E66" s="475">
        <v>0</v>
      </c>
      <c r="F66" s="495">
        <v>0</v>
      </c>
      <c r="G66" s="21">
        <f t="shared" si="5"/>
        <v>0.25</v>
      </c>
      <c r="H66" s="482">
        <v>0.25</v>
      </c>
      <c r="I66" s="475">
        <v>0</v>
      </c>
      <c r="J66" s="495">
        <v>0</v>
      </c>
      <c r="K66" s="21">
        <f t="shared" si="8"/>
        <v>0.25</v>
      </c>
      <c r="L66" s="482">
        <v>0.25</v>
      </c>
      <c r="M66" s="475">
        <v>0</v>
      </c>
      <c r="N66" s="495">
        <v>0</v>
      </c>
      <c r="O66" s="21">
        <f t="shared" si="9"/>
        <v>0.25</v>
      </c>
    </row>
    <row r="67" spans="1:15" x14ac:dyDescent="0.25">
      <c r="A67" s="1933"/>
      <c r="B67" s="19" t="s">
        <v>33</v>
      </c>
      <c r="C67" s="22"/>
      <c r="D67" s="38">
        <v>0.5</v>
      </c>
      <c r="E67" s="475">
        <v>0</v>
      </c>
      <c r="F67" s="495">
        <v>0</v>
      </c>
      <c r="G67" s="21">
        <f t="shared" si="5"/>
        <v>0.5</v>
      </c>
      <c r="H67" s="38">
        <v>0.5</v>
      </c>
      <c r="I67" s="475">
        <v>0</v>
      </c>
      <c r="J67" s="495">
        <v>0</v>
      </c>
      <c r="K67" s="21">
        <f t="shared" si="8"/>
        <v>0.5</v>
      </c>
      <c r="L67" s="38">
        <v>0.5</v>
      </c>
      <c r="M67" s="475">
        <v>0</v>
      </c>
      <c r="N67" s="495">
        <v>0</v>
      </c>
      <c r="O67" s="21">
        <f t="shared" si="9"/>
        <v>0.5</v>
      </c>
    </row>
    <row r="68" spans="1:15" x14ac:dyDescent="0.25">
      <c r="A68" s="1933"/>
      <c r="B68" s="19" t="s">
        <v>34</v>
      </c>
      <c r="C68" s="22"/>
      <c r="D68" s="38">
        <v>1</v>
      </c>
      <c r="E68" s="475">
        <v>0</v>
      </c>
      <c r="F68" s="495">
        <v>0</v>
      </c>
      <c r="G68" s="21">
        <f t="shared" si="5"/>
        <v>1</v>
      </c>
      <c r="H68" s="38">
        <v>1</v>
      </c>
      <c r="I68" s="475">
        <v>0</v>
      </c>
      <c r="J68" s="495">
        <v>0</v>
      </c>
      <c r="K68" s="21">
        <f t="shared" si="8"/>
        <v>1</v>
      </c>
      <c r="L68" s="38">
        <v>1</v>
      </c>
      <c r="M68" s="475">
        <v>0</v>
      </c>
      <c r="N68" s="495">
        <v>0</v>
      </c>
      <c r="O68" s="21">
        <f t="shared" si="9"/>
        <v>1</v>
      </c>
    </row>
    <row r="69" spans="1:15" x14ac:dyDescent="0.25">
      <c r="A69" s="1993" t="s">
        <v>533</v>
      </c>
      <c r="B69" s="19" t="s">
        <v>32</v>
      </c>
      <c r="C69" s="22"/>
      <c r="D69" s="124">
        <f>3+(1.5*D$3)</f>
        <v>3</v>
      </c>
      <c r="E69" s="423">
        <f>2*E$3</f>
        <v>0</v>
      </c>
      <c r="F69" s="423">
        <f t="shared" ref="F69:F74" si="10">0.5*F$3</f>
        <v>0</v>
      </c>
      <c r="G69" s="21">
        <f t="shared" si="5"/>
        <v>3</v>
      </c>
      <c r="H69" s="124">
        <f>3+(1.5*H$3)</f>
        <v>3</v>
      </c>
      <c r="I69" s="423">
        <f>2*I$3</f>
        <v>0</v>
      </c>
      <c r="J69" s="423">
        <f t="shared" ref="J69:J74" si="11">0.5*J$3</f>
        <v>0</v>
      </c>
      <c r="K69" s="21">
        <f t="shared" si="8"/>
        <v>3</v>
      </c>
      <c r="L69" s="124">
        <f>3+(1.5*L$3)</f>
        <v>3</v>
      </c>
      <c r="M69" s="423">
        <f>2*M$3</f>
        <v>0</v>
      </c>
      <c r="N69" s="423">
        <f t="shared" ref="N69:N74" si="12">0.5*N$3</f>
        <v>0</v>
      </c>
      <c r="O69" s="21">
        <f t="shared" si="9"/>
        <v>3</v>
      </c>
    </row>
    <row r="70" spans="1:15" x14ac:dyDescent="0.25">
      <c r="A70" s="1993"/>
      <c r="B70" s="19" t="s">
        <v>33</v>
      </c>
      <c r="C70" s="22"/>
      <c r="D70" s="124">
        <f>5+(1.5*D$3)</f>
        <v>5</v>
      </c>
      <c r="E70" s="423">
        <f>2.5*E$3</f>
        <v>0</v>
      </c>
      <c r="F70" s="423">
        <f t="shared" si="10"/>
        <v>0</v>
      </c>
      <c r="G70" s="21">
        <f t="shared" si="5"/>
        <v>5</v>
      </c>
      <c r="H70" s="124">
        <f>5+(1.5*H$3)</f>
        <v>5</v>
      </c>
      <c r="I70" s="423">
        <f>2.5*I$3</f>
        <v>0</v>
      </c>
      <c r="J70" s="423">
        <f t="shared" si="11"/>
        <v>0</v>
      </c>
      <c r="K70" s="21">
        <f t="shared" si="8"/>
        <v>5</v>
      </c>
      <c r="L70" s="124">
        <f>5+(1.5*L$3)</f>
        <v>5</v>
      </c>
      <c r="M70" s="423">
        <f>2.5*M$3</f>
        <v>0</v>
      </c>
      <c r="N70" s="423">
        <f t="shared" si="12"/>
        <v>0</v>
      </c>
      <c r="O70" s="21">
        <f t="shared" si="9"/>
        <v>5</v>
      </c>
    </row>
    <row r="71" spans="1:15" x14ac:dyDescent="0.25">
      <c r="A71" s="1993"/>
      <c r="B71" s="19" t="s">
        <v>34</v>
      </c>
      <c r="C71" s="22"/>
      <c r="D71" s="124">
        <f>7+(1.5*D$3)</f>
        <v>7</v>
      </c>
      <c r="E71" s="423">
        <f>3*E$3</f>
        <v>0</v>
      </c>
      <c r="F71" s="423">
        <f t="shared" si="10"/>
        <v>0</v>
      </c>
      <c r="G71" s="21">
        <f t="shared" si="5"/>
        <v>7</v>
      </c>
      <c r="H71" s="124">
        <f>7+(1.5*H$3)</f>
        <v>7</v>
      </c>
      <c r="I71" s="423">
        <f>3*I$3</f>
        <v>0</v>
      </c>
      <c r="J71" s="423">
        <f t="shared" si="11"/>
        <v>0</v>
      </c>
      <c r="K71" s="21">
        <f t="shared" si="8"/>
        <v>7</v>
      </c>
      <c r="L71" s="124">
        <f>7+(1.5*L$3)</f>
        <v>7</v>
      </c>
      <c r="M71" s="423">
        <f>3*M$3</f>
        <v>0</v>
      </c>
      <c r="N71" s="423">
        <f t="shared" si="12"/>
        <v>0</v>
      </c>
      <c r="O71" s="21">
        <f t="shared" si="9"/>
        <v>7</v>
      </c>
    </row>
    <row r="72" spans="1:15" x14ac:dyDescent="0.25">
      <c r="A72" s="1974" t="s">
        <v>534</v>
      </c>
      <c r="B72" s="19" t="s">
        <v>32</v>
      </c>
      <c r="C72" s="22"/>
      <c r="D72" s="124">
        <f>3+(1.5*D$3)</f>
        <v>3</v>
      </c>
      <c r="E72" s="423">
        <f>2*E$3</f>
        <v>0</v>
      </c>
      <c r="F72" s="423">
        <f t="shared" si="10"/>
        <v>0</v>
      </c>
      <c r="G72" s="21">
        <f t="shared" si="5"/>
        <v>3</v>
      </c>
      <c r="H72" s="124">
        <f>3+(1.5*H$3)</f>
        <v>3</v>
      </c>
      <c r="I72" s="423">
        <f>2*I$3</f>
        <v>0</v>
      </c>
      <c r="J72" s="423">
        <f t="shared" si="11"/>
        <v>0</v>
      </c>
      <c r="K72" s="21">
        <f t="shared" si="8"/>
        <v>3</v>
      </c>
      <c r="L72" s="124">
        <f>3+(1.5*L$3)</f>
        <v>3</v>
      </c>
      <c r="M72" s="423">
        <f>2*M$3</f>
        <v>0</v>
      </c>
      <c r="N72" s="423">
        <f t="shared" si="12"/>
        <v>0</v>
      </c>
      <c r="O72" s="21">
        <f t="shared" si="9"/>
        <v>3</v>
      </c>
    </row>
    <row r="73" spans="1:15" x14ac:dyDescent="0.25">
      <c r="A73" s="1974"/>
      <c r="B73" s="19" t="s">
        <v>33</v>
      </c>
      <c r="C73" s="22"/>
      <c r="D73" s="124">
        <f>5+(1.5*D$3)</f>
        <v>5</v>
      </c>
      <c r="E73" s="423">
        <f>2.5*E$3</f>
        <v>0</v>
      </c>
      <c r="F73" s="423">
        <f t="shared" si="10"/>
        <v>0</v>
      </c>
      <c r="G73" s="21">
        <f t="shared" si="5"/>
        <v>5</v>
      </c>
      <c r="H73" s="124">
        <f>5+(1.5*H$3)</f>
        <v>5</v>
      </c>
      <c r="I73" s="423">
        <f>2.5*I$3</f>
        <v>0</v>
      </c>
      <c r="J73" s="423">
        <f t="shared" si="11"/>
        <v>0</v>
      </c>
      <c r="K73" s="21">
        <f t="shared" si="8"/>
        <v>5</v>
      </c>
      <c r="L73" s="124">
        <f>5+(1.5*L$3)</f>
        <v>5</v>
      </c>
      <c r="M73" s="423">
        <f>2.5*M$3</f>
        <v>0</v>
      </c>
      <c r="N73" s="423">
        <f t="shared" si="12"/>
        <v>0</v>
      </c>
      <c r="O73" s="21">
        <f t="shared" si="9"/>
        <v>5</v>
      </c>
    </row>
    <row r="74" spans="1:15" x14ac:dyDescent="0.25">
      <c r="A74" s="1974"/>
      <c r="B74" s="19" t="s">
        <v>34</v>
      </c>
      <c r="C74" s="22"/>
      <c r="D74" s="124">
        <f>7+(1.5*D$3)</f>
        <v>7</v>
      </c>
      <c r="E74" s="423">
        <f>3*E$3</f>
        <v>0</v>
      </c>
      <c r="F74" s="423">
        <f t="shared" si="10"/>
        <v>0</v>
      </c>
      <c r="G74" s="21">
        <f t="shared" si="5"/>
        <v>7</v>
      </c>
      <c r="H74" s="124">
        <f>7+(1.5*H$3)</f>
        <v>7</v>
      </c>
      <c r="I74" s="423">
        <f>3*I$3</f>
        <v>0</v>
      </c>
      <c r="J74" s="423">
        <f t="shared" si="11"/>
        <v>0</v>
      </c>
      <c r="K74" s="21">
        <f t="shared" si="8"/>
        <v>7</v>
      </c>
      <c r="L74" s="124">
        <f>7+(1.5*L$3)</f>
        <v>7</v>
      </c>
      <c r="M74" s="423">
        <f>3*M$3</f>
        <v>0</v>
      </c>
      <c r="N74" s="423">
        <f t="shared" si="12"/>
        <v>0</v>
      </c>
      <c r="O74" s="21">
        <f t="shared" si="9"/>
        <v>7</v>
      </c>
    </row>
    <row r="75" spans="1:15" ht="15.6" customHeight="1" x14ac:dyDescent="0.25">
      <c r="A75" s="1933" t="s">
        <v>21</v>
      </c>
      <c r="B75" s="19" t="s">
        <v>32</v>
      </c>
      <c r="C75" s="22"/>
      <c r="D75" s="38" t="s">
        <v>90</v>
      </c>
      <c r="E75" s="38" t="s">
        <v>90</v>
      </c>
      <c r="F75" s="38" t="s">
        <v>90</v>
      </c>
      <c r="G75" s="21">
        <f t="shared" si="5"/>
        <v>0</v>
      </c>
      <c r="H75" s="38" t="s">
        <v>90</v>
      </c>
      <c r="I75" s="38" t="s">
        <v>90</v>
      </c>
      <c r="J75" s="38" t="s">
        <v>90</v>
      </c>
      <c r="K75" s="21">
        <f t="shared" si="8"/>
        <v>0</v>
      </c>
      <c r="L75" s="38" t="s">
        <v>90</v>
      </c>
      <c r="M75" s="38" t="s">
        <v>90</v>
      </c>
      <c r="N75" s="38" t="s">
        <v>90</v>
      </c>
      <c r="O75" s="21">
        <f t="shared" si="9"/>
        <v>0</v>
      </c>
    </row>
    <row r="76" spans="1:15" x14ac:dyDescent="0.25">
      <c r="A76" s="1933"/>
      <c r="B76" s="19" t="s">
        <v>33</v>
      </c>
      <c r="C76" s="22"/>
      <c r="D76" s="38" t="s">
        <v>90</v>
      </c>
      <c r="E76" s="38" t="s">
        <v>90</v>
      </c>
      <c r="F76" s="38" t="s">
        <v>90</v>
      </c>
      <c r="G76" s="21">
        <f t="shared" si="5"/>
        <v>0</v>
      </c>
      <c r="H76" s="38" t="s">
        <v>90</v>
      </c>
      <c r="I76" s="38" t="s">
        <v>90</v>
      </c>
      <c r="J76" s="38" t="s">
        <v>90</v>
      </c>
      <c r="K76" s="21">
        <f t="shared" si="8"/>
        <v>0</v>
      </c>
      <c r="L76" s="38" t="s">
        <v>90</v>
      </c>
      <c r="M76" s="38" t="s">
        <v>90</v>
      </c>
      <c r="N76" s="38" t="s">
        <v>90</v>
      </c>
      <c r="O76" s="21">
        <f t="shared" si="9"/>
        <v>0</v>
      </c>
    </row>
    <row r="77" spans="1:15" x14ac:dyDescent="0.25">
      <c r="A77" s="1933"/>
      <c r="B77" s="13" t="s">
        <v>34</v>
      </c>
      <c r="C77" s="34"/>
      <c r="D77" s="38" t="s">
        <v>90</v>
      </c>
      <c r="E77" s="38" t="s">
        <v>90</v>
      </c>
      <c r="F77" s="38" t="s">
        <v>90</v>
      </c>
      <c r="G77" s="21">
        <f t="shared" si="5"/>
        <v>0</v>
      </c>
      <c r="H77" s="38" t="s">
        <v>90</v>
      </c>
      <c r="I77" s="38" t="s">
        <v>90</v>
      </c>
      <c r="J77" s="38" t="s">
        <v>90</v>
      </c>
      <c r="K77" s="21">
        <f t="shared" si="8"/>
        <v>0</v>
      </c>
      <c r="L77" s="38" t="s">
        <v>90</v>
      </c>
      <c r="M77" s="38" t="s">
        <v>90</v>
      </c>
      <c r="N77" s="38" t="s">
        <v>90</v>
      </c>
      <c r="O77" s="21">
        <f t="shared" si="9"/>
        <v>0</v>
      </c>
    </row>
    <row r="78" spans="1:15" x14ac:dyDescent="0.25">
      <c r="A78" s="1933" t="s">
        <v>181</v>
      </c>
      <c r="B78" s="19" t="s">
        <v>32</v>
      </c>
      <c r="C78" s="198"/>
      <c r="D78" s="195">
        <f t="shared" ref="D78:D86" si="13">0.25*D$3</f>
        <v>0</v>
      </c>
      <c r="E78" s="15">
        <v>0</v>
      </c>
      <c r="F78" s="193">
        <v>0</v>
      </c>
      <c r="G78" s="21">
        <f t="shared" si="5"/>
        <v>0</v>
      </c>
      <c r="H78" s="195">
        <f t="shared" ref="H78:H86" si="14">0.25*H$3</f>
        <v>0</v>
      </c>
      <c r="I78" s="15">
        <v>0</v>
      </c>
      <c r="J78" s="193">
        <v>0</v>
      </c>
      <c r="K78" s="21">
        <f t="shared" si="8"/>
        <v>0</v>
      </c>
      <c r="L78" s="195">
        <f t="shared" ref="L78:L86" si="15">0.25*L$3</f>
        <v>0</v>
      </c>
      <c r="M78" s="15">
        <v>0</v>
      </c>
      <c r="N78" s="193">
        <v>0</v>
      </c>
      <c r="O78" s="21">
        <f t="shared" si="9"/>
        <v>0</v>
      </c>
    </row>
    <row r="79" spans="1:15" x14ac:dyDescent="0.25">
      <c r="A79" s="1933"/>
      <c r="B79" s="19" t="s">
        <v>33</v>
      </c>
      <c r="C79" s="198"/>
      <c r="D79" s="195">
        <f t="shared" si="13"/>
        <v>0</v>
      </c>
      <c r="E79" s="15">
        <v>0</v>
      </c>
      <c r="F79" s="193">
        <v>0</v>
      </c>
      <c r="G79" s="21">
        <f t="shared" si="5"/>
        <v>0</v>
      </c>
      <c r="H79" s="195">
        <f t="shared" si="14"/>
        <v>0</v>
      </c>
      <c r="I79" s="15">
        <v>0</v>
      </c>
      <c r="J79" s="193">
        <v>0</v>
      </c>
      <c r="K79" s="21">
        <f t="shared" si="8"/>
        <v>0</v>
      </c>
      <c r="L79" s="195">
        <f t="shared" si="15"/>
        <v>0</v>
      </c>
      <c r="M79" s="15">
        <v>0</v>
      </c>
      <c r="N79" s="193">
        <v>0</v>
      </c>
      <c r="O79" s="21">
        <f t="shared" si="9"/>
        <v>0</v>
      </c>
    </row>
    <row r="80" spans="1:15" x14ac:dyDescent="0.25">
      <c r="A80" s="1933"/>
      <c r="B80" s="19" t="s">
        <v>34</v>
      </c>
      <c r="C80" s="198"/>
      <c r="D80" s="195">
        <f t="shared" si="13"/>
        <v>0</v>
      </c>
      <c r="E80" s="15">
        <v>0</v>
      </c>
      <c r="F80" s="193">
        <v>0</v>
      </c>
      <c r="G80" s="21">
        <f t="shared" si="5"/>
        <v>0</v>
      </c>
      <c r="H80" s="195">
        <f t="shared" si="14"/>
        <v>0</v>
      </c>
      <c r="I80" s="15">
        <v>0</v>
      </c>
      <c r="J80" s="193">
        <v>0</v>
      </c>
      <c r="K80" s="21">
        <f t="shared" si="8"/>
        <v>0</v>
      </c>
      <c r="L80" s="195">
        <f t="shared" si="15"/>
        <v>0</v>
      </c>
      <c r="M80" s="15">
        <v>0</v>
      </c>
      <c r="N80" s="193">
        <v>0</v>
      </c>
      <c r="O80" s="21">
        <f t="shared" si="9"/>
        <v>0</v>
      </c>
    </row>
    <row r="81" spans="1:15" x14ac:dyDescent="0.25">
      <c r="A81" s="1933" t="s">
        <v>182</v>
      </c>
      <c r="B81" s="19" t="s">
        <v>32</v>
      </c>
      <c r="C81" s="198"/>
      <c r="D81" s="195">
        <f t="shared" si="13"/>
        <v>0</v>
      </c>
      <c r="E81" s="15">
        <v>0</v>
      </c>
      <c r="F81" s="193">
        <v>0</v>
      </c>
      <c r="G81" s="21">
        <f t="shared" si="5"/>
        <v>0</v>
      </c>
      <c r="H81" s="195">
        <f t="shared" si="14"/>
        <v>0</v>
      </c>
      <c r="I81" s="15">
        <v>0</v>
      </c>
      <c r="J81" s="193">
        <v>0</v>
      </c>
      <c r="K81" s="21">
        <f t="shared" si="8"/>
        <v>0</v>
      </c>
      <c r="L81" s="195">
        <f t="shared" si="15"/>
        <v>0</v>
      </c>
      <c r="M81" s="15">
        <v>0</v>
      </c>
      <c r="N81" s="193">
        <v>0</v>
      </c>
      <c r="O81" s="21">
        <f t="shared" si="9"/>
        <v>0</v>
      </c>
    </row>
    <row r="82" spans="1:15" x14ac:dyDescent="0.25">
      <c r="A82" s="1933"/>
      <c r="B82" s="19" t="s">
        <v>33</v>
      </c>
      <c r="C82" s="198"/>
      <c r="D82" s="195">
        <f t="shared" si="13"/>
        <v>0</v>
      </c>
      <c r="E82" s="15">
        <v>0</v>
      </c>
      <c r="F82" s="193">
        <v>0</v>
      </c>
      <c r="G82" s="21">
        <f t="shared" si="5"/>
        <v>0</v>
      </c>
      <c r="H82" s="195">
        <f t="shared" si="14"/>
        <v>0</v>
      </c>
      <c r="I82" s="15">
        <v>0</v>
      </c>
      <c r="J82" s="193">
        <v>0</v>
      </c>
      <c r="K82" s="21">
        <f t="shared" si="8"/>
        <v>0</v>
      </c>
      <c r="L82" s="195">
        <f t="shared" si="15"/>
        <v>0</v>
      </c>
      <c r="M82" s="15">
        <v>0</v>
      </c>
      <c r="N82" s="193">
        <v>0</v>
      </c>
      <c r="O82" s="21">
        <f t="shared" si="9"/>
        <v>0</v>
      </c>
    </row>
    <row r="83" spans="1:15" x14ac:dyDescent="0.25">
      <c r="A83" s="1933"/>
      <c r="B83" s="19" t="s">
        <v>34</v>
      </c>
      <c r="C83" s="198"/>
      <c r="D83" s="195">
        <f t="shared" si="13"/>
        <v>0</v>
      </c>
      <c r="E83" s="15">
        <v>0</v>
      </c>
      <c r="F83" s="193">
        <v>0</v>
      </c>
      <c r="G83" s="21">
        <f t="shared" si="5"/>
        <v>0</v>
      </c>
      <c r="H83" s="195">
        <f t="shared" si="14"/>
        <v>0</v>
      </c>
      <c r="I83" s="15">
        <v>0</v>
      </c>
      <c r="J83" s="193">
        <v>0</v>
      </c>
      <c r="K83" s="21">
        <f t="shared" si="8"/>
        <v>0</v>
      </c>
      <c r="L83" s="195">
        <f t="shared" si="15"/>
        <v>0</v>
      </c>
      <c r="M83" s="15">
        <v>0</v>
      </c>
      <c r="N83" s="193">
        <v>0</v>
      </c>
      <c r="O83" s="21">
        <f t="shared" si="9"/>
        <v>0</v>
      </c>
    </row>
    <row r="84" spans="1:15" x14ac:dyDescent="0.25">
      <c r="A84" s="1935" t="s">
        <v>183</v>
      </c>
      <c r="B84" s="19" t="s">
        <v>32</v>
      </c>
      <c r="C84" s="198"/>
      <c r="D84" s="195">
        <f t="shared" si="13"/>
        <v>0</v>
      </c>
      <c r="E84" s="15">
        <v>0</v>
      </c>
      <c r="F84" s="193">
        <v>0</v>
      </c>
      <c r="G84" s="21">
        <f t="shared" si="5"/>
        <v>0</v>
      </c>
      <c r="H84" s="195">
        <f t="shared" si="14"/>
        <v>0</v>
      </c>
      <c r="I84" s="15">
        <v>0</v>
      </c>
      <c r="J84" s="193">
        <v>0</v>
      </c>
      <c r="K84" s="21">
        <f t="shared" si="8"/>
        <v>0</v>
      </c>
      <c r="L84" s="195">
        <f t="shared" si="15"/>
        <v>0</v>
      </c>
      <c r="M84" s="15">
        <v>0</v>
      </c>
      <c r="N84" s="193">
        <v>0</v>
      </c>
      <c r="O84" s="21">
        <f t="shared" si="9"/>
        <v>0</v>
      </c>
    </row>
    <row r="85" spans="1:15" x14ac:dyDescent="0.25">
      <c r="A85" s="1935"/>
      <c r="B85" s="19" t="s">
        <v>33</v>
      </c>
      <c r="C85" s="198"/>
      <c r="D85" s="195">
        <f t="shared" si="13"/>
        <v>0</v>
      </c>
      <c r="E85" s="15">
        <v>0</v>
      </c>
      <c r="F85" s="193">
        <v>0</v>
      </c>
      <c r="G85" s="21">
        <f t="shared" si="5"/>
        <v>0</v>
      </c>
      <c r="H85" s="195">
        <f t="shared" si="14"/>
        <v>0</v>
      </c>
      <c r="I85" s="15">
        <v>0</v>
      </c>
      <c r="J85" s="193">
        <v>0</v>
      </c>
      <c r="K85" s="21">
        <f t="shared" si="8"/>
        <v>0</v>
      </c>
      <c r="L85" s="195">
        <f t="shared" si="15"/>
        <v>0</v>
      </c>
      <c r="M85" s="15">
        <v>0</v>
      </c>
      <c r="N85" s="193">
        <v>0</v>
      </c>
      <c r="O85" s="21">
        <f t="shared" si="9"/>
        <v>0</v>
      </c>
    </row>
    <row r="86" spans="1:15" ht="15.75" thickBot="1" x14ac:dyDescent="0.3">
      <c r="A86" s="1935"/>
      <c r="B86" s="13" t="s">
        <v>34</v>
      </c>
      <c r="C86" s="220"/>
      <c r="D86" s="195">
        <f t="shared" si="13"/>
        <v>0</v>
      </c>
      <c r="E86" s="520">
        <v>0</v>
      </c>
      <c r="F86" s="410">
        <v>0</v>
      </c>
      <c r="G86" s="77">
        <f t="shared" si="5"/>
        <v>0</v>
      </c>
      <c r="H86" s="195">
        <f t="shared" si="14"/>
        <v>0</v>
      </c>
      <c r="I86" s="520">
        <v>0</v>
      </c>
      <c r="J86" s="410">
        <v>0</v>
      </c>
      <c r="K86" s="77">
        <f t="shared" si="8"/>
        <v>0</v>
      </c>
      <c r="L86" s="195">
        <f t="shared" si="15"/>
        <v>0</v>
      </c>
      <c r="M86" s="520">
        <v>0</v>
      </c>
      <c r="N86" s="410">
        <v>0</v>
      </c>
      <c r="O86" s="77">
        <f t="shared" si="9"/>
        <v>0</v>
      </c>
    </row>
    <row r="87" spans="1:15" ht="16.5" thickBot="1" x14ac:dyDescent="0.3">
      <c r="A87" s="330" t="s">
        <v>22</v>
      </c>
      <c r="B87" s="329"/>
      <c r="C87" s="329"/>
      <c r="D87" s="329"/>
      <c r="E87" s="329"/>
      <c r="F87" s="329"/>
      <c r="G87" s="329"/>
      <c r="H87" s="329"/>
      <c r="I87" s="329"/>
      <c r="J87" s="329"/>
      <c r="K87" s="329"/>
      <c r="L87" s="329"/>
      <c r="M87" s="329"/>
      <c r="N87" s="329"/>
      <c r="O87" s="328"/>
    </row>
    <row r="88" spans="1:15" ht="15.6" customHeight="1" x14ac:dyDescent="0.25">
      <c r="A88" s="2313" t="s">
        <v>23</v>
      </c>
      <c r="B88" s="404" t="s">
        <v>32</v>
      </c>
      <c r="C88" s="324"/>
      <c r="D88" s="524">
        <v>0.25</v>
      </c>
      <c r="E88" s="479">
        <v>0</v>
      </c>
      <c r="F88" s="525">
        <v>0</v>
      </c>
      <c r="G88" s="230">
        <f t="shared" si="5"/>
        <v>0.25</v>
      </c>
      <c r="H88" s="481">
        <v>0.25</v>
      </c>
      <c r="I88" s="479">
        <v>0</v>
      </c>
      <c r="J88" s="480">
        <v>0</v>
      </c>
      <c r="K88" s="230">
        <f t="shared" ref="K88:K105" si="16" xml:space="preserve"> SUM(H88:J88) + $C88</f>
        <v>0.25</v>
      </c>
      <c r="L88" s="481">
        <v>0.25</v>
      </c>
      <c r="M88" s="479">
        <v>0</v>
      </c>
      <c r="N88" s="480">
        <v>0</v>
      </c>
      <c r="O88" s="230">
        <f t="shared" ref="O88:O105" si="17" xml:space="preserve"> SUM(L88:N88) + $C88</f>
        <v>0.25</v>
      </c>
    </row>
    <row r="89" spans="1:15" x14ac:dyDescent="0.25">
      <c r="A89" s="2313"/>
      <c r="B89" s="19" t="s">
        <v>33</v>
      </c>
      <c r="C89" s="22"/>
      <c r="D89" s="503">
        <v>0.25</v>
      </c>
      <c r="E89" s="15">
        <v>0</v>
      </c>
      <c r="F89" s="193">
        <v>0</v>
      </c>
      <c r="G89" s="21">
        <f t="shared" si="5"/>
        <v>0.25</v>
      </c>
      <c r="H89" s="482">
        <v>0.25</v>
      </c>
      <c r="I89" s="15">
        <v>0</v>
      </c>
      <c r="J89" s="33">
        <v>0</v>
      </c>
      <c r="K89" s="21">
        <f t="shared" si="16"/>
        <v>0.25</v>
      </c>
      <c r="L89" s="482">
        <v>0.25</v>
      </c>
      <c r="M89" s="15">
        <v>0</v>
      </c>
      <c r="N89" s="33">
        <v>0</v>
      </c>
      <c r="O89" s="21">
        <f t="shared" si="17"/>
        <v>0.25</v>
      </c>
    </row>
    <row r="90" spans="1:15" x14ac:dyDescent="0.25">
      <c r="A90" s="2313"/>
      <c r="B90" s="19" t="s">
        <v>34</v>
      </c>
      <c r="C90" s="22"/>
      <c r="D90" s="526">
        <v>0.25</v>
      </c>
      <c r="E90" s="15">
        <v>0</v>
      </c>
      <c r="F90" s="193">
        <v>0</v>
      </c>
      <c r="G90" s="21">
        <f t="shared" si="5"/>
        <v>0.25</v>
      </c>
      <c r="H90" s="483">
        <v>0.25</v>
      </c>
      <c r="I90" s="15">
        <v>0</v>
      </c>
      <c r="J90" s="33">
        <v>0</v>
      </c>
      <c r="K90" s="21">
        <f t="shared" si="16"/>
        <v>0.25</v>
      </c>
      <c r="L90" s="483">
        <v>0.25</v>
      </c>
      <c r="M90" s="15">
        <v>0</v>
      </c>
      <c r="N90" s="33">
        <v>0</v>
      </c>
      <c r="O90" s="21">
        <f t="shared" si="17"/>
        <v>0.25</v>
      </c>
    </row>
    <row r="91" spans="1:15" ht="15.6" customHeight="1" x14ac:dyDescent="0.25">
      <c r="A91" s="1933" t="s">
        <v>24</v>
      </c>
      <c r="B91" s="19" t="s">
        <v>32</v>
      </c>
      <c r="C91" s="22"/>
      <c r="D91" s="190">
        <v>8</v>
      </c>
      <c r="E91" s="123">
        <f>4*E$3</f>
        <v>0</v>
      </c>
      <c r="F91" s="193">
        <v>0</v>
      </c>
      <c r="G91" s="21">
        <f t="shared" si="5"/>
        <v>8</v>
      </c>
      <c r="H91" s="190">
        <v>8</v>
      </c>
      <c r="I91" s="123">
        <f>4*I$3</f>
        <v>0</v>
      </c>
      <c r="J91" s="193">
        <v>0</v>
      </c>
      <c r="K91" s="21">
        <f t="shared" si="16"/>
        <v>8</v>
      </c>
      <c r="L91" s="190">
        <v>8</v>
      </c>
      <c r="M91" s="123">
        <f>4*M$3</f>
        <v>0</v>
      </c>
      <c r="N91" s="193">
        <v>0</v>
      </c>
      <c r="O91" s="21">
        <f t="shared" si="17"/>
        <v>8</v>
      </c>
    </row>
    <row r="92" spans="1:15" x14ac:dyDescent="0.25">
      <c r="A92" s="1933"/>
      <c r="B92" s="19" t="s">
        <v>33</v>
      </c>
      <c r="C92" s="22"/>
      <c r="D92" s="190">
        <v>12</v>
      </c>
      <c r="E92" s="123">
        <f>4*E$3</f>
        <v>0</v>
      </c>
      <c r="F92" s="193">
        <v>0</v>
      </c>
      <c r="G92" s="21">
        <f t="shared" si="5"/>
        <v>12</v>
      </c>
      <c r="H92" s="190">
        <v>12</v>
      </c>
      <c r="I92" s="123">
        <f>4*I$3</f>
        <v>0</v>
      </c>
      <c r="J92" s="193">
        <v>0</v>
      </c>
      <c r="K92" s="21">
        <f t="shared" si="16"/>
        <v>12</v>
      </c>
      <c r="L92" s="190">
        <v>12</v>
      </c>
      <c r="M92" s="123">
        <f>4*M$3</f>
        <v>0</v>
      </c>
      <c r="N92" s="193">
        <v>0</v>
      </c>
      <c r="O92" s="21">
        <f t="shared" si="17"/>
        <v>12</v>
      </c>
    </row>
    <row r="93" spans="1:15" x14ac:dyDescent="0.25">
      <c r="A93" s="1933"/>
      <c r="B93" s="19" t="s">
        <v>34</v>
      </c>
      <c r="C93" s="22"/>
      <c r="D93" s="190">
        <v>16</v>
      </c>
      <c r="E93" s="123">
        <f>4*E$3</f>
        <v>0</v>
      </c>
      <c r="F93" s="193">
        <v>0</v>
      </c>
      <c r="G93" s="21">
        <f t="shared" si="5"/>
        <v>16</v>
      </c>
      <c r="H93" s="190">
        <v>16</v>
      </c>
      <c r="I93" s="123">
        <f>4*I$3</f>
        <v>0</v>
      </c>
      <c r="J93" s="193">
        <v>0</v>
      </c>
      <c r="K93" s="21">
        <f t="shared" si="16"/>
        <v>16</v>
      </c>
      <c r="L93" s="190">
        <v>16</v>
      </c>
      <c r="M93" s="123">
        <f>4*M$3</f>
        <v>0</v>
      </c>
      <c r="N93" s="193">
        <v>0</v>
      </c>
      <c r="O93" s="21">
        <f t="shared" si="17"/>
        <v>16</v>
      </c>
    </row>
    <row r="94" spans="1:15" ht="15.6" customHeight="1" x14ac:dyDescent="0.25">
      <c r="A94" s="1933" t="s">
        <v>25</v>
      </c>
      <c r="B94" s="19" t="s">
        <v>32</v>
      </c>
      <c r="C94" s="22"/>
      <c r="D94" s="190">
        <v>2</v>
      </c>
      <c r="E94" s="33">
        <v>0</v>
      </c>
      <c r="F94" s="193">
        <v>0</v>
      </c>
      <c r="G94" s="21">
        <f t="shared" ref="G94:G105" si="18" xml:space="preserve"> SUM(D94:F94) + $C94</f>
        <v>2</v>
      </c>
      <c r="H94" s="190">
        <v>2</v>
      </c>
      <c r="I94" s="33">
        <v>0</v>
      </c>
      <c r="J94" s="193">
        <v>0</v>
      </c>
      <c r="K94" s="21">
        <f t="shared" si="16"/>
        <v>2</v>
      </c>
      <c r="L94" s="190">
        <v>2</v>
      </c>
      <c r="M94" s="33">
        <v>0</v>
      </c>
      <c r="N94" s="193">
        <v>0</v>
      </c>
      <c r="O94" s="21">
        <f t="shared" si="17"/>
        <v>2</v>
      </c>
    </row>
    <row r="95" spans="1:15" x14ac:dyDescent="0.25">
      <c r="A95" s="1933"/>
      <c r="B95" s="19" t="s">
        <v>33</v>
      </c>
      <c r="C95" s="22"/>
      <c r="D95" s="190">
        <v>4</v>
      </c>
      <c r="E95" s="33">
        <v>0</v>
      </c>
      <c r="F95" s="193">
        <v>0</v>
      </c>
      <c r="G95" s="21">
        <f t="shared" si="18"/>
        <v>4</v>
      </c>
      <c r="H95" s="190">
        <v>4</v>
      </c>
      <c r="I95" s="33">
        <v>0</v>
      </c>
      <c r="J95" s="193">
        <v>0</v>
      </c>
      <c r="K95" s="21">
        <f t="shared" si="16"/>
        <v>4</v>
      </c>
      <c r="L95" s="190">
        <v>4</v>
      </c>
      <c r="M95" s="33">
        <v>0</v>
      </c>
      <c r="N95" s="193">
        <v>0</v>
      </c>
      <c r="O95" s="21">
        <f t="shared" si="17"/>
        <v>4</v>
      </c>
    </row>
    <row r="96" spans="1:15" x14ac:dyDescent="0.25">
      <c r="A96" s="1933"/>
      <c r="B96" s="19" t="s">
        <v>34</v>
      </c>
      <c r="C96" s="22"/>
      <c r="D96" s="190">
        <v>6</v>
      </c>
      <c r="E96" s="33">
        <v>0</v>
      </c>
      <c r="F96" s="193">
        <v>0</v>
      </c>
      <c r="G96" s="21">
        <f t="shared" si="18"/>
        <v>6</v>
      </c>
      <c r="H96" s="190">
        <v>6</v>
      </c>
      <c r="I96" s="33">
        <v>0</v>
      </c>
      <c r="J96" s="193">
        <v>0</v>
      </c>
      <c r="K96" s="21">
        <f t="shared" si="16"/>
        <v>6</v>
      </c>
      <c r="L96" s="190">
        <v>6</v>
      </c>
      <c r="M96" s="33">
        <v>0</v>
      </c>
      <c r="N96" s="193">
        <v>0</v>
      </c>
      <c r="O96" s="21">
        <f t="shared" si="17"/>
        <v>6</v>
      </c>
    </row>
    <row r="97" spans="1:15" ht="15.6" customHeight="1" x14ac:dyDescent="0.25">
      <c r="A97" s="1933" t="s">
        <v>26</v>
      </c>
      <c r="B97" s="19" t="s">
        <v>32</v>
      </c>
      <c r="C97" s="22"/>
      <c r="D97" s="190">
        <v>14</v>
      </c>
      <c r="E97" s="423">
        <f>E$3*2</f>
        <v>0</v>
      </c>
      <c r="F97" s="527">
        <f>1*F$3</f>
        <v>0</v>
      </c>
      <c r="G97" s="21">
        <f t="shared" si="18"/>
        <v>14</v>
      </c>
      <c r="H97" s="190">
        <v>14</v>
      </c>
      <c r="I97" s="423">
        <f>I$3*2</f>
        <v>0</v>
      </c>
      <c r="J97" s="527">
        <f>1*J$3</f>
        <v>0</v>
      </c>
      <c r="K97" s="21">
        <f t="shared" si="16"/>
        <v>14</v>
      </c>
      <c r="L97" s="190">
        <v>14</v>
      </c>
      <c r="M97" s="423">
        <f>M$3*2</f>
        <v>0</v>
      </c>
      <c r="N97" s="527">
        <f>1*N$3</f>
        <v>0</v>
      </c>
      <c r="O97" s="21">
        <f t="shared" si="17"/>
        <v>14</v>
      </c>
    </row>
    <row r="98" spans="1:15" x14ac:dyDescent="0.25">
      <c r="A98" s="1933"/>
      <c r="B98" s="19" t="s">
        <v>33</v>
      </c>
      <c r="C98" s="22"/>
      <c r="D98" s="190">
        <v>26</v>
      </c>
      <c r="E98" s="423">
        <f>E$3*2.5</f>
        <v>0</v>
      </c>
      <c r="F98" s="527">
        <f>1.5*F$3</f>
        <v>0</v>
      </c>
      <c r="G98" s="21">
        <f t="shared" si="18"/>
        <v>26</v>
      </c>
      <c r="H98" s="190">
        <v>26</v>
      </c>
      <c r="I98" s="423">
        <f>I$3*2.5</f>
        <v>0</v>
      </c>
      <c r="J98" s="527">
        <f>1.5*J$3</f>
        <v>0</v>
      </c>
      <c r="K98" s="21">
        <f t="shared" si="16"/>
        <v>26</v>
      </c>
      <c r="L98" s="190">
        <v>26</v>
      </c>
      <c r="M98" s="423">
        <f>M$3*2.5</f>
        <v>0</v>
      </c>
      <c r="N98" s="527">
        <f>1.5*N$3</f>
        <v>0</v>
      </c>
      <c r="O98" s="21">
        <f t="shared" si="17"/>
        <v>26</v>
      </c>
    </row>
    <row r="99" spans="1:15" x14ac:dyDescent="0.25">
      <c r="A99" s="1933"/>
      <c r="B99" s="19" t="s">
        <v>34</v>
      </c>
      <c r="C99" s="22"/>
      <c r="D99" s="190">
        <v>34</v>
      </c>
      <c r="E99" s="423">
        <f>E$3*3</f>
        <v>0</v>
      </c>
      <c r="F99" s="527">
        <f>2*F$3</f>
        <v>0</v>
      </c>
      <c r="G99" s="21">
        <f t="shared" si="18"/>
        <v>34</v>
      </c>
      <c r="H99" s="190">
        <v>34</v>
      </c>
      <c r="I99" s="423">
        <f>I$3*3</f>
        <v>0</v>
      </c>
      <c r="J99" s="527">
        <f>2*J$3</f>
        <v>0</v>
      </c>
      <c r="K99" s="21">
        <f t="shared" si="16"/>
        <v>34</v>
      </c>
      <c r="L99" s="190">
        <v>34</v>
      </c>
      <c r="M99" s="423">
        <f>M$3*3</f>
        <v>0</v>
      </c>
      <c r="N99" s="527">
        <f>2*N$3</f>
        <v>0</v>
      </c>
      <c r="O99" s="21">
        <f t="shared" si="17"/>
        <v>34</v>
      </c>
    </row>
    <row r="100" spans="1:15" ht="15.6" customHeight="1" x14ac:dyDescent="0.25">
      <c r="A100" s="1933" t="s">
        <v>27</v>
      </c>
      <c r="B100" s="19" t="s">
        <v>32</v>
      </c>
      <c r="C100" s="22"/>
      <c r="D100" s="190">
        <v>8</v>
      </c>
      <c r="E100" s="423">
        <f>E$3*2</f>
        <v>0</v>
      </c>
      <c r="F100" s="527">
        <f>1*F$3</f>
        <v>0</v>
      </c>
      <c r="G100" s="21">
        <f t="shared" si="18"/>
        <v>8</v>
      </c>
      <c r="H100" s="190">
        <v>8</v>
      </c>
      <c r="I100" s="423">
        <f>I$3*2</f>
        <v>0</v>
      </c>
      <c r="J100" s="527">
        <f>1*J$3</f>
        <v>0</v>
      </c>
      <c r="K100" s="21">
        <f t="shared" si="16"/>
        <v>8</v>
      </c>
      <c r="L100" s="190">
        <v>8</v>
      </c>
      <c r="M100" s="423">
        <f>M$3*2</f>
        <v>0</v>
      </c>
      <c r="N100" s="527">
        <f>1*N$3</f>
        <v>0</v>
      </c>
      <c r="O100" s="21">
        <f t="shared" si="17"/>
        <v>8</v>
      </c>
    </row>
    <row r="101" spans="1:15" x14ac:dyDescent="0.25">
      <c r="A101" s="1933"/>
      <c r="B101" s="19" t="s">
        <v>33</v>
      </c>
      <c r="C101" s="22"/>
      <c r="D101" s="190">
        <v>10</v>
      </c>
      <c r="E101" s="423">
        <f>E$3*2.5</f>
        <v>0</v>
      </c>
      <c r="F101" s="527">
        <f>1.5*F$3</f>
        <v>0</v>
      </c>
      <c r="G101" s="21">
        <f t="shared" si="18"/>
        <v>10</v>
      </c>
      <c r="H101" s="190">
        <v>10</v>
      </c>
      <c r="I101" s="423">
        <f>I$3*2.5</f>
        <v>0</v>
      </c>
      <c r="J101" s="527">
        <f>1.5*J$3</f>
        <v>0</v>
      </c>
      <c r="K101" s="21">
        <f t="shared" si="16"/>
        <v>10</v>
      </c>
      <c r="L101" s="190">
        <v>10</v>
      </c>
      <c r="M101" s="423">
        <f>M$3*2.5</f>
        <v>0</v>
      </c>
      <c r="N101" s="527">
        <f>1.5*N$3</f>
        <v>0</v>
      </c>
      <c r="O101" s="21">
        <f t="shared" si="17"/>
        <v>10</v>
      </c>
    </row>
    <row r="102" spans="1:15" x14ac:dyDescent="0.25">
      <c r="A102" s="1933"/>
      <c r="B102" s="19" t="s">
        <v>34</v>
      </c>
      <c r="C102" s="22"/>
      <c r="D102" s="190">
        <v>14</v>
      </c>
      <c r="E102" s="423">
        <f>E$3*3</f>
        <v>0</v>
      </c>
      <c r="F102" s="527">
        <f>2*F$3</f>
        <v>0</v>
      </c>
      <c r="G102" s="21">
        <f t="shared" si="18"/>
        <v>14</v>
      </c>
      <c r="H102" s="190">
        <v>14</v>
      </c>
      <c r="I102" s="423">
        <f>I$3*3</f>
        <v>0</v>
      </c>
      <c r="J102" s="527">
        <f>2*J$3</f>
        <v>0</v>
      </c>
      <c r="K102" s="21">
        <f t="shared" si="16"/>
        <v>14</v>
      </c>
      <c r="L102" s="190">
        <v>14</v>
      </c>
      <c r="M102" s="423">
        <f>M$3*3</f>
        <v>0</v>
      </c>
      <c r="N102" s="527">
        <f>2*N$3</f>
        <v>0</v>
      </c>
      <c r="O102" s="21">
        <f t="shared" si="17"/>
        <v>14</v>
      </c>
    </row>
    <row r="103" spans="1:15" ht="15.6" customHeight="1" x14ac:dyDescent="0.25">
      <c r="A103" s="2313" t="s">
        <v>28</v>
      </c>
      <c r="B103" s="19" t="s">
        <v>32</v>
      </c>
      <c r="C103" s="22"/>
      <c r="D103" s="190">
        <v>4</v>
      </c>
      <c r="E103" s="122">
        <f t="shared" ref="E103:F105" si="19">0.5*E$3</f>
        <v>0</v>
      </c>
      <c r="F103" s="528">
        <f t="shared" si="19"/>
        <v>0</v>
      </c>
      <c r="G103" s="21">
        <f t="shared" si="18"/>
        <v>4</v>
      </c>
      <c r="H103" s="190">
        <v>4</v>
      </c>
      <c r="I103" s="122">
        <f t="shared" ref="I103:J105" si="20">0.5*I$3</f>
        <v>0</v>
      </c>
      <c r="J103" s="528">
        <f t="shared" si="20"/>
        <v>0</v>
      </c>
      <c r="K103" s="21">
        <f t="shared" si="16"/>
        <v>4</v>
      </c>
      <c r="L103" s="190">
        <v>4</v>
      </c>
      <c r="M103" s="122">
        <f t="shared" ref="M103:N105" si="21">0.5*M$3</f>
        <v>0</v>
      </c>
      <c r="N103" s="528">
        <f t="shared" si="21"/>
        <v>0</v>
      </c>
      <c r="O103" s="21">
        <f t="shared" si="17"/>
        <v>4</v>
      </c>
    </row>
    <row r="104" spans="1:15" x14ac:dyDescent="0.25">
      <c r="A104" s="2313"/>
      <c r="B104" s="19" t="s">
        <v>33</v>
      </c>
      <c r="C104" s="22"/>
      <c r="D104" s="190">
        <v>6</v>
      </c>
      <c r="E104" s="122">
        <f t="shared" si="19"/>
        <v>0</v>
      </c>
      <c r="F104" s="528">
        <f t="shared" si="19"/>
        <v>0</v>
      </c>
      <c r="G104" s="21">
        <f t="shared" si="18"/>
        <v>6</v>
      </c>
      <c r="H104" s="190">
        <v>6</v>
      </c>
      <c r="I104" s="122">
        <f t="shared" si="20"/>
        <v>0</v>
      </c>
      <c r="J104" s="528">
        <f t="shared" si="20"/>
        <v>0</v>
      </c>
      <c r="K104" s="21">
        <f t="shared" si="16"/>
        <v>6</v>
      </c>
      <c r="L104" s="190">
        <v>6</v>
      </c>
      <c r="M104" s="122">
        <f t="shared" si="21"/>
        <v>0</v>
      </c>
      <c r="N104" s="528">
        <f t="shared" si="21"/>
        <v>0</v>
      </c>
      <c r="O104" s="21">
        <f t="shared" si="17"/>
        <v>6</v>
      </c>
    </row>
    <row r="105" spans="1:15" ht="15.75" thickBot="1" x14ac:dyDescent="0.3">
      <c r="A105" s="2314"/>
      <c r="B105" s="20" t="s">
        <v>34</v>
      </c>
      <c r="C105" s="23"/>
      <c r="D105" s="196">
        <v>8</v>
      </c>
      <c r="E105" s="224">
        <f t="shared" si="19"/>
        <v>0</v>
      </c>
      <c r="F105" s="529">
        <f t="shared" si="19"/>
        <v>0</v>
      </c>
      <c r="G105" s="24">
        <f t="shared" si="18"/>
        <v>8</v>
      </c>
      <c r="H105" s="196">
        <v>8</v>
      </c>
      <c r="I105" s="224">
        <f t="shared" si="20"/>
        <v>0</v>
      </c>
      <c r="J105" s="529">
        <f t="shared" si="20"/>
        <v>0</v>
      </c>
      <c r="K105" s="24">
        <f t="shared" si="16"/>
        <v>8</v>
      </c>
      <c r="L105" s="196">
        <v>8</v>
      </c>
      <c r="M105" s="224">
        <f t="shared" si="21"/>
        <v>0</v>
      </c>
      <c r="N105" s="529">
        <f t="shared" si="21"/>
        <v>0</v>
      </c>
      <c r="O105" s="24">
        <f t="shared" si="17"/>
        <v>8</v>
      </c>
    </row>
    <row r="106" spans="1:15" x14ac:dyDescent="0.25">
      <c r="G106" s="83"/>
      <c r="K106" s="83"/>
      <c r="O106" s="83"/>
    </row>
    <row r="107" spans="1:15" x14ac:dyDescent="0.25">
      <c r="A107" s="125" t="s">
        <v>89</v>
      </c>
      <c r="G107" s="83"/>
      <c r="K107" s="83"/>
      <c r="O107" s="83"/>
    </row>
    <row r="108" spans="1:15" x14ac:dyDescent="0.25">
      <c r="G108" s="83"/>
      <c r="K108" s="83"/>
      <c r="O108" s="83"/>
    </row>
  </sheetData>
  <mergeCells count="35">
    <mergeCell ref="L1:N1"/>
    <mergeCell ref="D1:G1"/>
    <mergeCell ref="H1:K1"/>
    <mergeCell ref="A78:A80"/>
    <mergeCell ref="A81:A83"/>
    <mergeCell ref="A5:A7"/>
    <mergeCell ref="A8:A10"/>
    <mergeCell ref="A12:A14"/>
    <mergeCell ref="A16:A18"/>
    <mergeCell ref="A19:A21"/>
    <mergeCell ref="A22:A24"/>
    <mergeCell ref="A25:A27"/>
    <mergeCell ref="A28:A30"/>
    <mergeCell ref="A31:A33"/>
    <mergeCell ref="A34:A36"/>
    <mergeCell ref="A38:A40"/>
    <mergeCell ref="A42:A44"/>
    <mergeCell ref="A45:A47"/>
    <mergeCell ref="A48:A50"/>
    <mergeCell ref="A51:A53"/>
    <mergeCell ref="A54:A56"/>
    <mergeCell ref="A57:A59"/>
    <mergeCell ref="A60:A62"/>
    <mergeCell ref="A75:A77"/>
    <mergeCell ref="A88:A90"/>
    <mergeCell ref="A63:A65"/>
    <mergeCell ref="A66:A68"/>
    <mergeCell ref="A69:A71"/>
    <mergeCell ref="A72:A74"/>
    <mergeCell ref="A84:A86"/>
    <mergeCell ref="A91:A93"/>
    <mergeCell ref="A94:A96"/>
    <mergeCell ref="A97:A99"/>
    <mergeCell ref="A100:A102"/>
    <mergeCell ref="A103:A105"/>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Лист20"/>
  <dimension ref="A1:O107"/>
  <sheetViews>
    <sheetView zoomScale="70" zoomScaleNormal="70" workbookViewId="0">
      <selection activeCell="A5" sqref="A5:A10"/>
    </sheetView>
  </sheetViews>
  <sheetFormatPr defaultRowHeight="15" x14ac:dyDescent="0.25"/>
  <cols>
    <col min="1" max="1" width="53.42578125" bestFit="1" customWidth="1"/>
    <col min="2" max="2" width="23.5703125" bestFit="1" customWidth="1"/>
    <col min="4" max="4" width="36.7109375" bestFit="1" customWidth="1"/>
    <col min="5" max="6" width="31.28515625" bestFit="1" customWidth="1"/>
    <col min="8" max="8" width="36.7109375" bestFit="1" customWidth="1"/>
    <col min="9" max="10" width="31.28515625" bestFit="1" customWidth="1"/>
    <col min="12" max="12" width="36.7109375" bestFit="1" customWidth="1"/>
    <col min="13" max="14" width="31.28515625" bestFit="1" customWidth="1"/>
  </cols>
  <sheetData>
    <row r="1" spans="1:15" ht="16.5" thickBot="1" x14ac:dyDescent="0.3">
      <c r="A1" s="465" t="s">
        <v>91</v>
      </c>
      <c r="B1" s="35"/>
      <c r="C1" s="43"/>
      <c r="D1" s="1939" t="str">
        <f>'Служебный АСУТП'!AA2</f>
        <v>InfoWatch Targeted Attack Detector</v>
      </c>
      <c r="E1" s="1940"/>
      <c r="F1" s="1940"/>
      <c r="G1" s="1941"/>
      <c r="H1" s="1939" t="str">
        <f>'Служебный АСУТП'!AA3</f>
        <v>KATA</v>
      </c>
      <c r="I1" s="1940"/>
      <c r="J1" s="1940"/>
      <c r="K1" s="1941"/>
      <c r="L1" s="1939" t="str">
        <f>'Служебный АСУТП'!AA4</f>
        <v>PT Anti-APT</v>
      </c>
      <c r="M1" s="1940"/>
      <c r="N1" s="1940"/>
      <c r="O1" s="1941"/>
    </row>
    <row r="2" spans="1:15" ht="15.75" x14ac:dyDescent="0.25">
      <c r="B2" s="41" t="s">
        <v>37</v>
      </c>
      <c r="C2" s="1945" t="s">
        <v>35</v>
      </c>
      <c r="D2" s="718" t="s">
        <v>602</v>
      </c>
      <c r="E2" s="717" t="s">
        <v>600</v>
      </c>
      <c r="F2" s="717" t="s">
        <v>601</v>
      </c>
      <c r="G2" s="1942" t="s">
        <v>38</v>
      </c>
      <c r="H2" s="718" t="s">
        <v>602</v>
      </c>
      <c r="I2" s="717" t="s">
        <v>600</v>
      </c>
      <c r="J2" s="717" t="s">
        <v>601</v>
      </c>
      <c r="K2" s="1942" t="s">
        <v>38</v>
      </c>
      <c r="L2" s="718" t="s">
        <v>602</v>
      </c>
      <c r="M2" s="717" t="s">
        <v>600</v>
      </c>
      <c r="N2" s="717" t="s">
        <v>601</v>
      </c>
      <c r="O2" s="1942" t="s">
        <v>38</v>
      </c>
    </row>
    <row r="3" spans="1:15"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row>
    <row r="4" spans="1:15" ht="16.5" thickBot="1" x14ac:dyDescent="0.3">
      <c r="A4" s="326" t="s">
        <v>448</v>
      </c>
      <c r="B4" s="327"/>
      <c r="C4" s="327"/>
      <c r="D4" s="327"/>
      <c r="E4" s="327"/>
      <c r="F4" s="327"/>
      <c r="G4" s="327"/>
      <c r="H4" s="327"/>
      <c r="I4" s="327"/>
      <c r="J4" s="327"/>
      <c r="K4" s="327"/>
      <c r="L4" s="327"/>
      <c r="M4" s="327"/>
      <c r="N4" s="327"/>
      <c r="O4" s="396"/>
    </row>
    <row r="5" spans="1:15" x14ac:dyDescent="0.25">
      <c r="A5" s="1932" t="s">
        <v>0</v>
      </c>
      <c r="B5" s="404" t="s">
        <v>32</v>
      </c>
      <c r="C5" s="324"/>
      <c r="D5" s="719">
        <v>1</v>
      </c>
      <c r="E5" s="719">
        <v>0</v>
      </c>
      <c r="F5" s="719">
        <v>0</v>
      </c>
      <c r="G5" s="230">
        <f xml:space="preserve"> SUM(D5:F5) + $C5</f>
        <v>1</v>
      </c>
      <c r="H5" s="719">
        <v>1</v>
      </c>
      <c r="I5" s="719">
        <v>0</v>
      </c>
      <c r="J5" s="719">
        <v>0</v>
      </c>
      <c r="K5" s="230">
        <f t="shared" ref="K5:K10" si="0" xml:space="preserve"> SUM(H5:J5) + $C5</f>
        <v>1</v>
      </c>
      <c r="L5" s="719">
        <v>1</v>
      </c>
      <c r="M5" s="719">
        <v>0</v>
      </c>
      <c r="N5" s="719">
        <v>0</v>
      </c>
      <c r="O5" s="230">
        <f t="shared" ref="O5:O10" si="1" xml:space="preserve"> SUM(L5:N5) + $C5</f>
        <v>1</v>
      </c>
    </row>
    <row r="6" spans="1:15" x14ac:dyDescent="0.25">
      <c r="A6" s="1932"/>
      <c r="B6" s="19" t="s">
        <v>33</v>
      </c>
      <c r="C6" s="22"/>
      <c r="D6" s="720">
        <v>1.5</v>
      </c>
      <c r="E6" s="720">
        <v>0</v>
      </c>
      <c r="F6" s="720">
        <v>0</v>
      </c>
      <c r="G6" s="21">
        <f xml:space="preserve"> SUM(D6:F6) + $C6</f>
        <v>1.5</v>
      </c>
      <c r="H6" s="720">
        <v>1.5</v>
      </c>
      <c r="I6" s="720">
        <v>0</v>
      </c>
      <c r="J6" s="720">
        <v>0</v>
      </c>
      <c r="K6" s="21">
        <f t="shared" si="0"/>
        <v>1.5</v>
      </c>
      <c r="L6" s="720">
        <v>1.5</v>
      </c>
      <c r="M6" s="720">
        <v>0</v>
      </c>
      <c r="N6" s="720">
        <v>0</v>
      </c>
      <c r="O6" s="21">
        <f t="shared" si="1"/>
        <v>1.5</v>
      </c>
    </row>
    <row r="7" spans="1:15" x14ac:dyDescent="0.25">
      <c r="A7" s="1973"/>
      <c r="B7" s="19" t="s">
        <v>34</v>
      </c>
      <c r="C7" s="22"/>
      <c r="D7" s="720">
        <v>2</v>
      </c>
      <c r="E7" s="720">
        <v>0</v>
      </c>
      <c r="F7" s="720">
        <v>0</v>
      </c>
      <c r="G7" s="21">
        <f xml:space="preserve"> SUM(D7:F7) + $C7</f>
        <v>2</v>
      </c>
      <c r="H7" s="720">
        <v>2</v>
      </c>
      <c r="I7" s="720">
        <v>0</v>
      </c>
      <c r="J7" s="720">
        <v>0</v>
      </c>
      <c r="K7" s="21">
        <f t="shared" si="0"/>
        <v>2</v>
      </c>
      <c r="L7" s="720">
        <v>2</v>
      </c>
      <c r="M7" s="720">
        <v>0</v>
      </c>
      <c r="N7" s="720">
        <v>0</v>
      </c>
      <c r="O7" s="21">
        <f t="shared" si="1"/>
        <v>2</v>
      </c>
    </row>
    <row r="8" spans="1:15" x14ac:dyDescent="0.25">
      <c r="A8" s="1932" t="s">
        <v>449</v>
      </c>
      <c r="B8" s="404" t="s">
        <v>32</v>
      </c>
      <c r="C8" s="324"/>
      <c r="D8" s="720">
        <v>1</v>
      </c>
      <c r="E8" s="720">
        <v>0</v>
      </c>
      <c r="F8" s="720">
        <v>0</v>
      </c>
      <c r="G8" s="21">
        <f xml:space="preserve"> SUM(D8:F8) + $C8</f>
        <v>1</v>
      </c>
      <c r="H8" s="720">
        <v>1</v>
      </c>
      <c r="I8" s="720">
        <v>0</v>
      </c>
      <c r="J8" s="720">
        <v>0</v>
      </c>
      <c r="K8" s="21">
        <f t="shared" si="0"/>
        <v>1</v>
      </c>
      <c r="L8" s="720">
        <v>1</v>
      </c>
      <c r="M8" s="720">
        <v>0</v>
      </c>
      <c r="N8" s="720">
        <v>0</v>
      </c>
      <c r="O8" s="21">
        <f t="shared" si="1"/>
        <v>1</v>
      </c>
    </row>
    <row r="9" spans="1:15" x14ac:dyDescent="0.25">
      <c r="A9" s="1932"/>
      <c r="B9" s="19" t="s">
        <v>33</v>
      </c>
      <c r="C9" s="22"/>
      <c r="D9" s="720">
        <v>1.5</v>
      </c>
      <c r="E9" s="720">
        <v>0</v>
      </c>
      <c r="F9" s="720">
        <v>0</v>
      </c>
      <c r="G9" s="21">
        <f t="shared" ref="G9:G93" si="2" xml:space="preserve"> SUM(D9:F9) + $C9</f>
        <v>1.5</v>
      </c>
      <c r="H9" s="720">
        <v>1.5</v>
      </c>
      <c r="I9" s="720">
        <v>0</v>
      </c>
      <c r="J9" s="720">
        <v>0</v>
      </c>
      <c r="K9" s="21">
        <f t="shared" si="0"/>
        <v>1.5</v>
      </c>
      <c r="L9" s="720">
        <v>1.5</v>
      </c>
      <c r="M9" s="720">
        <v>0</v>
      </c>
      <c r="N9" s="720">
        <v>0</v>
      </c>
      <c r="O9" s="21">
        <f t="shared" si="1"/>
        <v>1.5</v>
      </c>
    </row>
    <row r="10" spans="1:15" ht="15.75" thickBot="1" x14ac:dyDescent="0.3">
      <c r="A10" s="1932"/>
      <c r="B10" s="13" t="s">
        <v>34</v>
      </c>
      <c r="C10" s="34"/>
      <c r="D10" s="721">
        <v>2</v>
      </c>
      <c r="E10" s="721">
        <v>0</v>
      </c>
      <c r="F10" s="721">
        <v>0</v>
      </c>
      <c r="G10" s="77">
        <f t="shared" si="2"/>
        <v>2</v>
      </c>
      <c r="H10" s="721">
        <v>2</v>
      </c>
      <c r="I10" s="721">
        <v>0</v>
      </c>
      <c r="J10" s="721">
        <v>0</v>
      </c>
      <c r="K10" s="77">
        <f t="shared" si="0"/>
        <v>2</v>
      </c>
      <c r="L10" s="721">
        <v>2</v>
      </c>
      <c r="M10" s="721">
        <v>0</v>
      </c>
      <c r="N10" s="721">
        <v>0</v>
      </c>
      <c r="O10" s="77">
        <f t="shared" si="1"/>
        <v>2</v>
      </c>
    </row>
    <row r="11" spans="1:15" ht="16.5" thickBot="1" x14ac:dyDescent="0.3">
      <c r="A11" s="326" t="s">
        <v>1</v>
      </c>
      <c r="B11" s="327"/>
      <c r="C11" s="327"/>
      <c r="D11" s="327"/>
      <c r="E11" s="327"/>
      <c r="F11" s="327"/>
      <c r="G11" s="327"/>
      <c r="H11" s="327"/>
      <c r="I11" s="327"/>
      <c r="J11" s="327"/>
      <c r="K11" s="327"/>
      <c r="L11" s="327"/>
      <c r="M11" s="327"/>
      <c r="N11" s="327"/>
      <c r="O11" s="396"/>
    </row>
    <row r="12" spans="1:15" x14ac:dyDescent="0.25">
      <c r="A12" s="1932" t="s">
        <v>2</v>
      </c>
      <c r="B12" s="404" t="s">
        <v>32</v>
      </c>
      <c r="C12" s="324"/>
      <c r="D12" s="723">
        <v>20</v>
      </c>
      <c r="E12" s="723">
        <v>0</v>
      </c>
      <c r="F12" s="723">
        <v>0</v>
      </c>
      <c r="G12" s="230">
        <f t="shared" si="2"/>
        <v>20</v>
      </c>
      <c r="H12" s="726">
        <v>20</v>
      </c>
      <c r="I12" s="726">
        <v>0</v>
      </c>
      <c r="J12" s="726">
        <v>0</v>
      </c>
      <c r="K12" s="230">
        <f xml:space="preserve"> SUM(H12:J12) + $C12</f>
        <v>20</v>
      </c>
      <c r="L12" s="729">
        <v>20</v>
      </c>
      <c r="M12" s="729">
        <v>0</v>
      </c>
      <c r="N12" s="729">
        <v>0</v>
      </c>
      <c r="O12" s="230">
        <f xml:space="preserve"> SUM(L12:N12) + $C12</f>
        <v>20</v>
      </c>
    </row>
    <row r="13" spans="1:15" x14ac:dyDescent="0.25">
      <c r="A13" s="1932"/>
      <c r="B13" s="19" t="s">
        <v>33</v>
      </c>
      <c r="C13" s="22"/>
      <c r="D13" s="722">
        <v>20</v>
      </c>
      <c r="E13" s="722">
        <v>0</v>
      </c>
      <c r="F13" s="722">
        <v>0</v>
      </c>
      <c r="G13" s="21">
        <f t="shared" si="2"/>
        <v>20</v>
      </c>
      <c r="H13" s="725">
        <v>20</v>
      </c>
      <c r="I13" s="725">
        <v>0</v>
      </c>
      <c r="J13" s="725">
        <v>0</v>
      </c>
      <c r="K13" s="21">
        <f xml:space="preserve"> SUM(H13:J13) + $C13</f>
        <v>20</v>
      </c>
      <c r="L13" s="728">
        <v>20</v>
      </c>
      <c r="M13" s="728">
        <v>0</v>
      </c>
      <c r="N13" s="728">
        <v>0</v>
      </c>
      <c r="O13" s="21">
        <f xml:space="preserve"> SUM(L13:N13) + $C13</f>
        <v>20</v>
      </c>
    </row>
    <row r="14" spans="1:15" ht="15.75" thickBot="1" x14ac:dyDescent="0.3">
      <c r="A14" s="1932"/>
      <c r="B14" s="13" t="s">
        <v>34</v>
      </c>
      <c r="C14" s="34"/>
      <c r="D14" s="724">
        <v>20</v>
      </c>
      <c r="E14" s="724">
        <v>0</v>
      </c>
      <c r="F14" s="724">
        <v>0</v>
      </c>
      <c r="G14" s="77">
        <f t="shared" si="2"/>
        <v>20</v>
      </c>
      <c r="H14" s="727">
        <v>20</v>
      </c>
      <c r="I14" s="727">
        <v>0</v>
      </c>
      <c r="J14" s="727">
        <v>0</v>
      </c>
      <c r="K14" s="77">
        <f xml:space="preserve"> SUM(H14:J14) + $C14</f>
        <v>20</v>
      </c>
      <c r="L14" s="730">
        <v>20</v>
      </c>
      <c r="M14" s="730">
        <v>0</v>
      </c>
      <c r="N14" s="730">
        <v>0</v>
      </c>
      <c r="O14" s="77">
        <f xml:space="preserve"> SUM(L14:N14) + $C14</f>
        <v>20</v>
      </c>
    </row>
    <row r="15" spans="1:15" ht="16.5" thickBot="1" x14ac:dyDescent="0.3">
      <c r="A15" s="330" t="s">
        <v>3</v>
      </c>
      <c r="B15" s="329"/>
      <c r="C15" s="329"/>
      <c r="D15" s="329"/>
      <c r="E15" s="329"/>
      <c r="F15" s="327"/>
      <c r="G15" s="327"/>
      <c r="H15" s="329"/>
      <c r="I15" s="329"/>
      <c r="J15" s="327"/>
      <c r="K15" s="327"/>
      <c r="L15" s="329"/>
      <c r="M15" s="329"/>
      <c r="N15" s="327"/>
      <c r="O15" s="396"/>
    </row>
    <row r="16" spans="1:15" x14ac:dyDescent="0.25">
      <c r="A16" s="1944" t="s">
        <v>4</v>
      </c>
      <c r="B16" s="325" t="s">
        <v>32</v>
      </c>
      <c r="C16" s="324"/>
      <c r="D16" s="427">
        <v>0.25</v>
      </c>
      <c r="E16" s="400">
        <v>0</v>
      </c>
      <c r="F16" s="428">
        <v>0</v>
      </c>
      <c r="G16" s="230">
        <f t="shared" si="2"/>
        <v>0.25</v>
      </c>
      <c r="H16" s="760">
        <v>0.25</v>
      </c>
      <c r="I16" s="755">
        <v>0</v>
      </c>
      <c r="J16" s="761">
        <v>0</v>
      </c>
      <c r="K16" s="230">
        <f t="shared" ref="K16:K36" si="3" xml:space="preserve"> SUM(H16:J16) + $C16</f>
        <v>0.25</v>
      </c>
      <c r="L16" s="760">
        <v>0.25</v>
      </c>
      <c r="M16" s="755">
        <v>0</v>
      </c>
      <c r="N16" s="761">
        <v>0</v>
      </c>
      <c r="O16" s="230">
        <f t="shared" ref="O16:O36" si="4" xml:space="preserve"> SUM(L16:N16) + $C16</f>
        <v>0.25</v>
      </c>
    </row>
    <row r="17" spans="1:15" x14ac:dyDescent="0.25">
      <c r="A17" s="1937"/>
      <c r="B17" s="18" t="s">
        <v>33</v>
      </c>
      <c r="C17" s="22"/>
      <c r="D17" s="731">
        <v>0.25</v>
      </c>
      <c r="E17" s="15">
        <v>0</v>
      </c>
      <c r="F17" s="33">
        <v>0</v>
      </c>
      <c r="G17" s="21">
        <f t="shared" si="2"/>
        <v>0.25</v>
      </c>
      <c r="H17" s="760">
        <v>0.25</v>
      </c>
      <c r="I17" s="740">
        <v>0</v>
      </c>
      <c r="J17" s="743">
        <v>0</v>
      </c>
      <c r="K17" s="21">
        <f t="shared" si="3"/>
        <v>0.25</v>
      </c>
      <c r="L17" s="760">
        <v>0.25</v>
      </c>
      <c r="M17" s="740">
        <v>0</v>
      </c>
      <c r="N17" s="743">
        <v>0</v>
      </c>
      <c r="O17" s="21">
        <f t="shared" si="4"/>
        <v>0.25</v>
      </c>
    </row>
    <row r="18" spans="1:15" x14ac:dyDescent="0.25">
      <c r="A18" s="1937"/>
      <c r="B18" s="18" t="s">
        <v>34</v>
      </c>
      <c r="C18" s="22"/>
      <c r="D18" s="731">
        <v>0.25</v>
      </c>
      <c r="E18" s="15">
        <v>0</v>
      </c>
      <c r="F18" s="33">
        <v>0</v>
      </c>
      <c r="G18" s="21">
        <f t="shared" si="2"/>
        <v>0.25</v>
      </c>
      <c r="H18" s="760">
        <v>0.25</v>
      </c>
      <c r="I18" s="740">
        <v>0</v>
      </c>
      <c r="J18" s="743">
        <v>0</v>
      </c>
      <c r="K18" s="21">
        <f t="shared" si="3"/>
        <v>0.25</v>
      </c>
      <c r="L18" s="760">
        <v>0.25</v>
      </c>
      <c r="M18" s="740">
        <v>0</v>
      </c>
      <c r="N18" s="743">
        <v>0</v>
      </c>
      <c r="O18" s="21">
        <f t="shared" si="4"/>
        <v>0.25</v>
      </c>
    </row>
    <row r="19" spans="1:15" x14ac:dyDescent="0.25">
      <c r="A19" s="1937" t="s">
        <v>5</v>
      </c>
      <c r="B19" s="19" t="s">
        <v>32</v>
      </c>
      <c r="C19" s="22"/>
      <c r="D19" s="735">
        <v>1</v>
      </c>
      <c r="E19" s="733">
        <v>0</v>
      </c>
      <c r="F19" s="734">
        <v>0</v>
      </c>
      <c r="G19" s="21">
        <f t="shared" si="2"/>
        <v>1</v>
      </c>
      <c r="H19" s="744">
        <v>1</v>
      </c>
      <c r="I19" s="740">
        <v>0</v>
      </c>
      <c r="J19" s="743">
        <v>0</v>
      </c>
      <c r="K19" s="21">
        <f t="shared" si="3"/>
        <v>1</v>
      </c>
      <c r="L19" s="744">
        <v>1</v>
      </c>
      <c r="M19" s="740">
        <v>0</v>
      </c>
      <c r="N19" s="743">
        <v>0</v>
      </c>
      <c r="O19" s="21">
        <f t="shared" si="4"/>
        <v>1</v>
      </c>
    </row>
    <row r="20" spans="1:15" x14ac:dyDescent="0.25">
      <c r="A20" s="1937"/>
      <c r="B20" s="19" t="s">
        <v>33</v>
      </c>
      <c r="C20" s="22"/>
      <c r="D20" s="735">
        <v>2</v>
      </c>
      <c r="E20" s="733">
        <v>0</v>
      </c>
      <c r="F20" s="734">
        <v>0</v>
      </c>
      <c r="G20" s="21">
        <f t="shared" si="2"/>
        <v>2</v>
      </c>
      <c r="H20" s="744">
        <v>2</v>
      </c>
      <c r="I20" s="740">
        <v>0</v>
      </c>
      <c r="J20" s="743">
        <v>0</v>
      </c>
      <c r="K20" s="21">
        <f t="shared" si="3"/>
        <v>2</v>
      </c>
      <c r="L20" s="744">
        <v>2</v>
      </c>
      <c r="M20" s="740">
        <v>0</v>
      </c>
      <c r="N20" s="743">
        <v>0</v>
      </c>
      <c r="O20" s="21">
        <f t="shared" si="4"/>
        <v>2</v>
      </c>
    </row>
    <row r="21" spans="1:15" x14ac:dyDescent="0.25">
      <c r="A21" s="1937"/>
      <c r="B21" s="19" t="s">
        <v>34</v>
      </c>
      <c r="C21" s="22"/>
      <c r="D21" s="735">
        <v>3</v>
      </c>
      <c r="E21" s="733">
        <v>0</v>
      </c>
      <c r="F21" s="734">
        <v>0</v>
      </c>
      <c r="G21" s="21">
        <f t="shared" si="2"/>
        <v>3</v>
      </c>
      <c r="H21" s="744">
        <v>3</v>
      </c>
      <c r="I21" s="740">
        <v>0</v>
      </c>
      <c r="J21" s="743">
        <v>0</v>
      </c>
      <c r="K21" s="21">
        <f t="shared" si="3"/>
        <v>3</v>
      </c>
      <c r="L21" s="744">
        <v>3</v>
      </c>
      <c r="M21" s="740">
        <v>0</v>
      </c>
      <c r="N21" s="743">
        <v>0</v>
      </c>
      <c r="O21" s="21">
        <f t="shared" si="4"/>
        <v>3</v>
      </c>
    </row>
    <row r="22" spans="1:15" x14ac:dyDescent="0.25">
      <c r="A22" s="1937" t="s">
        <v>6</v>
      </c>
      <c r="B22" s="19" t="s">
        <v>32</v>
      </c>
      <c r="C22" s="22"/>
      <c r="D22" s="746">
        <f>IF(D$3=1,24,22+D$3*2)</f>
        <v>22</v>
      </c>
      <c r="E22" s="738">
        <v>0</v>
      </c>
      <c r="F22" s="732">
        <v>0</v>
      </c>
      <c r="G22" s="21">
        <f t="shared" si="2"/>
        <v>22</v>
      </c>
      <c r="H22" s="746">
        <f>IF(H$3=1,24,22+H$3*2)</f>
        <v>22</v>
      </c>
      <c r="I22" s="764">
        <v>0</v>
      </c>
      <c r="J22" s="739">
        <v>0</v>
      </c>
      <c r="K22" s="21">
        <f t="shared" si="3"/>
        <v>22</v>
      </c>
      <c r="L22" s="746">
        <f>IF(L$3=1,24,22+L$3*2)</f>
        <v>22</v>
      </c>
      <c r="M22" s="764">
        <v>0</v>
      </c>
      <c r="N22" s="739">
        <v>0</v>
      </c>
      <c r="O22" s="21">
        <f t="shared" si="4"/>
        <v>22</v>
      </c>
    </row>
    <row r="23" spans="1:15" x14ac:dyDescent="0.25">
      <c r="A23" s="1937"/>
      <c r="B23" s="19" t="s">
        <v>33</v>
      </c>
      <c r="C23" s="22"/>
      <c r="D23" s="746">
        <f>IF(D$3=1,32,28+D$3*4)</f>
        <v>28</v>
      </c>
      <c r="E23" s="738">
        <v>0</v>
      </c>
      <c r="F23" s="732">
        <v>0</v>
      </c>
      <c r="G23" s="21">
        <f t="shared" si="2"/>
        <v>28</v>
      </c>
      <c r="H23" s="746">
        <f>IF(H$3=1,32,28+H$3*4)</f>
        <v>28</v>
      </c>
      <c r="I23" s="764">
        <v>0</v>
      </c>
      <c r="J23" s="739">
        <v>0</v>
      </c>
      <c r="K23" s="21">
        <f t="shared" si="3"/>
        <v>28</v>
      </c>
      <c r="L23" s="746">
        <f>IF(L$3=1,32,28+L$3*4)</f>
        <v>28</v>
      </c>
      <c r="M23" s="764">
        <v>0</v>
      </c>
      <c r="N23" s="739">
        <v>0</v>
      </c>
      <c r="O23" s="21">
        <f t="shared" si="4"/>
        <v>28</v>
      </c>
    </row>
    <row r="24" spans="1:15" x14ac:dyDescent="0.25">
      <c r="A24" s="1937"/>
      <c r="B24" s="19" t="s">
        <v>34</v>
      </c>
      <c r="C24" s="22"/>
      <c r="D24" s="746">
        <f>IF(D$3=1,40,34+D$3*6)</f>
        <v>34</v>
      </c>
      <c r="E24" s="738">
        <v>0</v>
      </c>
      <c r="F24" s="732">
        <v>0</v>
      </c>
      <c r="G24" s="21">
        <f t="shared" si="2"/>
        <v>34</v>
      </c>
      <c r="H24" s="746">
        <f>IF(H$3=1,40,34+H$3*6)</f>
        <v>34</v>
      </c>
      <c r="I24" s="764">
        <v>0</v>
      </c>
      <c r="J24" s="739">
        <v>0</v>
      </c>
      <c r="K24" s="21">
        <f t="shared" si="3"/>
        <v>34</v>
      </c>
      <c r="L24" s="746">
        <f>IF(L$3=1,40,34+L$3*6)</f>
        <v>34</v>
      </c>
      <c r="M24" s="764">
        <v>0</v>
      </c>
      <c r="N24" s="739">
        <v>0</v>
      </c>
      <c r="O24" s="21">
        <f t="shared" si="4"/>
        <v>34</v>
      </c>
    </row>
    <row r="25" spans="1:15" x14ac:dyDescent="0.25">
      <c r="A25" s="1937" t="s">
        <v>7</v>
      </c>
      <c r="B25" s="19" t="s">
        <v>32</v>
      </c>
      <c r="C25" s="22"/>
      <c r="D25" s="735">
        <v>8</v>
      </c>
      <c r="E25" s="733">
        <v>0</v>
      </c>
      <c r="F25" s="734">
        <v>0</v>
      </c>
      <c r="G25" s="21">
        <f t="shared" si="2"/>
        <v>8</v>
      </c>
      <c r="H25" s="744">
        <v>8</v>
      </c>
      <c r="I25" s="740">
        <v>0</v>
      </c>
      <c r="J25" s="743">
        <v>0</v>
      </c>
      <c r="K25" s="21">
        <f t="shared" si="3"/>
        <v>8</v>
      </c>
      <c r="L25" s="744">
        <v>8</v>
      </c>
      <c r="M25" s="740">
        <v>0</v>
      </c>
      <c r="N25" s="743">
        <v>0</v>
      </c>
      <c r="O25" s="21">
        <f t="shared" si="4"/>
        <v>8</v>
      </c>
    </row>
    <row r="26" spans="1:15" x14ac:dyDescent="0.25">
      <c r="A26" s="1937"/>
      <c r="B26" s="19" t="s">
        <v>33</v>
      </c>
      <c r="C26" s="22"/>
      <c r="D26" s="735">
        <v>8</v>
      </c>
      <c r="E26" s="733">
        <v>0</v>
      </c>
      <c r="F26" s="734">
        <v>0</v>
      </c>
      <c r="G26" s="21">
        <f t="shared" si="2"/>
        <v>8</v>
      </c>
      <c r="H26" s="744">
        <v>8</v>
      </c>
      <c r="I26" s="740">
        <v>0</v>
      </c>
      <c r="J26" s="743">
        <v>0</v>
      </c>
      <c r="K26" s="21">
        <f t="shared" si="3"/>
        <v>8</v>
      </c>
      <c r="L26" s="744">
        <v>8</v>
      </c>
      <c r="M26" s="740">
        <v>0</v>
      </c>
      <c r="N26" s="743">
        <v>0</v>
      </c>
      <c r="O26" s="21">
        <f t="shared" si="4"/>
        <v>8</v>
      </c>
    </row>
    <row r="27" spans="1:15" x14ac:dyDescent="0.25">
      <c r="A27" s="1937"/>
      <c r="B27" s="19" t="s">
        <v>34</v>
      </c>
      <c r="C27" s="22"/>
      <c r="D27" s="735">
        <v>8</v>
      </c>
      <c r="E27" s="733">
        <v>0</v>
      </c>
      <c r="F27" s="734">
        <v>0</v>
      </c>
      <c r="G27" s="21">
        <f t="shared" si="2"/>
        <v>8</v>
      </c>
      <c r="H27" s="744">
        <v>8</v>
      </c>
      <c r="I27" s="740">
        <v>0</v>
      </c>
      <c r="J27" s="743">
        <v>0</v>
      </c>
      <c r="K27" s="21">
        <f t="shared" si="3"/>
        <v>8</v>
      </c>
      <c r="L27" s="744">
        <v>8</v>
      </c>
      <c r="M27" s="740">
        <v>0</v>
      </c>
      <c r="N27" s="743">
        <v>0</v>
      </c>
      <c r="O27" s="21">
        <f t="shared" si="4"/>
        <v>8</v>
      </c>
    </row>
    <row r="28" spans="1:15" x14ac:dyDescent="0.25">
      <c r="A28" s="1937" t="s">
        <v>8</v>
      </c>
      <c r="B28" s="19" t="s">
        <v>32</v>
      </c>
      <c r="C28" s="22"/>
      <c r="D28" s="735">
        <v>2</v>
      </c>
      <c r="E28" s="733">
        <v>0</v>
      </c>
      <c r="F28" s="734">
        <v>0</v>
      </c>
      <c r="G28" s="21">
        <f t="shared" si="2"/>
        <v>2</v>
      </c>
      <c r="H28" s="744">
        <v>2</v>
      </c>
      <c r="I28" s="740">
        <v>0</v>
      </c>
      <c r="J28" s="743">
        <v>0</v>
      </c>
      <c r="K28" s="21">
        <f t="shared" si="3"/>
        <v>2</v>
      </c>
      <c r="L28" s="744">
        <v>2</v>
      </c>
      <c r="M28" s="740">
        <v>0</v>
      </c>
      <c r="N28" s="743">
        <v>0</v>
      </c>
      <c r="O28" s="21">
        <f t="shared" si="4"/>
        <v>2</v>
      </c>
    </row>
    <row r="29" spans="1:15" x14ac:dyDescent="0.25">
      <c r="A29" s="1937"/>
      <c r="B29" s="19" t="s">
        <v>33</v>
      </c>
      <c r="C29" s="22"/>
      <c r="D29" s="735">
        <v>2</v>
      </c>
      <c r="E29" s="733">
        <v>0</v>
      </c>
      <c r="F29" s="734">
        <v>0</v>
      </c>
      <c r="G29" s="21">
        <f t="shared" si="2"/>
        <v>2</v>
      </c>
      <c r="H29" s="744">
        <v>2</v>
      </c>
      <c r="I29" s="740">
        <v>0</v>
      </c>
      <c r="J29" s="743">
        <v>0</v>
      </c>
      <c r="K29" s="21">
        <f t="shared" si="3"/>
        <v>2</v>
      </c>
      <c r="L29" s="744">
        <v>2</v>
      </c>
      <c r="M29" s="740">
        <v>0</v>
      </c>
      <c r="N29" s="743">
        <v>0</v>
      </c>
      <c r="O29" s="21">
        <f t="shared" si="4"/>
        <v>2</v>
      </c>
    </row>
    <row r="30" spans="1:15" x14ac:dyDescent="0.25">
      <c r="A30" s="1937"/>
      <c r="B30" s="19" t="s">
        <v>34</v>
      </c>
      <c r="C30" s="22"/>
      <c r="D30" s="735">
        <v>2</v>
      </c>
      <c r="E30" s="733">
        <v>0</v>
      </c>
      <c r="F30" s="734">
        <v>0</v>
      </c>
      <c r="G30" s="21">
        <f t="shared" si="2"/>
        <v>2</v>
      </c>
      <c r="H30" s="744">
        <v>2</v>
      </c>
      <c r="I30" s="740">
        <v>0</v>
      </c>
      <c r="J30" s="743">
        <v>0</v>
      </c>
      <c r="K30" s="21">
        <f t="shared" si="3"/>
        <v>2</v>
      </c>
      <c r="L30" s="744">
        <v>2</v>
      </c>
      <c r="M30" s="740">
        <v>0</v>
      </c>
      <c r="N30" s="743">
        <v>0</v>
      </c>
      <c r="O30" s="21">
        <f t="shared" si="4"/>
        <v>2</v>
      </c>
    </row>
    <row r="31" spans="1:15" x14ac:dyDescent="0.25">
      <c r="A31" s="1937" t="s">
        <v>9</v>
      </c>
      <c r="B31" s="19" t="s">
        <v>32</v>
      </c>
      <c r="C31" s="22"/>
      <c r="D31" s="747">
        <f>D$3*1</f>
        <v>0</v>
      </c>
      <c r="E31" s="733">
        <v>0</v>
      </c>
      <c r="F31" s="733">
        <v>0</v>
      </c>
      <c r="G31" s="21">
        <f t="shared" si="2"/>
        <v>0</v>
      </c>
      <c r="H31" s="747">
        <f>H$3*1</f>
        <v>0</v>
      </c>
      <c r="I31" s="740">
        <v>0</v>
      </c>
      <c r="J31" s="740">
        <v>0</v>
      </c>
      <c r="K31" s="21">
        <f t="shared" si="3"/>
        <v>0</v>
      </c>
      <c r="L31" s="747">
        <f>L$3*1</f>
        <v>0</v>
      </c>
      <c r="M31" s="740">
        <v>0</v>
      </c>
      <c r="N31" s="740">
        <v>0</v>
      </c>
      <c r="O31" s="21">
        <f t="shared" si="4"/>
        <v>0</v>
      </c>
    </row>
    <row r="32" spans="1:15" x14ac:dyDescent="0.25">
      <c r="A32" s="1937"/>
      <c r="B32" s="19" t="s">
        <v>33</v>
      </c>
      <c r="C32" s="22"/>
      <c r="D32" s="747">
        <f>D$3*2</f>
        <v>0</v>
      </c>
      <c r="E32" s="733">
        <v>0</v>
      </c>
      <c r="F32" s="733">
        <v>0</v>
      </c>
      <c r="G32" s="21">
        <f t="shared" si="2"/>
        <v>0</v>
      </c>
      <c r="H32" s="747">
        <f>H$3*2</f>
        <v>0</v>
      </c>
      <c r="I32" s="740">
        <v>0</v>
      </c>
      <c r="J32" s="740">
        <v>0</v>
      </c>
      <c r="K32" s="21">
        <f t="shared" si="3"/>
        <v>0</v>
      </c>
      <c r="L32" s="747">
        <f>L$3*2</f>
        <v>0</v>
      </c>
      <c r="M32" s="740">
        <v>0</v>
      </c>
      <c r="N32" s="740">
        <v>0</v>
      </c>
      <c r="O32" s="21">
        <f t="shared" si="4"/>
        <v>0</v>
      </c>
    </row>
    <row r="33" spans="1:15" x14ac:dyDescent="0.25">
      <c r="A33" s="1937"/>
      <c r="B33" s="19" t="s">
        <v>34</v>
      </c>
      <c r="C33" s="22"/>
      <c r="D33" s="747">
        <f>D$3*4</f>
        <v>0</v>
      </c>
      <c r="E33" s="733">
        <v>0</v>
      </c>
      <c r="F33" s="733">
        <v>0</v>
      </c>
      <c r="G33" s="21">
        <f t="shared" si="2"/>
        <v>0</v>
      </c>
      <c r="H33" s="747">
        <f>H$3*4</f>
        <v>0</v>
      </c>
      <c r="I33" s="740">
        <v>0</v>
      </c>
      <c r="J33" s="740">
        <v>0</v>
      </c>
      <c r="K33" s="21">
        <f t="shared" si="3"/>
        <v>0</v>
      </c>
      <c r="L33" s="747">
        <f>L$3*4</f>
        <v>0</v>
      </c>
      <c r="M33" s="740">
        <v>0</v>
      </c>
      <c r="N33" s="740">
        <v>0</v>
      </c>
      <c r="O33" s="21">
        <f t="shared" si="4"/>
        <v>0</v>
      </c>
    </row>
    <row r="34" spans="1:15" x14ac:dyDescent="0.25">
      <c r="A34" s="1937" t="s">
        <v>10</v>
      </c>
      <c r="B34" s="19" t="s">
        <v>32</v>
      </c>
      <c r="C34" s="22"/>
      <c r="D34" s="735">
        <v>2</v>
      </c>
      <c r="E34" s="733">
        <v>0</v>
      </c>
      <c r="F34" s="733">
        <v>0</v>
      </c>
      <c r="G34" s="21">
        <f t="shared" si="2"/>
        <v>2</v>
      </c>
      <c r="H34" s="744">
        <v>2</v>
      </c>
      <c r="I34" s="740">
        <v>0</v>
      </c>
      <c r="J34" s="740">
        <v>0</v>
      </c>
      <c r="K34" s="21">
        <f t="shared" si="3"/>
        <v>2</v>
      </c>
      <c r="L34" s="744">
        <v>2</v>
      </c>
      <c r="M34" s="740">
        <v>0</v>
      </c>
      <c r="N34" s="740">
        <v>0</v>
      </c>
      <c r="O34" s="21">
        <f t="shared" si="4"/>
        <v>2</v>
      </c>
    </row>
    <row r="35" spans="1:15" x14ac:dyDescent="0.25">
      <c r="A35" s="1937"/>
      <c r="B35" s="19" t="s">
        <v>33</v>
      </c>
      <c r="C35" s="22"/>
      <c r="D35" s="735">
        <v>2</v>
      </c>
      <c r="E35" s="733">
        <v>0</v>
      </c>
      <c r="F35" s="733">
        <v>0</v>
      </c>
      <c r="G35" s="21">
        <f t="shared" si="2"/>
        <v>2</v>
      </c>
      <c r="H35" s="744">
        <v>2</v>
      </c>
      <c r="I35" s="740">
        <v>0</v>
      </c>
      <c r="J35" s="740">
        <v>0</v>
      </c>
      <c r="K35" s="21">
        <f t="shared" si="3"/>
        <v>2</v>
      </c>
      <c r="L35" s="744">
        <v>2</v>
      </c>
      <c r="M35" s="740">
        <v>0</v>
      </c>
      <c r="N35" s="740">
        <v>0</v>
      </c>
      <c r="O35" s="21">
        <f t="shared" si="4"/>
        <v>2</v>
      </c>
    </row>
    <row r="36" spans="1:15" ht="15.75" thickBot="1" x14ac:dyDescent="0.3">
      <c r="A36" s="1938"/>
      <c r="B36" s="13" t="s">
        <v>34</v>
      </c>
      <c r="C36" s="34"/>
      <c r="D36" s="736">
        <v>2</v>
      </c>
      <c r="E36" s="737">
        <v>0</v>
      </c>
      <c r="F36" s="737">
        <v>0</v>
      </c>
      <c r="G36" s="77">
        <f t="shared" si="2"/>
        <v>2</v>
      </c>
      <c r="H36" s="745">
        <v>2</v>
      </c>
      <c r="I36" s="754">
        <v>0</v>
      </c>
      <c r="J36" s="754">
        <v>0</v>
      </c>
      <c r="K36" s="77">
        <f t="shared" si="3"/>
        <v>2</v>
      </c>
      <c r="L36" s="745">
        <v>2</v>
      </c>
      <c r="M36" s="754">
        <v>0</v>
      </c>
      <c r="N36" s="754">
        <v>0</v>
      </c>
      <c r="O36" s="77">
        <f t="shared" si="4"/>
        <v>2</v>
      </c>
    </row>
    <row r="37" spans="1:15" ht="16.5" thickBot="1" x14ac:dyDescent="0.3">
      <c r="A37" s="330" t="s">
        <v>11</v>
      </c>
      <c r="B37" s="329"/>
      <c r="C37" s="329"/>
      <c r="D37" s="329"/>
      <c r="E37" s="329"/>
      <c r="F37" s="327"/>
      <c r="G37" s="327"/>
      <c r="H37" s="329"/>
      <c r="I37" s="329"/>
      <c r="J37" s="327"/>
      <c r="K37" s="327"/>
      <c r="L37" s="329"/>
      <c r="M37" s="329"/>
      <c r="N37" s="327"/>
      <c r="O37" s="396"/>
    </row>
    <row r="38" spans="1:15" x14ac:dyDescent="0.25">
      <c r="A38" s="1932" t="s">
        <v>12</v>
      </c>
      <c r="B38" s="404" t="s">
        <v>32</v>
      </c>
      <c r="C38" s="324"/>
      <c r="D38" s="746">
        <f>IF(D$19=1,24,22+D$19*2)</f>
        <v>24</v>
      </c>
      <c r="E38" s="763">
        <v>0</v>
      </c>
      <c r="F38" s="756">
        <v>0</v>
      </c>
      <c r="G38" s="230">
        <f t="shared" si="2"/>
        <v>24</v>
      </c>
      <c r="H38" s="746">
        <f>IF(H$19=1,24,22+H$19*2)</f>
        <v>24</v>
      </c>
      <c r="I38" s="763">
        <v>0</v>
      </c>
      <c r="J38" s="756">
        <v>0</v>
      </c>
      <c r="K38" s="230">
        <f xml:space="preserve"> SUM(H38:J38) + $C38</f>
        <v>24</v>
      </c>
      <c r="L38" s="405">
        <v>8</v>
      </c>
      <c r="M38" s="423">
        <f>1*$E$3</f>
        <v>0</v>
      </c>
      <c r="N38" s="405">
        <v>0</v>
      </c>
      <c r="O38" s="230">
        <f xml:space="preserve"> SUM(L38:N38) + $C38</f>
        <v>8</v>
      </c>
    </row>
    <row r="39" spans="1:15" x14ac:dyDescent="0.25">
      <c r="A39" s="1932"/>
      <c r="B39" s="19" t="s">
        <v>33</v>
      </c>
      <c r="C39" s="22"/>
      <c r="D39" s="746">
        <f>IF(D$19=1,32,28+D$19*4)</f>
        <v>32</v>
      </c>
      <c r="E39" s="764">
        <v>0</v>
      </c>
      <c r="F39" s="739">
        <v>0</v>
      </c>
      <c r="G39" s="21">
        <f t="shared" si="2"/>
        <v>32</v>
      </c>
      <c r="H39" s="746">
        <f>IF(H$19=1,32,28+H$19*4)</f>
        <v>32</v>
      </c>
      <c r="I39" s="764">
        <v>0</v>
      </c>
      <c r="J39" s="739">
        <v>0</v>
      </c>
      <c r="K39" s="21">
        <f xml:space="preserve"> SUM(H39:J39) + $C39</f>
        <v>32</v>
      </c>
      <c r="L39" s="11">
        <v>12</v>
      </c>
      <c r="M39" s="123">
        <f>1*$E$3</f>
        <v>0</v>
      </c>
      <c r="N39" s="11">
        <v>0</v>
      </c>
      <c r="O39" s="21">
        <f xml:space="preserve"> SUM(L39:N39) + $C39</f>
        <v>12</v>
      </c>
    </row>
    <row r="40" spans="1:15" ht="15.75" thickBot="1" x14ac:dyDescent="0.3">
      <c r="A40" s="1932"/>
      <c r="B40" s="13" t="s">
        <v>34</v>
      </c>
      <c r="C40" s="34"/>
      <c r="D40" s="746">
        <f>IF(D$19=1,40,34+D$19*6)</f>
        <v>40</v>
      </c>
      <c r="E40" s="765">
        <v>0</v>
      </c>
      <c r="F40" s="759">
        <v>0</v>
      </c>
      <c r="G40" s="77">
        <f t="shared" si="2"/>
        <v>40</v>
      </c>
      <c r="H40" s="746">
        <f>IF(H$19=1,40,34+H$19*6)</f>
        <v>40</v>
      </c>
      <c r="I40" s="765">
        <v>0</v>
      </c>
      <c r="J40" s="759">
        <v>0</v>
      </c>
      <c r="K40" s="77">
        <f xml:space="preserve"> SUM(H40:J40) + $C40</f>
        <v>40</v>
      </c>
      <c r="L40" s="422">
        <v>14</v>
      </c>
      <c r="M40" s="424">
        <f>1*$E$3</f>
        <v>0</v>
      </c>
      <c r="N40" s="422">
        <v>0</v>
      </c>
      <c r="O40" s="77">
        <f xml:space="preserve"> SUM(L40:N40) + $C40</f>
        <v>14</v>
      </c>
    </row>
    <row r="41" spans="1:15" ht="16.5" thickBot="1" x14ac:dyDescent="0.3">
      <c r="A41" s="330" t="s">
        <v>13</v>
      </c>
      <c r="B41" s="329"/>
      <c r="C41" s="329"/>
      <c r="D41" s="329"/>
      <c r="E41" s="329"/>
      <c r="F41" s="327"/>
      <c r="G41" s="327"/>
      <c r="H41" s="329"/>
      <c r="I41" s="329"/>
      <c r="J41" s="327"/>
      <c r="K41" s="327"/>
      <c r="L41" s="329"/>
      <c r="M41" s="329"/>
      <c r="N41" s="327"/>
      <c r="O41" s="396"/>
    </row>
    <row r="42" spans="1:15" x14ac:dyDescent="0.25">
      <c r="A42" s="1932" t="s">
        <v>14</v>
      </c>
      <c r="B42" s="404" t="s">
        <v>32</v>
      </c>
      <c r="C42" s="324"/>
      <c r="D42" s="744">
        <v>1</v>
      </c>
      <c r="E42" s="740">
        <v>0</v>
      </c>
      <c r="F42" s="743">
        <v>0</v>
      </c>
      <c r="G42" s="230">
        <f t="shared" si="2"/>
        <v>1</v>
      </c>
      <c r="H42" s="744">
        <v>1</v>
      </c>
      <c r="I42" s="740">
        <v>0</v>
      </c>
      <c r="J42" s="743">
        <v>0</v>
      </c>
      <c r="K42" s="230">
        <f t="shared" ref="K42:K86" si="5" xml:space="preserve"> SUM(H42:J42) + $C42</f>
        <v>1</v>
      </c>
      <c r="L42" s="427">
        <v>2</v>
      </c>
      <c r="M42" s="400">
        <v>0</v>
      </c>
      <c r="N42" s="400">
        <v>0</v>
      </c>
      <c r="O42" s="230">
        <f t="shared" ref="O42:O86" si="6" xml:space="preserve"> SUM(L42:N42) + $C42</f>
        <v>2</v>
      </c>
    </row>
    <row r="43" spans="1:15" x14ac:dyDescent="0.25">
      <c r="A43" s="1932"/>
      <c r="B43" s="19" t="s">
        <v>33</v>
      </c>
      <c r="C43" s="22"/>
      <c r="D43" s="744">
        <v>2</v>
      </c>
      <c r="E43" s="740">
        <v>0</v>
      </c>
      <c r="F43" s="743">
        <v>0</v>
      </c>
      <c r="G43" s="21">
        <f t="shared" si="2"/>
        <v>2</v>
      </c>
      <c r="H43" s="744">
        <v>2</v>
      </c>
      <c r="I43" s="740">
        <v>0</v>
      </c>
      <c r="J43" s="743">
        <v>0</v>
      </c>
      <c r="K43" s="21">
        <f t="shared" si="5"/>
        <v>2</v>
      </c>
      <c r="L43" s="38">
        <v>2</v>
      </c>
      <c r="M43" s="15">
        <v>0</v>
      </c>
      <c r="N43" s="15">
        <v>0</v>
      </c>
      <c r="O43" s="21">
        <f t="shared" si="6"/>
        <v>2</v>
      </c>
    </row>
    <row r="44" spans="1:15" x14ac:dyDescent="0.25">
      <c r="A44" s="1932"/>
      <c r="B44" s="19" t="s">
        <v>34</v>
      </c>
      <c r="C44" s="22"/>
      <c r="D44" s="744">
        <v>3</v>
      </c>
      <c r="E44" s="740">
        <v>0</v>
      </c>
      <c r="F44" s="743">
        <v>0</v>
      </c>
      <c r="G44" s="21">
        <f t="shared" si="2"/>
        <v>3</v>
      </c>
      <c r="H44" s="744">
        <v>3</v>
      </c>
      <c r="I44" s="740">
        <v>0</v>
      </c>
      <c r="J44" s="743">
        <v>0</v>
      </c>
      <c r="K44" s="21">
        <f t="shared" si="5"/>
        <v>3</v>
      </c>
      <c r="L44" s="38">
        <v>4</v>
      </c>
      <c r="M44" s="15">
        <v>0</v>
      </c>
      <c r="N44" s="15">
        <v>0</v>
      </c>
      <c r="O44" s="21">
        <f t="shared" si="6"/>
        <v>4</v>
      </c>
    </row>
    <row r="45" spans="1:15" x14ac:dyDescent="0.25">
      <c r="A45" s="1933" t="s">
        <v>15</v>
      </c>
      <c r="B45" s="19" t="s">
        <v>32</v>
      </c>
      <c r="C45" s="22"/>
      <c r="D45" s="762">
        <v>16</v>
      </c>
      <c r="E45" s="740">
        <v>0</v>
      </c>
      <c r="F45" s="740">
        <v>0</v>
      </c>
      <c r="G45" s="21">
        <f t="shared" si="2"/>
        <v>16</v>
      </c>
      <c r="H45" s="762">
        <v>16</v>
      </c>
      <c r="I45" s="740">
        <v>0</v>
      </c>
      <c r="J45" s="740">
        <v>0</v>
      </c>
      <c r="K45" s="21">
        <f t="shared" si="5"/>
        <v>16</v>
      </c>
      <c r="L45" s="762">
        <v>16</v>
      </c>
      <c r="M45" s="740">
        <v>0</v>
      </c>
      <c r="N45" s="740">
        <v>0</v>
      </c>
      <c r="O45" s="21">
        <f t="shared" si="6"/>
        <v>16</v>
      </c>
    </row>
    <row r="46" spans="1:15" x14ac:dyDescent="0.25">
      <c r="A46" s="1933"/>
      <c r="B46" s="19" t="s">
        <v>33</v>
      </c>
      <c r="C46" s="22"/>
      <c r="D46" s="762">
        <v>24</v>
      </c>
      <c r="E46" s="740">
        <v>0</v>
      </c>
      <c r="F46" s="740">
        <v>0</v>
      </c>
      <c r="G46" s="21">
        <f t="shared" si="2"/>
        <v>24</v>
      </c>
      <c r="H46" s="762">
        <v>24</v>
      </c>
      <c r="I46" s="740">
        <v>0</v>
      </c>
      <c r="J46" s="740">
        <v>0</v>
      </c>
      <c r="K46" s="21">
        <f t="shared" si="5"/>
        <v>24</v>
      </c>
      <c r="L46" s="762">
        <v>24</v>
      </c>
      <c r="M46" s="740">
        <v>0</v>
      </c>
      <c r="N46" s="740">
        <v>0</v>
      </c>
      <c r="O46" s="21">
        <f t="shared" si="6"/>
        <v>24</v>
      </c>
    </row>
    <row r="47" spans="1:15" x14ac:dyDescent="0.25">
      <c r="A47" s="1933"/>
      <c r="B47" s="19" t="s">
        <v>34</v>
      </c>
      <c r="C47" s="22"/>
      <c r="D47" s="762">
        <v>32</v>
      </c>
      <c r="E47" s="740">
        <v>0</v>
      </c>
      <c r="F47" s="740">
        <v>0</v>
      </c>
      <c r="G47" s="21">
        <f t="shared" si="2"/>
        <v>32</v>
      </c>
      <c r="H47" s="762">
        <v>32</v>
      </c>
      <c r="I47" s="740">
        <v>0</v>
      </c>
      <c r="J47" s="740">
        <v>0</v>
      </c>
      <c r="K47" s="21">
        <f t="shared" si="5"/>
        <v>32</v>
      </c>
      <c r="L47" s="762">
        <v>32</v>
      </c>
      <c r="M47" s="740">
        <v>0</v>
      </c>
      <c r="N47" s="740">
        <v>0</v>
      </c>
      <c r="O47" s="21">
        <f t="shared" si="6"/>
        <v>32</v>
      </c>
    </row>
    <row r="48" spans="1:15" x14ac:dyDescent="0.25">
      <c r="A48" s="1933" t="s">
        <v>16</v>
      </c>
      <c r="B48" s="19" t="s">
        <v>32</v>
      </c>
      <c r="C48" s="22"/>
      <c r="D48" s="746">
        <f>D$3*1</f>
        <v>0</v>
      </c>
      <c r="E48" s="746">
        <f>E$3*1</f>
        <v>0</v>
      </c>
      <c r="F48" s="746">
        <f>F$3*1</f>
        <v>0</v>
      </c>
      <c r="G48" s="21">
        <f t="shared" si="2"/>
        <v>0</v>
      </c>
      <c r="H48" s="746">
        <f>H$3*1</f>
        <v>0</v>
      </c>
      <c r="I48" s="746">
        <f>I$3*1</f>
        <v>0</v>
      </c>
      <c r="J48" s="746">
        <f>J$3*1</f>
        <v>0</v>
      </c>
      <c r="K48" s="21">
        <f t="shared" si="5"/>
        <v>0</v>
      </c>
      <c r="L48" s="746">
        <f>L$3*1</f>
        <v>0</v>
      </c>
      <c r="M48" s="746">
        <f>M$3*1</f>
        <v>0</v>
      </c>
      <c r="N48" s="746">
        <f>N$3*1</f>
        <v>0</v>
      </c>
      <c r="O48" s="21">
        <f t="shared" si="6"/>
        <v>0</v>
      </c>
    </row>
    <row r="49" spans="1:15" x14ac:dyDescent="0.25">
      <c r="A49" s="1933"/>
      <c r="B49" s="19" t="s">
        <v>33</v>
      </c>
      <c r="C49" s="22"/>
      <c r="D49" s="746">
        <f>D$3*1</f>
        <v>0</v>
      </c>
      <c r="E49" s="746">
        <f>E$3*2</f>
        <v>0</v>
      </c>
      <c r="F49" s="746">
        <f>F$3*2</f>
        <v>0</v>
      </c>
      <c r="G49" s="21">
        <f t="shared" si="2"/>
        <v>0</v>
      </c>
      <c r="H49" s="746">
        <f>H$3*1</f>
        <v>0</v>
      </c>
      <c r="I49" s="746">
        <f>I$3*2</f>
        <v>0</v>
      </c>
      <c r="J49" s="746">
        <f>J$3*2</f>
        <v>0</v>
      </c>
      <c r="K49" s="21">
        <f t="shared" si="5"/>
        <v>0</v>
      </c>
      <c r="L49" s="746">
        <f>L$3*1</f>
        <v>0</v>
      </c>
      <c r="M49" s="746">
        <f>M$3*2</f>
        <v>0</v>
      </c>
      <c r="N49" s="746">
        <f>N$3*2</f>
        <v>0</v>
      </c>
      <c r="O49" s="21">
        <f t="shared" si="6"/>
        <v>0</v>
      </c>
    </row>
    <row r="50" spans="1:15" x14ac:dyDescent="0.25">
      <c r="A50" s="1933"/>
      <c r="B50" s="19" t="s">
        <v>34</v>
      </c>
      <c r="C50" s="22"/>
      <c r="D50" s="746">
        <f>D$3*1</f>
        <v>0</v>
      </c>
      <c r="E50" s="746">
        <f>E$3*4</f>
        <v>0</v>
      </c>
      <c r="F50" s="746">
        <f>F$3*4</f>
        <v>0</v>
      </c>
      <c r="G50" s="21">
        <f t="shared" si="2"/>
        <v>0</v>
      </c>
      <c r="H50" s="746">
        <f>H$3*1</f>
        <v>0</v>
      </c>
      <c r="I50" s="746">
        <f>I$3*4</f>
        <v>0</v>
      </c>
      <c r="J50" s="746">
        <f>J$3*4</f>
        <v>0</v>
      </c>
      <c r="K50" s="21">
        <f t="shared" si="5"/>
        <v>0</v>
      </c>
      <c r="L50" s="746">
        <f>L$3*1</f>
        <v>0</v>
      </c>
      <c r="M50" s="746">
        <f>M$3*4</f>
        <v>0</v>
      </c>
      <c r="N50" s="746">
        <f>N$3*4</f>
        <v>0</v>
      </c>
      <c r="O50" s="21">
        <f t="shared" si="6"/>
        <v>0</v>
      </c>
    </row>
    <row r="51" spans="1:15" x14ac:dyDescent="0.25">
      <c r="A51" s="1933" t="s">
        <v>17</v>
      </c>
      <c r="B51" s="19" t="s">
        <v>32</v>
      </c>
      <c r="C51" s="22"/>
      <c r="D51" s="746">
        <f>D$3*2</f>
        <v>0</v>
      </c>
      <c r="E51" s="740">
        <v>0</v>
      </c>
      <c r="F51" s="740">
        <v>0</v>
      </c>
      <c r="G51" s="21">
        <f t="shared" si="2"/>
        <v>0</v>
      </c>
      <c r="H51" s="746">
        <f>H$3*2</f>
        <v>0</v>
      </c>
      <c r="I51" s="740">
        <v>0</v>
      </c>
      <c r="J51" s="740">
        <v>0</v>
      </c>
      <c r="K51" s="21">
        <f t="shared" si="5"/>
        <v>0</v>
      </c>
      <c r="L51" s="746">
        <f>L$3*2</f>
        <v>0</v>
      </c>
      <c r="M51" s="740">
        <v>0</v>
      </c>
      <c r="N51" s="740">
        <v>0</v>
      </c>
      <c r="O51" s="21">
        <f t="shared" si="6"/>
        <v>0</v>
      </c>
    </row>
    <row r="52" spans="1:15" x14ac:dyDescent="0.25">
      <c r="A52" s="1933"/>
      <c r="B52" s="19" t="s">
        <v>33</v>
      </c>
      <c r="C52" s="22"/>
      <c r="D52" s="746">
        <f>D$3*4</f>
        <v>0</v>
      </c>
      <c r="E52" s="740">
        <v>0</v>
      </c>
      <c r="F52" s="740">
        <v>0</v>
      </c>
      <c r="G52" s="21">
        <f t="shared" si="2"/>
        <v>0</v>
      </c>
      <c r="H52" s="746">
        <f>H$3*4</f>
        <v>0</v>
      </c>
      <c r="I52" s="740">
        <v>0</v>
      </c>
      <c r="J52" s="740">
        <v>0</v>
      </c>
      <c r="K52" s="21">
        <f t="shared" si="5"/>
        <v>0</v>
      </c>
      <c r="L52" s="746">
        <f>L$3*4</f>
        <v>0</v>
      </c>
      <c r="M52" s="740">
        <v>0</v>
      </c>
      <c r="N52" s="740">
        <v>0</v>
      </c>
      <c r="O52" s="21">
        <f t="shared" si="6"/>
        <v>0</v>
      </c>
    </row>
    <row r="53" spans="1:15" x14ac:dyDescent="0.25">
      <c r="A53" s="1933"/>
      <c r="B53" s="19" t="s">
        <v>34</v>
      </c>
      <c r="C53" s="22"/>
      <c r="D53" s="746">
        <f>D$3*6</f>
        <v>0</v>
      </c>
      <c r="E53" s="740">
        <v>0</v>
      </c>
      <c r="F53" s="740">
        <v>0</v>
      </c>
      <c r="G53" s="21">
        <f t="shared" si="2"/>
        <v>0</v>
      </c>
      <c r="H53" s="746">
        <f>H$3*6</f>
        <v>0</v>
      </c>
      <c r="I53" s="740">
        <v>0</v>
      </c>
      <c r="J53" s="740">
        <v>0</v>
      </c>
      <c r="K53" s="21">
        <f t="shared" si="5"/>
        <v>0</v>
      </c>
      <c r="L53" s="746">
        <f>L$3*6</f>
        <v>0</v>
      </c>
      <c r="M53" s="740">
        <v>0</v>
      </c>
      <c r="N53" s="740">
        <v>0</v>
      </c>
      <c r="O53" s="21">
        <f t="shared" si="6"/>
        <v>0</v>
      </c>
    </row>
    <row r="54" spans="1:15" x14ac:dyDescent="0.25">
      <c r="A54" s="1933" t="s">
        <v>18</v>
      </c>
      <c r="B54" s="19" t="s">
        <v>32</v>
      </c>
      <c r="C54" s="22"/>
      <c r="D54" s="747">
        <f>D$3*0.5</f>
        <v>0</v>
      </c>
      <c r="E54" s="740">
        <v>0</v>
      </c>
      <c r="F54" s="740">
        <v>0</v>
      </c>
      <c r="G54" s="21">
        <f t="shared" si="2"/>
        <v>0</v>
      </c>
      <c r="H54" s="747">
        <f>H$3*0.5</f>
        <v>0</v>
      </c>
      <c r="I54" s="740">
        <v>0</v>
      </c>
      <c r="J54" s="740">
        <v>0</v>
      </c>
      <c r="K54" s="21">
        <f t="shared" si="5"/>
        <v>0</v>
      </c>
      <c r="L54" s="747">
        <f>L$3*0.5</f>
        <v>0</v>
      </c>
      <c r="M54" s="740">
        <v>0</v>
      </c>
      <c r="N54" s="740">
        <v>0</v>
      </c>
      <c r="O54" s="21">
        <f t="shared" si="6"/>
        <v>0</v>
      </c>
    </row>
    <row r="55" spans="1:15" x14ac:dyDescent="0.25">
      <c r="A55" s="1933"/>
      <c r="B55" s="19" t="s">
        <v>33</v>
      </c>
      <c r="C55" s="22"/>
      <c r="D55" s="747">
        <f>D$3*0.5</f>
        <v>0</v>
      </c>
      <c r="E55" s="740">
        <v>0</v>
      </c>
      <c r="F55" s="740">
        <v>0</v>
      </c>
      <c r="G55" s="21">
        <f t="shared" si="2"/>
        <v>0</v>
      </c>
      <c r="H55" s="747">
        <f>H$3*0.5</f>
        <v>0</v>
      </c>
      <c r="I55" s="740">
        <v>0</v>
      </c>
      <c r="J55" s="740">
        <v>0</v>
      </c>
      <c r="K55" s="21">
        <f t="shared" si="5"/>
        <v>0</v>
      </c>
      <c r="L55" s="747">
        <f>L$3*0.5</f>
        <v>0</v>
      </c>
      <c r="M55" s="740">
        <v>0</v>
      </c>
      <c r="N55" s="740">
        <v>0</v>
      </c>
      <c r="O55" s="21">
        <f t="shared" si="6"/>
        <v>0</v>
      </c>
    </row>
    <row r="56" spans="1:15" x14ac:dyDescent="0.25">
      <c r="A56" s="1933"/>
      <c r="B56" s="19" t="s">
        <v>34</v>
      </c>
      <c r="C56" s="22"/>
      <c r="D56" s="747">
        <f>D$3*0.5</f>
        <v>0</v>
      </c>
      <c r="E56" s="740">
        <v>0</v>
      </c>
      <c r="F56" s="740">
        <v>0</v>
      </c>
      <c r="G56" s="21">
        <f t="shared" si="2"/>
        <v>0</v>
      </c>
      <c r="H56" s="747">
        <f>H$3*0.5</f>
        <v>0</v>
      </c>
      <c r="I56" s="740">
        <v>0</v>
      </c>
      <c r="J56" s="740">
        <v>0</v>
      </c>
      <c r="K56" s="21">
        <f t="shared" si="5"/>
        <v>0</v>
      </c>
      <c r="L56" s="747">
        <f>L$3*0.5</f>
        <v>0</v>
      </c>
      <c r="M56" s="740">
        <v>0</v>
      </c>
      <c r="N56" s="740">
        <v>0</v>
      </c>
      <c r="O56" s="21">
        <f t="shared" si="6"/>
        <v>0</v>
      </c>
    </row>
    <row r="57" spans="1:15" x14ac:dyDescent="0.25">
      <c r="A57" s="1933" t="s">
        <v>19</v>
      </c>
      <c r="B57" s="19" t="s">
        <v>32</v>
      </c>
      <c r="C57" s="22"/>
      <c r="D57" s="744">
        <v>2</v>
      </c>
      <c r="E57" s="740">
        <v>0</v>
      </c>
      <c r="F57" s="740">
        <v>0</v>
      </c>
      <c r="G57" s="21">
        <f t="shared" si="2"/>
        <v>2</v>
      </c>
      <c r="H57" s="744">
        <v>2</v>
      </c>
      <c r="I57" s="740">
        <v>0</v>
      </c>
      <c r="J57" s="740">
        <v>0</v>
      </c>
      <c r="K57" s="21">
        <f t="shared" si="5"/>
        <v>2</v>
      </c>
      <c r="L57" s="744">
        <v>2</v>
      </c>
      <c r="M57" s="740">
        <v>0</v>
      </c>
      <c r="N57" s="740">
        <v>0</v>
      </c>
      <c r="O57" s="21">
        <f t="shared" si="6"/>
        <v>2</v>
      </c>
    </row>
    <row r="58" spans="1:15" x14ac:dyDescent="0.25">
      <c r="A58" s="1933"/>
      <c r="B58" s="19" t="s">
        <v>33</v>
      </c>
      <c r="C58" s="22"/>
      <c r="D58" s="744">
        <v>4</v>
      </c>
      <c r="E58" s="740">
        <v>0</v>
      </c>
      <c r="F58" s="740">
        <v>0</v>
      </c>
      <c r="G58" s="21">
        <f t="shared" si="2"/>
        <v>4</v>
      </c>
      <c r="H58" s="744">
        <v>4</v>
      </c>
      <c r="I58" s="740">
        <v>0</v>
      </c>
      <c r="J58" s="740">
        <v>0</v>
      </c>
      <c r="K58" s="21">
        <f t="shared" si="5"/>
        <v>4</v>
      </c>
      <c r="L58" s="744">
        <v>4</v>
      </c>
      <c r="M58" s="740">
        <v>0</v>
      </c>
      <c r="N58" s="740">
        <v>0</v>
      </c>
      <c r="O58" s="21">
        <f t="shared" si="6"/>
        <v>4</v>
      </c>
    </row>
    <row r="59" spans="1:15" x14ac:dyDescent="0.25">
      <c r="A59" s="1933"/>
      <c r="B59" s="19" t="s">
        <v>34</v>
      </c>
      <c r="C59" s="22"/>
      <c r="D59" s="744">
        <v>6</v>
      </c>
      <c r="E59" s="740">
        <v>0</v>
      </c>
      <c r="F59" s="740">
        <v>0</v>
      </c>
      <c r="G59" s="21">
        <f t="shared" si="2"/>
        <v>6</v>
      </c>
      <c r="H59" s="744">
        <v>6</v>
      </c>
      <c r="I59" s="740">
        <v>0</v>
      </c>
      <c r="J59" s="740">
        <v>0</v>
      </c>
      <c r="K59" s="21">
        <f t="shared" si="5"/>
        <v>6</v>
      </c>
      <c r="L59" s="744">
        <v>6</v>
      </c>
      <c r="M59" s="740">
        <v>0</v>
      </c>
      <c r="N59" s="740">
        <v>0</v>
      </c>
      <c r="O59" s="21">
        <f t="shared" si="6"/>
        <v>6</v>
      </c>
    </row>
    <row r="60" spans="1:15" x14ac:dyDescent="0.25">
      <c r="A60" s="1933" t="s">
        <v>20</v>
      </c>
      <c r="B60" s="19" t="s">
        <v>32</v>
      </c>
      <c r="C60" s="22"/>
      <c r="D60" s="744">
        <v>16</v>
      </c>
      <c r="E60" s="764">
        <v>0</v>
      </c>
      <c r="F60" s="743">
        <v>0</v>
      </c>
      <c r="G60" s="21">
        <f t="shared" si="2"/>
        <v>16</v>
      </c>
      <c r="H60" s="744">
        <v>16</v>
      </c>
      <c r="I60" s="764">
        <v>0</v>
      </c>
      <c r="J60" s="743">
        <v>0</v>
      </c>
      <c r="K60" s="21">
        <f t="shared" si="5"/>
        <v>16</v>
      </c>
      <c r="L60" s="744">
        <v>16</v>
      </c>
      <c r="M60" s="764">
        <v>0</v>
      </c>
      <c r="N60" s="743">
        <v>0</v>
      </c>
      <c r="O60" s="21">
        <f t="shared" si="6"/>
        <v>16</v>
      </c>
    </row>
    <row r="61" spans="1:15" x14ac:dyDescent="0.25">
      <c r="A61" s="1933"/>
      <c r="B61" s="19" t="s">
        <v>33</v>
      </c>
      <c r="C61" s="22"/>
      <c r="D61" s="744">
        <v>32</v>
      </c>
      <c r="E61" s="764">
        <v>0</v>
      </c>
      <c r="F61" s="743">
        <v>0</v>
      </c>
      <c r="G61" s="21">
        <f t="shared" si="2"/>
        <v>32</v>
      </c>
      <c r="H61" s="744">
        <v>32</v>
      </c>
      <c r="I61" s="764">
        <v>0</v>
      </c>
      <c r="J61" s="743">
        <v>0</v>
      </c>
      <c r="K61" s="21">
        <f t="shared" si="5"/>
        <v>32</v>
      </c>
      <c r="L61" s="744">
        <v>32</v>
      </c>
      <c r="M61" s="764">
        <v>0</v>
      </c>
      <c r="N61" s="743">
        <v>0</v>
      </c>
      <c r="O61" s="21">
        <f t="shared" si="6"/>
        <v>32</v>
      </c>
    </row>
    <row r="62" spans="1:15" x14ac:dyDescent="0.25">
      <c r="A62" s="1933"/>
      <c r="B62" s="19" t="s">
        <v>34</v>
      </c>
      <c r="C62" s="22"/>
      <c r="D62" s="744">
        <v>48</v>
      </c>
      <c r="E62" s="764">
        <v>0</v>
      </c>
      <c r="F62" s="743">
        <v>0</v>
      </c>
      <c r="G62" s="21">
        <f t="shared" si="2"/>
        <v>48</v>
      </c>
      <c r="H62" s="744">
        <v>48</v>
      </c>
      <c r="I62" s="764">
        <v>0</v>
      </c>
      <c r="J62" s="743">
        <v>0</v>
      </c>
      <c r="K62" s="21">
        <f t="shared" si="5"/>
        <v>48</v>
      </c>
      <c r="L62" s="744">
        <v>48</v>
      </c>
      <c r="M62" s="764">
        <v>0</v>
      </c>
      <c r="N62" s="743">
        <v>0</v>
      </c>
      <c r="O62" s="21">
        <f t="shared" si="6"/>
        <v>48</v>
      </c>
    </row>
    <row r="63" spans="1:15" x14ac:dyDescent="0.25">
      <c r="A63" s="1933" t="s">
        <v>451</v>
      </c>
      <c r="B63" s="19" t="s">
        <v>32</v>
      </c>
      <c r="C63" s="22"/>
      <c r="D63" s="744">
        <v>1</v>
      </c>
      <c r="E63" s="762">
        <v>0</v>
      </c>
      <c r="F63" s="753">
        <v>0</v>
      </c>
      <c r="G63" s="21">
        <f t="shared" si="2"/>
        <v>1</v>
      </c>
      <c r="H63" s="744">
        <v>1</v>
      </c>
      <c r="I63" s="762">
        <v>0</v>
      </c>
      <c r="J63" s="753">
        <v>0</v>
      </c>
      <c r="K63" s="21">
        <f t="shared" si="5"/>
        <v>1</v>
      </c>
      <c r="L63" s="744">
        <v>1</v>
      </c>
      <c r="M63" s="762">
        <v>0</v>
      </c>
      <c r="N63" s="753">
        <v>0</v>
      </c>
      <c r="O63" s="21">
        <f t="shared" si="6"/>
        <v>1</v>
      </c>
    </row>
    <row r="64" spans="1:15" x14ac:dyDescent="0.25">
      <c r="A64" s="1933"/>
      <c r="B64" s="19" t="s">
        <v>33</v>
      </c>
      <c r="C64" s="22"/>
      <c r="D64" s="744">
        <v>1</v>
      </c>
      <c r="E64" s="762">
        <v>0</v>
      </c>
      <c r="F64" s="753">
        <v>0</v>
      </c>
      <c r="G64" s="21">
        <f t="shared" si="2"/>
        <v>1</v>
      </c>
      <c r="H64" s="744">
        <v>1</v>
      </c>
      <c r="I64" s="762">
        <v>0</v>
      </c>
      <c r="J64" s="753">
        <v>0</v>
      </c>
      <c r="K64" s="21">
        <f t="shared" si="5"/>
        <v>1</v>
      </c>
      <c r="L64" s="744">
        <v>1</v>
      </c>
      <c r="M64" s="762">
        <v>0</v>
      </c>
      <c r="N64" s="753">
        <v>0</v>
      </c>
      <c r="O64" s="21">
        <f t="shared" si="6"/>
        <v>1</v>
      </c>
    </row>
    <row r="65" spans="1:15" x14ac:dyDescent="0.25">
      <c r="A65" s="1933"/>
      <c r="B65" s="19" t="s">
        <v>34</v>
      </c>
      <c r="C65" s="22"/>
      <c r="D65" s="744">
        <v>1</v>
      </c>
      <c r="E65" s="762">
        <v>0</v>
      </c>
      <c r="F65" s="753">
        <v>0</v>
      </c>
      <c r="G65" s="21">
        <f t="shared" si="2"/>
        <v>1</v>
      </c>
      <c r="H65" s="744">
        <v>1</v>
      </c>
      <c r="I65" s="762">
        <v>0</v>
      </c>
      <c r="J65" s="753">
        <v>0</v>
      </c>
      <c r="K65" s="21">
        <f t="shared" si="5"/>
        <v>1</v>
      </c>
      <c r="L65" s="744">
        <v>1</v>
      </c>
      <c r="M65" s="762">
        <v>0</v>
      </c>
      <c r="N65" s="753">
        <v>0</v>
      </c>
      <c r="O65" s="21">
        <f t="shared" si="6"/>
        <v>1</v>
      </c>
    </row>
    <row r="66" spans="1:15" x14ac:dyDescent="0.25">
      <c r="A66" s="1933" t="s">
        <v>452</v>
      </c>
      <c r="B66" s="19" t="s">
        <v>32</v>
      </c>
      <c r="C66" s="22"/>
      <c r="D66" s="746">
        <f>D$3*0.5</f>
        <v>0</v>
      </c>
      <c r="E66" s="762">
        <v>0</v>
      </c>
      <c r="F66" s="753">
        <v>0</v>
      </c>
      <c r="G66" s="21">
        <f t="shared" si="2"/>
        <v>0</v>
      </c>
      <c r="H66" s="746">
        <f>H$3*0.5</f>
        <v>0</v>
      </c>
      <c r="I66" s="762">
        <v>0</v>
      </c>
      <c r="J66" s="753">
        <v>0</v>
      </c>
      <c r="K66" s="21">
        <f t="shared" si="5"/>
        <v>0</v>
      </c>
      <c r="L66" s="746">
        <f>L$3*0.5</f>
        <v>0</v>
      </c>
      <c r="M66" s="762">
        <v>0</v>
      </c>
      <c r="N66" s="753">
        <v>0</v>
      </c>
      <c r="O66" s="21">
        <f t="shared" si="6"/>
        <v>0</v>
      </c>
    </row>
    <row r="67" spans="1:15" x14ac:dyDescent="0.25">
      <c r="A67" s="1933"/>
      <c r="B67" s="19" t="s">
        <v>33</v>
      </c>
      <c r="C67" s="22"/>
      <c r="D67" s="746">
        <f>D$3*0.5</f>
        <v>0</v>
      </c>
      <c r="E67" s="762">
        <v>0</v>
      </c>
      <c r="F67" s="753">
        <v>0</v>
      </c>
      <c r="G67" s="21">
        <f t="shared" si="2"/>
        <v>0</v>
      </c>
      <c r="H67" s="746">
        <f>H$3*0.5</f>
        <v>0</v>
      </c>
      <c r="I67" s="762">
        <v>0</v>
      </c>
      <c r="J67" s="753">
        <v>0</v>
      </c>
      <c r="K67" s="21">
        <f t="shared" si="5"/>
        <v>0</v>
      </c>
      <c r="L67" s="746">
        <f>L$3*0.5</f>
        <v>0</v>
      </c>
      <c r="M67" s="762">
        <v>0</v>
      </c>
      <c r="N67" s="753">
        <v>0</v>
      </c>
      <c r="O67" s="21">
        <f t="shared" si="6"/>
        <v>0</v>
      </c>
    </row>
    <row r="68" spans="1:15" x14ac:dyDescent="0.25">
      <c r="A68" s="1933"/>
      <c r="B68" s="19" t="s">
        <v>34</v>
      </c>
      <c r="C68" s="22"/>
      <c r="D68" s="746">
        <f>D$3*0.5</f>
        <v>0</v>
      </c>
      <c r="E68" s="762">
        <v>0</v>
      </c>
      <c r="F68" s="753">
        <v>0</v>
      </c>
      <c r="G68" s="21">
        <f t="shared" si="2"/>
        <v>0</v>
      </c>
      <c r="H68" s="746">
        <f>H$3*0.5</f>
        <v>0</v>
      </c>
      <c r="I68" s="762">
        <v>0</v>
      </c>
      <c r="J68" s="753">
        <v>0</v>
      </c>
      <c r="K68" s="21">
        <f t="shared" si="5"/>
        <v>0</v>
      </c>
      <c r="L68" s="746">
        <f>L$3*0.5</f>
        <v>0</v>
      </c>
      <c r="M68" s="762">
        <v>0</v>
      </c>
      <c r="N68" s="753">
        <v>0</v>
      </c>
      <c r="O68" s="21">
        <f t="shared" si="6"/>
        <v>0</v>
      </c>
    </row>
    <row r="69" spans="1:15" x14ac:dyDescent="0.25">
      <c r="A69" s="1936" t="s">
        <v>533</v>
      </c>
      <c r="B69" s="19" t="s">
        <v>32</v>
      </c>
      <c r="C69" s="22"/>
      <c r="D69" s="746">
        <f>D$3*1</f>
        <v>0</v>
      </c>
      <c r="E69" s="746">
        <f t="shared" ref="E69:F74" si="7">E$3*0.5</f>
        <v>0</v>
      </c>
      <c r="F69" s="746">
        <f t="shared" si="7"/>
        <v>0</v>
      </c>
      <c r="G69" s="21">
        <f t="shared" si="2"/>
        <v>0</v>
      </c>
      <c r="H69" s="746">
        <f>H$3*1</f>
        <v>0</v>
      </c>
      <c r="I69" s="746">
        <f t="shared" ref="I69:J74" si="8">I$3*0.5</f>
        <v>0</v>
      </c>
      <c r="J69" s="746">
        <f t="shared" si="8"/>
        <v>0</v>
      </c>
      <c r="K69" s="21">
        <f t="shared" si="5"/>
        <v>0</v>
      </c>
      <c r="L69" s="746">
        <f>L$3*1</f>
        <v>0</v>
      </c>
      <c r="M69" s="746">
        <f t="shared" ref="M69:N74" si="9">M$3*0.5</f>
        <v>0</v>
      </c>
      <c r="N69" s="746">
        <f t="shared" si="9"/>
        <v>0</v>
      </c>
      <c r="O69" s="21">
        <f t="shared" si="6"/>
        <v>0</v>
      </c>
    </row>
    <row r="70" spans="1:15" x14ac:dyDescent="0.25">
      <c r="A70" s="1936"/>
      <c r="B70" s="19" t="s">
        <v>33</v>
      </c>
      <c r="C70" s="22"/>
      <c r="D70" s="746">
        <f>D$3*2</f>
        <v>0</v>
      </c>
      <c r="E70" s="746">
        <f t="shared" si="7"/>
        <v>0</v>
      </c>
      <c r="F70" s="746">
        <f t="shared" si="7"/>
        <v>0</v>
      </c>
      <c r="G70" s="21">
        <f t="shared" si="2"/>
        <v>0</v>
      </c>
      <c r="H70" s="746">
        <f>H$3*2</f>
        <v>0</v>
      </c>
      <c r="I70" s="746">
        <f t="shared" si="8"/>
        <v>0</v>
      </c>
      <c r="J70" s="746">
        <f t="shared" si="8"/>
        <v>0</v>
      </c>
      <c r="K70" s="21">
        <f t="shared" si="5"/>
        <v>0</v>
      </c>
      <c r="L70" s="746">
        <f>L$3*2</f>
        <v>0</v>
      </c>
      <c r="M70" s="746">
        <f t="shared" si="9"/>
        <v>0</v>
      </c>
      <c r="N70" s="746">
        <f t="shared" si="9"/>
        <v>0</v>
      </c>
      <c r="O70" s="21">
        <f t="shared" si="6"/>
        <v>0</v>
      </c>
    </row>
    <row r="71" spans="1:15" x14ac:dyDescent="0.25">
      <c r="A71" s="1936"/>
      <c r="B71" s="19" t="s">
        <v>34</v>
      </c>
      <c r="C71" s="22"/>
      <c r="D71" s="746">
        <f>D$3*4</f>
        <v>0</v>
      </c>
      <c r="E71" s="746">
        <f t="shared" si="7"/>
        <v>0</v>
      </c>
      <c r="F71" s="746">
        <f t="shared" si="7"/>
        <v>0</v>
      </c>
      <c r="G71" s="21">
        <f t="shared" si="2"/>
        <v>0</v>
      </c>
      <c r="H71" s="746">
        <f>H$3*4</f>
        <v>0</v>
      </c>
      <c r="I71" s="746">
        <f t="shared" si="8"/>
        <v>0</v>
      </c>
      <c r="J71" s="746">
        <f t="shared" si="8"/>
        <v>0</v>
      </c>
      <c r="K71" s="21">
        <f t="shared" si="5"/>
        <v>0</v>
      </c>
      <c r="L71" s="746">
        <f>L$3*4</f>
        <v>0</v>
      </c>
      <c r="M71" s="746">
        <f t="shared" si="9"/>
        <v>0</v>
      </c>
      <c r="N71" s="746">
        <f t="shared" si="9"/>
        <v>0</v>
      </c>
      <c r="O71" s="21">
        <f t="shared" si="6"/>
        <v>0</v>
      </c>
    </row>
    <row r="72" spans="1:15" x14ac:dyDescent="0.25">
      <c r="A72" s="1933" t="s">
        <v>534</v>
      </c>
      <c r="B72" s="19" t="s">
        <v>32</v>
      </c>
      <c r="C72" s="22"/>
      <c r="D72" s="746">
        <f>D$3*1</f>
        <v>0</v>
      </c>
      <c r="E72" s="746">
        <f t="shared" si="7"/>
        <v>0</v>
      </c>
      <c r="F72" s="746">
        <f t="shared" si="7"/>
        <v>0</v>
      </c>
      <c r="G72" s="21">
        <f t="shared" si="2"/>
        <v>0</v>
      </c>
      <c r="H72" s="746">
        <f>H$3*1</f>
        <v>0</v>
      </c>
      <c r="I72" s="746">
        <f t="shared" si="8"/>
        <v>0</v>
      </c>
      <c r="J72" s="746">
        <f t="shared" si="8"/>
        <v>0</v>
      </c>
      <c r="K72" s="21">
        <f t="shared" si="5"/>
        <v>0</v>
      </c>
      <c r="L72" s="746">
        <f>L$3*1</f>
        <v>0</v>
      </c>
      <c r="M72" s="746">
        <f t="shared" si="9"/>
        <v>0</v>
      </c>
      <c r="N72" s="746">
        <f t="shared" si="9"/>
        <v>0</v>
      </c>
      <c r="O72" s="21">
        <f t="shared" si="6"/>
        <v>0</v>
      </c>
    </row>
    <row r="73" spans="1:15" x14ac:dyDescent="0.25">
      <c r="A73" s="1933"/>
      <c r="B73" s="19" t="s">
        <v>33</v>
      </c>
      <c r="C73" s="22"/>
      <c r="D73" s="746">
        <f>D$3*2</f>
        <v>0</v>
      </c>
      <c r="E73" s="746">
        <f t="shared" si="7"/>
        <v>0</v>
      </c>
      <c r="F73" s="746">
        <f t="shared" si="7"/>
        <v>0</v>
      </c>
      <c r="G73" s="21">
        <f t="shared" si="2"/>
        <v>0</v>
      </c>
      <c r="H73" s="746">
        <f>H$3*2</f>
        <v>0</v>
      </c>
      <c r="I73" s="746">
        <f t="shared" si="8"/>
        <v>0</v>
      </c>
      <c r="J73" s="746">
        <f t="shared" si="8"/>
        <v>0</v>
      </c>
      <c r="K73" s="21">
        <f t="shared" si="5"/>
        <v>0</v>
      </c>
      <c r="L73" s="746">
        <f>L$3*2</f>
        <v>0</v>
      </c>
      <c r="M73" s="746">
        <f t="shared" si="9"/>
        <v>0</v>
      </c>
      <c r="N73" s="746">
        <f t="shared" si="9"/>
        <v>0</v>
      </c>
      <c r="O73" s="21">
        <f t="shared" si="6"/>
        <v>0</v>
      </c>
    </row>
    <row r="74" spans="1:15" x14ac:dyDescent="0.25">
      <c r="A74" s="1933"/>
      <c r="B74" s="19" t="s">
        <v>34</v>
      </c>
      <c r="C74" s="22"/>
      <c r="D74" s="746">
        <f>D$3*3</f>
        <v>0</v>
      </c>
      <c r="E74" s="746">
        <f t="shared" si="7"/>
        <v>0</v>
      </c>
      <c r="F74" s="746">
        <f t="shared" si="7"/>
        <v>0</v>
      </c>
      <c r="G74" s="21">
        <f t="shared" si="2"/>
        <v>0</v>
      </c>
      <c r="H74" s="746">
        <f>H$3*3</f>
        <v>0</v>
      </c>
      <c r="I74" s="746">
        <f t="shared" si="8"/>
        <v>0</v>
      </c>
      <c r="J74" s="746">
        <f t="shared" si="8"/>
        <v>0</v>
      </c>
      <c r="K74" s="21">
        <f t="shared" si="5"/>
        <v>0</v>
      </c>
      <c r="L74" s="746">
        <f>L$3*3</f>
        <v>0</v>
      </c>
      <c r="M74" s="746">
        <f t="shared" si="9"/>
        <v>0</v>
      </c>
      <c r="N74" s="746">
        <f t="shared" si="9"/>
        <v>0</v>
      </c>
      <c r="O74" s="21">
        <f t="shared" si="6"/>
        <v>0</v>
      </c>
    </row>
    <row r="75" spans="1:15" x14ac:dyDescent="0.25">
      <c r="A75" s="1933" t="s">
        <v>21</v>
      </c>
      <c r="B75" s="19" t="s">
        <v>32</v>
      </c>
      <c r="C75" s="22"/>
      <c r="D75" s="744" t="s">
        <v>90</v>
      </c>
      <c r="E75" s="744" t="s">
        <v>90</v>
      </c>
      <c r="F75" s="744" t="s">
        <v>90</v>
      </c>
      <c r="G75" s="21">
        <f t="shared" si="2"/>
        <v>0</v>
      </c>
      <c r="H75" s="38" t="s">
        <v>90</v>
      </c>
      <c r="I75" s="38" t="s">
        <v>90</v>
      </c>
      <c r="J75" s="38" t="s">
        <v>90</v>
      </c>
      <c r="K75" s="21">
        <f t="shared" si="5"/>
        <v>0</v>
      </c>
      <c r="L75" s="38" t="s">
        <v>90</v>
      </c>
      <c r="M75" s="38" t="s">
        <v>90</v>
      </c>
      <c r="N75" s="38" t="s">
        <v>90</v>
      </c>
      <c r="O75" s="21">
        <f t="shared" si="6"/>
        <v>0</v>
      </c>
    </row>
    <row r="76" spans="1:15" x14ac:dyDescent="0.25">
      <c r="A76" s="1933"/>
      <c r="B76" s="19" t="s">
        <v>33</v>
      </c>
      <c r="C76" s="22"/>
      <c r="D76" s="744" t="s">
        <v>90</v>
      </c>
      <c r="E76" s="744" t="s">
        <v>90</v>
      </c>
      <c r="F76" s="744" t="s">
        <v>90</v>
      </c>
      <c r="G76" s="21">
        <f t="shared" si="2"/>
        <v>0</v>
      </c>
      <c r="H76" s="38" t="s">
        <v>90</v>
      </c>
      <c r="I76" s="38" t="s">
        <v>90</v>
      </c>
      <c r="J76" s="38" t="s">
        <v>90</v>
      </c>
      <c r="K76" s="21">
        <f t="shared" si="5"/>
        <v>0</v>
      </c>
      <c r="L76" s="38" t="s">
        <v>90</v>
      </c>
      <c r="M76" s="38" t="s">
        <v>90</v>
      </c>
      <c r="N76" s="38" t="s">
        <v>90</v>
      </c>
      <c r="O76" s="21">
        <f t="shared" si="6"/>
        <v>0</v>
      </c>
    </row>
    <row r="77" spans="1:15" x14ac:dyDescent="0.25">
      <c r="A77" s="1933"/>
      <c r="B77" s="13" t="s">
        <v>34</v>
      </c>
      <c r="C77" s="34"/>
      <c r="D77" s="744" t="s">
        <v>90</v>
      </c>
      <c r="E77" s="744" t="s">
        <v>90</v>
      </c>
      <c r="F77" s="744" t="s">
        <v>90</v>
      </c>
      <c r="G77" s="21">
        <f t="shared" si="2"/>
        <v>0</v>
      </c>
      <c r="H77" s="38" t="s">
        <v>90</v>
      </c>
      <c r="I77" s="38" t="s">
        <v>90</v>
      </c>
      <c r="J77" s="38" t="s">
        <v>90</v>
      </c>
      <c r="K77" s="21">
        <f t="shared" si="5"/>
        <v>0</v>
      </c>
      <c r="L77" s="38" t="s">
        <v>90</v>
      </c>
      <c r="M77" s="38" t="s">
        <v>90</v>
      </c>
      <c r="N77" s="38" t="s">
        <v>90</v>
      </c>
      <c r="O77" s="21">
        <f t="shared" si="6"/>
        <v>0</v>
      </c>
    </row>
    <row r="78" spans="1:15" x14ac:dyDescent="0.25">
      <c r="A78" s="1933" t="s">
        <v>181</v>
      </c>
      <c r="B78" s="19" t="s">
        <v>32</v>
      </c>
      <c r="C78" s="198"/>
      <c r="D78" s="750">
        <f t="shared" ref="D78:D86" si="10">0.25*D$3</f>
        <v>0</v>
      </c>
      <c r="E78" s="740">
        <v>0</v>
      </c>
      <c r="F78" s="749">
        <v>0</v>
      </c>
      <c r="G78" s="21">
        <f t="shared" si="2"/>
        <v>0</v>
      </c>
      <c r="H78" s="750">
        <f t="shared" ref="H78:H86" si="11">0.25*H$3</f>
        <v>0</v>
      </c>
      <c r="I78" s="740">
        <v>0</v>
      </c>
      <c r="J78" s="749">
        <v>0</v>
      </c>
      <c r="K78" s="21">
        <f t="shared" si="5"/>
        <v>0</v>
      </c>
      <c r="L78" s="750">
        <f t="shared" ref="L78:L86" si="12">0.25*L$3</f>
        <v>0</v>
      </c>
      <c r="M78" s="740">
        <v>0</v>
      </c>
      <c r="N78" s="749">
        <v>0</v>
      </c>
      <c r="O78" s="21">
        <f t="shared" si="6"/>
        <v>0</v>
      </c>
    </row>
    <row r="79" spans="1:15" x14ac:dyDescent="0.25">
      <c r="A79" s="1933"/>
      <c r="B79" s="19" t="s">
        <v>33</v>
      </c>
      <c r="C79" s="198"/>
      <c r="D79" s="750">
        <f t="shared" si="10"/>
        <v>0</v>
      </c>
      <c r="E79" s="740">
        <v>0</v>
      </c>
      <c r="F79" s="749">
        <v>0</v>
      </c>
      <c r="G79" s="21">
        <f t="shared" si="2"/>
        <v>0</v>
      </c>
      <c r="H79" s="750">
        <f t="shared" si="11"/>
        <v>0</v>
      </c>
      <c r="I79" s="740">
        <v>0</v>
      </c>
      <c r="J79" s="749">
        <v>0</v>
      </c>
      <c r="K79" s="21">
        <f t="shared" si="5"/>
        <v>0</v>
      </c>
      <c r="L79" s="750">
        <f t="shared" si="12"/>
        <v>0</v>
      </c>
      <c r="M79" s="740">
        <v>0</v>
      </c>
      <c r="N79" s="749">
        <v>0</v>
      </c>
      <c r="O79" s="21">
        <f t="shared" si="6"/>
        <v>0</v>
      </c>
    </row>
    <row r="80" spans="1:15" x14ac:dyDescent="0.25">
      <c r="A80" s="1933"/>
      <c r="B80" s="19" t="s">
        <v>34</v>
      </c>
      <c r="C80" s="198"/>
      <c r="D80" s="750">
        <f t="shared" si="10"/>
        <v>0</v>
      </c>
      <c r="E80" s="740">
        <v>0</v>
      </c>
      <c r="F80" s="749">
        <v>0</v>
      </c>
      <c r="G80" s="21">
        <f t="shared" si="2"/>
        <v>0</v>
      </c>
      <c r="H80" s="750">
        <f t="shared" si="11"/>
        <v>0</v>
      </c>
      <c r="I80" s="740">
        <v>0</v>
      </c>
      <c r="J80" s="749">
        <v>0</v>
      </c>
      <c r="K80" s="21">
        <f t="shared" si="5"/>
        <v>0</v>
      </c>
      <c r="L80" s="750">
        <f t="shared" si="12"/>
        <v>0</v>
      </c>
      <c r="M80" s="740">
        <v>0</v>
      </c>
      <c r="N80" s="749">
        <v>0</v>
      </c>
      <c r="O80" s="21">
        <f t="shared" si="6"/>
        <v>0</v>
      </c>
    </row>
    <row r="81" spans="1:15" x14ac:dyDescent="0.25">
      <c r="A81" s="1933" t="s">
        <v>182</v>
      </c>
      <c r="B81" s="19" t="s">
        <v>32</v>
      </c>
      <c r="C81" s="198"/>
      <c r="D81" s="750">
        <f t="shared" si="10"/>
        <v>0</v>
      </c>
      <c r="E81" s="740">
        <v>0</v>
      </c>
      <c r="F81" s="749">
        <v>0</v>
      </c>
      <c r="G81" s="21">
        <f t="shared" si="2"/>
        <v>0</v>
      </c>
      <c r="H81" s="750">
        <f t="shared" si="11"/>
        <v>0</v>
      </c>
      <c r="I81" s="740">
        <v>0</v>
      </c>
      <c r="J81" s="749">
        <v>0</v>
      </c>
      <c r="K81" s="21">
        <f t="shared" si="5"/>
        <v>0</v>
      </c>
      <c r="L81" s="750">
        <f t="shared" si="12"/>
        <v>0</v>
      </c>
      <c r="M81" s="740">
        <v>0</v>
      </c>
      <c r="N81" s="749">
        <v>0</v>
      </c>
      <c r="O81" s="21">
        <f t="shared" si="6"/>
        <v>0</v>
      </c>
    </row>
    <row r="82" spans="1:15" x14ac:dyDescent="0.25">
      <c r="A82" s="1933"/>
      <c r="B82" s="19" t="s">
        <v>33</v>
      </c>
      <c r="C82" s="198"/>
      <c r="D82" s="750">
        <f t="shared" si="10"/>
        <v>0</v>
      </c>
      <c r="E82" s="740">
        <v>0</v>
      </c>
      <c r="F82" s="749">
        <v>0</v>
      </c>
      <c r="G82" s="21">
        <f t="shared" si="2"/>
        <v>0</v>
      </c>
      <c r="H82" s="750">
        <f t="shared" si="11"/>
        <v>0</v>
      </c>
      <c r="I82" s="740">
        <v>0</v>
      </c>
      <c r="J82" s="749">
        <v>0</v>
      </c>
      <c r="K82" s="21">
        <f t="shared" si="5"/>
        <v>0</v>
      </c>
      <c r="L82" s="750">
        <f t="shared" si="12"/>
        <v>0</v>
      </c>
      <c r="M82" s="740">
        <v>0</v>
      </c>
      <c r="N82" s="749">
        <v>0</v>
      </c>
      <c r="O82" s="21">
        <f t="shared" si="6"/>
        <v>0</v>
      </c>
    </row>
    <row r="83" spans="1:15" x14ac:dyDescent="0.25">
      <c r="A83" s="1933"/>
      <c r="B83" s="19" t="s">
        <v>34</v>
      </c>
      <c r="C83" s="198"/>
      <c r="D83" s="750">
        <f t="shared" si="10"/>
        <v>0</v>
      </c>
      <c r="E83" s="740">
        <v>0</v>
      </c>
      <c r="F83" s="749">
        <v>0</v>
      </c>
      <c r="G83" s="21">
        <f t="shared" si="2"/>
        <v>0</v>
      </c>
      <c r="H83" s="750">
        <f t="shared" si="11"/>
        <v>0</v>
      </c>
      <c r="I83" s="740">
        <v>0</v>
      </c>
      <c r="J83" s="749">
        <v>0</v>
      </c>
      <c r="K83" s="21">
        <f t="shared" si="5"/>
        <v>0</v>
      </c>
      <c r="L83" s="750">
        <f t="shared" si="12"/>
        <v>0</v>
      </c>
      <c r="M83" s="740">
        <v>0</v>
      </c>
      <c r="N83" s="749">
        <v>0</v>
      </c>
      <c r="O83" s="21">
        <f t="shared" si="6"/>
        <v>0</v>
      </c>
    </row>
    <row r="84" spans="1:15" x14ac:dyDescent="0.25">
      <c r="A84" s="1935" t="s">
        <v>183</v>
      </c>
      <c r="B84" s="19" t="s">
        <v>32</v>
      </c>
      <c r="C84" s="198"/>
      <c r="D84" s="750">
        <f t="shared" si="10"/>
        <v>0</v>
      </c>
      <c r="E84" s="740">
        <v>0</v>
      </c>
      <c r="F84" s="749">
        <v>0</v>
      </c>
      <c r="G84" s="21">
        <f t="shared" si="2"/>
        <v>0</v>
      </c>
      <c r="H84" s="750">
        <f t="shared" si="11"/>
        <v>0</v>
      </c>
      <c r="I84" s="740">
        <v>0</v>
      </c>
      <c r="J84" s="749">
        <v>0</v>
      </c>
      <c r="K84" s="21">
        <f t="shared" si="5"/>
        <v>0</v>
      </c>
      <c r="L84" s="750">
        <f t="shared" si="12"/>
        <v>0</v>
      </c>
      <c r="M84" s="740">
        <v>0</v>
      </c>
      <c r="N84" s="749">
        <v>0</v>
      </c>
      <c r="O84" s="21">
        <f t="shared" si="6"/>
        <v>0</v>
      </c>
    </row>
    <row r="85" spans="1:15" x14ac:dyDescent="0.25">
      <c r="A85" s="1935"/>
      <c r="B85" s="19" t="s">
        <v>33</v>
      </c>
      <c r="C85" s="198"/>
      <c r="D85" s="750">
        <f t="shared" si="10"/>
        <v>0</v>
      </c>
      <c r="E85" s="740">
        <v>0</v>
      </c>
      <c r="F85" s="749">
        <v>0</v>
      </c>
      <c r="G85" s="21">
        <f t="shared" si="2"/>
        <v>0</v>
      </c>
      <c r="H85" s="750">
        <f t="shared" si="11"/>
        <v>0</v>
      </c>
      <c r="I85" s="740">
        <v>0</v>
      </c>
      <c r="J85" s="749">
        <v>0</v>
      </c>
      <c r="K85" s="21">
        <f t="shared" si="5"/>
        <v>0</v>
      </c>
      <c r="L85" s="750">
        <f t="shared" si="12"/>
        <v>0</v>
      </c>
      <c r="M85" s="740">
        <v>0</v>
      </c>
      <c r="N85" s="749">
        <v>0</v>
      </c>
      <c r="O85" s="21">
        <f t="shared" si="6"/>
        <v>0</v>
      </c>
    </row>
    <row r="86" spans="1:15" ht="15.75" thickBot="1" x14ac:dyDescent="0.3">
      <c r="A86" s="1935"/>
      <c r="B86" s="13" t="s">
        <v>34</v>
      </c>
      <c r="C86" s="220"/>
      <c r="D86" s="750">
        <f t="shared" si="10"/>
        <v>0</v>
      </c>
      <c r="E86" s="754">
        <v>0</v>
      </c>
      <c r="F86" s="757">
        <v>0</v>
      </c>
      <c r="G86" s="77">
        <f t="shared" si="2"/>
        <v>0</v>
      </c>
      <c r="H86" s="750">
        <f t="shared" si="11"/>
        <v>0</v>
      </c>
      <c r="I86" s="754">
        <v>0</v>
      </c>
      <c r="J86" s="757">
        <v>0</v>
      </c>
      <c r="K86" s="77">
        <f t="shared" si="5"/>
        <v>0</v>
      </c>
      <c r="L86" s="750">
        <f t="shared" si="12"/>
        <v>0</v>
      </c>
      <c r="M86" s="754">
        <v>0</v>
      </c>
      <c r="N86" s="757">
        <v>0</v>
      </c>
      <c r="O86" s="77">
        <f t="shared" si="6"/>
        <v>0</v>
      </c>
    </row>
    <row r="87" spans="1:15" ht="16.5" thickBot="1" x14ac:dyDescent="0.3">
      <c r="A87" s="330" t="s">
        <v>22</v>
      </c>
      <c r="B87" s="329"/>
      <c r="C87" s="329"/>
      <c r="D87" s="329"/>
      <c r="E87" s="329"/>
      <c r="F87" s="327"/>
      <c r="G87" s="327"/>
      <c r="H87" s="329"/>
      <c r="I87" s="329"/>
      <c r="J87" s="327"/>
      <c r="K87" s="327"/>
      <c r="L87" s="329"/>
      <c r="M87" s="329"/>
      <c r="N87" s="327"/>
      <c r="O87" s="396"/>
    </row>
    <row r="88" spans="1:15" x14ac:dyDescent="0.25">
      <c r="A88" s="1932" t="s">
        <v>23</v>
      </c>
      <c r="B88" s="404" t="s">
        <v>32</v>
      </c>
      <c r="C88" s="324"/>
      <c r="D88" s="541">
        <v>0.25</v>
      </c>
      <c r="E88" s="479">
        <v>0</v>
      </c>
      <c r="F88" s="525">
        <v>0</v>
      </c>
      <c r="G88" s="230">
        <f t="shared" si="2"/>
        <v>0.25</v>
      </c>
      <c r="H88" s="541">
        <v>0.25</v>
      </c>
      <c r="I88" s="479">
        <v>0</v>
      </c>
      <c r="J88" s="525">
        <v>0</v>
      </c>
      <c r="K88" s="230">
        <f t="shared" ref="K88:K93" si="13" xml:space="preserve"> SUM(H88:J88) + $C88</f>
        <v>0.25</v>
      </c>
      <c r="L88" s="541">
        <v>0.25</v>
      </c>
      <c r="M88" s="479">
        <v>0</v>
      </c>
      <c r="N88" s="525">
        <v>0</v>
      </c>
      <c r="O88" s="230">
        <f t="shared" ref="O88:O93" si="14" xml:space="preserve"> SUM(L88:N88) + $C88</f>
        <v>0.25</v>
      </c>
    </row>
    <row r="89" spans="1:15" x14ac:dyDescent="0.25">
      <c r="A89" s="1932"/>
      <c r="B89" s="19" t="s">
        <v>33</v>
      </c>
      <c r="C89" s="22"/>
      <c r="D89" s="758">
        <v>0.25</v>
      </c>
      <c r="E89" s="740">
        <v>0</v>
      </c>
      <c r="F89" s="749">
        <v>0</v>
      </c>
      <c r="G89" s="21">
        <f t="shared" si="2"/>
        <v>0.25</v>
      </c>
      <c r="H89" s="758">
        <v>0.25</v>
      </c>
      <c r="I89" s="740">
        <v>0</v>
      </c>
      <c r="J89" s="749">
        <v>0</v>
      </c>
      <c r="K89" s="21">
        <f t="shared" si="13"/>
        <v>0.25</v>
      </c>
      <c r="L89" s="758">
        <v>0.25</v>
      </c>
      <c r="M89" s="740">
        <v>0</v>
      </c>
      <c r="N89" s="749">
        <v>0</v>
      </c>
      <c r="O89" s="21">
        <f t="shared" si="14"/>
        <v>0.25</v>
      </c>
    </row>
    <row r="90" spans="1:15" x14ac:dyDescent="0.25">
      <c r="A90" s="1932"/>
      <c r="B90" s="19" t="s">
        <v>34</v>
      </c>
      <c r="C90" s="22"/>
      <c r="D90" s="758">
        <v>0.25</v>
      </c>
      <c r="E90" s="740">
        <v>0</v>
      </c>
      <c r="F90" s="749">
        <v>0</v>
      </c>
      <c r="G90" s="21">
        <f t="shared" si="2"/>
        <v>0.25</v>
      </c>
      <c r="H90" s="758">
        <v>0.25</v>
      </c>
      <c r="I90" s="740">
        <v>0</v>
      </c>
      <c r="J90" s="749">
        <v>0</v>
      </c>
      <c r="K90" s="21">
        <f t="shared" si="13"/>
        <v>0.25</v>
      </c>
      <c r="L90" s="758">
        <v>0.25</v>
      </c>
      <c r="M90" s="740">
        <v>0</v>
      </c>
      <c r="N90" s="749">
        <v>0</v>
      </c>
      <c r="O90" s="21">
        <f t="shared" si="14"/>
        <v>0.25</v>
      </c>
    </row>
    <row r="91" spans="1:15" x14ac:dyDescent="0.25">
      <c r="A91" s="1974" t="s">
        <v>24</v>
      </c>
      <c r="B91" s="19" t="s">
        <v>32</v>
      </c>
      <c r="C91" s="22"/>
      <c r="D91" s="748">
        <v>16</v>
      </c>
      <c r="E91" s="743">
        <v>0</v>
      </c>
      <c r="F91" s="749">
        <v>0</v>
      </c>
      <c r="G91" s="21">
        <f t="shared" si="2"/>
        <v>16</v>
      </c>
      <c r="H91" s="748">
        <v>16</v>
      </c>
      <c r="I91" s="743">
        <v>0</v>
      </c>
      <c r="J91" s="749">
        <v>0</v>
      </c>
      <c r="K91" s="21">
        <f t="shared" si="13"/>
        <v>16</v>
      </c>
      <c r="L91" s="748">
        <v>16</v>
      </c>
      <c r="M91" s="743">
        <v>0</v>
      </c>
      <c r="N91" s="749">
        <v>0</v>
      </c>
      <c r="O91" s="21">
        <f t="shared" si="14"/>
        <v>16</v>
      </c>
    </row>
    <row r="92" spans="1:15" x14ac:dyDescent="0.25">
      <c r="A92" s="1974"/>
      <c r="B92" s="19" t="s">
        <v>33</v>
      </c>
      <c r="C92" s="22"/>
      <c r="D92" s="748">
        <v>24</v>
      </c>
      <c r="E92" s="743">
        <v>0</v>
      </c>
      <c r="F92" s="749">
        <v>0</v>
      </c>
      <c r="G92" s="21">
        <f t="shared" si="2"/>
        <v>24</v>
      </c>
      <c r="H92" s="748">
        <v>24</v>
      </c>
      <c r="I92" s="743">
        <v>0</v>
      </c>
      <c r="J92" s="749">
        <v>0</v>
      </c>
      <c r="K92" s="21">
        <f t="shared" si="13"/>
        <v>24</v>
      </c>
      <c r="L92" s="748">
        <v>24</v>
      </c>
      <c r="M92" s="743">
        <v>0</v>
      </c>
      <c r="N92" s="749">
        <v>0</v>
      </c>
      <c r="O92" s="21">
        <f t="shared" si="14"/>
        <v>24</v>
      </c>
    </row>
    <row r="93" spans="1:15" x14ac:dyDescent="0.25">
      <c r="A93" s="1974"/>
      <c r="B93" s="19" t="s">
        <v>34</v>
      </c>
      <c r="C93" s="22"/>
      <c r="D93" s="748">
        <v>32</v>
      </c>
      <c r="E93" s="743">
        <v>0</v>
      </c>
      <c r="F93" s="749">
        <v>0</v>
      </c>
      <c r="G93" s="21">
        <f t="shared" si="2"/>
        <v>32</v>
      </c>
      <c r="H93" s="748">
        <v>32</v>
      </c>
      <c r="I93" s="743">
        <v>0</v>
      </c>
      <c r="J93" s="749">
        <v>0</v>
      </c>
      <c r="K93" s="21">
        <f t="shared" si="13"/>
        <v>32</v>
      </c>
      <c r="L93" s="748">
        <v>32</v>
      </c>
      <c r="M93" s="743">
        <v>0</v>
      </c>
      <c r="N93" s="749">
        <v>0</v>
      </c>
      <c r="O93" s="21">
        <f t="shared" si="14"/>
        <v>32</v>
      </c>
    </row>
    <row r="94" spans="1:15" x14ac:dyDescent="0.25">
      <c r="A94" s="1974" t="s">
        <v>25</v>
      </c>
      <c r="B94" s="19" t="s">
        <v>32</v>
      </c>
      <c r="C94" s="22"/>
      <c r="D94" s="748">
        <v>16</v>
      </c>
      <c r="E94" s="743">
        <v>0</v>
      </c>
      <c r="F94" s="749">
        <v>0</v>
      </c>
      <c r="G94" s="21">
        <f t="shared" ref="G94:G105" si="15" xml:space="preserve"> SUM(D94:F94) + $C94</f>
        <v>16</v>
      </c>
      <c r="H94" s="748">
        <v>16</v>
      </c>
      <c r="I94" s="743">
        <v>0</v>
      </c>
      <c r="J94" s="749">
        <v>0</v>
      </c>
      <c r="K94" s="21">
        <f t="shared" ref="K94:K105" si="16" xml:space="preserve"> SUM(H94:J94) + $C94</f>
        <v>16</v>
      </c>
      <c r="L94" s="748">
        <v>16</v>
      </c>
      <c r="M94" s="743">
        <v>0</v>
      </c>
      <c r="N94" s="749">
        <v>0</v>
      </c>
      <c r="O94" s="21">
        <f t="shared" ref="O94:O105" si="17" xml:space="preserve"> SUM(L94:N94) + $C94</f>
        <v>16</v>
      </c>
    </row>
    <row r="95" spans="1:15" x14ac:dyDescent="0.25">
      <c r="A95" s="1974"/>
      <c r="B95" s="19" t="s">
        <v>33</v>
      </c>
      <c r="C95" s="22"/>
      <c r="D95" s="748">
        <v>16</v>
      </c>
      <c r="E95" s="743">
        <v>0</v>
      </c>
      <c r="F95" s="749">
        <v>0</v>
      </c>
      <c r="G95" s="21">
        <f t="shared" si="15"/>
        <v>16</v>
      </c>
      <c r="H95" s="748">
        <v>16</v>
      </c>
      <c r="I95" s="743">
        <v>0</v>
      </c>
      <c r="J95" s="749">
        <v>0</v>
      </c>
      <c r="K95" s="21">
        <f t="shared" si="16"/>
        <v>16</v>
      </c>
      <c r="L95" s="748">
        <v>16</v>
      </c>
      <c r="M95" s="743">
        <v>0</v>
      </c>
      <c r="N95" s="749">
        <v>0</v>
      </c>
      <c r="O95" s="21">
        <f t="shared" si="17"/>
        <v>16</v>
      </c>
    </row>
    <row r="96" spans="1:15" x14ac:dyDescent="0.25">
      <c r="A96" s="1974"/>
      <c r="B96" s="19" t="s">
        <v>34</v>
      </c>
      <c r="C96" s="22"/>
      <c r="D96" s="748">
        <v>16</v>
      </c>
      <c r="E96" s="743">
        <v>0</v>
      </c>
      <c r="F96" s="749">
        <v>0</v>
      </c>
      <c r="G96" s="21">
        <f t="shared" si="15"/>
        <v>16</v>
      </c>
      <c r="H96" s="748">
        <v>16</v>
      </c>
      <c r="I96" s="743">
        <v>0</v>
      </c>
      <c r="J96" s="749">
        <v>0</v>
      </c>
      <c r="K96" s="21">
        <f t="shared" si="16"/>
        <v>16</v>
      </c>
      <c r="L96" s="748">
        <v>16</v>
      </c>
      <c r="M96" s="743">
        <v>0</v>
      </c>
      <c r="N96" s="749">
        <v>0</v>
      </c>
      <c r="O96" s="21">
        <f t="shared" si="17"/>
        <v>16</v>
      </c>
    </row>
    <row r="97" spans="1:15" x14ac:dyDescent="0.25">
      <c r="A97" s="1974" t="s">
        <v>26</v>
      </c>
      <c r="B97" s="19" t="s">
        <v>32</v>
      </c>
      <c r="C97" s="22"/>
      <c r="D97" s="748">
        <v>8</v>
      </c>
      <c r="E97" s="740">
        <v>0</v>
      </c>
      <c r="F97" s="741">
        <v>0</v>
      </c>
      <c r="G97" s="21">
        <f t="shared" si="15"/>
        <v>8</v>
      </c>
      <c r="H97" s="748">
        <v>8</v>
      </c>
      <c r="I97" s="740">
        <v>0</v>
      </c>
      <c r="J97" s="741">
        <v>0</v>
      </c>
      <c r="K97" s="21">
        <f t="shared" si="16"/>
        <v>8</v>
      </c>
      <c r="L97" s="748">
        <v>8</v>
      </c>
      <c r="M97" s="740">
        <v>0</v>
      </c>
      <c r="N97" s="741">
        <v>0</v>
      </c>
      <c r="O97" s="21">
        <f t="shared" si="17"/>
        <v>8</v>
      </c>
    </row>
    <row r="98" spans="1:15" x14ac:dyDescent="0.25">
      <c r="A98" s="1974"/>
      <c r="B98" s="19" t="s">
        <v>33</v>
      </c>
      <c r="C98" s="22"/>
      <c r="D98" s="748">
        <v>8</v>
      </c>
      <c r="E98" s="740">
        <v>0</v>
      </c>
      <c r="F98" s="741">
        <v>0</v>
      </c>
      <c r="G98" s="21">
        <f t="shared" si="15"/>
        <v>8</v>
      </c>
      <c r="H98" s="748">
        <v>8</v>
      </c>
      <c r="I98" s="740">
        <v>0</v>
      </c>
      <c r="J98" s="741">
        <v>0</v>
      </c>
      <c r="K98" s="21">
        <f t="shared" si="16"/>
        <v>8</v>
      </c>
      <c r="L98" s="748">
        <v>8</v>
      </c>
      <c r="M98" s="740">
        <v>0</v>
      </c>
      <c r="N98" s="741">
        <v>0</v>
      </c>
      <c r="O98" s="21">
        <f t="shared" si="17"/>
        <v>8</v>
      </c>
    </row>
    <row r="99" spans="1:15" x14ac:dyDescent="0.25">
      <c r="A99" s="1974"/>
      <c r="B99" s="19" t="s">
        <v>34</v>
      </c>
      <c r="C99" s="22"/>
      <c r="D99" s="748">
        <v>8</v>
      </c>
      <c r="E99" s="740">
        <v>0</v>
      </c>
      <c r="F99" s="741">
        <v>0</v>
      </c>
      <c r="G99" s="21">
        <f t="shared" si="15"/>
        <v>8</v>
      </c>
      <c r="H99" s="748">
        <v>8</v>
      </c>
      <c r="I99" s="740">
        <v>0</v>
      </c>
      <c r="J99" s="741">
        <v>0</v>
      </c>
      <c r="K99" s="21">
        <f t="shared" si="16"/>
        <v>8</v>
      </c>
      <c r="L99" s="748">
        <v>8</v>
      </c>
      <c r="M99" s="740">
        <v>0</v>
      </c>
      <c r="N99" s="741">
        <v>0</v>
      </c>
      <c r="O99" s="21">
        <f t="shared" si="17"/>
        <v>8</v>
      </c>
    </row>
    <row r="100" spans="1:15" x14ac:dyDescent="0.25">
      <c r="A100" s="1974" t="s">
        <v>27</v>
      </c>
      <c r="B100" s="19" t="s">
        <v>32</v>
      </c>
      <c r="C100" s="22"/>
      <c r="D100" s="748">
        <v>4</v>
      </c>
      <c r="E100" s="740">
        <v>0</v>
      </c>
      <c r="F100" s="741">
        <v>0</v>
      </c>
      <c r="G100" s="21">
        <f t="shared" si="15"/>
        <v>4</v>
      </c>
      <c r="H100" s="748">
        <v>4</v>
      </c>
      <c r="I100" s="740">
        <v>0</v>
      </c>
      <c r="J100" s="741">
        <v>0</v>
      </c>
      <c r="K100" s="21">
        <f t="shared" si="16"/>
        <v>4</v>
      </c>
      <c r="L100" s="748">
        <v>4</v>
      </c>
      <c r="M100" s="740">
        <v>0</v>
      </c>
      <c r="N100" s="741">
        <v>0</v>
      </c>
      <c r="O100" s="21">
        <f t="shared" si="17"/>
        <v>4</v>
      </c>
    </row>
    <row r="101" spans="1:15" x14ac:dyDescent="0.25">
      <c r="A101" s="1974"/>
      <c r="B101" s="19" t="s">
        <v>33</v>
      </c>
      <c r="C101" s="22"/>
      <c r="D101" s="748">
        <v>4</v>
      </c>
      <c r="E101" s="740">
        <v>0</v>
      </c>
      <c r="F101" s="741">
        <v>0</v>
      </c>
      <c r="G101" s="21">
        <f t="shared" si="15"/>
        <v>4</v>
      </c>
      <c r="H101" s="748">
        <v>4</v>
      </c>
      <c r="I101" s="740">
        <v>0</v>
      </c>
      <c r="J101" s="741">
        <v>0</v>
      </c>
      <c r="K101" s="21">
        <f t="shared" si="16"/>
        <v>4</v>
      </c>
      <c r="L101" s="748">
        <v>4</v>
      </c>
      <c r="M101" s="740">
        <v>0</v>
      </c>
      <c r="N101" s="741">
        <v>0</v>
      </c>
      <c r="O101" s="21">
        <f t="shared" si="17"/>
        <v>4</v>
      </c>
    </row>
    <row r="102" spans="1:15" x14ac:dyDescent="0.25">
      <c r="A102" s="1974"/>
      <c r="B102" s="19" t="s">
        <v>34</v>
      </c>
      <c r="C102" s="22"/>
      <c r="D102" s="748">
        <v>4</v>
      </c>
      <c r="E102" s="740">
        <v>0</v>
      </c>
      <c r="F102" s="741">
        <v>0</v>
      </c>
      <c r="G102" s="21">
        <f t="shared" si="15"/>
        <v>4</v>
      </c>
      <c r="H102" s="748">
        <v>4</v>
      </c>
      <c r="I102" s="740">
        <v>0</v>
      </c>
      <c r="J102" s="741">
        <v>0</v>
      </c>
      <c r="K102" s="21">
        <f t="shared" si="16"/>
        <v>4</v>
      </c>
      <c r="L102" s="748">
        <v>4</v>
      </c>
      <c r="M102" s="740">
        <v>0</v>
      </c>
      <c r="N102" s="741">
        <v>0</v>
      </c>
      <c r="O102" s="21">
        <f t="shared" si="17"/>
        <v>4</v>
      </c>
    </row>
    <row r="103" spans="1:15" x14ac:dyDescent="0.25">
      <c r="A103" s="1907" t="s">
        <v>28</v>
      </c>
      <c r="B103" s="19" t="s">
        <v>32</v>
      </c>
      <c r="C103" s="22"/>
      <c r="D103" s="748">
        <v>4</v>
      </c>
      <c r="E103" s="740">
        <v>0</v>
      </c>
      <c r="F103" s="741">
        <v>0</v>
      </c>
      <c r="G103" s="21">
        <f t="shared" si="15"/>
        <v>4</v>
      </c>
      <c r="H103" s="748">
        <v>4</v>
      </c>
      <c r="I103" s="740">
        <v>0</v>
      </c>
      <c r="J103" s="741">
        <v>0</v>
      </c>
      <c r="K103" s="21">
        <f t="shared" si="16"/>
        <v>4</v>
      </c>
      <c r="L103" s="748">
        <v>4</v>
      </c>
      <c r="M103" s="740">
        <v>0</v>
      </c>
      <c r="N103" s="741">
        <v>0</v>
      </c>
      <c r="O103" s="21">
        <f t="shared" si="17"/>
        <v>4</v>
      </c>
    </row>
    <row r="104" spans="1:15" x14ac:dyDescent="0.25">
      <c r="A104" s="1907"/>
      <c r="B104" s="19" t="s">
        <v>33</v>
      </c>
      <c r="C104" s="22"/>
      <c r="D104" s="748">
        <v>5</v>
      </c>
      <c r="E104" s="740">
        <v>0</v>
      </c>
      <c r="F104" s="741">
        <v>0</v>
      </c>
      <c r="G104" s="21">
        <f t="shared" si="15"/>
        <v>5</v>
      </c>
      <c r="H104" s="748">
        <v>5</v>
      </c>
      <c r="I104" s="740">
        <v>0</v>
      </c>
      <c r="J104" s="741">
        <v>0</v>
      </c>
      <c r="K104" s="21">
        <f t="shared" si="16"/>
        <v>5</v>
      </c>
      <c r="L104" s="748">
        <v>5</v>
      </c>
      <c r="M104" s="740">
        <v>0</v>
      </c>
      <c r="N104" s="741">
        <v>0</v>
      </c>
      <c r="O104" s="21">
        <f t="shared" si="17"/>
        <v>5</v>
      </c>
    </row>
    <row r="105" spans="1:15" ht="15.75" thickBot="1" x14ac:dyDescent="0.3">
      <c r="A105" s="1975"/>
      <c r="B105" s="20" t="s">
        <v>34</v>
      </c>
      <c r="C105" s="23"/>
      <c r="D105" s="751">
        <v>6</v>
      </c>
      <c r="E105" s="752">
        <v>0</v>
      </c>
      <c r="F105" s="742">
        <v>0</v>
      </c>
      <c r="G105" s="24">
        <f t="shared" si="15"/>
        <v>6</v>
      </c>
      <c r="H105" s="751">
        <v>6</v>
      </c>
      <c r="I105" s="752">
        <v>0</v>
      </c>
      <c r="J105" s="742">
        <v>0</v>
      </c>
      <c r="K105" s="24">
        <f t="shared" si="16"/>
        <v>6</v>
      </c>
      <c r="L105" s="751">
        <v>6</v>
      </c>
      <c r="M105" s="752">
        <v>0</v>
      </c>
      <c r="N105" s="742">
        <v>0</v>
      </c>
      <c r="O105" s="24">
        <f t="shared" si="17"/>
        <v>6</v>
      </c>
    </row>
    <row r="107" spans="1:15" x14ac:dyDescent="0.25">
      <c r="A107" s="125" t="s">
        <v>89</v>
      </c>
    </row>
  </sheetData>
  <mergeCells count="39">
    <mergeCell ref="A97:A99"/>
    <mergeCell ref="A100:A102"/>
    <mergeCell ref="A103:A105"/>
    <mergeCell ref="A78:A80"/>
    <mergeCell ref="A81:A83"/>
    <mergeCell ref="A84:A86"/>
    <mergeCell ref="A88:A90"/>
    <mergeCell ref="A91:A93"/>
    <mergeCell ref="A94:A96"/>
    <mergeCell ref="A75:A77"/>
    <mergeCell ref="A28:A30"/>
    <mergeCell ref="A31:A33"/>
    <mergeCell ref="A34:A36"/>
    <mergeCell ref="A38:A40"/>
    <mergeCell ref="A42:A44"/>
    <mergeCell ref="A45:A47"/>
    <mergeCell ref="A48:A50"/>
    <mergeCell ref="A51:A53"/>
    <mergeCell ref="A54:A56"/>
    <mergeCell ref="A57:A59"/>
    <mergeCell ref="A60:A62"/>
    <mergeCell ref="A63:A65"/>
    <mergeCell ref="A66:A68"/>
    <mergeCell ref="A69:A71"/>
    <mergeCell ref="A72:A74"/>
    <mergeCell ref="A25:A27"/>
    <mergeCell ref="D1:G1"/>
    <mergeCell ref="H1:K1"/>
    <mergeCell ref="L1:O1"/>
    <mergeCell ref="C2:C3"/>
    <mergeCell ref="G2:G3"/>
    <mergeCell ref="K2:K3"/>
    <mergeCell ref="O2:O3"/>
    <mergeCell ref="A8:A10"/>
    <mergeCell ref="A12:A14"/>
    <mergeCell ref="A16:A18"/>
    <mergeCell ref="A19:A21"/>
    <mergeCell ref="A22:A24"/>
    <mergeCell ref="A5:A7"/>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Лист21"/>
  <dimension ref="A1:G107"/>
  <sheetViews>
    <sheetView zoomScale="85" zoomScaleNormal="85" workbookViewId="0">
      <selection activeCell="E111" sqref="E111"/>
    </sheetView>
  </sheetViews>
  <sheetFormatPr defaultRowHeight="15" x14ac:dyDescent="0.25"/>
  <cols>
    <col min="1" max="1" width="53.42578125" bestFit="1" customWidth="1"/>
    <col min="2" max="2" width="23.5703125" bestFit="1" customWidth="1"/>
    <col min="4" max="4" width="58.28515625" bestFit="1" customWidth="1"/>
    <col min="5" max="5" width="31.85546875" bestFit="1" customWidth="1"/>
    <col min="6" max="6" width="36" bestFit="1" customWidth="1"/>
  </cols>
  <sheetData>
    <row r="1" spans="1:7" ht="16.5" thickBot="1" x14ac:dyDescent="0.3">
      <c r="A1" s="465" t="s">
        <v>91</v>
      </c>
      <c r="B1" s="35"/>
      <c r="C1" s="43"/>
      <c r="D1" s="1939" t="str">
        <f>'Служебный АСУТП'!AB2</f>
        <v>Efros ACS</v>
      </c>
      <c r="E1" s="1940"/>
      <c r="F1" s="1940"/>
      <c r="G1" s="1941"/>
    </row>
    <row r="2" spans="1:7" ht="15.75" x14ac:dyDescent="0.25">
      <c r="B2" s="41" t="s">
        <v>37</v>
      </c>
      <c r="C2" s="1945" t="s">
        <v>35</v>
      </c>
      <c r="D2" s="439" t="s">
        <v>563</v>
      </c>
      <c r="E2" s="191" t="s">
        <v>562</v>
      </c>
      <c r="F2" s="191" t="s">
        <v>561</v>
      </c>
      <c r="G2" s="1942" t="s">
        <v>38</v>
      </c>
    </row>
    <row r="3" spans="1:7"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row>
    <row r="4" spans="1:7" ht="16.5" thickBot="1" x14ac:dyDescent="0.3">
      <c r="A4" s="326" t="s">
        <v>448</v>
      </c>
      <c r="B4" s="327"/>
      <c r="C4" s="327"/>
      <c r="D4" s="327"/>
      <c r="E4" s="327"/>
      <c r="F4" s="327"/>
      <c r="G4" s="396"/>
    </row>
    <row r="5" spans="1:7" x14ac:dyDescent="0.25">
      <c r="A5" s="1907" t="s">
        <v>0</v>
      </c>
      <c r="B5" s="404" t="s">
        <v>32</v>
      </c>
      <c r="C5" s="324"/>
      <c r="D5" s="405">
        <v>1</v>
      </c>
      <c r="E5" s="425">
        <f t="shared" ref="E5:F10" si="0">0.25*E$3</f>
        <v>0</v>
      </c>
      <c r="F5" s="423">
        <f t="shared" si="0"/>
        <v>0</v>
      </c>
      <c r="G5" s="230">
        <f xml:space="preserve"> SUM(D5:F5) + $C5</f>
        <v>1</v>
      </c>
    </row>
    <row r="6" spans="1:7" x14ac:dyDescent="0.25">
      <c r="A6" s="1907"/>
      <c r="B6" s="19" t="s">
        <v>33</v>
      </c>
      <c r="C6" s="22"/>
      <c r="D6" s="11">
        <v>2</v>
      </c>
      <c r="E6" s="425">
        <f t="shared" si="0"/>
        <v>0</v>
      </c>
      <c r="F6" s="423">
        <f t="shared" si="0"/>
        <v>0</v>
      </c>
      <c r="G6" s="21">
        <f xml:space="preserve"> SUM(D6:F6) + $C6</f>
        <v>2</v>
      </c>
    </row>
    <row r="7" spans="1:7" x14ac:dyDescent="0.25">
      <c r="A7" s="1914"/>
      <c r="B7" s="19" t="s">
        <v>34</v>
      </c>
      <c r="C7" s="22"/>
      <c r="D7" s="11">
        <v>4</v>
      </c>
      <c r="E7" s="425">
        <f t="shared" si="0"/>
        <v>0</v>
      </c>
      <c r="F7" s="423">
        <f t="shared" si="0"/>
        <v>0</v>
      </c>
      <c r="G7" s="21">
        <f xml:space="preserve"> SUM(D7:F7) + $C7</f>
        <v>4</v>
      </c>
    </row>
    <row r="8" spans="1:7" x14ac:dyDescent="0.25">
      <c r="A8" s="1907" t="s">
        <v>449</v>
      </c>
      <c r="B8" s="404" t="s">
        <v>32</v>
      </c>
      <c r="C8" s="324"/>
      <c r="D8" s="405">
        <v>1</v>
      </c>
      <c r="E8" s="425">
        <f t="shared" si="0"/>
        <v>0</v>
      </c>
      <c r="F8" s="423">
        <f t="shared" si="0"/>
        <v>0</v>
      </c>
      <c r="G8" s="21">
        <f xml:space="preserve"> SUM(D8:F8) + $C8</f>
        <v>1</v>
      </c>
    </row>
    <row r="9" spans="1:7" x14ac:dyDescent="0.25">
      <c r="A9" s="1907"/>
      <c r="B9" s="19" t="s">
        <v>33</v>
      </c>
      <c r="C9" s="22"/>
      <c r="D9" s="11">
        <v>2</v>
      </c>
      <c r="E9" s="425">
        <f t="shared" si="0"/>
        <v>0</v>
      </c>
      <c r="F9" s="423">
        <f t="shared" si="0"/>
        <v>0</v>
      </c>
      <c r="G9" s="21">
        <f t="shared" ref="G9:G93" si="1" xml:space="preserve"> SUM(D9:F9) + $C9</f>
        <v>2</v>
      </c>
    </row>
    <row r="10" spans="1:7" ht="15.75" thickBot="1" x14ac:dyDescent="0.3">
      <c r="A10" s="1907"/>
      <c r="B10" s="13" t="s">
        <v>34</v>
      </c>
      <c r="C10" s="34"/>
      <c r="D10" s="11">
        <v>4</v>
      </c>
      <c r="E10" s="425">
        <f t="shared" si="0"/>
        <v>0</v>
      </c>
      <c r="F10" s="423">
        <f t="shared" si="0"/>
        <v>0</v>
      </c>
      <c r="G10" s="77">
        <f t="shared" si="1"/>
        <v>4</v>
      </c>
    </row>
    <row r="11" spans="1:7" ht="16.5" thickBot="1" x14ac:dyDescent="0.3">
      <c r="A11" s="326" t="s">
        <v>1</v>
      </c>
      <c r="B11" s="327"/>
      <c r="C11" s="327"/>
      <c r="D11" s="327"/>
      <c r="E11" s="327"/>
      <c r="F11" s="327"/>
      <c r="G11" s="396"/>
    </row>
    <row r="12" spans="1:7" x14ac:dyDescent="0.25">
      <c r="A12" s="1907" t="s">
        <v>2</v>
      </c>
      <c r="B12" s="404" t="s">
        <v>32</v>
      </c>
      <c r="C12" s="324"/>
      <c r="D12" s="405">
        <v>8</v>
      </c>
      <c r="E12" s="423">
        <f>2*E$3</f>
        <v>0</v>
      </c>
      <c r="F12" s="477">
        <f>0.5*F$3</f>
        <v>0</v>
      </c>
      <c r="G12" s="230">
        <f t="shared" si="1"/>
        <v>8</v>
      </c>
    </row>
    <row r="13" spans="1:7" x14ac:dyDescent="0.25">
      <c r="A13" s="1907"/>
      <c r="B13" s="19" t="s">
        <v>33</v>
      </c>
      <c r="C13" s="22"/>
      <c r="D13" s="11">
        <v>12</v>
      </c>
      <c r="E13" s="123">
        <f>2*E$3</f>
        <v>0</v>
      </c>
      <c r="F13" s="477">
        <f>0.5*F$3</f>
        <v>0</v>
      </c>
      <c r="G13" s="21">
        <f t="shared" si="1"/>
        <v>12</v>
      </c>
    </row>
    <row r="14" spans="1:7" ht="15.75" thickBot="1" x14ac:dyDescent="0.3">
      <c r="A14" s="1907"/>
      <c r="B14" s="13" t="s">
        <v>34</v>
      </c>
      <c r="C14" s="34"/>
      <c r="D14" s="422">
        <v>16</v>
      </c>
      <c r="E14" s="424">
        <f>2*E$3</f>
        <v>0</v>
      </c>
      <c r="F14" s="477">
        <f>0.5*F$3</f>
        <v>0</v>
      </c>
      <c r="G14" s="77">
        <f t="shared" si="1"/>
        <v>16</v>
      </c>
    </row>
    <row r="15" spans="1:7" ht="16.5" thickBot="1" x14ac:dyDescent="0.3">
      <c r="A15" s="330" t="s">
        <v>3</v>
      </c>
      <c r="B15" s="329"/>
      <c r="C15" s="329"/>
      <c r="D15" s="329"/>
      <c r="E15" s="329"/>
      <c r="F15" s="327"/>
      <c r="G15" s="396"/>
    </row>
    <row r="16" spans="1:7" x14ac:dyDescent="0.25">
      <c r="A16" s="1989" t="s">
        <v>4</v>
      </c>
      <c r="B16" s="325" t="s">
        <v>32</v>
      </c>
      <c r="C16" s="324"/>
      <c r="D16" s="481">
        <v>0.25</v>
      </c>
      <c r="E16" s="479">
        <v>0</v>
      </c>
      <c r="F16" s="480">
        <v>0</v>
      </c>
      <c r="G16" s="230">
        <f t="shared" si="1"/>
        <v>0.25</v>
      </c>
    </row>
    <row r="17" spans="1:7" x14ac:dyDescent="0.25">
      <c r="A17" s="1990"/>
      <c r="B17" s="18" t="s">
        <v>33</v>
      </c>
      <c r="C17" s="22"/>
      <c r="D17" s="482">
        <v>0.25</v>
      </c>
      <c r="E17" s="15">
        <v>0</v>
      </c>
      <c r="F17" s="33">
        <v>0</v>
      </c>
      <c r="G17" s="21">
        <f t="shared" si="1"/>
        <v>0.25</v>
      </c>
    </row>
    <row r="18" spans="1:7" x14ac:dyDescent="0.25">
      <c r="A18" s="1990"/>
      <c r="B18" s="18" t="s">
        <v>34</v>
      </c>
      <c r="C18" s="22"/>
      <c r="D18" s="483">
        <v>0.25</v>
      </c>
      <c r="E18" s="15">
        <v>0</v>
      </c>
      <c r="F18" s="33">
        <v>0</v>
      </c>
      <c r="G18" s="21">
        <f t="shared" si="1"/>
        <v>0.25</v>
      </c>
    </row>
    <row r="19" spans="1:7" x14ac:dyDescent="0.25">
      <c r="A19" s="1990" t="s">
        <v>5</v>
      </c>
      <c r="B19" s="19" t="s">
        <v>32</v>
      </c>
      <c r="C19" s="22"/>
      <c r="D19" s="124">
        <f>0.5*D$3</f>
        <v>0</v>
      </c>
      <c r="E19" s="15">
        <v>0</v>
      </c>
      <c r="F19" s="423">
        <f>0.5*F$3</f>
        <v>0</v>
      </c>
      <c r="G19" s="21">
        <f t="shared" si="1"/>
        <v>0</v>
      </c>
    </row>
    <row r="20" spans="1:7" x14ac:dyDescent="0.25">
      <c r="A20" s="1990"/>
      <c r="B20" s="19" t="s">
        <v>33</v>
      </c>
      <c r="C20" s="22"/>
      <c r="D20" s="124">
        <f>1*D$3</f>
        <v>0</v>
      </c>
      <c r="E20" s="15">
        <v>0</v>
      </c>
      <c r="F20" s="423">
        <f>0.5*F$3</f>
        <v>0</v>
      </c>
      <c r="G20" s="21">
        <f t="shared" si="1"/>
        <v>0</v>
      </c>
    </row>
    <row r="21" spans="1:7" x14ac:dyDescent="0.25">
      <c r="A21" s="1990"/>
      <c r="B21" s="19" t="s">
        <v>34</v>
      </c>
      <c r="C21" s="22"/>
      <c r="D21" s="124">
        <f>2*D$3</f>
        <v>0</v>
      </c>
      <c r="E21" s="15">
        <v>0</v>
      </c>
      <c r="F21" s="423">
        <f>0.5*F$3</f>
        <v>0</v>
      </c>
      <c r="G21" s="21">
        <f t="shared" si="1"/>
        <v>0</v>
      </c>
    </row>
    <row r="22" spans="1:7" x14ac:dyDescent="0.25">
      <c r="A22" s="1990" t="s">
        <v>6</v>
      </c>
      <c r="B22" s="19" t="s">
        <v>32</v>
      </c>
      <c r="C22" s="22"/>
      <c r="D22" s="11">
        <v>24</v>
      </c>
      <c r="E22" s="123">
        <f>2*E$3</f>
        <v>0</v>
      </c>
      <c r="F22" s="11">
        <v>0</v>
      </c>
      <c r="G22" s="21">
        <f t="shared" si="1"/>
        <v>24</v>
      </c>
    </row>
    <row r="23" spans="1:7" x14ac:dyDescent="0.25">
      <c r="A23" s="1990"/>
      <c r="B23" s="19" t="s">
        <v>33</v>
      </c>
      <c r="C23" s="22"/>
      <c r="D23" s="11">
        <v>32</v>
      </c>
      <c r="E23" s="123">
        <f>3*E$3</f>
        <v>0</v>
      </c>
      <c r="F23" s="11">
        <v>0</v>
      </c>
      <c r="G23" s="21">
        <f t="shared" si="1"/>
        <v>32</v>
      </c>
    </row>
    <row r="24" spans="1:7" x14ac:dyDescent="0.25">
      <c r="A24" s="1990"/>
      <c r="B24" s="19" t="s">
        <v>34</v>
      </c>
      <c r="C24" s="22"/>
      <c r="D24" s="11">
        <v>40</v>
      </c>
      <c r="E24" s="123">
        <f>4*E$3</f>
        <v>0</v>
      </c>
      <c r="F24" s="11">
        <v>0</v>
      </c>
      <c r="G24" s="21">
        <f t="shared" si="1"/>
        <v>40</v>
      </c>
    </row>
    <row r="25" spans="1:7" x14ac:dyDescent="0.25">
      <c r="A25" s="1990" t="s">
        <v>7</v>
      </c>
      <c r="B25" s="19" t="s">
        <v>32</v>
      </c>
      <c r="C25" s="22"/>
      <c r="D25" s="38">
        <v>4</v>
      </c>
      <c r="E25" s="15">
        <v>0</v>
      </c>
      <c r="F25" s="11">
        <v>0</v>
      </c>
      <c r="G25" s="21">
        <f t="shared" si="1"/>
        <v>4</v>
      </c>
    </row>
    <row r="26" spans="1:7" x14ac:dyDescent="0.25">
      <c r="A26" s="1990"/>
      <c r="B26" s="19" t="s">
        <v>33</v>
      </c>
      <c r="C26" s="22"/>
      <c r="D26" s="38">
        <v>8</v>
      </c>
      <c r="E26" s="15">
        <v>0</v>
      </c>
      <c r="F26" s="11">
        <v>0</v>
      </c>
      <c r="G26" s="21">
        <f t="shared" si="1"/>
        <v>8</v>
      </c>
    </row>
    <row r="27" spans="1:7" x14ac:dyDescent="0.25">
      <c r="A27" s="1990"/>
      <c r="B27" s="19" t="s">
        <v>34</v>
      </c>
      <c r="C27" s="22"/>
      <c r="D27" s="33">
        <v>12</v>
      </c>
      <c r="E27" s="15">
        <v>0</v>
      </c>
      <c r="F27" s="11">
        <v>0</v>
      </c>
      <c r="G27" s="21">
        <f t="shared" si="1"/>
        <v>12</v>
      </c>
    </row>
    <row r="28" spans="1:7" x14ac:dyDescent="0.25">
      <c r="A28" s="1990" t="s">
        <v>8</v>
      </c>
      <c r="B28" s="19" t="s">
        <v>32</v>
      </c>
      <c r="C28" s="22"/>
      <c r="D28" s="38">
        <v>4</v>
      </c>
      <c r="E28" s="15">
        <v>0</v>
      </c>
      <c r="F28" s="33">
        <v>0</v>
      </c>
      <c r="G28" s="21">
        <f t="shared" si="1"/>
        <v>4</v>
      </c>
    </row>
    <row r="29" spans="1:7" x14ac:dyDescent="0.25">
      <c r="A29" s="1990"/>
      <c r="B29" s="19" t="s">
        <v>33</v>
      </c>
      <c r="C29" s="22"/>
      <c r="D29" s="38">
        <v>8</v>
      </c>
      <c r="E29" s="15">
        <v>0</v>
      </c>
      <c r="F29" s="33">
        <v>0</v>
      </c>
      <c r="G29" s="21">
        <f t="shared" si="1"/>
        <v>8</v>
      </c>
    </row>
    <row r="30" spans="1:7" x14ac:dyDescent="0.25">
      <c r="A30" s="1990"/>
      <c r="B30" s="19" t="s">
        <v>34</v>
      </c>
      <c r="C30" s="22"/>
      <c r="D30" s="33">
        <v>12</v>
      </c>
      <c r="E30" s="15">
        <v>0</v>
      </c>
      <c r="F30" s="33">
        <v>0</v>
      </c>
      <c r="G30" s="21">
        <f t="shared" si="1"/>
        <v>12</v>
      </c>
    </row>
    <row r="31" spans="1:7" x14ac:dyDescent="0.25">
      <c r="A31" s="1990" t="s">
        <v>9</v>
      </c>
      <c r="B31" s="19" t="s">
        <v>32</v>
      </c>
      <c r="C31" s="22"/>
      <c r="D31" s="124">
        <f>4+(0.5*D$3)</f>
        <v>4</v>
      </c>
      <c r="E31" s="15">
        <v>0</v>
      </c>
      <c r="F31" s="124">
        <f>1*F$3</f>
        <v>0</v>
      </c>
      <c r="G31" s="21">
        <f t="shared" si="1"/>
        <v>4</v>
      </c>
    </row>
    <row r="32" spans="1:7" x14ac:dyDescent="0.25">
      <c r="A32" s="1990"/>
      <c r="B32" s="19" t="s">
        <v>33</v>
      </c>
      <c r="C32" s="22"/>
      <c r="D32" s="124">
        <f>6+(0.5*D$3)</f>
        <v>6</v>
      </c>
      <c r="E32" s="15">
        <v>0</v>
      </c>
      <c r="F32" s="124">
        <f>1.5*F$3</f>
        <v>0</v>
      </c>
      <c r="G32" s="21">
        <f t="shared" si="1"/>
        <v>6</v>
      </c>
    </row>
    <row r="33" spans="1:7" x14ac:dyDescent="0.25">
      <c r="A33" s="1990"/>
      <c r="B33" s="19" t="s">
        <v>34</v>
      </c>
      <c r="C33" s="22"/>
      <c r="D33" s="124">
        <f>8+(0.5*D$3)</f>
        <v>8</v>
      </c>
      <c r="E33" s="15">
        <v>0</v>
      </c>
      <c r="F33" s="124">
        <f>2*F$3</f>
        <v>0</v>
      </c>
      <c r="G33" s="21">
        <f t="shared" si="1"/>
        <v>8</v>
      </c>
    </row>
    <row r="34" spans="1:7" x14ac:dyDescent="0.25">
      <c r="A34" s="1990" t="s">
        <v>10</v>
      </c>
      <c r="B34" s="19" t="s">
        <v>32</v>
      </c>
      <c r="C34" s="22"/>
      <c r="D34" s="38">
        <v>4</v>
      </c>
      <c r="E34" s="124">
        <f>0.5*E$3</f>
        <v>0</v>
      </c>
      <c r="F34" s="523">
        <v>0</v>
      </c>
      <c r="G34" s="21">
        <f t="shared" si="1"/>
        <v>4</v>
      </c>
    </row>
    <row r="35" spans="1:7" x14ac:dyDescent="0.25">
      <c r="A35" s="1990"/>
      <c r="B35" s="19" t="s">
        <v>33</v>
      </c>
      <c r="C35" s="22"/>
      <c r="D35" s="38">
        <v>6</v>
      </c>
      <c r="E35" s="124">
        <f>0.5*E$3</f>
        <v>0</v>
      </c>
      <c r="F35" s="523">
        <v>0</v>
      </c>
      <c r="G35" s="21">
        <f t="shared" si="1"/>
        <v>6</v>
      </c>
    </row>
    <row r="36" spans="1:7" ht="15.75" thickBot="1" x14ac:dyDescent="0.3">
      <c r="A36" s="1992"/>
      <c r="B36" s="13" t="s">
        <v>34</v>
      </c>
      <c r="C36" s="34"/>
      <c r="D36" s="39">
        <v>8</v>
      </c>
      <c r="E36" s="431">
        <f>0.5*E$3</f>
        <v>0</v>
      </c>
      <c r="F36" s="532">
        <v>0</v>
      </c>
      <c r="G36" s="77">
        <f t="shared" si="1"/>
        <v>8</v>
      </c>
    </row>
    <row r="37" spans="1:7" ht="16.5" thickBot="1" x14ac:dyDescent="0.3">
      <c r="A37" s="330" t="s">
        <v>11</v>
      </c>
      <c r="B37" s="329"/>
      <c r="C37" s="329"/>
      <c r="D37" s="329"/>
      <c r="E37" s="329"/>
      <c r="F37" s="327"/>
      <c r="G37" s="396"/>
    </row>
    <row r="38" spans="1:7" x14ac:dyDescent="0.25">
      <c r="A38" s="1907" t="s">
        <v>12</v>
      </c>
      <c r="B38" s="404" t="s">
        <v>32</v>
      </c>
      <c r="C38" s="324"/>
      <c r="D38" s="405">
        <v>32</v>
      </c>
      <c r="E38" s="423">
        <f>4*E$3</f>
        <v>0</v>
      </c>
      <c r="F38" s="405">
        <v>0</v>
      </c>
      <c r="G38" s="230">
        <f t="shared" si="1"/>
        <v>32</v>
      </c>
    </row>
    <row r="39" spans="1:7" x14ac:dyDescent="0.25">
      <c r="A39" s="1907"/>
      <c r="B39" s="19" t="s">
        <v>33</v>
      </c>
      <c r="C39" s="22"/>
      <c r="D39" s="11">
        <v>40</v>
      </c>
      <c r="E39" s="423">
        <f>4*E$3</f>
        <v>0</v>
      </c>
      <c r="F39" s="11">
        <v>0</v>
      </c>
      <c r="G39" s="21">
        <f t="shared" si="1"/>
        <v>40</v>
      </c>
    </row>
    <row r="40" spans="1:7" ht="15.75" thickBot="1" x14ac:dyDescent="0.3">
      <c r="A40" s="1907"/>
      <c r="B40" s="13" t="s">
        <v>34</v>
      </c>
      <c r="C40" s="34"/>
      <c r="D40" s="422">
        <v>60</v>
      </c>
      <c r="E40" s="423">
        <f>4*E$3</f>
        <v>0</v>
      </c>
      <c r="F40" s="422">
        <v>0</v>
      </c>
      <c r="G40" s="77">
        <f t="shared" si="1"/>
        <v>60</v>
      </c>
    </row>
    <row r="41" spans="1:7" ht="16.5" thickBot="1" x14ac:dyDescent="0.3">
      <c r="A41" s="330" t="s">
        <v>13</v>
      </c>
      <c r="B41" s="329"/>
      <c r="C41" s="329"/>
      <c r="D41" s="329"/>
      <c r="E41" s="329"/>
      <c r="F41" s="327"/>
      <c r="G41" s="396"/>
    </row>
    <row r="42" spans="1:7" x14ac:dyDescent="0.25">
      <c r="A42" s="1907" t="s">
        <v>14</v>
      </c>
      <c r="B42" s="404" t="s">
        <v>32</v>
      </c>
      <c r="C42" s="324"/>
      <c r="D42" s="124">
        <f>0.5*D$3</f>
        <v>0</v>
      </c>
      <c r="E42" s="15">
        <v>0</v>
      </c>
      <c r="F42" s="423">
        <f>0.5*F$3</f>
        <v>0</v>
      </c>
      <c r="G42" s="230">
        <f t="shared" si="1"/>
        <v>0</v>
      </c>
    </row>
    <row r="43" spans="1:7" x14ac:dyDescent="0.25">
      <c r="A43" s="1907"/>
      <c r="B43" s="19" t="s">
        <v>33</v>
      </c>
      <c r="C43" s="22"/>
      <c r="D43" s="124">
        <f>1*D$3</f>
        <v>0</v>
      </c>
      <c r="E43" s="15">
        <v>0</v>
      </c>
      <c r="F43" s="423">
        <f>0.5*F$3</f>
        <v>0</v>
      </c>
      <c r="G43" s="21">
        <f t="shared" si="1"/>
        <v>0</v>
      </c>
    </row>
    <row r="44" spans="1:7" x14ac:dyDescent="0.25">
      <c r="A44" s="1907"/>
      <c r="B44" s="19" t="s">
        <v>34</v>
      </c>
      <c r="C44" s="22"/>
      <c r="D44" s="124">
        <f>2*D$3</f>
        <v>0</v>
      </c>
      <c r="E44" s="15">
        <v>0</v>
      </c>
      <c r="F44" s="423">
        <f>0.5*F$3</f>
        <v>0</v>
      </c>
      <c r="G44" s="21">
        <f t="shared" si="1"/>
        <v>0</v>
      </c>
    </row>
    <row r="45" spans="1:7" x14ac:dyDescent="0.25">
      <c r="A45" s="1974" t="s">
        <v>15</v>
      </c>
      <c r="B45" s="19" t="s">
        <v>32</v>
      </c>
      <c r="C45" s="22"/>
      <c r="D45" s="38">
        <v>16</v>
      </c>
      <c r="E45" s="423">
        <f>E$3*3</f>
        <v>0</v>
      </c>
      <c r="F45" s="124">
        <f>1.5*F$3</f>
        <v>0</v>
      </c>
      <c r="G45" s="21">
        <f t="shared" si="1"/>
        <v>16</v>
      </c>
    </row>
    <row r="46" spans="1:7" x14ac:dyDescent="0.25">
      <c r="A46" s="1974"/>
      <c r="B46" s="19" t="s">
        <v>33</v>
      </c>
      <c r="C46" s="22"/>
      <c r="D46" s="38">
        <v>28</v>
      </c>
      <c r="E46" s="423">
        <f>E$3*3.5</f>
        <v>0</v>
      </c>
      <c r="F46" s="124">
        <f>2*F$3</f>
        <v>0</v>
      </c>
      <c r="G46" s="21">
        <f t="shared" si="1"/>
        <v>28</v>
      </c>
    </row>
    <row r="47" spans="1:7" x14ac:dyDescent="0.25">
      <c r="A47" s="1974"/>
      <c r="B47" s="19" t="s">
        <v>34</v>
      </c>
      <c r="C47" s="22"/>
      <c r="D47" s="38">
        <v>36</v>
      </c>
      <c r="E47" s="423">
        <f>E$3*4</f>
        <v>0</v>
      </c>
      <c r="F47" s="124">
        <f>2.5*F$3</f>
        <v>0</v>
      </c>
      <c r="G47" s="21">
        <f t="shared" si="1"/>
        <v>36</v>
      </c>
    </row>
    <row r="48" spans="1:7" x14ac:dyDescent="0.25">
      <c r="A48" s="1974" t="s">
        <v>16</v>
      </c>
      <c r="B48" s="19" t="s">
        <v>32</v>
      </c>
      <c r="C48" s="22"/>
      <c r="D48" s="124">
        <f>1*D$3</f>
        <v>0</v>
      </c>
      <c r="E48" s="15">
        <v>0</v>
      </c>
      <c r="F48" s="523">
        <v>0</v>
      </c>
      <c r="G48" s="21">
        <f t="shared" si="1"/>
        <v>0</v>
      </c>
    </row>
    <row r="49" spans="1:7" x14ac:dyDescent="0.25">
      <c r="A49" s="1974"/>
      <c r="B49" s="19" t="s">
        <v>33</v>
      </c>
      <c r="C49" s="22"/>
      <c r="D49" s="124">
        <f>1.5*D$3</f>
        <v>0</v>
      </c>
      <c r="E49" s="15">
        <v>0</v>
      </c>
      <c r="F49" s="523">
        <v>0</v>
      </c>
      <c r="G49" s="21">
        <f t="shared" si="1"/>
        <v>0</v>
      </c>
    </row>
    <row r="50" spans="1:7" x14ac:dyDescent="0.25">
      <c r="A50" s="1974"/>
      <c r="B50" s="19" t="s">
        <v>34</v>
      </c>
      <c r="C50" s="22"/>
      <c r="D50" s="124">
        <f>2*D$3</f>
        <v>0</v>
      </c>
      <c r="E50" s="15">
        <v>0</v>
      </c>
      <c r="F50" s="523">
        <v>0</v>
      </c>
      <c r="G50" s="21">
        <f t="shared" si="1"/>
        <v>0</v>
      </c>
    </row>
    <row r="51" spans="1:7" x14ac:dyDescent="0.25">
      <c r="A51" s="1974" t="s">
        <v>17</v>
      </c>
      <c r="B51" s="19" t="s">
        <v>32</v>
      </c>
      <c r="C51" s="22"/>
      <c r="D51" s="124">
        <f>1*D$3</f>
        <v>0</v>
      </c>
      <c r="E51" s="15">
        <v>0</v>
      </c>
      <c r="F51" s="523">
        <v>0</v>
      </c>
      <c r="G51" s="21">
        <f t="shared" si="1"/>
        <v>0</v>
      </c>
    </row>
    <row r="52" spans="1:7" x14ac:dyDescent="0.25">
      <c r="A52" s="1974"/>
      <c r="B52" s="19" t="s">
        <v>33</v>
      </c>
      <c r="C52" s="22"/>
      <c r="D52" s="124">
        <f>1.5*D$3</f>
        <v>0</v>
      </c>
      <c r="E52" s="15">
        <v>0</v>
      </c>
      <c r="F52" s="523">
        <v>0</v>
      </c>
      <c r="G52" s="21">
        <f t="shared" si="1"/>
        <v>0</v>
      </c>
    </row>
    <row r="53" spans="1:7" x14ac:dyDescent="0.25">
      <c r="A53" s="1974"/>
      <c r="B53" s="19" t="s">
        <v>34</v>
      </c>
      <c r="C53" s="22"/>
      <c r="D53" s="124">
        <f>2*D$3</f>
        <v>0</v>
      </c>
      <c r="E53" s="15">
        <v>0</v>
      </c>
      <c r="F53" s="523">
        <v>0</v>
      </c>
      <c r="G53" s="21">
        <f t="shared" si="1"/>
        <v>0</v>
      </c>
    </row>
    <row r="54" spans="1:7" x14ac:dyDescent="0.25">
      <c r="A54" s="1974" t="s">
        <v>18</v>
      </c>
      <c r="B54" s="19" t="s">
        <v>32</v>
      </c>
      <c r="C54" s="22"/>
      <c r="D54" s="124">
        <f>1*D$3</f>
        <v>0</v>
      </c>
      <c r="E54" s="15">
        <v>0</v>
      </c>
      <c r="F54" s="15">
        <v>0</v>
      </c>
      <c r="G54" s="21">
        <f t="shared" si="1"/>
        <v>0</v>
      </c>
    </row>
    <row r="55" spans="1:7" x14ac:dyDescent="0.25">
      <c r="A55" s="1974"/>
      <c r="B55" s="19" t="s">
        <v>33</v>
      </c>
      <c r="C55" s="22"/>
      <c r="D55" s="124">
        <f>1*D$3</f>
        <v>0</v>
      </c>
      <c r="E55" s="15">
        <v>0</v>
      </c>
      <c r="F55" s="15">
        <v>0</v>
      </c>
      <c r="G55" s="21">
        <f t="shared" si="1"/>
        <v>0</v>
      </c>
    </row>
    <row r="56" spans="1:7" x14ac:dyDescent="0.25">
      <c r="A56" s="1974"/>
      <c r="B56" s="19" t="s">
        <v>34</v>
      </c>
      <c r="C56" s="22"/>
      <c r="D56" s="124">
        <f>1*D$3</f>
        <v>0</v>
      </c>
      <c r="E56" s="15">
        <v>0</v>
      </c>
      <c r="F56" s="15">
        <v>0</v>
      </c>
      <c r="G56" s="21">
        <f t="shared" si="1"/>
        <v>0</v>
      </c>
    </row>
    <row r="57" spans="1:7" x14ac:dyDescent="0.25">
      <c r="A57" s="1974" t="s">
        <v>19</v>
      </c>
      <c r="B57" s="19" t="s">
        <v>32</v>
      </c>
      <c r="C57" s="22"/>
      <c r="D57" s="38">
        <v>4</v>
      </c>
      <c r="E57" s="15">
        <v>0</v>
      </c>
      <c r="F57" s="15">
        <v>0</v>
      </c>
      <c r="G57" s="21">
        <f t="shared" si="1"/>
        <v>4</v>
      </c>
    </row>
    <row r="58" spans="1:7" x14ac:dyDescent="0.25">
      <c r="A58" s="1974"/>
      <c r="B58" s="19" t="s">
        <v>33</v>
      </c>
      <c r="C58" s="22"/>
      <c r="D58" s="38">
        <v>6</v>
      </c>
      <c r="E58" s="15">
        <v>0</v>
      </c>
      <c r="F58" s="15">
        <v>0</v>
      </c>
      <c r="G58" s="21">
        <f t="shared" si="1"/>
        <v>6</v>
      </c>
    </row>
    <row r="59" spans="1:7" x14ac:dyDescent="0.25">
      <c r="A59" s="1974"/>
      <c r="B59" s="19" t="s">
        <v>34</v>
      </c>
      <c r="C59" s="22"/>
      <c r="D59" s="38">
        <v>8</v>
      </c>
      <c r="E59" s="15">
        <v>0</v>
      </c>
      <c r="F59" s="15">
        <v>0</v>
      </c>
      <c r="G59" s="21">
        <f t="shared" si="1"/>
        <v>8</v>
      </c>
    </row>
    <row r="60" spans="1:7" x14ac:dyDescent="0.25">
      <c r="A60" s="1974" t="s">
        <v>20</v>
      </c>
      <c r="B60" s="19" t="s">
        <v>32</v>
      </c>
      <c r="C60" s="22"/>
      <c r="D60" s="38">
        <v>6</v>
      </c>
      <c r="E60" s="123">
        <f>2*E$3</f>
        <v>0</v>
      </c>
      <c r="F60" s="423">
        <f>1*F$3</f>
        <v>0</v>
      </c>
      <c r="G60" s="21">
        <f t="shared" si="1"/>
        <v>6</v>
      </c>
    </row>
    <row r="61" spans="1:7" x14ac:dyDescent="0.25">
      <c r="A61" s="1974"/>
      <c r="B61" s="19" t="s">
        <v>33</v>
      </c>
      <c r="C61" s="22"/>
      <c r="D61" s="38">
        <v>12</v>
      </c>
      <c r="E61" s="123">
        <f>2*E$3</f>
        <v>0</v>
      </c>
      <c r="F61" s="423">
        <f>1*F$3</f>
        <v>0</v>
      </c>
      <c r="G61" s="21">
        <f t="shared" si="1"/>
        <v>12</v>
      </c>
    </row>
    <row r="62" spans="1:7" x14ac:dyDescent="0.25">
      <c r="A62" s="1974"/>
      <c r="B62" s="19" t="s">
        <v>34</v>
      </c>
      <c r="C62" s="22"/>
      <c r="D62" s="38">
        <v>24</v>
      </c>
      <c r="E62" s="123">
        <f>2*E$3</f>
        <v>0</v>
      </c>
      <c r="F62" s="423">
        <f>1*F$3</f>
        <v>0</v>
      </c>
      <c r="G62" s="21">
        <f t="shared" si="1"/>
        <v>24</v>
      </c>
    </row>
    <row r="63" spans="1:7" x14ac:dyDescent="0.25">
      <c r="A63" s="1974" t="s">
        <v>451</v>
      </c>
      <c r="B63" s="19" t="s">
        <v>32</v>
      </c>
      <c r="C63" s="22"/>
      <c r="D63" s="482">
        <v>0.25</v>
      </c>
      <c r="E63" s="475">
        <v>0</v>
      </c>
      <c r="F63" s="495">
        <v>0</v>
      </c>
      <c r="G63" s="21">
        <f t="shared" si="1"/>
        <v>0.25</v>
      </c>
    </row>
    <row r="64" spans="1:7" x14ac:dyDescent="0.25">
      <c r="A64" s="1974"/>
      <c r="B64" s="19" t="s">
        <v>33</v>
      </c>
      <c r="C64" s="22"/>
      <c r="D64" s="38">
        <v>0.5</v>
      </c>
      <c r="E64" s="475">
        <v>0</v>
      </c>
      <c r="F64" s="495">
        <v>0</v>
      </c>
      <c r="G64" s="21">
        <f t="shared" si="1"/>
        <v>0.5</v>
      </c>
    </row>
    <row r="65" spans="1:7" x14ac:dyDescent="0.25">
      <c r="A65" s="1974"/>
      <c r="B65" s="19" t="s">
        <v>34</v>
      </c>
      <c r="C65" s="22"/>
      <c r="D65" s="38">
        <v>1</v>
      </c>
      <c r="E65" s="475">
        <v>0</v>
      </c>
      <c r="F65" s="495">
        <v>0</v>
      </c>
      <c r="G65" s="21">
        <f t="shared" si="1"/>
        <v>1</v>
      </c>
    </row>
    <row r="66" spans="1:7" x14ac:dyDescent="0.25">
      <c r="A66" s="1974" t="s">
        <v>452</v>
      </c>
      <c r="B66" s="19" t="s">
        <v>32</v>
      </c>
      <c r="C66" s="22"/>
      <c r="D66" s="482">
        <v>0.25</v>
      </c>
      <c r="E66" s="475">
        <v>0</v>
      </c>
      <c r="F66" s="495">
        <v>0</v>
      </c>
      <c r="G66" s="21">
        <f t="shared" si="1"/>
        <v>0.25</v>
      </c>
    </row>
    <row r="67" spans="1:7" x14ac:dyDescent="0.25">
      <c r="A67" s="1974"/>
      <c r="B67" s="19" t="s">
        <v>33</v>
      </c>
      <c r="C67" s="22"/>
      <c r="D67" s="38">
        <v>0.5</v>
      </c>
      <c r="E67" s="475">
        <v>0</v>
      </c>
      <c r="F67" s="495">
        <v>0</v>
      </c>
      <c r="G67" s="21">
        <f t="shared" si="1"/>
        <v>0.5</v>
      </c>
    </row>
    <row r="68" spans="1:7" x14ac:dyDescent="0.25">
      <c r="A68" s="1974"/>
      <c r="B68" s="19" t="s">
        <v>34</v>
      </c>
      <c r="C68" s="22"/>
      <c r="D68" s="38">
        <v>1</v>
      </c>
      <c r="E68" s="475">
        <v>0</v>
      </c>
      <c r="F68" s="495">
        <v>0</v>
      </c>
      <c r="G68" s="21">
        <f t="shared" si="1"/>
        <v>1</v>
      </c>
    </row>
    <row r="69" spans="1:7" x14ac:dyDescent="0.25">
      <c r="A69" s="1993" t="s">
        <v>533</v>
      </c>
      <c r="B69" s="19" t="s">
        <v>32</v>
      </c>
      <c r="C69" s="22"/>
      <c r="D69" s="124">
        <f>4+(1.5*D$3)</f>
        <v>4</v>
      </c>
      <c r="E69" s="423">
        <f>3*E$3</f>
        <v>0</v>
      </c>
      <c r="F69" s="423">
        <f t="shared" ref="F69:F74" si="2">1*F$3</f>
        <v>0</v>
      </c>
      <c r="G69" s="21">
        <f t="shared" si="1"/>
        <v>4</v>
      </c>
    </row>
    <row r="70" spans="1:7" x14ac:dyDescent="0.25">
      <c r="A70" s="1993"/>
      <c r="B70" s="19" t="s">
        <v>33</v>
      </c>
      <c r="C70" s="22"/>
      <c r="D70" s="124">
        <f>6+(1.5*D$3)</f>
        <v>6</v>
      </c>
      <c r="E70" s="423">
        <f>4*E$3</f>
        <v>0</v>
      </c>
      <c r="F70" s="423">
        <f t="shared" si="2"/>
        <v>0</v>
      </c>
      <c r="G70" s="21">
        <f t="shared" si="1"/>
        <v>6</v>
      </c>
    </row>
    <row r="71" spans="1:7" x14ac:dyDescent="0.25">
      <c r="A71" s="1993"/>
      <c r="B71" s="19" t="s">
        <v>34</v>
      </c>
      <c r="C71" s="22"/>
      <c r="D71" s="124">
        <f>8+(1.5*D$3)</f>
        <v>8</v>
      </c>
      <c r="E71" s="423">
        <f>5*E$3</f>
        <v>0</v>
      </c>
      <c r="F71" s="423">
        <f t="shared" si="2"/>
        <v>0</v>
      </c>
      <c r="G71" s="21">
        <f t="shared" si="1"/>
        <v>8</v>
      </c>
    </row>
    <row r="72" spans="1:7" x14ac:dyDescent="0.25">
      <c r="A72" s="1974" t="s">
        <v>534</v>
      </c>
      <c r="B72" s="19" t="s">
        <v>32</v>
      </c>
      <c r="C72" s="22"/>
      <c r="D72" s="124">
        <f>4+(1.5*D$3)</f>
        <v>4</v>
      </c>
      <c r="E72" s="423">
        <f>3*E$3</f>
        <v>0</v>
      </c>
      <c r="F72" s="423">
        <f t="shared" si="2"/>
        <v>0</v>
      </c>
      <c r="G72" s="21">
        <f t="shared" si="1"/>
        <v>4</v>
      </c>
    </row>
    <row r="73" spans="1:7" x14ac:dyDescent="0.25">
      <c r="A73" s="1974"/>
      <c r="B73" s="19" t="s">
        <v>33</v>
      </c>
      <c r="C73" s="22"/>
      <c r="D73" s="124">
        <f>6+(1.5*D$3)</f>
        <v>6</v>
      </c>
      <c r="E73" s="423">
        <f>4*E$3</f>
        <v>0</v>
      </c>
      <c r="F73" s="423">
        <f t="shared" si="2"/>
        <v>0</v>
      </c>
      <c r="G73" s="21">
        <f t="shared" si="1"/>
        <v>6</v>
      </c>
    </row>
    <row r="74" spans="1:7" x14ac:dyDescent="0.25">
      <c r="A74" s="1974"/>
      <c r="B74" s="19" t="s">
        <v>34</v>
      </c>
      <c r="C74" s="22"/>
      <c r="D74" s="124">
        <f>8+(1.5*D$3)</f>
        <v>8</v>
      </c>
      <c r="E74" s="423">
        <f>5*E$3</f>
        <v>0</v>
      </c>
      <c r="F74" s="423">
        <f t="shared" si="2"/>
        <v>0</v>
      </c>
      <c r="G74" s="21">
        <f t="shared" si="1"/>
        <v>8</v>
      </c>
    </row>
    <row r="75" spans="1:7" x14ac:dyDescent="0.25">
      <c r="A75" s="1974" t="s">
        <v>21</v>
      </c>
      <c r="B75" s="19" t="s">
        <v>32</v>
      </c>
      <c r="C75" s="22"/>
      <c r="D75" s="38" t="s">
        <v>90</v>
      </c>
      <c r="E75" s="38" t="s">
        <v>90</v>
      </c>
      <c r="F75" s="38" t="s">
        <v>90</v>
      </c>
      <c r="G75" s="21">
        <f t="shared" si="1"/>
        <v>0</v>
      </c>
    </row>
    <row r="76" spans="1:7" x14ac:dyDescent="0.25">
      <c r="A76" s="1974"/>
      <c r="B76" s="19" t="s">
        <v>33</v>
      </c>
      <c r="C76" s="22"/>
      <c r="D76" s="38" t="s">
        <v>90</v>
      </c>
      <c r="E76" s="38" t="s">
        <v>90</v>
      </c>
      <c r="F76" s="38" t="s">
        <v>90</v>
      </c>
      <c r="G76" s="21">
        <f t="shared" si="1"/>
        <v>0</v>
      </c>
    </row>
    <row r="77" spans="1:7" x14ac:dyDescent="0.25">
      <c r="A77" s="1974"/>
      <c r="B77" s="13" t="s">
        <v>34</v>
      </c>
      <c r="C77" s="34"/>
      <c r="D77" s="38" t="s">
        <v>90</v>
      </c>
      <c r="E77" s="38" t="s">
        <v>90</v>
      </c>
      <c r="F77" s="38" t="s">
        <v>90</v>
      </c>
      <c r="G77" s="21">
        <f t="shared" si="1"/>
        <v>0</v>
      </c>
    </row>
    <row r="78" spans="1:7" x14ac:dyDescent="0.25">
      <c r="A78" s="1974" t="s">
        <v>181</v>
      </c>
      <c r="B78" s="19" t="s">
        <v>32</v>
      </c>
      <c r="C78" s="198"/>
      <c r="D78" s="195">
        <f t="shared" ref="D78:D86" si="3">0.25*D$3</f>
        <v>0</v>
      </c>
      <c r="E78" s="15">
        <v>0</v>
      </c>
      <c r="F78" s="193">
        <v>0</v>
      </c>
      <c r="G78" s="21">
        <f t="shared" si="1"/>
        <v>0</v>
      </c>
    </row>
    <row r="79" spans="1:7" x14ac:dyDescent="0.25">
      <c r="A79" s="1974"/>
      <c r="B79" s="19" t="s">
        <v>33</v>
      </c>
      <c r="C79" s="198"/>
      <c r="D79" s="195">
        <f t="shared" si="3"/>
        <v>0</v>
      </c>
      <c r="E79" s="15">
        <v>0</v>
      </c>
      <c r="F79" s="193">
        <v>0</v>
      </c>
      <c r="G79" s="21">
        <f t="shared" si="1"/>
        <v>0</v>
      </c>
    </row>
    <row r="80" spans="1:7" x14ac:dyDescent="0.25">
      <c r="A80" s="1974"/>
      <c r="B80" s="19" t="s">
        <v>34</v>
      </c>
      <c r="C80" s="198"/>
      <c r="D80" s="195">
        <f t="shared" si="3"/>
        <v>0</v>
      </c>
      <c r="E80" s="15">
        <v>0</v>
      </c>
      <c r="F80" s="193">
        <v>0</v>
      </c>
      <c r="G80" s="21">
        <f t="shared" si="1"/>
        <v>0</v>
      </c>
    </row>
    <row r="81" spans="1:7" x14ac:dyDescent="0.25">
      <c r="A81" s="1974" t="s">
        <v>182</v>
      </c>
      <c r="B81" s="19" t="s">
        <v>32</v>
      </c>
      <c r="C81" s="198"/>
      <c r="D81" s="195">
        <f t="shared" si="3"/>
        <v>0</v>
      </c>
      <c r="E81" s="15">
        <v>0</v>
      </c>
      <c r="F81" s="193">
        <v>0</v>
      </c>
      <c r="G81" s="21">
        <f t="shared" si="1"/>
        <v>0</v>
      </c>
    </row>
    <row r="82" spans="1:7" x14ac:dyDescent="0.25">
      <c r="A82" s="1974"/>
      <c r="B82" s="19" t="s">
        <v>33</v>
      </c>
      <c r="C82" s="198"/>
      <c r="D82" s="195">
        <f t="shared" si="3"/>
        <v>0</v>
      </c>
      <c r="E82" s="15">
        <v>0</v>
      </c>
      <c r="F82" s="193">
        <v>0</v>
      </c>
      <c r="G82" s="21">
        <f t="shared" si="1"/>
        <v>0</v>
      </c>
    </row>
    <row r="83" spans="1:7" x14ac:dyDescent="0.25">
      <c r="A83" s="1974"/>
      <c r="B83" s="19" t="s">
        <v>34</v>
      </c>
      <c r="C83" s="198"/>
      <c r="D83" s="195">
        <f t="shared" si="3"/>
        <v>0</v>
      </c>
      <c r="E83" s="15">
        <v>0</v>
      </c>
      <c r="F83" s="193">
        <v>0</v>
      </c>
      <c r="G83" s="21">
        <f t="shared" si="1"/>
        <v>0</v>
      </c>
    </row>
    <row r="84" spans="1:7" x14ac:dyDescent="0.25">
      <c r="A84" s="1994" t="s">
        <v>183</v>
      </c>
      <c r="B84" s="19" t="s">
        <v>32</v>
      </c>
      <c r="C84" s="198"/>
      <c r="D84" s="195">
        <f t="shared" si="3"/>
        <v>0</v>
      </c>
      <c r="E84" s="15">
        <v>0</v>
      </c>
      <c r="F84" s="193">
        <v>0</v>
      </c>
      <c r="G84" s="21">
        <f t="shared" si="1"/>
        <v>0</v>
      </c>
    </row>
    <row r="85" spans="1:7" x14ac:dyDescent="0.25">
      <c r="A85" s="1994"/>
      <c r="B85" s="19" t="s">
        <v>33</v>
      </c>
      <c r="C85" s="198"/>
      <c r="D85" s="195">
        <f t="shared" si="3"/>
        <v>0</v>
      </c>
      <c r="E85" s="15">
        <v>0</v>
      </c>
      <c r="F85" s="193">
        <v>0</v>
      </c>
      <c r="G85" s="21">
        <f t="shared" si="1"/>
        <v>0</v>
      </c>
    </row>
    <row r="86" spans="1:7" ht="15.75" thickBot="1" x14ac:dyDescent="0.3">
      <c r="A86" s="1994"/>
      <c r="B86" s="13" t="s">
        <v>34</v>
      </c>
      <c r="C86" s="220"/>
      <c r="D86" s="195">
        <f t="shared" si="3"/>
        <v>0</v>
      </c>
      <c r="E86" s="520">
        <v>0</v>
      </c>
      <c r="F86" s="410">
        <v>0</v>
      </c>
      <c r="G86" s="77">
        <f t="shared" si="1"/>
        <v>0</v>
      </c>
    </row>
    <row r="87" spans="1:7" ht="16.5" thickBot="1" x14ac:dyDescent="0.3">
      <c r="A87" s="330" t="s">
        <v>22</v>
      </c>
      <c r="B87" s="329"/>
      <c r="C87" s="329"/>
      <c r="D87" s="329"/>
      <c r="E87" s="329"/>
      <c r="F87" s="327"/>
      <c r="G87" s="396"/>
    </row>
    <row r="88" spans="1:7" x14ac:dyDescent="0.25">
      <c r="A88" s="1907" t="s">
        <v>23</v>
      </c>
      <c r="B88" s="404" t="s">
        <v>32</v>
      </c>
      <c r="C88" s="324"/>
      <c r="D88" s="524">
        <v>0.25</v>
      </c>
      <c r="E88" s="479">
        <v>0</v>
      </c>
      <c r="F88" s="525">
        <v>0</v>
      </c>
      <c r="G88" s="230">
        <f t="shared" si="1"/>
        <v>0.25</v>
      </c>
    </row>
    <row r="89" spans="1:7" x14ac:dyDescent="0.25">
      <c r="A89" s="1907"/>
      <c r="B89" s="19" t="s">
        <v>33</v>
      </c>
      <c r="C89" s="22"/>
      <c r="D89" s="503">
        <v>0.25</v>
      </c>
      <c r="E89" s="15">
        <v>0</v>
      </c>
      <c r="F89" s="193">
        <v>0</v>
      </c>
      <c r="G89" s="21">
        <f t="shared" si="1"/>
        <v>0.25</v>
      </c>
    </row>
    <row r="90" spans="1:7" x14ac:dyDescent="0.25">
      <c r="A90" s="1907"/>
      <c r="B90" s="19" t="s">
        <v>34</v>
      </c>
      <c r="C90" s="22"/>
      <c r="D90" s="526">
        <v>0.25</v>
      </c>
      <c r="E90" s="15">
        <v>0</v>
      </c>
      <c r="F90" s="193">
        <v>0</v>
      </c>
      <c r="G90" s="21">
        <f t="shared" si="1"/>
        <v>0.25</v>
      </c>
    </row>
    <row r="91" spans="1:7" x14ac:dyDescent="0.25">
      <c r="A91" s="1974" t="s">
        <v>24</v>
      </c>
      <c r="B91" s="19" t="s">
        <v>32</v>
      </c>
      <c r="C91" s="22"/>
      <c r="D91" s="190">
        <v>8</v>
      </c>
      <c r="E91" s="123">
        <f>4*E$3</f>
        <v>0</v>
      </c>
      <c r="F91" s="193">
        <v>0</v>
      </c>
      <c r="G91" s="21">
        <f t="shared" si="1"/>
        <v>8</v>
      </c>
    </row>
    <row r="92" spans="1:7" x14ac:dyDescent="0.25">
      <c r="A92" s="1974"/>
      <c r="B92" s="19" t="s">
        <v>33</v>
      </c>
      <c r="C92" s="22"/>
      <c r="D92" s="190">
        <v>12</v>
      </c>
      <c r="E92" s="123">
        <f>4*E$3</f>
        <v>0</v>
      </c>
      <c r="F92" s="193">
        <v>0</v>
      </c>
      <c r="G92" s="21">
        <f t="shared" si="1"/>
        <v>12</v>
      </c>
    </row>
    <row r="93" spans="1:7" x14ac:dyDescent="0.25">
      <c r="A93" s="1974"/>
      <c r="B93" s="19" t="s">
        <v>34</v>
      </c>
      <c r="C93" s="22"/>
      <c r="D93" s="190">
        <v>16</v>
      </c>
      <c r="E93" s="123">
        <f>4*E$3</f>
        <v>0</v>
      </c>
      <c r="F93" s="193">
        <v>0</v>
      </c>
      <c r="G93" s="21">
        <f t="shared" si="1"/>
        <v>16</v>
      </c>
    </row>
    <row r="94" spans="1:7" x14ac:dyDescent="0.25">
      <c r="A94" s="1974" t="s">
        <v>25</v>
      </c>
      <c r="B94" s="19" t="s">
        <v>32</v>
      </c>
      <c r="C94" s="22"/>
      <c r="D94" s="190">
        <v>2</v>
      </c>
      <c r="E94" s="33">
        <v>0</v>
      </c>
      <c r="F94" s="193">
        <v>0</v>
      </c>
      <c r="G94" s="21">
        <f t="shared" ref="G94:G105" si="4" xml:space="preserve"> SUM(D94:F94) + $C94</f>
        <v>2</v>
      </c>
    </row>
    <row r="95" spans="1:7" x14ac:dyDescent="0.25">
      <c r="A95" s="1974"/>
      <c r="B95" s="19" t="s">
        <v>33</v>
      </c>
      <c r="C95" s="22"/>
      <c r="D95" s="190">
        <v>4</v>
      </c>
      <c r="E95" s="33">
        <v>0</v>
      </c>
      <c r="F95" s="193">
        <v>0</v>
      </c>
      <c r="G95" s="21">
        <f t="shared" si="4"/>
        <v>4</v>
      </c>
    </row>
    <row r="96" spans="1:7" x14ac:dyDescent="0.25">
      <c r="A96" s="1974"/>
      <c r="B96" s="19" t="s">
        <v>34</v>
      </c>
      <c r="C96" s="22"/>
      <c r="D96" s="190">
        <v>6</v>
      </c>
      <c r="E96" s="33">
        <v>0</v>
      </c>
      <c r="F96" s="193">
        <v>0</v>
      </c>
      <c r="G96" s="21">
        <f t="shared" si="4"/>
        <v>6</v>
      </c>
    </row>
    <row r="97" spans="1:7" x14ac:dyDescent="0.25">
      <c r="A97" s="1974" t="s">
        <v>26</v>
      </c>
      <c r="B97" s="19" t="s">
        <v>32</v>
      </c>
      <c r="C97" s="22"/>
      <c r="D97" s="190">
        <v>14</v>
      </c>
      <c r="E97" s="423">
        <f>E$3*2</f>
        <v>0</v>
      </c>
      <c r="F97" s="527">
        <f>1*F$3</f>
        <v>0</v>
      </c>
      <c r="G97" s="21">
        <f t="shared" si="4"/>
        <v>14</v>
      </c>
    </row>
    <row r="98" spans="1:7" x14ac:dyDescent="0.25">
      <c r="A98" s="1974"/>
      <c r="B98" s="19" t="s">
        <v>33</v>
      </c>
      <c r="C98" s="22"/>
      <c r="D98" s="190">
        <v>26</v>
      </c>
      <c r="E98" s="423">
        <f>E$3*2.5</f>
        <v>0</v>
      </c>
      <c r="F98" s="527">
        <f>1.5*F$3</f>
        <v>0</v>
      </c>
      <c r="G98" s="21">
        <f t="shared" si="4"/>
        <v>26</v>
      </c>
    </row>
    <row r="99" spans="1:7" x14ac:dyDescent="0.25">
      <c r="A99" s="1974"/>
      <c r="B99" s="19" t="s">
        <v>34</v>
      </c>
      <c r="C99" s="22"/>
      <c r="D99" s="190">
        <v>34</v>
      </c>
      <c r="E99" s="423">
        <f>E$3*3</f>
        <v>0</v>
      </c>
      <c r="F99" s="527">
        <f>2*F$3</f>
        <v>0</v>
      </c>
      <c r="G99" s="21">
        <f t="shared" si="4"/>
        <v>34</v>
      </c>
    </row>
    <row r="100" spans="1:7" x14ac:dyDescent="0.25">
      <c r="A100" s="1974" t="s">
        <v>27</v>
      </c>
      <c r="B100" s="19" t="s">
        <v>32</v>
      </c>
      <c r="C100" s="22"/>
      <c r="D100" s="190">
        <v>8</v>
      </c>
      <c r="E100" s="423">
        <f>E$3*2</f>
        <v>0</v>
      </c>
      <c r="F100" s="527">
        <f>1*F$3</f>
        <v>0</v>
      </c>
      <c r="G100" s="21">
        <f t="shared" si="4"/>
        <v>8</v>
      </c>
    </row>
    <row r="101" spans="1:7" x14ac:dyDescent="0.25">
      <c r="A101" s="1974"/>
      <c r="B101" s="19" t="s">
        <v>33</v>
      </c>
      <c r="C101" s="22"/>
      <c r="D101" s="190">
        <v>10</v>
      </c>
      <c r="E101" s="423">
        <f>E$3*2.5</f>
        <v>0</v>
      </c>
      <c r="F101" s="527">
        <f>1.5*F$3</f>
        <v>0</v>
      </c>
      <c r="G101" s="21">
        <f t="shared" si="4"/>
        <v>10</v>
      </c>
    </row>
    <row r="102" spans="1:7" x14ac:dyDescent="0.25">
      <c r="A102" s="1974"/>
      <c r="B102" s="19" t="s">
        <v>34</v>
      </c>
      <c r="C102" s="22"/>
      <c r="D102" s="190">
        <v>14</v>
      </c>
      <c r="E102" s="423">
        <f>E$3*3</f>
        <v>0</v>
      </c>
      <c r="F102" s="527">
        <f>2*F$3</f>
        <v>0</v>
      </c>
      <c r="G102" s="21">
        <f t="shared" si="4"/>
        <v>14</v>
      </c>
    </row>
    <row r="103" spans="1:7" x14ac:dyDescent="0.25">
      <c r="A103" s="1907" t="s">
        <v>28</v>
      </c>
      <c r="B103" s="19" t="s">
        <v>32</v>
      </c>
      <c r="C103" s="22"/>
      <c r="D103" s="190">
        <v>4</v>
      </c>
      <c r="E103" s="122">
        <f t="shared" ref="E103:F105" si="5">0.5*E$3</f>
        <v>0</v>
      </c>
      <c r="F103" s="528">
        <f t="shared" si="5"/>
        <v>0</v>
      </c>
      <c r="G103" s="21">
        <f t="shared" si="4"/>
        <v>4</v>
      </c>
    </row>
    <row r="104" spans="1:7" x14ac:dyDescent="0.25">
      <c r="A104" s="1907"/>
      <c r="B104" s="19" t="s">
        <v>33</v>
      </c>
      <c r="C104" s="22"/>
      <c r="D104" s="190">
        <v>6</v>
      </c>
      <c r="E104" s="122">
        <f t="shared" si="5"/>
        <v>0</v>
      </c>
      <c r="F104" s="528">
        <f t="shared" si="5"/>
        <v>0</v>
      </c>
      <c r="G104" s="21">
        <f t="shared" si="4"/>
        <v>6</v>
      </c>
    </row>
    <row r="105" spans="1:7" ht="15.75" thickBot="1" x14ac:dyDescent="0.3">
      <c r="A105" s="1975"/>
      <c r="B105" s="20" t="s">
        <v>34</v>
      </c>
      <c r="C105" s="23"/>
      <c r="D105" s="196">
        <v>8</v>
      </c>
      <c r="E105" s="224">
        <f t="shared" si="5"/>
        <v>0</v>
      </c>
      <c r="F105" s="529">
        <f t="shared" si="5"/>
        <v>0</v>
      </c>
      <c r="G105" s="24">
        <f t="shared" si="4"/>
        <v>8</v>
      </c>
    </row>
    <row r="107" spans="1:7" x14ac:dyDescent="0.25">
      <c r="A107" s="125" t="s">
        <v>89</v>
      </c>
    </row>
  </sheetData>
  <mergeCells count="35">
    <mergeCell ref="A103:A105"/>
    <mergeCell ref="A57:A59"/>
    <mergeCell ref="A60:A62"/>
    <mergeCell ref="A75:A77"/>
    <mergeCell ref="A78:A80"/>
    <mergeCell ref="A81:A83"/>
    <mergeCell ref="A84:A86"/>
    <mergeCell ref="A88:A90"/>
    <mergeCell ref="A91:A93"/>
    <mergeCell ref="A94:A96"/>
    <mergeCell ref="A97:A99"/>
    <mergeCell ref="A100:A102"/>
    <mergeCell ref="A63:A65"/>
    <mergeCell ref="A66:A68"/>
    <mergeCell ref="A69:A71"/>
    <mergeCell ref="A72:A74"/>
    <mergeCell ref="A54:A56"/>
    <mergeCell ref="A19:A21"/>
    <mergeCell ref="A22:A24"/>
    <mergeCell ref="A25:A27"/>
    <mergeCell ref="A28:A30"/>
    <mergeCell ref="A31:A33"/>
    <mergeCell ref="A34:A36"/>
    <mergeCell ref="A38:A40"/>
    <mergeCell ref="A42:A44"/>
    <mergeCell ref="A45:A47"/>
    <mergeCell ref="A48:A50"/>
    <mergeCell ref="A51:A53"/>
    <mergeCell ref="A16:A18"/>
    <mergeCell ref="D1:G1"/>
    <mergeCell ref="C2:C3"/>
    <mergeCell ref="G2:G3"/>
    <mergeCell ref="A8:A10"/>
    <mergeCell ref="A12:A14"/>
    <mergeCell ref="A5:A7"/>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Лист22"/>
  <dimension ref="A1:K107"/>
  <sheetViews>
    <sheetView topLeftCell="A16" zoomScale="70" zoomScaleNormal="70" workbookViewId="0">
      <selection activeCell="H110" sqref="H110"/>
    </sheetView>
  </sheetViews>
  <sheetFormatPr defaultRowHeight="15" x14ac:dyDescent="0.25"/>
  <cols>
    <col min="1" max="1" width="53.42578125" bestFit="1" customWidth="1"/>
    <col min="2" max="2" width="23.5703125" bestFit="1" customWidth="1"/>
    <col min="4" max="4" width="43.28515625" bestFit="1" customWidth="1"/>
    <col min="5" max="5" width="31" bestFit="1" customWidth="1"/>
    <col min="6" max="6" width="39.140625" bestFit="1" customWidth="1"/>
    <col min="8" max="8" width="43.28515625" bestFit="1" customWidth="1"/>
    <col min="9" max="9" width="31" bestFit="1" customWidth="1"/>
    <col min="10" max="10" width="39.140625" bestFit="1" customWidth="1"/>
  </cols>
  <sheetData>
    <row r="1" spans="1:11" ht="16.5" thickBot="1" x14ac:dyDescent="0.3">
      <c r="A1" s="465" t="s">
        <v>91</v>
      </c>
      <c r="B1" s="35"/>
      <c r="C1" s="43"/>
      <c r="D1" s="1939" t="str">
        <f>'Служебный АСУТП'!AC2</f>
        <v>Kaspersky Sandbox</v>
      </c>
      <c r="E1" s="1940"/>
      <c r="F1" s="1940"/>
      <c r="G1" s="1941"/>
      <c r="H1" s="1939" t="str">
        <f>'Служебный АСУТП'!AC3</f>
        <v>PT Sandbox</v>
      </c>
      <c r="I1" s="1940"/>
      <c r="J1" s="1940"/>
      <c r="K1" s="1941"/>
    </row>
    <row r="2" spans="1:11" ht="31.5" x14ac:dyDescent="0.25">
      <c r="B2" s="41" t="s">
        <v>37</v>
      </c>
      <c r="C2" s="1945" t="s">
        <v>35</v>
      </c>
      <c r="D2" s="547" t="s">
        <v>590</v>
      </c>
      <c r="E2" s="548" t="s">
        <v>591</v>
      </c>
      <c r="F2" s="645" t="s">
        <v>445</v>
      </c>
      <c r="G2" s="1942" t="s">
        <v>38</v>
      </c>
      <c r="H2" s="547" t="s">
        <v>590</v>
      </c>
      <c r="I2" s="548" t="s">
        <v>591</v>
      </c>
      <c r="J2" s="645" t="s">
        <v>445</v>
      </c>
      <c r="K2" s="1942" t="s">
        <v>38</v>
      </c>
    </row>
    <row r="3" spans="1:11"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row>
    <row r="4" spans="1:11" ht="16.5" thickBot="1" x14ac:dyDescent="0.3">
      <c r="A4" s="326" t="s">
        <v>448</v>
      </c>
      <c r="B4" s="327"/>
      <c r="C4" s="327"/>
      <c r="D4" s="327"/>
      <c r="E4" s="327"/>
      <c r="F4" s="327"/>
      <c r="G4" s="327"/>
      <c r="H4" s="327"/>
      <c r="I4" s="327"/>
      <c r="J4" s="327"/>
      <c r="K4" s="396"/>
    </row>
    <row r="5" spans="1:11" x14ac:dyDescent="0.25">
      <c r="A5" s="1932" t="s">
        <v>0</v>
      </c>
      <c r="B5" s="404" t="s">
        <v>32</v>
      </c>
      <c r="C5" s="324"/>
      <c r="D5" s="405">
        <v>2</v>
      </c>
      <c r="E5" s="405">
        <v>0.5</v>
      </c>
      <c r="F5" s="405">
        <v>0</v>
      </c>
      <c r="G5" s="230">
        <f xml:space="preserve"> SUM(D5:F5) + $C5</f>
        <v>2.5</v>
      </c>
      <c r="H5" s="661">
        <v>2</v>
      </c>
      <c r="I5" s="661">
        <v>0.5</v>
      </c>
      <c r="J5" s="661">
        <v>0</v>
      </c>
      <c r="K5" s="230">
        <f t="shared" ref="K5:K10" si="0" xml:space="preserve"> SUM(H5:J5) + $C5</f>
        <v>2.5</v>
      </c>
    </row>
    <row r="6" spans="1:11" x14ac:dyDescent="0.25">
      <c r="A6" s="1932"/>
      <c r="B6" s="19" t="s">
        <v>33</v>
      </c>
      <c r="C6" s="22"/>
      <c r="D6" s="11">
        <v>4</v>
      </c>
      <c r="E6" s="11">
        <v>0.5</v>
      </c>
      <c r="F6" s="11">
        <v>0</v>
      </c>
      <c r="G6" s="21">
        <f xml:space="preserve"> SUM(D6:F6) + $C6</f>
        <v>4.5</v>
      </c>
      <c r="H6" s="615">
        <v>4</v>
      </c>
      <c r="I6" s="615">
        <v>0.5</v>
      </c>
      <c r="J6" s="615">
        <v>0</v>
      </c>
      <c r="K6" s="21">
        <f t="shared" si="0"/>
        <v>4.5</v>
      </c>
    </row>
    <row r="7" spans="1:11" x14ac:dyDescent="0.25">
      <c r="A7" s="1973"/>
      <c r="B7" s="19" t="s">
        <v>34</v>
      </c>
      <c r="C7" s="22"/>
      <c r="D7" s="11">
        <v>8</v>
      </c>
      <c r="E7" s="11">
        <v>0.5</v>
      </c>
      <c r="F7" s="11">
        <v>0</v>
      </c>
      <c r="G7" s="21">
        <f xml:space="preserve"> SUM(D7:F7) + $C7</f>
        <v>8.5</v>
      </c>
      <c r="H7" s="615">
        <v>8</v>
      </c>
      <c r="I7" s="615">
        <v>0.5</v>
      </c>
      <c r="J7" s="615">
        <v>0</v>
      </c>
      <c r="K7" s="21">
        <f t="shared" si="0"/>
        <v>8.5</v>
      </c>
    </row>
    <row r="8" spans="1:11" x14ac:dyDescent="0.25">
      <c r="A8" s="1932" t="s">
        <v>449</v>
      </c>
      <c r="B8" s="404" t="s">
        <v>32</v>
      </c>
      <c r="C8" s="324"/>
      <c r="D8" s="661">
        <v>2</v>
      </c>
      <c r="E8" s="661">
        <v>0.5</v>
      </c>
      <c r="F8" s="661">
        <v>0</v>
      </c>
      <c r="G8" s="21">
        <f xml:space="preserve"> SUM(D8:F8) + $C8</f>
        <v>2.5</v>
      </c>
      <c r="H8" s="661">
        <v>2</v>
      </c>
      <c r="I8" s="661">
        <v>0.5</v>
      </c>
      <c r="J8" s="661">
        <v>0</v>
      </c>
      <c r="K8" s="21">
        <f t="shared" si="0"/>
        <v>2.5</v>
      </c>
    </row>
    <row r="9" spans="1:11" x14ac:dyDescent="0.25">
      <c r="A9" s="1932"/>
      <c r="B9" s="19" t="s">
        <v>33</v>
      </c>
      <c r="C9" s="22"/>
      <c r="D9" s="615">
        <v>4</v>
      </c>
      <c r="E9" s="615">
        <v>0.5</v>
      </c>
      <c r="F9" s="615">
        <v>0</v>
      </c>
      <c r="G9" s="21">
        <f t="shared" ref="G9:G93" si="1" xml:space="preserve"> SUM(D9:F9) + $C9</f>
        <v>4.5</v>
      </c>
      <c r="H9" s="615">
        <v>4</v>
      </c>
      <c r="I9" s="615">
        <v>0.5</v>
      </c>
      <c r="J9" s="615">
        <v>0</v>
      </c>
      <c r="K9" s="21">
        <f t="shared" si="0"/>
        <v>4.5</v>
      </c>
    </row>
    <row r="10" spans="1:11" ht="15.75" thickBot="1" x14ac:dyDescent="0.3">
      <c r="A10" s="1932"/>
      <c r="B10" s="13" t="s">
        <v>34</v>
      </c>
      <c r="C10" s="34"/>
      <c r="D10" s="615">
        <v>8</v>
      </c>
      <c r="E10" s="615">
        <v>0.5</v>
      </c>
      <c r="F10" s="615">
        <v>0</v>
      </c>
      <c r="G10" s="77">
        <f t="shared" si="1"/>
        <v>8.5</v>
      </c>
      <c r="H10" s="615">
        <v>8</v>
      </c>
      <c r="I10" s="615">
        <v>0.5</v>
      </c>
      <c r="J10" s="615">
        <v>0</v>
      </c>
      <c r="K10" s="77">
        <f t="shared" si="0"/>
        <v>8.5</v>
      </c>
    </row>
    <row r="11" spans="1:11" ht="16.5" thickBot="1" x14ac:dyDescent="0.3">
      <c r="A11" s="326" t="s">
        <v>1</v>
      </c>
      <c r="B11" s="327"/>
      <c r="C11" s="327"/>
      <c r="D11" s="327"/>
      <c r="E11" s="327"/>
      <c r="F11" s="327"/>
      <c r="G11" s="327"/>
      <c r="H11" s="327"/>
      <c r="I11" s="327"/>
      <c r="J11" s="327"/>
      <c r="K11" s="396"/>
    </row>
    <row r="12" spans="1:11" x14ac:dyDescent="0.25">
      <c r="A12" s="1932" t="s">
        <v>2</v>
      </c>
      <c r="B12" s="404" t="s">
        <v>32</v>
      </c>
      <c r="C12" s="324"/>
      <c r="D12" s="661">
        <v>8</v>
      </c>
      <c r="E12" s="674">
        <f>2*E$3</f>
        <v>0</v>
      </c>
      <c r="F12" s="690">
        <v>0</v>
      </c>
      <c r="G12" s="230">
        <f t="shared" si="1"/>
        <v>8</v>
      </c>
      <c r="H12" s="661">
        <v>8</v>
      </c>
      <c r="I12" s="674">
        <f>2*I$3</f>
        <v>0</v>
      </c>
      <c r="J12" s="690">
        <v>0</v>
      </c>
      <c r="K12" s="230">
        <f xml:space="preserve"> SUM(H12:J12) + $C12</f>
        <v>8</v>
      </c>
    </row>
    <row r="13" spans="1:11" x14ac:dyDescent="0.25">
      <c r="A13" s="1932"/>
      <c r="B13" s="19" t="s">
        <v>33</v>
      </c>
      <c r="C13" s="22"/>
      <c r="D13" s="615">
        <v>12</v>
      </c>
      <c r="E13" s="630">
        <f>2*E$3</f>
        <v>0</v>
      </c>
      <c r="F13" s="690">
        <v>0</v>
      </c>
      <c r="G13" s="21">
        <f t="shared" si="1"/>
        <v>12</v>
      </c>
      <c r="H13" s="615">
        <v>12</v>
      </c>
      <c r="I13" s="630">
        <f>2*I$3</f>
        <v>0</v>
      </c>
      <c r="J13" s="690">
        <v>0</v>
      </c>
      <c r="K13" s="21">
        <f xml:space="preserve"> SUM(H13:J13) + $C13</f>
        <v>12</v>
      </c>
    </row>
    <row r="14" spans="1:11" ht="15.75" thickBot="1" x14ac:dyDescent="0.3">
      <c r="A14" s="1932"/>
      <c r="B14" s="13" t="s">
        <v>34</v>
      </c>
      <c r="C14" s="34"/>
      <c r="D14" s="673">
        <v>16</v>
      </c>
      <c r="E14" s="675">
        <f>2*E$3</f>
        <v>0</v>
      </c>
      <c r="F14" s="690">
        <v>0</v>
      </c>
      <c r="G14" s="77">
        <f t="shared" si="1"/>
        <v>16</v>
      </c>
      <c r="H14" s="673">
        <v>16</v>
      </c>
      <c r="I14" s="675">
        <f>2*I$3</f>
        <v>0</v>
      </c>
      <c r="J14" s="690">
        <v>0</v>
      </c>
      <c r="K14" s="77">
        <f xml:space="preserve"> SUM(H14:J14) + $C14</f>
        <v>16</v>
      </c>
    </row>
    <row r="15" spans="1:11" ht="16.5" thickBot="1" x14ac:dyDescent="0.3">
      <c r="A15" s="330" t="s">
        <v>3</v>
      </c>
      <c r="B15" s="329"/>
      <c r="C15" s="329"/>
      <c r="D15" s="329"/>
      <c r="E15" s="329"/>
      <c r="F15" s="327"/>
      <c r="G15" s="327"/>
      <c r="H15" s="329"/>
      <c r="I15" s="329"/>
      <c r="J15" s="327"/>
      <c r="K15" s="396"/>
    </row>
    <row r="16" spans="1:11" x14ac:dyDescent="0.25">
      <c r="A16" s="1944" t="s">
        <v>4</v>
      </c>
      <c r="B16" s="325" t="s">
        <v>32</v>
      </c>
      <c r="C16" s="324"/>
      <c r="D16" s="427">
        <v>0.25</v>
      </c>
      <c r="E16" s="400">
        <v>0</v>
      </c>
      <c r="F16" s="428">
        <v>0</v>
      </c>
      <c r="G16" s="230">
        <f t="shared" si="1"/>
        <v>0.25</v>
      </c>
      <c r="H16" s="678">
        <v>0.25</v>
      </c>
      <c r="I16" s="710">
        <v>0</v>
      </c>
      <c r="J16" s="679">
        <v>0</v>
      </c>
      <c r="K16" s="230">
        <f t="shared" ref="K16:K36" si="2" xml:space="preserve"> SUM(H16:J16) + $C16</f>
        <v>0.25</v>
      </c>
    </row>
    <row r="17" spans="1:11" x14ac:dyDescent="0.25">
      <c r="A17" s="1937"/>
      <c r="B17" s="18" t="s">
        <v>33</v>
      </c>
      <c r="C17" s="22"/>
      <c r="D17" s="38">
        <v>0.25</v>
      </c>
      <c r="E17" s="15">
        <v>0</v>
      </c>
      <c r="F17" s="33">
        <v>0</v>
      </c>
      <c r="G17" s="21">
        <f t="shared" si="1"/>
        <v>0.25</v>
      </c>
      <c r="H17" s="625">
        <v>0.25</v>
      </c>
      <c r="I17" s="616">
        <v>0</v>
      </c>
      <c r="J17" s="623">
        <v>0</v>
      </c>
      <c r="K17" s="21">
        <f t="shared" si="2"/>
        <v>0.25</v>
      </c>
    </row>
    <row r="18" spans="1:11" x14ac:dyDescent="0.25">
      <c r="A18" s="1937"/>
      <c r="B18" s="18" t="s">
        <v>34</v>
      </c>
      <c r="C18" s="22"/>
      <c r="D18" s="38">
        <v>0.25</v>
      </c>
      <c r="E18" s="15">
        <v>0</v>
      </c>
      <c r="F18" s="33">
        <v>0</v>
      </c>
      <c r="G18" s="21">
        <f t="shared" si="1"/>
        <v>0.25</v>
      </c>
      <c r="H18" s="625">
        <v>0.25</v>
      </c>
      <c r="I18" s="616">
        <v>0</v>
      </c>
      <c r="J18" s="623">
        <v>0</v>
      </c>
      <c r="K18" s="21">
        <f t="shared" si="2"/>
        <v>0.25</v>
      </c>
    </row>
    <row r="19" spans="1:11" x14ac:dyDescent="0.25">
      <c r="A19" s="1937" t="s">
        <v>5</v>
      </c>
      <c r="B19" s="19" t="s">
        <v>32</v>
      </c>
      <c r="C19" s="22"/>
      <c r="D19" s="38">
        <v>1</v>
      </c>
      <c r="E19" s="15">
        <v>0</v>
      </c>
      <c r="F19" s="33">
        <v>0</v>
      </c>
      <c r="G19" s="21">
        <f t="shared" si="1"/>
        <v>1</v>
      </c>
      <c r="H19" s="38">
        <v>1</v>
      </c>
      <c r="I19" s="15">
        <v>0</v>
      </c>
      <c r="J19" s="33">
        <v>0</v>
      </c>
      <c r="K19" s="21">
        <f t="shared" si="2"/>
        <v>1</v>
      </c>
    </row>
    <row r="20" spans="1:11" x14ac:dyDescent="0.25">
      <c r="A20" s="1937"/>
      <c r="B20" s="19" t="s">
        <v>33</v>
      </c>
      <c r="C20" s="22"/>
      <c r="D20" s="38">
        <v>2</v>
      </c>
      <c r="E20" s="15">
        <v>0</v>
      </c>
      <c r="F20" s="33">
        <v>0</v>
      </c>
      <c r="G20" s="21">
        <f t="shared" si="1"/>
        <v>2</v>
      </c>
      <c r="H20" s="38">
        <v>2</v>
      </c>
      <c r="I20" s="15">
        <v>0</v>
      </c>
      <c r="J20" s="33">
        <v>0</v>
      </c>
      <c r="K20" s="21">
        <f t="shared" si="2"/>
        <v>2</v>
      </c>
    </row>
    <row r="21" spans="1:11" x14ac:dyDescent="0.25">
      <c r="A21" s="1937"/>
      <c r="B21" s="19" t="s">
        <v>34</v>
      </c>
      <c r="C21" s="22"/>
      <c r="D21" s="38">
        <v>3</v>
      </c>
      <c r="E21" s="15">
        <v>0</v>
      </c>
      <c r="F21" s="33">
        <v>0</v>
      </c>
      <c r="G21" s="21">
        <f t="shared" si="1"/>
        <v>3</v>
      </c>
      <c r="H21" s="38">
        <v>3</v>
      </c>
      <c r="I21" s="15">
        <v>0</v>
      </c>
      <c r="J21" s="33">
        <v>0</v>
      </c>
      <c r="K21" s="21">
        <f t="shared" si="2"/>
        <v>3</v>
      </c>
    </row>
    <row r="22" spans="1:11" x14ac:dyDescent="0.25">
      <c r="A22" s="1937" t="s">
        <v>6</v>
      </c>
      <c r="B22" s="19" t="s">
        <v>32</v>
      </c>
      <c r="C22" s="22"/>
      <c r="D22" s="615">
        <v>8</v>
      </c>
      <c r="E22" s="630">
        <f>1*E$3</f>
        <v>0</v>
      </c>
      <c r="F22" s="615">
        <v>0</v>
      </c>
      <c r="G22" s="21">
        <f t="shared" si="1"/>
        <v>8</v>
      </c>
      <c r="H22" s="615">
        <v>8</v>
      </c>
      <c r="I22" s="630">
        <f>1*I$3</f>
        <v>0</v>
      </c>
      <c r="J22" s="615">
        <v>0</v>
      </c>
      <c r="K22" s="21">
        <f t="shared" si="2"/>
        <v>8</v>
      </c>
    </row>
    <row r="23" spans="1:11" x14ac:dyDescent="0.25">
      <c r="A23" s="1937"/>
      <c r="B23" s="19" t="s">
        <v>33</v>
      </c>
      <c r="C23" s="22"/>
      <c r="D23" s="615">
        <v>12</v>
      </c>
      <c r="E23" s="630">
        <f>1*E$3</f>
        <v>0</v>
      </c>
      <c r="F23" s="615">
        <v>0</v>
      </c>
      <c r="G23" s="21">
        <f t="shared" si="1"/>
        <v>12</v>
      </c>
      <c r="H23" s="615">
        <v>12</v>
      </c>
      <c r="I23" s="630">
        <f>1*I$3</f>
        <v>0</v>
      </c>
      <c r="J23" s="615">
        <v>0</v>
      </c>
      <c r="K23" s="21">
        <f t="shared" si="2"/>
        <v>12</v>
      </c>
    </row>
    <row r="24" spans="1:11" x14ac:dyDescent="0.25">
      <c r="A24" s="1937"/>
      <c r="B24" s="19" t="s">
        <v>34</v>
      </c>
      <c r="C24" s="22"/>
      <c r="D24" s="615">
        <v>14</v>
      </c>
      <c r="E24" s="630">
        <f>1*E$3</f>
        <v>0</v>
      </c>
      <c r="F24" s="615">
        <v>0</v>
      </c>
      <c r="G24" s="21">
        <f t="shared" si="1"/>
        <v>14</v>
      </c>
      <c r="H24" s="615">
        <v>14</v>
      </c>
      <c r="I24" s="630">
        <f>1*I$3</f>
        <v>0</v>
      </c>
      <c r="J24" s="615">
        <v>0</v>
      </c>
      <c r="K24" s="21">
        <f t="shared" si="2"/>
        <v>14</v>
      </c>
    </row>
    <row r="25" spans="1:11" x14ac:dyDescent="0.25">
      <c r="A25" s="1937" t="s">
        <v>7</v>
      </c>
      <c r="B25" s="19" t="s">
        <v>32</v>
      </c>
      <c r="C25" s="22"/>
      <c r="D25" s="625">
        <v>4</v>
      </c>
      <c r="E25" s="616">
        <v>0</v>
      </c>
      <c r="F25" s="623">
        <v>0</v>
      </c>
      <c r="G25" s="21">
        <f t="shared" si="1"/>
        <v>4</v>
      </c>
      <c r="H25" s="625">
        <v>4</v>
      </c>
      <c r="I25" s="616">
        <v>0</v>
      </c>
      <c r="J25" s="623">
        <v>0</v>
      </c>
      <c r="K25" s="21">
        <f t="shared" si="2"/>
        <v>4</v>
      </c>
    </row>
    <row r="26" spans="1:11" x14ac:dyDescent="0.25">
      <c r="A26" s="1937"/>
      <c r="B26" s="19" t="s">
        <v>33</v>
      </c>
      <c r="C26" s="22"/>
      <c r="D26" s="625">
        <v>6</v>
      </c>
      <c r="E26" s="616">
        <v>0</v>
      </c>
      <c r="F26" s="623">
        <v>0</v>
      </c>
      <c r="G26" s="21">
        <f t="shared" si="1"/>
        <v>6</v>
      </c>
      <c r="H26" s="625">
        <v>6</v>
      </c>
      <c r="I26" s="616">
        <v>0</v>
      </c>
      <c r="J26" s="623">
        <v>0</v>
      </c>
      <c r="K26" s="21">
        <f t="shared" si="2"/>
        <v>6</v>
      </c>
    </row>
    <row r="27" spans="1:11" x14ac:dyDescent="0.25">
      <c r="A27" s="1937"/>
      <c r="B27" s="19" t="s">
        <v>34</v>
      </c>
      <c r="C27" s="22"/>
      <c r="D27" s="625">
        <v>8</v>
      </c>
      <c r="E27" s="616">
        <v>0</v>
      </c>
      <c r="F27" s="623">
        <v>0</v>
      </c>
      <c r="G27" s="21">
        <f t="shared" si="1"/>
        <v>8</v>
      </c>
      <c r="H27" s="625">
        <v>8</v>
      </c>
      <c r="I27" s="616">
        <v>0</v>
      </c>
      <c r="J27" s="623">
        <v>0</v>
      </c>
      <c r="K27" s="21">
        <f t="shared" si="2"/>
        <v>8</v>
      </c>
    </row>
    <row r="28" spans="1:11" x14ac:dyDescent="0.25">
      <c r="A28" s="1937" t="s">
        <v>8</v>
      </c>
      <c r="B28" s="19" t="s">
        <v>32</v>
      </c>
      <c r="C28" s="22"/>
      <c r="D28" s="625">
        <v>3</v>
      </c>
      <c r="E28" s="616">
        <v>0</v>
      </c>
      <c r="F28" s="623">
        <v>0</v>
      </c>
      <c r="G28" s="21">
        <f t="shared" si="1"/>
        <v>3</v>
      </c>
      <c r="H28" s="625">
        <v>3</v>
      </c>
      <c r="I28" s="616">
        <v>0</v>
      </c>
      <c r="J28" s="623">
        <v>0</v>
      </c>
      <c r="K28" s="21">
        <f t="shared" si="2"/>
        <v>3</v>
      </c>
    </row>
    <row r="29" spans="1:11" x14ac:dyDescent="0.25">
      <c r="A29" s="1937"/>
      <c r="B29" s="19" t="s">
        <v>33</v>
      </c>
      <c r="C29" s="22"/>
      <c r="D29" s="625">
        <v>4</v>
      </c>
      <c r="E29" s="616">
        <v>0</v>
      </c>
      <c r="F29" s="623">
        <v>0</v>
      </c>
      <c r="G29" s="21">
        <f t="shared" si="1"/>
        <v>4</v>
      </c>
      <c r="H29" s="625">
        <v>4</v>
      </c>
      <c r="I29" s="616">
        <v>0</v>
      </c>
      <c r="J29" s="623">
        <v>0</v>
      </c>
      <c r="K29" s="21">
        <f t="shared" si="2"/>
        <v>4</v>
      </c>
    </row>
    <row r="30" spans="1:11" x14ac:dyDescent="0.25">
      <c r="A30" s="1937"/>
      <c r="B30" s="19" t="s">
        <v>34</v>
      </c>
      <c r="C30" s="22"/>
      <c r="D30" s="625">
        <v>6</v>
      </c>
      <c r="E30" s="616">
        <v>0</v>
      </c>
      <c r="F30" s="623">
        <v>0</v>
      </c>
      <c r="G30" s="21">
        <f t="shared" si="1"/>
        <v>6</v>
      </c>
      <c r="H30" s="625">
        <v>6</v>
      </c>
      <c r="I30" s="616">
        <v>0</v>
      </c>
      <c r="J30" s="623">
        <v>0</v>
      </c>
      <c r="K30" s="21">
        <f t="shared" si="2"/>
        <v>6</v>
      </c>
    </row>
    <row r="31" spans="1:11" x14ac:dyDescent="0.25">
      <c r="A31" s="1937" t="s">
        <v>9</v>
      </c>
      <c r="B31" s="19" t="s">
        <v>32</v>
      </c>
      <c r="C31" s="22"/>
      <c r="D31" s="124">
        <f>2+(0.5*D$3)</f>
        <v>2</v>
      </c>
      <c r="E31" s="15">
        <v>0</v>
      </c>
      <c r="F31" s="15">
        <v>0</v>
      </c>
      <c r="G31" s="21">
        <f t="shared" si="1"/>
        <v>2</v>
      </c>
      <c r="H31" s="631">
        <f>2+(0.5*H$3)</f>
        <v>2</v>
      </c>
      <c r="I31" s="616">
        <v>0</v>
      </c>
      <c r="J31" s="616">
        <v>0</v>
      </c>
      <c r="K31" s="21">
        <f t="shared" si="2"/>
        <v>2</v>
      </c>
    </row>
    <row r="32" spans="1:11" x14ac:dyDescent="0.25">
      <c r="A32" s="1937"/>
      <c r="B32" s="19" t="s">
        <v>33</v>
      </c>
      <c r="C32" s="22"/>
      <c r="D32" s="124">
        <f>4+(0.5*D$3)</f>
        <v>4</v>
      </c>
      <c r="E32" s="15">
        <v>0</v>
      </c>
      <c r="F32" s="15">
        <v>0</v>
      </c>
      <c r="G32" s="21">
        <f t="shared" si="1"/>
        <v>4</v>
      </c>
      <c r="H32" s="631">
        <f>4+(0.5*H$3)</f>
        <v>4</v>
      </c>
      <c r="I32" s="616">
        <v>0</v>
      </c>
      <c r="J32" s="616">
        <v>0</v>
      </c>
      <c r="K32" s="21">
        <f t="shared" si="2"/>
        <v>4</v>
      </c>
    </row>
    <row r="33" spans="1:11" x14ac:dyDescent="0.25">
      <c r="A33" s="1937"/>
      <c r="B33" s="19" t="s">
        <v>34</v>
      </c>
      <c r="C33" s="22"/>
      <c r="D33" s="124">
        <f>6+(0.5*D$3)</f>
        <v>6</v>
      </c>
      <c r="E33" s="15">
        <v>0</v>
      </c>
      <c r="F33" s="15">
        <v>0</v>
      </c>
      <c r="G33" s="21">
        <f t="shared" si="1"/>
        <v>6</v>
      </c>
      <c r="H33" s="631">
        <f>6+(0.5*H$3)</f>
        <v>6</v>
      </c>
      <c r="I33" s="616">
        <v>0</v>
      </c>
      <c r="J33" s="616">
        <v>0</v>
      </c>
      <c r="K33" s="21">
        <f t="shared" si="2"/>
        <v>6</v>
      </c>
    </row>
    <row r="34" spans="1:11" x14ac:dyDescent="0.25">
      <c r="A34" s="1937" t="s">
        <v>10</v>
      </c>
      <c r="B34" s="19" t="s">
        <v>32</v>
      </c>
      <c r="C34" s="22"/>
      <c r="D34" s="38">
        <v>2</v>
      </c>
      <c r="E34" s="15">
        <v>0</v>
      </c>
      <c r="F34" s="15">
        <v>0</v>
      </c>
      <c r="G34" s="21">
        <f t="shared" si="1"/>
        <v>2</v>
      </c>
      <c r="H34" s="625">
        <v>2</v>
      </c>
      <c r="I34" s="616">
        <v>0</v>
      </c>
      <c r="J34" s="616">
        <v>0</v>
      </c>
      <c r="K34" s="21">
        <f t="shared" si="2"/>
        <v>2</v>
      </c>
    </row>
    <row r="35" spans="1:11" x14ac:dyDescent="0.25">
      <c r="A35" s="1937"/>
      <c r="B35" s="19" t="s">
        <v>33</v>
      </c>
      <c r="C35" s="22"/>
      <c r="D35" s="38">
        <v>4</v>
      </c>
      <c r="E35" s="15">
        <v>0</v>
      </c>
      <c r="F35" s="15">
        <v>0</v>
      </c>
      <c r="G35" s="21">
        <f t="shared" si="1"/>
        <v>4</v>
      </c>
      <c r="H35" s="625">
        <v>4</v>
      </c>
      <c r="I35" s="616">
        <v>0</v>
      </c>
      <c r="J35" s="616">
        <v>0</v>
      </c>
      <c r="K35" s="21">
        <f t="shared" si="2"/>
        <v>4</v>
      </c>
    </row>
    <row r="36" spans="1:11" ht="15.75" thickBot="1" x14ac:dyDescent="0.3">
      <c r="A36" s="1938"/>
      <c r="B36" s="13" t="s">
        <v>34</v>
      </c>
      <c r="C36" s="34"/>
      <c r="D36" s="39">
        <v>6</v>
      </c>
      <c r="E36" s="399">
        <v>0</v>
      </c>
      <c r="F36" s="399">
        <v>0</v>
      </c>
      <c r="G36" s="77">
        <f t="shared" si="1"/>
        <v>6</v>
      </c>
      <c r="H36" s="626">
        <v>6</v>
      </c>
      <c r="I36" s="709">
        <v>0</v>
      </c>
      <c r="J36" s="709">
        <v>0</v>
      </c>
      <c r="K36" s="77">
        <f t="shared" si="2"/>
        <v>6</v>
      </c>
    </row>
    <row r="37" spans="1:11" ht="16.5" thickBot="1" x14ac:dyDescent="0.3">
      <c r="A37" s="330" t="s">
        <v>11</v>
      </c>
      <c r="B37" s="329"/>
      <c r="C37" s="329"/>
      <c r="D37" s="329"/>
      <c r="E37" s="329"/>
      <c r="F37" s="327"/>
      <c r="G37" s="327"/>
      <c r="H37" s="329"/>
      <c r="I37" s="329"/>
      <c r="J37" s="327"/>
      <c r="K37" s="396"/>
    </row>
    <row r="38" spans="1:11" x14ac:dyDescent="0.25">
      <c r="A38" s="1932" t="s">
        <v>12</v>
      </c>
      <c r="B38" s="404" t="s">
        <v>32</v>
      </c>
      <c r="C38" s="324"/>
      <c r="D38" s="405">
        <v>8</v>
      </c>
      <c r="E38" s="423">
        <f>2*$E$3</f>
        <v>0</v>
      </c>
      <c r="F38" s="405">
        <v>0</v>
      </c>
      <c r="G38" s="230">
        <f t="shared" si="1"/>
        <v>8</v>
      </c>
      <c r="H38" s="661">
        <v>8</v>
      </c>
      <c r="I38" s="674">
        <f>2*$E$3</f>
        <v>0</v>
      </c>
      <c r="J38" s="661">
        <v>0</v>
      </c>
      <c r="K38" s="230">
        <f xml:space="preserve"> SUM(H38:J38) + $C38</f>
        <v>8</v>
      </c>
    </row>
    <row r="39" spans="1:11" x14ac:dyDescent="0.25">
      <c r="A39" s="1932"/>
      <c r="B39" s="19" t="s">
        <v>33</v>
      </c>
      <c r="C39" s="22"/>
      <c r="D39" s="11">
        <v>16</v>
      </c>
      <c r="E39" s="123">
        <f>2*$E$3</f>
        <v>0</v>
      </c>
      <c r="F39" s="11">
        <v>0</v>
      </c>
      <c r="G39" s="21">
        <f t="shared" si="1"/>
        <v>16</v>
      </c>
      <c r="H39" s="615">
        <v>16</v>
      </c>
      <c r="I39" s="630">
        <f>2*$E$3</f>
        <v>0</v>
      </c>
      <c r="J39" s="615">
        <v>0</v>
      </c>
      <c r="K39" s="21">
        <f xml:space="preserve"> SUM(H39:J39) + $C39</f>
        <v>16</v>
      </c>
    </row>
    <row r="40" spans="1:11" ht="15.75" thickBot="1" x14ac:dyDescent="0.3">
      <c r="A40" s="1932"/>
      <c r="B40" s="13" t="s">
        <v>34</v>
      </c>
      <c r="C40" s="34"/>
      <c r="D40" s="422">
        <v>32</v>
      </c>
      <c r="E40" s="424">
        <f>2*$E$3</f>
        <v>0</v>
      </c>
      <c r="F40" s="422">
        <v>0</v>
      </c>
      <c r="G40" s="77">
        <f t="shared" si="1"/>
        <v>32</v>
      </c>
      <c r="H40" s="673">
        <v>32</v>
      </c>
      <c r="I40" s="675">
        <f>2*$E$3</f>
        <v>0</v>
      </c>
      <c r="J40" s="673">
        <v>0</v>
      </c>
      <c r="K40" s="77">
        <f xml:space="preserve"> SUM(H40:J40) + $C40</f>
        <v>32</v>
      </c>
    </row>
    <row r="41" spans="1:11" ht="16.5" thickBot="1" x14ac:dyDescent="0.3">
      <c r="A41" s="330" t="s">
        <v>13</v>
      </c>
      <c r="B41" s="329"/>
      <c r="C41" s="329"/>
      <c r="D41" s="329"/>
      <c r="E41" s="329"/>
      <c r="F41" s="327"/>
      <c r="G41" s="327"/>
      <c r="H41" s="329"/>
      <c r="I41" s="329"/>
      <c r="J41" s="327"/>
      <c r="K41" s="396"/>
    </row>
    <row r="42" spans="1:11" x14ac:dyDescent="0.25">
      <c r="A42" s="1932" t="s">
        <v>14</v>
      </c>
      <c r="B42" s="404" t="s">
        <v>32</v>
      </c>
      <c r="C42" s="324"/>
      <c r="D42" s="625">
        <v>1</v>
      </c>
      <c r="E42" s="616">
        <v>0</v>
      </c>
      <c r="F42" s="623">
        <v>0</v>
      </c>
      <c r="G42" s="230">
        <f t="shared" si="1"/>
        <v>1</v>
      </c>
      <c r="H42" s="625">
        <v>1</v>
      </c>
      <c r="I42" s="616">
        <v>0</v>
      </c>
      <c r="J42" s="623">
        <v>0</v>
      </c>
      <c r="K42" s="230">
        <f t="shared" ref="K42:K86" si="3" xml:space="preserve"> SUM(H42:J42) + $C42</f>
        <v>1</v>
      </c>
    </row>
    <row r="43" spans="1:11" x14ac:dyDescent="0.25">
      <c r="A43" s="1932"/>
      <c r="B43" s="19" t="s">
        <v>33</v>
      </c>
      <c r="C43" s="22"/>
      <c r="D43" s="625">
        <v>2</v>
      </c>
      <c r="E43" s="616">
        <v>0</v>
      </c>
      <c r="F43" s="623">
        <v>0</v>
      </c>
      <c r="G43" s="21">
        <f t="shared" si="1"/>
        <v>2</v>
      </c>
      <c r="H43" s="625">
        <v>2</v>
      </c>
      <c r="I43" s="616">
        <v>0</v>
      </c>
      <c r="J43" s="623">
        <v>0</v>
      </c>
      <c r="K43" s="21">
        <f t="shared" si="3"/>
        <v>2</v>
      </c>
    </row>
    <row r="44" spans="1:11" x14ac:dyDescent="0.25">
      <c r="A44" s="1932"/>
      <c r="B44" s="19" t="s">
        <v>34</v>
      </c>
      <c r="C44" s="22"/>
      <c r="D44" s="625">
        <v>3</v>
      </c>
      <c r="E44" s="616">
        <v>0</v>
      </c>
      <c r="F44" s="623">
        <v>0</v>
      </c>
      <c r="G44" s="21">
        <f t="shared" si="1"/>
        <v>3</v>
      </c>
      <c r="H44" s="625">
        <v>3</v>
      </c>
      <c r="I44" s="616">
        <v>0</v>
      </c>
      <c r="J44" s="623">
        <v>0</v>
      </c>
      <c r="K44" s="21">
        <f t="shared" si="3"/>
        <v>3</v>
      </c>
    </row>
    <row r="45" spans="1:11" x14ac:dyDescent="0.25">
      <c r="A45" s="1933" t="s">
        <v>15</v>
      </c>
      <c r="B45" s="19" t="s">
        <v>32</v>
      </c>
      <c r="C45" s="22"/>
      <c r="D45" s="661">
        <v>16</v>
      </c>
      <c r="E45" s="674">
        <f>1.5*$E$3</f>
        <v>0</v>
      </c>
      <c r="F45" s="15">
        <v>0</v>
      </c>
      <c r="G45" s="21">
        <f t="shared" si="1"/>
        <v>16</v>
      </c>
      <c r="H45" s="661">
        <v>16</v>
      </c>
      <c r="I45" s="674">
        <f>1.5*$E$3</f>
        <v>0</v>
      </c>
      <c r="J45" s="616">
        <v>0</v>
      </c>
      <c r="K45" s="21">
        <f t="shared" si="3"/>
        <v>16</v>
      </c>
    </row>
    <row r="46" spans="1:11" x14ac:dyDescent="0.25">
      <c r="A46" s="1933"/>
      <c r="B46" s="19" t="s">
        <v>33</v>
      </c>
      <c r="C46" s="22"/>
      <c r="D46" s="615">
        <v>24</v>
      </c>
      <c r="E46" s="674">
        <f>1.5*$E$3</f>
        <v>0</v>
      </c>
      <c r="F46" s="15">
        <v>0</v>
      </c>
      <c r="G46" s="21">
        <f t="shared" si="1"/>
        <v>24</v>
      </c>
      <c r="H46" s="615">
        <v>24</v>
      </c>
      <c r="I46" s="674">
        <f>1.5*$E$3</f>
        <v>0</v>
      </c>
      <c r="J46" s="616">
        <v>0</v>
      </c>
      <c r="K46" s="21">
        <f t="shared" si="3"/>
        <v>24</v>
      </c>
    </row>
    <row r="47" spans="1:11" x14ac:dyDescent="0.25">
      <c r="A47" s="1933"/>
      <c r="B47" s="19" t="s">
        <v>34</v>
      </c>
      <c r="C47" s="22"/>
      <c r="D47" s="673">
        <v>32</v>
      </c>
      <c r="E47" s="674">
        <f>1.5*$E$3</f>
        <v>0</v>
      </c>
      <c r="F47" s="15">
        <v>0</v>
      </c>
      <c r="G47" s="21">
        <f t="shared" si="1"/>
        <v>32</v>
      </c>
      <c r="H47" s="673">
        <v>32</v>
      </c>
      <c r="I47" s="674">
        <f>1.5*$E$3</f>
        <v>0</v>
      </c>
      <c r="J47" s="616">
        <v>0</v>
      </c>
      <c r="K47" s="21">
        <f t="shared" si="3"/>
        <v>32</v>
      </c>
    </row>
    <row r="48" spans="1:11" x14ac:dyDescent="0.25">
      <c r="A48" s="1933" t="s">
        <v>16</v>
      </c>
      <c r="B48" s="19" t="s">
        <v>32</v>
      </c>
      <c r="C48" s="22"/>
      <c r="D48" s="631">
        <f>1*D$3</f>
        <v>0</v>
      </c>
      <c r="E48" s="616">
        <v>0</v>
      </c>
      <c r="F48" s="689">
        <v>0</v>
      </c>
      <c r="G48" s="21">
        <f t="shared" si="1"/>
        <v>0</v>
      </c>
      <c r="H48" s="631">
        <f>1*H$3</f>
        <v>0</v>
      </c>
      <c r="I48" s="616">
        <v>0</v>
      </c>
      <c r="J48" s="689">
        <v>0</v>
      </c>
      <c r="K48" s="21">
        <f t="shared" si="3"/>
        <v>0</v>
      </c>
    </row>
    <row r="49" spans="1:11" x14ac:dyDescent="0.25">
      <c r="A49" s="1933"/>
      <c r="B49" s="19" t="s">
        <v>33</v>
      </c>
      <c r="C49" s="22"/>
      <c r="D49" s="631">
        <f>1.5*D$3</f>
        <v>0</v>
      </c>
      <c r="E49" s="616">
        <v>0</v>
      </c>
      <c r="F49" s="689">
        <v>0</v>
      </c>
      <c r="G49" s="21">
        <f t="shared" si="1"/>
        <v>0</v>
      </c>
      <c r="H49" s="631">
        <f>1.5*H$3</f>
        <v>0</v>
      </c>
      <c r="I49" s="616">
        <v>0</v>
      </c>
      <c r="J49" s="689">
        <v>0</v>
      </c>
      <c r="K49" s="21">
        <f t="shared" si="3"/>
        <v>0</v>
      </c>
    </row>
    <row r="50" spans="1:11" x14ac:dyDescent="0.25">
      <c r="A50" s="1933"/>
      <c r="B50" s="19" t="s">
        <v>34</v>
      </c>
      <c r="C50" s="22"/>
      <c r="D50" s="631">
        <f>2*D$3</f>
        <v>0</v>
      </c>
      <c r="E50" s="616">
        <v>0</v>
      </c>
      <c r="F50" s="689">
        <v>0</v>
      </c>
      <c r="G50" s="21">
        <f t="shared" si="1"/>
        <v>0</v>
      </c>
      <c r="H50" s="631">
        <f>2*H$3</f>
        <v>0</v>
      </c>
      <c r="I50" s="616">
        <v>0</v>
      </c>
      <c r="J50" s="689">
        <v>0</v>
      </c>
      <c r="K50" s="21">
        <f t="shared" si="3"/>
        <v>0</v>
      </c>
    </row>
    <row r="51" spans="1:11" x14ac:dyDescent="0.25">
      <c r="A51" s="1933" t="s">
        <v>17</v>
      </c>
      <c r="B51" s="19" t="s">
        <v>32</v>
      </c>
      <c r="C51" s="22"/>
      <c r="D51" s="631">
        <f>1*D$3</f>
        <v>0</v>
      </c>
      <c r="E51" s="616">
        <v>0</v>
      </c>
      <c r="F51" s="689">
        <v>0</v>
      </c>
      <c r="G51" s="21">
        <f t="shared" si="1"/>
        <v>0</v>
      </c>
      <c r="H51" s="631">
        <f>1*H$3</f>
        <v>0</v>
      </c>
      <c r="I51" s="616">
        <v>0</v>
      </c>
      <c r="J51" s="689">
        <v>0</v>
      </c>
      <c r="K51" s="21">
        <f t="shared" si="3"/>
        <v>0</v>
      </c>
    </row>
    <row r="52" spans="1:11" x14ac:dyDescent="0.25">
      <c r="A52" s="1933"/>
      <c r="B52" s="19" t="s">
        <v>33</v>
      </c>
      <c r="C52" s="22"/>
      <c r="D52" s="631">
        <f>1.5*D$3</f>
        <v>0</v>
      </c>
      <c r="E52" s="616">
        <v>0</v>
      </c>
      <c r="F52" s="689">
        <v>0</v>
      </c>
      <c r="G52" s="21">
        <f t="shared" si="1"/>
        <v>0</v>
      </c>
      <c r="H52" s="631">
        <f>1.5*H$3</f>
        <v>0</v>
      </c>
      <c r="I52" s="616">
        <v>0</v>
      </c>
      <c r="J52" s="689">
        <v>0</v>
      </c>
      <c r="K52" s="21">
        <f t="shared" si="3"/>
        <v>0</v>
      </c>
    </row>
    <row r="53" spans="1:11" x14ac:dyDescent="0.25">
      <c r="A53" s="1933"/>
      <c r="B53" s="19" t="s">
        <v>34</v>
      </c>
      <c r="C53" s="22"/>
      <c r="D53" s="631">
        <f>2*D$3</f>
        <v>0</v>
      </c>
      <c r="E53" s="616">
        <v>0</v>
      </c>
      <c r="F53" s="689">
        <v>0</v>
      </c>
      <c r="G53" s="21">
        <f t="shared" si="1"/>
        <v>0</v>
      </c>
      <c r="H53" s="631">
        <f>2*H$3</f>
        <v>0</v>
      </c>
      <c r="I53" s="616">
        <v>0</v>
      </c>
      <c r="J53" s="689">
        <v>0</v>
      </c>
      <c r="K53" s="21">
        <f t="shared" si="3"/>
        <v>0</v>
      </c>
    </row>
    <row r="54" spans="1:11" x14ac:dyDescent="0.25">
      <c r="A54" s="1933" t="s">
        <v>18</v>
      </c>
      <c r="B54" s="19" t="s">
        <v>32</v>
      </c>
      <c r="C54" s="22"/>
      <c r="D54" s="631">
        <f>1*D$3</f>
        <v>0</v>
      </c>
      <c r="E54" s="616">
        <v>0</v>
      </c>
      <c r="F54" s="616">
        <v>0</v>
      </c>
      <c r="G54" s="21">
        <f t="shared" si="1"/>
        <v>0</v>
      </c>
      <c r="H54" s="631">
        <f>1*H$3</f>
        <v>0</v>
      </c>
      <c r="I54" s="616">
        <v>0</v>
      </c>
      <c r="J54" s="616">
        <v>0</v>
      </c>
      <c r="K54" s="21">
        <f t="shared" si="3"/>
        <v>0</v>
      </c>
    </row>
    <row r="55" spans="1:11" x14ac:dyDescent="0.25">
      <c r="A55" s="1933"/>
      <c r="B55" s="19" t="s">
        <v>33</v>
      </c>
      <c r="C55" s="22"/>
      <c r="D55" s="631">
        <f>1*D$3</f>
        <v>0</v>
      </c>
      <c r="E55" s="616">
        <v>0</v>
      </c>
      <c r="F55" s="616">
        <v>0</v>
      </c>
      <c r="G55" s="21">
        <f t="shared" si="1"/>
        <v>0</v>
      </c>
      <c r="H55" s="631">
        <f>1*H$3</f>
        <v>0</v>
      </c>
      <c r="I55" s="616">
        <v>0</v>
      </c>
      <c r="J55" s="616">
        <v>0</v>
      </c>
      <c r="K55" s="21">
        <f t="shared" si="3"/>
        <v>0</v>
      </c>
    </row>
    <row r="56" spans="1:11" x14ac:dyDescent="0.25">
      <c r="A56" s="1933"/>
      <c r="B56" s="19" t="s">
        <v>34</v>
      </c>
      <c r="C56" s="22"/>
      <c r="D56" s="631">
        <f>1*D$3</f>
        <v>0</v>
      </c>
      <c r="E56" s="616">
        <v>0</v>
      </c>
      <c r="F56" s="616">
        <v>0</v>
      </c>
      <c r="G56" s="21">
        <f t="shared" si="1"/>
        <v>0</v>
      </c>
      <c r="H56" s="631">
        <f>1*H$3</f>
        <v>0</v>
      </c>
      <c r="I56" s="616">
        <v>0</v>
      </c>
      <c r="J56" s="616">
        <v>0</v>
      </c>
      <c r="K56" s="21">
        <f t="shared" si="3"/>
        <v>0</v>
      </c>
    </row>
    <row r="57" spans="1:11" x14ac:dyDescent="0.25">
      <c r="A57" s="1933" t="s">
        <v>19</v>
      </c>
      <c r="B57" s="19" t="s">
        <v>32</v>
      </c>
      <c r="C57" s="22"/>
      <c r="D57" s="625">
        <v>4</v>
      </c>
      <c r="E57" s="616">
        <v>0</v>
      </c>
      <c r="F57" s="616">
        <v>0</v>
      </c>
      <c r="G57" s="21">
        <f t="shared" si="1"/>
        <v>4</v>
      </c>
      <c r="H57" s="625">
        <v>4</v>
      </c>
      <c r="I57" s="616">
        <v>0</v>
      </c>
      <c r="J57" s="616">
        <v>0</v>
      </c>
      <c r="K57" s="21">
        <f t="shared" si="3"/>
        <v>4</v>
      </c>
    </row>
    <row r="58" spans="1:11" x14ac:dyDescent="0.25">
      <c r="A58" s="1933"/>
      <c r="B58" s="19" t="s">
        <v>33</v>
      </c>
      <c r="C58" s="22"/>
      <c r="D58" s="625">
        <v>6</v>
      </c>
      <c r="E58" s="616">
        <v>0</v>
      </c>
      <c r="F58" s="616">
        <v>0</v>
      </c>
      <c r="G58" s="21">
        <f t="shared" si="1"/>
        <v>6</v>
      </c>
      <c r="H58" s="625">
        <v>6</v>
      </c>
      <c r="I58" s="616">
        <v>0</v>
      </c>
      <c r="J58" s="616">
        <v>0</v>
      </c>
      <c r="K58" s="21">
        <f t="shared" si="3"/>
        <v>6</v>
      </c>
    </row>
    <row r="59" spans="1:11" x14ac:dyDescent="0.25">
      <c r="A59" s="1933"/>
      <c r="B59" s="19" t="s">
        <v>34</v>
      </c>
      <c r="C59" s="22"/>
      <c r="D59" s="625">
        <v>8</v>
      </c>
      <c r="E59" s="616">
        <v>0</v>
      </c>
      <c r="F59" s="616">
        <v>0</v>
      </c>
      <c r="G59" s="21">
        <f t="shared" si="1"/>
        <v>8</v>
      </c>
      <c r="H59" s="625">
        <v>8</v>
      </c>
      <c r="I59" s="616">
        <v>0</v>
      </c>
      <c r="J59" s="616">
        <v>0</v>
      </c>
      <c r="K59" s="21">
        <f t="shared" si="3"/>
        <v>8</v>
      </c>
    </row>
    <row r="60" spans="1:11" x14ac:dyDescent="0.25">
      <c r="A60" s="1933" t="s">
        <v>20</v>
      </c>
      <c r="B60" s="19" t="s">
        <v>32</v>
      </c>
      <c r="C60" s="22"/>
      <c r="D60" s="625">
        <v>6</v>
      </c>
      <c r="E60" s="630">
        <f>2*E$3</f>
        <v>0</v>
      </c>
      <c r="F60" s="674">
        <f>1*F$3</f>
        <v>0</v>
      </c>
      <c r="G60" s="21">
        <f t="shared" si="1"/>
        <v>6</v>
      </c>
      <c r="H60" s="625">
        <v>6</v>
      </c>
      <c r="I60" s="630">
        <f>2*I$3</f>
        <v>0</v>
      </c>
      <c r="J60" s="674">
        <f>1*J$3</f>
        <v>0</v>
      </c>
      <c r="K60" s="21">
        <f t="shared" si="3"/>
        <v>6</v>
      </c>
    </row>
    <row r="61" spans="1:11" x14ac:dyDescent="0.25">
      <c r="A61" s="1933"/>
      <c r="B61" s="19" t="s">
        <v>33</v>
      </c>
      <c r="C61" s="22"/>
      <c r="D61" s="625">
        <v>12</v>
      </c>
      <c r="E61" s="630">
        <f>2*E$3</f>
        <v>0</v>
      </c>
      <c r="F61" s="674">
        <f>1*F$3</f>
        <v>0</v>
      </c>
      <c r="G61" s="21">
        <f t="shared" si="1"/>
        <v>12</v>
      </c>
      <c r="H61" s="625">
        <v>12</v>
      </c>
      <c r="I61" s="630">
        <f>2*I$3</f>
        <v>0</v>
      </c>
      <c r="J61" s="674">
        <f>1*J$3</f>
        <v>0</v>
      </c>
      <c r="K61" s="21">
        <f t="shared" si="3"/>
        <v>12</v>
      </c>
    </row>
    <row r="62" spans="1:11" x14ac:dyDescent="0.25">
      <c r="A62" s="1933"/>
      <c r="B62" s="19" t="s">
        <v>34</v>
      </c>
      <c r="C62" s="22"/>
      <c r="D62" s="625">
        <v>24</v>
      </c>
      <c r="E62" s="630">
        <f>2*E$3</f>
        <v>0</v>
      </c>
      <c r="F62" s="674">
        <f>1*F$3</f>
        <v>0</v>
      </c>
      <c r="G62" s="21">
        <f t="shared" si="1"/>
        <v>24</v>
      </c>
      <c r="H62" s="625">
        <v>24</v>
      </c>
      <c r="I62" s="630">
        <f>2*I$3</f>
        <v>0</v>
      </c>
      <c r="J62" s="674">
        <f>1*J$3</f>
        <v>0</v>
      </c>
      <c r="K62" s="21">
        <f t="shared" si="3"/>
        <v>24</v>
      </c>
    </row>
    <row r="63" spans="1:11" x14ac:dyDescent="0.25">
      <c r="A63" s="1933" t="s">
        <v>451</v>
      </c>
      <c r="B63" s="19" t="s">
        <v>32</v>
      </c>
      <c r="C63" s="22"/>
      <c r="D63" s="482">
        <v>0.25</v>
      </c>
      <c r="E63" s="691">
        <v>0</v>
      </c>
      <c r="F63" s="495">
        <v>0</v>
      </c>
      <c r="G63" s="21">
        <f t="shared" si="1"/>
        <v>0.25</v>
      </c>
      <c r="H63" s="482">
        <v>0.25</v>
      </c>
      <c r="I63" s="691">
        <v>0</v>
      </c>
      <c r="J63" s="495">
        <v>0</v>
      </c>
      <c r="K63" s="21">
        <f t="shared" si="3"/>
        <v>0.25</v>
      </c>
    </row>
    <row r="64" spans="1:11" x14ac:dyDescent="0.25">
      <c r="A64" s="1933"/>
      <c r="B64" s="19" t="s">
        <v>33</v>
      </c>
      <c r="C64" s="22"/>
      <c r="D64" s="625">
        <v>0.5</v>
      </c>
      <c r="E64" s="691">
        <v>0</v>
      </c>
      <c r="F64" s="495">
        <v>0</v>
      </c>
      <c r="G64" s="21">
        <f t="shared" si="1"/>
        <v>0.5</v>
      </c>
      <c r="H64" s="625">
        <v>0.5</v>
      </c>
      <c r="I64" s="691">
        <v>0</v>
      </c>
      <c r="J64" s="495">
        <v>0</v>
      </c>
      <c r="K64" s="21">
        <f t="shared" si="3"/>
        <v>0.5</v>
      </c>
    </row>
    <row r="65" spans="1:11" x14ac:dyDescent="0.25">
      <c r="A65" s="1933"/>
      <c r="B65" s="19" t="s">
        <v>34</v>
      </c>
      <c r="C65" s="22"/>
      <c r="D65" s="625">
        <v>1</v>
      </c>
      <c r="E65" s="691">
        <v>0</v>
      </c>
      <c r="F65" s="495">
        <v>0</v>
      </c>
      <c r="G65" s="21">
        <f t="shared" si="1"/>
        <v>1</v>
      </c>
      <c r="H65" s="625">
        <v>1</v>
      </c>
      <c r="I65" s="691">
        <v>0</v>
      </c>
      <c r="J65" s="495">
        <v>0</v>
      </c>
      <c r="K65" s="21">
        <f t="shared" si="3"/>
        <v>1</v>
      </c>
    </row>
    <row r="66" spans="1:11" x14ac:dyDescent="0.25">
      <c r="A66" s="1933" t="s">
        <v>452</v>
      </c>
      <c r="B66" s="19" t="s">
        <v>32</v>
      </c>
      <c r="C66" s="22"/>
      <c r="D66" s="482">
        <v>0.25</v>
      </c>
      <c r="E66" s="691">
        <v>0</v>
      </c>
      <c r="F66" s="495">
        <v>0</v>
      </c>
      <c r="G66" s="21">
        <f t="shared" si="1"/>
        <v>0.25</v>
      </c>
      <c r="H66" s="482">
        <v>0.25</v>
      </c>
      <c r="I66" s="691">
        <v>0</v>
      </c>
      <c r="J66" s="495">
        <v>0</v>
      </c>
      <c r="K66" s="21">
        <f t="shared" si="3"/>
        <v>0.25</v>
      </c>
    </row>
    <row r="67" spans="1:11" x14ac:dyDescent="0.25">
      <c r="A67" s="1933"/>
      <c r="B67" s="19" t="s">
        <v>33</v>
      </c>
      <c r="C67" s="22"/>
      <c r="D67" s="625">
        <v>0.5</v>
      </c>
      <c r="E67" s="691">
        <v>0</v>
      </c>
      <c r="F67" s="495">
        <v>0</v>
      </c>
      <c r="G67" s="21">
        <f t="shared" si="1"/>
        <v>0.5</v>
      </c>
      <c r="H67" s="625">
        <v>0.5</v>
      </c>
      <c r="I67" s="691">
        <v>0</v>
      </c>
      <c r="J67" s="495">
        <v>0</v>
      </c>
      <c r="K67" s="21">
        <f t="shared" si="3"/>
        <v>0.5</v>
      </c>
    </row>
    <row r="68" spans="1:11" x14ac:dyDescent="0.25">
      <c r="A68" s="1933"/>
      <c r="B68" s="19" t="s">
        <v>34</v>
      </c>
      <c r="C68" s="22"/>
      <c r="D68" s="625">
        <v>1</v>
      </c>
      <c r="E68" s="691">
        <v>0</v>
      </c>
      <c r="F68" s="495">
        <v>0</v>
      </c>
      <c r="G68" s="21">
        <f t="shared" si="1"/>
        <v>1</v>
      </c>
      <c r="H68" s="625">
        <v>1</v>
      </c>
      <c r="I68" s="691">
        <v>0</v>
      </c>
      <c r="J68" s="495">
        <v>0</v>
      </c>
      <c r="K68" s="21">
        <f t="shared" si="3"/>
        <v>1</v>
      </c>
    </row>
    <row r="69" spans="1:11" x14ac:dyDescent="0.25">
      <c r="A69" s="1936" t="s">
        <v>533</v>
      </c>
      <c r="B69" s="19" t="s">
        <v>32</v>
      </c>
      <c r="C69" s="22"/>
      <c r="D69" s="625">
        <v>2</v>
      </c>
      <c r="E69" s="623">
        <v>0</v>
      </c>
      <c r="F69" s="623">
        <v>0</v>
      </c>
      <c r="G69" s="21">
        <f t="shared" si="1"/>
        <v>2</v>
      </c>
      <c r="H69" s="625">
        <v>2</v>
      </c>
      <c r="I69" s="623">
        <v>0</v>
      </c>
      <c r="J69" s="623">
        <v>0</v>
      </c>
      <c r="K69" s="21">
        <f t="shared" si="3"/>
        <v>2</v>
      </c>
    </row>
    <row r="70" spans="1:11" x14ac:dyDescent="0.25">
      <c r="A70" s="1936"/>
      <c r="B70" s="19" t="s">
        <v>33</v>
      </c>
      <c r="C70" s="22"/>
      <c r="D70" s="625">
        <v>4</v>
      </c>
      <c r="E70" s="623">
        <v>0</v>
      </c>
      <c r="F70" s="623">
        <v>0</v>
      </c>
      <c r="G70" s="21">
        <f t="shared" si="1"/>
        <v>4</v>
      </c>
      <c r="H70" s="625">
        <v>4</v>
      </c>
      <c r="I70" s="623">
        <v>0</v>
      </c>
      <c r="J70" s="623">
        <v>0</v>
      </c>
      <c r="K70" s="21">
        <f t="shared" si="3"/>
        <v>4</v>
      </c>
    </row>
    <row r="71" spans="1:11" x14ac:dyDescent="0.25">
      <c r="A71" s="1936"/>
      <c r="B71" s="19" t="s">
        <v>34</v>
      </c>
      <c r="C71" s="22"/>
      <c r="D71" s="625">
        <v>6</v>
      </c>
      <c r="E71" s="623">
        <v>0</v>
      </c>
      <c r="F71" s="623">
        <v>0</v>
      </c>
      <c r="G71" s="21">
        <f t="shared" si="1"/>
        <v>6</v>
      </c>
      <c r="H71" s="625">
        <v>6</v>
      </c>
      <c r="I71" s="623">
        <v>0</v>
      </c>
      <c r="J71" s="623">
        <v>0</v>
      </c>
      <c r="K71" s="21">
        <f t="shared" si="3"/>
        <v>6</v>
      </c>
    </row>
    <row r="72" spans="1:11" x14ac:dyDescent="0.25">
      <c r="A72" s="1933" t="s">
        <v>534</v>
      </c>
      <c r="B72" s="19" t="s">
        <v>32</v>
      </c>
      <c r="C72" s="22"/>
      <c r="D72" s="625">
        <v>4</v>
      </c>
      <c r="E72" s="623">
        <v>0</v>
      </c>
      <c r="F72" s="623">
        <v>0</v>
      </c>
      <c r="G72" s="21">
        <f t="shared" si="1"/>
        <v>4</v>
      </c>
      <c r="H72" s="625">
        <v>4</v>
      </c>
      <c r="I72" s="623">
        <v>0</v>
      </c>
      <c r="J72" s="623">
        <v>0</v>
      </c>
      <c r="K72" s="21">
        <f t="shared" si="3"/>
        <v>4</v>
      </c>
    </row>
    <row r="73" spans="1:11" x14ac:dyDescent="0.25">
      <c r="A73" s="1933"/>
      <c r="B73" s="19" t="s">
        <v>33</v>
      </c>
      <c r="C73" s="22"/>
      <c r="D73" s="625">
        <v>6</v>
      </c>
      <c r="E73" s="623">
        <v>0</v>
      </c>
      <c r="F73" s="623">
        <v>0</v>
      </c>
      <c r="G73" s="21">
        <f t="shared" si="1"/>
        <v>6</v>
      </c>
      <c r="H73" s="625">
        <v>6</v>
      </c>
      <c r="I73" s="623">
        <v>0</v>
      </c>
      <c r="J73" s="623">
        <v>0</v>
      </c>
      <c r="K73" s="21">
        <f t="shared" si="3"/>
        <v>6</v>
      </c>
    </row>
    <row r="74" spans="1:11" x14ac:dyDescent="0.25">
      <c r="A74" s="1933"/>
      <c r="B74" s="19" t="s">
        <v>34</v>
      </c>
      <c r="C74" s="22"/>
      <c r="D74" s="625">
        <v>8</v>
      </c>
      <c r="E74" s="623">
        <v>0</v>
      </c>
      <c r="F74" s="623">
        <v>0</v>
      </c>
      <c r="G74" s="21">
        <f t="shared" si="1"/>
        <v>8</v>
      </c>
      <c r="H74" s="625">
        <v>8</v>
      </c>
      <c r="I74" s="623">
        <v>0</v>
      </c>
      <c r="J74" s="623">
        <v>0</v>
      </c>
      <c r="K74" s="21">
        <f t="shared" si="3"/>
        <v>8</v>
      </c>
    </row>
    <row r="75" spans="1:11" x14ac:dyDescent="0.25">
      <c r="A75" s="1933" t="s">
        <v>21</v>
      </c>
      <c r="B75" s="19" t="s">
        <v>32</v>
      </c>
      <c r="C75" s="22"/>
      <c r="D75" s="38" t="s">
        <v>90</v>
      </c>
      <c r="E75" s="38" t="s">
        <v>90</v>
      </c>
      <c r="F75" s="38" t="s">
        <v>90</v>
      </c>
      <c r="G75" s="21">
        <f t="shared" si="1"/>
        <v>0</v>
      </c>
      <c r="H75" s="38" t="s">
        <v>90</v>
      </c>
      <c r="I75" s="38" t="s">
        <v>90</v>
      </c>
      <c r="J75" s="38" t="s">
        <v>90</v>
      </c>
      <c r="K75" s="21">
        <f t="shared" si="3"/>
        <v>0</v>
      </c>
    </row>
    <row r="76" spans="1:11" x14ac:dyDescent="0.25">
      <c r="A76" s="1933"/>
      <c r="B76" s="19" t="s">
        <v>33</v>
      </c>
      <c r="C76" s="22"/>
      <c r="D76" s="38" t="s">
        <v>90</v>
      </c>
      <c r="E76" s="38" t="s">
        <v>90</v>
      </c>
      <c r="F76" s="38" t="s">
        <v>90</v>
      </c>
      <c r="G76" s="21">
        <f t="shared" si="1"/>
        <v>0</v>
      </c>
      <c r="H76" s="38" t="s">
        <v>90</v>
      </c>
      <c r="I76" s="38" t="s">
        <v>90</v>
      </c>
      <c r="J76" s="38" t="s">
        <v>90</v>
      </c>
      <c r="K76" s="21">
        <f t="shared" si="3"/>
        <v>0</v>
      </c>
    </row>
    <row r="77" spans="1:11" x14ac:dyDescent="0.25">
      <c r="A77" s="1933"/>
      <c r="B77" s="13" t="s">
        <v>34</v>
      </c>
      <c r="C77" s="34"/>
      <c r="D77" s="38" t="s">
        <v>90</v>
      </c>
      <c r="E77" s="38" t="s">
        <v>90</v>
      </c>
      <c r="F77" s="38" t="s">
        <v>90</v>
      </c>
      <c r="G77" s="21">
        <f t="shared" si="1"/>
        <v>0</v>
      </c>
      <c r="H77" s="38" t="s">
        <v>90</v>
      </c>
      <c r="I77" s="38" t="s">
        <v>90</v>
      </c>
      <c r="J77" s="38" t="s">
        <v>90</v>
      </c>
      <c r="K77" s="21">
        <f t="shared" si="3"/>
        <v>0</v>
      </c>
    </row>
    <row r="78" spans="1:11" x14ac:dyDescent="0.25">
      <c r="A78" s="1933" t="s">
        <v>181</v>
      </c>
      <c r="B78" s="19" t="s">
        <v>32</v>
      </c>
      <c r="C78" s="198"/>
      <c r="D78" s="648">
        <f t="shared" ref="D78:D86" si="4">0.25*D$3</f>
        <v>0</v>
      </c>
      <c r="E78" s="616">
        <v>0</v>
      </c>
      <c r="F78" s="646">
        <v>0</v>
      </c>
      <c r="G78" s="21">
        <f t="shared" si="1"/>
        <v>0</v>
      </c>
      <c r="H78" s="648">
        <f t="shared" ref="H78:H86" si="5">0.25*H$3</f>
        <v>0</v>
      </c>
      <c r="I78" s="616">
        <v>0</v>
      </c>
      <c r="J78" s="646">
        <v>0</v>
      </c>
      <c r="K78" s="21">
        <f t="shared" si="3"/>
        <v>0</v>
      </c>
    </row>
    <row r="79" spans="1:11" x14ac:dyDescent="0.25">
      <c r="A79" s="1933"/>
      <c r="B79" s="19" t="s">
        <v>33</v>
      </c>
      <c r="C79" s="198"/>
      <c r="D79" s="648">
        <f t="shared" si="4"/>
        <v>0</v>
      </c>
      <c r="E79" s="616">
        <v>0</v>
      </c>
      <c r="F79" s="646">
        <v>0</v>
      </c>
      <c r="G79" s="21">
        <f t="shared" si="1"/>
        <v>0</v>
      </c>
      <c r="H79" s="648">
        <f t="shared" si="5"/>
        <v>0</v>
      </c>
      <c r="I79" s="616">
        <v>0</v>
      </c>
      <c r="J79" s="646">
        <v>0</v>
      </c>
      <c r="K79" s="21">
        <f t="shared" si="3"/>
        <v>0</v>
      </c>
    </row>
    <row r="80" spans="1:11" x14ac:dyDescent="0.25">
      <c r="A80" s="1933"/>
      <c r="B80" s="19" t="s">
        <v>34</v>
      </c>
      <c r="C80" s="198"/>
      <c r="D80" s="648">
        <f t="shared" si="4"/>
        <v>0</v>
      </c>
      <c r="E80" s="616">
        <v>0</v>
      </c>
      <c r="F80" s="646">
        <v>0</v>
      </c>
      <c r="G80" s="21">
        <f t="shared" si="1"/>
        <v>0</v>
      </c>
      <c r="H80" s="648">
        <f t="shared" si="5"/>
        <v>0</v>
      </c>
      <c r="I80" s="616">
        <v>0</v>
      </c>
      <c r="J80" s="646">
        <v>0</v>
      </c>
      <c r="K80" s="21">
        <f t="shared" si="3"/>
        <v>0</v>
      </c>
    </row>
    <row r="81" spans="1:11" x14ac:dyDescent="0.25">
      <c r="A81" s="1933" t="s">
        <v>182</v>
      </c>
      <c r="B81" s="19" t="s">
        <v>32</v>
      </c>
      <c r="C81" s="198"/>
      <c r="D81" s="648">
        <f t="shared" si="4"/>
        <v>0</v>
      </c>
      <c r="E81" s="616">
        <v>0</v>
      </c>
      <c r="F81" s="646">
        <v>0</v>
      </c>
      <c r="G81" s="21">
        <f t="shared" si="1"/>
        <v>0</v>
      </c>
      <c r="H81" s="648">
        <f t="shared" si="5"/>
        <v>0</v>
      </c>
      <c r="I81" s="616">
        <v>0</v>
      </c>
      <c r="J81" s="646">
        <v>0</v>
      </c>
      <c r="K81" s="21">
        <f t="shared" si="3"/>
        <v>0</v>
      </c>
    </row>
    <row r="82" spans="1:11" x14ac:dyDescent="0.25">
      <c r="A82" s="1933"/>
      <c r="B82" s="19" t="s">
        <v>33</v>
      </c>
      <c r="C82" s="198"/>
      <c r="D82" s="648">
        <f t="shared" si="4"/>
        <v>0</v>
      </c>
      <c r="E82" s="616">
        <v>0</v>
      </c>
      <c r="F82" s="646">
        <v>0</v>
      </c>
      <c r="G82" s="21">
        <f t="shared" si="1"/>
        <v>0</v>
      </c>
      <c r="H82" s="648">
        <f t="shared" si="5"/>
        <v>0</v>
      </c>
      <c r="I82" s="616">
        <v>0</v>
      </c>
      <c r="J82" s="646">
        <v>0</v>
      </c>
      <c r="K82" s="21">
        <f t="shared" si="3"/>
        <v>0</v>
      </c>
    </row>
    <row r="83" spans="1:11" x14ac:dyDescent="0.25">
      <c r="A83" s="1933"/>
      <c r="B83" s="19" t="s">
        <v>34</v>
      </c>
      <c r="C83" s="198"/>
      <c r="D83" s="648">
        <f t="shared" si="4"/>
        <v>0</v>
      </c>
      <c r="E83" s="616">
        <v>0</v>
      </c>
      <c r="F83" s="646">
        <v>0</v>
      </c>
      <c r="G83" s="21">
        <f t="shared" si="1"/>
        <v>0</v>
      </c>
      <c r="H83" s="648">
        <f t="shared" si="5"/>
        <v>0</v>
      </c>
      <c r="I83" s="616">
        <v>0</v>
      </c>
      <c r="J83" s="646">
        <v>0</v>
      </c>
      <c r="K83" s="21">
        <f t="shared" si="3"/>
        <v>0</v>
      </c>
    </row>
    <row r="84" spans="1:11" x14ac:dyDescent="0.25">
      <c r="A84" s="1935" t="s">
        <v>183</v>
      </c>
      <c r="B84" s="19" t="s">
        <v>32</v>
      </c>
      <c r="C84" s="198"/>
      <c r="D84" s="648">
        <f t="shared" si="4"/>
        <v>0</v>
      </c>
      <c r="E84" s="616">
        <v>0</v>
      </c>
      <c r="F84" s="646">
        <v>0</v>
      </c>
      <c r="G84" s="21">
        <f t="shared" si="1"/>
        <v>0</v>
      </c>
      <c r="H84" s="648">
        <f t="shared" si="5"/>
        <v>0</v>
      </c>
      <c r="I84" s="616">
        <v>0</v>
      </c>
      <c r="J84" s="646">
        <v>0</v>
      </c>
      <c r="K84" s="21">
        <f t="shared" si="3"/>
        <v>0</v>
      </c>
    </row>
    <row r="85" spans="1:11" x14ac:dyDescent="0.25">
      <c r="A85" s="1935"/>
      <c r="B85" s="19" t="s">
        <v>33</v>
      </c>
      <c r="C85" s="198"/>
      <c r="D85" s="648">
        <f t="shared" si="4"/>
        <v>0</v>
      </c>
      <c r="E85" s="616">
        <v>0</v>
      </c>
      <c r="F85" s="646">
        <v>0</v>
      </c>
      <c r="G85" s="21">
        <f t="shared" si="1"/>
        <v>0</v>
      </c>
      <c r="H85" s="648">
        <f t="shared" si="5"/>
        <v>0</v>
      </c>
      <c r="I85" s="616">
        <v>0</v>
      </c>
      <c r="J85" s="646">
        <v>0</v>
      </c>
      <c r="K85" s="21">
        <f t="shared" si="3"/>
        <v>0</v>
      </c>
    </row>
    <row r="86" spans="1:11" ht="15.75" thickBot="1" x14ac:dyDescent="0.3">
      <c r="A86" s="1935"/>
      <c r="B86" s="13" t="s">
        <v>34</v>
      </c>
      <c r="C86" s="220"/>
      <c r="D86" s="648">
        <f t="shared" si="4"/>
        <v>0</v>
      </c>
      <c r="E86" s="709">
        <v>0</v>
      </c>
      <c r="F86" s="663">
        <v>0</v>
      </c>
      <c r="G86" s="77">
        <f t="shared" si="1"/>
        <v>0</v>
      </c>
      <c r="H86" s="648">
        <f t="shared" si="5"/>
        <v>0</v>
      </c>
      <c r="I86" s="709">
        <v>0</v>
      </c>
      <c r="J86" s="663">
        <v>0</v>
      </c>
      <c r="K86" s="77">
        <f t="shared" si="3"/>
        <v>0</v>
      </c>
    </row>
    <row r="87" spans="1:11" ht="16.5" thickBot="1" x14ac:dyDescent="0.3">
      <c r="A87" s="330" t="s">
        <v>22</v>
      </c>
      <c r="B87" s="329"/>
      <c r="C87" s="329"/>
      <c r="D87" s="329"/>
      <c r="E87" s="329"/>
      <c r="F87" s="327"/>
      <c r="G87" s="327"/>
      <c r="H87" s="329"/>
      <c r="I87" s="329"/>
      <c r="J87" s="327"/>
      <c r="K87" s="396"/>
    </row>
    <row r="88" spans="1:11" x14ac:dyDescent="0.25">
      <c r="A88" s="1932" t="s">
        <v>23</v>
      </c>
      <c r="B88" s="404" t="s">
        <v>32</v>
      </c>
      <c r="C88" s="324"/>
      <c r="D88" s="678">
        <v>0.25</v>
      </c>
      <c r="E88" s="710">
        <v>0</v>
      </c>
      <c r="F88" s="679">
        <v>0</v>
      </c>
      <c r="G88" s="230">
        <f t="shared" si="1"/>
        <v>0.25</v>
      </c>
      <c r="H88" s="678">
        <v>0.25</v>
      </c>
      <c r="I88" s="710">
        <v>0</v>
      </c>
      <c r="J88" s="679">
        <v>0</v>
      </c>
      <c r="K88" s="230">
        <f t="shared" ref="K88:K93" si="6" xml:space="preserve"> SUM(H88:J88) + $C88</f>
        <v>0.25</v>
      </c>
    </row>
    <row r="89" spans="1:11" x14ac:dyDescent="0.25">
      <c r="A89" s="1932"/>
      <c r="B89" s="19" t="s">
        <v>33</v>
      </c>
      <c r="C89" s="22"/>
      <c r="D89" s="625">
        <v>0.25</v>
      </c>
      <c r="E89" s="616">
        <v>0</v>
      </c>
      <c r="F89" s="623">
        <v>0</v>
      </c>
      <c r="G89" s="21">
        <f t="shared" si="1"/>
        <v>0.25</v>
      </c>
      <c r="H89" s="625">
        <v>0.25</v>
      </c>
      <c r="I89" s="616">
        <v>0</v>
      </c>
      <c r="J89" s="623">
        <v>0</v>
      </c>
      <c r="K89" s="21">
        <f t="shared" si="6"/>
        <v>0.25</v>
      </c>
    </row>
    <row r="90" spans="1:11" x14ac:dyDescent="0.25">
      <c r="A90" s="1932"/>
      <c r="B90" s="19" t="s">
        <v>34</v>
      </c>
      <c r="C90" s="22"/>
      <c r="D90" s="625">
        <v>0.25</v>
      </c>
      <c r="E90" s="616">
        <v>0</v>
      </c>
      <c r="F90" s="623">
        <v>0</v>
      </c>
      <c r="G90" s="21">
        <f t="shared" si="1"/>
        <v>0.25</v>
      </c>
      <c r="H90" s="625">
        <v>0.25</v>
      </c>
      <c r="I90" s="616">
        <v>0</v>
      </c>
      <c r="J90" s="623">
        <v>0</v>
      </c>
      <c r="K90" s="21">
        <f t="shared" si="6"/>
        <v>0.25</v>
      </c>
    </row>
    <row r="91" spans="1:11" x14ac:dyDescent="0.25">
      <c r="A91" s="1933" t="s">
        <v>24</v>
      </c>
      <c r="B91" s="19" t="s">
        <v>32</v>
      </c>
      <c r="C91" s="22"/>
      <c r="D91" s="625">
        <v>8</v>
      </c>
      <c r="E91" s="630">
        <f t="shared" ref="E91:E96" si="7">0.5*E$3</f>
        <v>0</v>
      </c>
      <c r="F91" s="623">
        <v>0</v>
      </c>
      <c r="G91" s="21">
        <f t="shared" si="1"/>
        <v>8</v>
      </c>
      <c r="H91" s="625">
        <v>8</v>
      </c>
      <c r="I91" s="630">
        <f t="shared" ref="I91:I96" si="8">0.5*I$3</f>
        <v>0</v>
      </c>
      <c r="J91" s="623">
        <v>0</v>
      </c>
      <c r="K91" s="21">
        <f t="shared" si="6"/>
        <v>8</v>
      </c>
    </row>
    <row r="92" spans="1:11" x14ac:dyDescent="0.25">
      <c r="A92" s="1933"/>
      <c r="B92" s="19" t="s">
        <v>33</v>
      </c>
      <c r="C92" s="22"/>
      <c r="D92" s="625">
        <v>8</v>
      </c>
      <c r="E92" s="630">
        <f t="shared" si="7"/>
        <v>0</v>
      </c>
      <c r="F92" s="623">
        <v>0</v>
      </c>
      <c r="G92" s="21">
        <f t="shared" si="1"/>
        <v>8</v>
      </c>
      <c r="H92" s="625">
        <v>8</v>
      </c>
      <c r="I92" s="630">
        <f t="shared" si="8"/>
        <v>0</v>
      </c>
      <c r="J92" s="623">
        <v>0</v>
      </c>
      <c r="K92" s="21">
        <f t="shared" si="6"/>
        <v>8</v>
      </c>
    </row>
    <row r="93" spans="1:11" x14ac:dyDescent="0.25">
      <c r="A93" s="1933"/>
      <c r="B93" s="19" t="s">
        <v>34</v>
      </c>
      <c r="C93" s="22"/>
      <c r="D93" s="625">
        <v>8</v>
      </c>
      <c r="E93" s="630">
        <f t="shared" si="7"/>
        <v>0</v>
      </c>
      <c r="F93" s="623">
        <v>0</v>
      </c>
      <c r="G93" s="21">
        <f t="shared" si="1"/>
        <v>8</v>
      </c>
      <c r="H93" s="625">
        <v>8</v>
      </c>
      <c r="I93" s="630">
        <f t="shared" si="8"/>
        <v>0</v>
      </c>
      <c r="J93" s="623">
        <v>0</v>
      </c>
      <c r="K93" s="21">
        <f t="shared" si="6"/>
        <v>8</v>
      </c>
    </row>
    <row r="94" spans="1:11" x14ac:dyDescent="0.25">
      <c r="A94" s="1933" t="s">
        <v>25</v>
      </c>
      <c r="B94" s="19" t="s">
        <v>32</v>
      </c>
      <c r="C94" s="22"/>
      <c r="D94" s="625">
        <v>6</v>
      </c>
      <c r="E94" s="630">
        <f t="shared" si="7"/>
        <v>0</v>
      </c>
      <c r="F94" s="623">
        <v>0</v>
      </c>
      <c r="G94" s="21">
        <f t="shared" ref="G94:G105" si="9" xml:space="preserve"> SUM(D94:F94) + $C94</f>
        <v>6</v>
      </c>
      <c r="H94" s="625">
        <v>6</v>
      </c>
      <c r="I94" s="630">
        <f t="shared" si="8"/>
        <v>0</v>
      </c>
      <c r="J94" s="623">
        <v>0</v>
      </c>
      <c r="K94" s="21">
        <f t="shared" ref="K94:K105" si="10" xml:space="preserve"> SUM(H94:J94) + $C94</f>
        <v>6</v>
      </c>
    </row>
    <row r="95" spans="1:11" x14ac:dyDescent="0.25">
      <c r="A95" s="1933"/>
      <c r="B95" s="19" t="s">
        <v>33</v>
      </c>
      <c r="C95" s="22"/>
      <c r="D95" s="625">
        <v>6</v>
      </c>
      <c r="E95" s="630">
        <f t="shared" si="7"/>
        <v>0</v>
      </c>
      <c r="F95" s="623">
        <v>0</v>
      </c>
      <c r="G95" s="21">
        <f t="shared" si="9"/>
        <v>6</v>
      </c>
      <c r="H95" s="625">
        <v>6</v>
      </c>
      <c r="I95" s="630">
        <f t="shared" si="8"/>
        <v>0</v>
      </c>
      <c r="J95" s="623">
        <v>0</v>
      </c>
      <c r="K95" s="21">
        <f t="shared" si="10"/>
        <v>6</v>
      </c>
    </row>
    <row r="96" spans="1:11" x14ac:dyDescent="0.25">
      <c r="A96" s="1933"/>
      <c r="B96" s="19" t="s">
        <v>34</v>
      </c>
      <c r="C96" s="22"/>
      <c r="D96" s="625">
        <v>6</v>
      </c>
      <c r="E96" s="630">
        <f t="shared" si="7"/>
        <v>0</v>
      </c>
      <c r="F96" s="623">
        <v>0</v>
      </c>
      <c r="G96" s="21">
        <f t="shared" si="9"/>
        <v>6</v>
      </c>
      <c r="H96" s="625">
        <v>6</v>
      </c>
      <c r="I96" s="630">
        <f t="shared" si="8"/>
        <v>0</v>
      </c>
      <c r="J96" s="623">
        <v>0</v>
      </c>
      <c r="K96" s="21">
        <f t="shared" si="10"/>
        <v>6</v>
      </c>
    </row>
    <row r="97" spans="1:11" x14ac:dyDescent="0.25">
      <c r="A97" s="1933" t="s">
        <v>26</v>
      </c>
      <c r="B97" s="19" t="s">
        <v>32</v>
      </c>
      <c r="C97" s="22"/>
      <c r="D97" s="631">
        <f>4+(0.5*D$3)</f>
        <v>4</v>
      </c>
      <c r="E97" s="625">
        <v>0</v>
      </c>
      <c r="F97" s="625">
        <v>0</v>
      </c>
      <c r="G97" s="21">
        <f t="shared" si="9"/>
        <v>4</v>
      </c>
      <c r="H97" s="631">
        <f>4+(0.5*H$3)</f>
        <v>4</v>
      </c>
      <c r="I97" s="625">
        <v>0</v>
      </c>
      <c r="J97" s="625">
        <v>0</v>
      </c>
      <c r="K97" s="21">
        <f t="shared" si="10"/>
        <v>4</v>
      </c>
    </row>
    <row r="98" spans="1:11" x14ac:dyDescent="0.25">
      <c r="A98" s="1933"/>
      <c r="B98" s="19" t="s">
        <v>33</v>
      </c>
      <c r="C98" s="22"/>
      <c r="D98" s="631">
        <f>4+(0.5*D$3)</f>
        <v>4</v>
      </c>
      <c r="E98" s="625">
        <v>0</v>
      </c>
      <c r="F98" s="625">
        <v>0</v>
      </c>
      <c r="G98" s="21">
        <f t="shared" si="9"/>
        <v>4</v>
      </c>
      <c r="H98" s="631">
        <f>4+(0.5*H$3)</f>
        <v>4</v>
      </c>
      <c r="I98" s="625">
        <v>0</v>
      </c>
      <c r="J98" s="625">
        <v>0</v>
      </c>
      <c r="K98" s="21">
        <f t="shared" si="10"/>
        <v>4</v>
      </c>
    </row>
    <row r="99" spans="1:11" x14ac:dyDescent="0.25">
      <c r="A99" s="1933"/>
      <c r="B99" s="19" t="s">
        <v>34</v>
      </c>
      <c r="C99" s="22"/>
      <c r="D99" s="631">
        <f>4+(0.5*D$3)</f>
        <v>4</v>
      </c>
      <c r="E99" s="625">
        <v>0</v>
      </c>
      <c r="F99" s="625">
        <v>0</v>
      </c>
      <c r="G99" s="21">
        <f t="shared" si="9"/>
        <v>4</v>
      </c>
      <c r="H99" s="631">
        <f>4+(0.5*H$3)</f>
        <v>4</v>
      </c>
      <c r="I99" s="625">
        <v>0</v>
      </c>
      <c r="J99" s="625">
        <v>0</v>
      </c>
      <c r="K99" s="21">
        <f t="shared" si="10"/>
        <v>4</v>
      </c>
    </row>
    <row r="100" spans="1:11" x14ac:dyDescent="0.25">
      <c r="A100" s="1933" t="s">
        <v>27</v>
      </c>
      <c r="B100" s="19" t="s">
        <v>32</v>
      </c>
      <c r="C100" s="22"/>
      <c r="D100" s="631">
        <f>2+(0.5*D$3)</f>
        <v>2</v>
      </c>
      <c r="E100" s="625">
        <v>0</v>
      </c>
      <c r="F100" s="625">
        <v>0</v>
      </c>
      <c r="G100" s="21">
        <f t="shared" si="9"/>
        <v>2</v>
      </c>
      <c r="H100" s="631">
        <f>2+(0.5*H$3)</f>
        <v>2</v>
      </c>
      <c r="I100" s="625">
        <v>0</v>
      </c>
      <c r="J100" s="625">
        <v>0</v>
      </c>
      <c r="K100" s="21">
        <f t="shared" si="10"/>
        <v>2</v>
      </c>
    </row>
    <row r="101" spans="1:11" x14ac:dyDescent="0.25">
      <c r="A101" s="1933"/>
      <c r="B101" s="19" t="s">
        <v>33</v>
      </c>
      <c r="C101" s="22"/>
      <c r="D101" s="631">
        <f>3+(0.5*D$3)</f>
        <v>3</v>
      </c>
      <c r="E101" s="625">
        <v>0</v>
      </c>
      <c r="F101" s="625">
        <v>0</v>
      </c>
      <c r="G101" s="21">
        <f t="shared" si="9"/>
        <v>3</v>
      </c>
      <c r="H101" s="631">
        <f>3+(0.5*H$3)</f>
        <v>3</v>
      </c>
      <c r="I101" s="625">
        <v>0</v>
      </c>
      <c r="J101" s="625">
        <v>0</v>
      </c>
      <c r="K101" s="21">
        <f t="shared" si="10"/>
        <v>3</v>
      </c>
    </row>
    <row r="102" spans="1:11" x14ac:dyDescent="0.25">
      <c r="A102" s="1933"/>
      <c r="B102" s="19" t="s">
        <v>34</v>
      </c>
      <c r="C102" s="22"/>
      <c r="D102" s="631">
        <f>5+(0.5*D$3)</f>
        <v>5</v>
      </c>
      <c r="E102" s="625">
        <v>0</v>
      </c>
      <c r="F102" s="625">
        <v>0</v>
      </c>
      <c r="G102" s="21">
        <f t="shared" si="9"/>
        <v>5</v>
      </c>
      <c r="H102" s="631">
        <f>5+(0.5*H$3)</f>
        <v>5</v>
      </c>
      <c r="I102" s="625">
        <v>0</v>
      </c>
      <c r="J102" s="625">
        <v>0</v>
      </c>
      <c r="K102" s="21">
        <f t="shared" si="10"/>
        <v>5</v>
      </c>
    </row>
    <row r="103" spans="1:11" x14ac:dyDescent="0.25">
      <c r="A103" s="1932" t="s">
        <v>28</v>
      </c>
      <c r="B103" s="19" t="s">
        <v>32</v>
      </c>
      <c r="C103" s="22"/>
      <c r="D103" s="625">
        <v>2</v>
      </c>
      <c r="E103" s="628">
        <f>0.5*E$3</f>
        <v>0</v>
      </c>
      <c r="F103" s="625">
        <v>0</v>
      </c>
      <c r="G103" s="21">
        <f t="shared" si="9"/>
        <v>2</v>
      </c>
      <c r="H103" s="625">
        <v>2</v>
      </c>
      <c r="I103" s="628">
        <f>0.5*I$3</f>
        <v>0</v>
      </c>
      <c r="J103" s="625">
        <v>0</v>
      </c>
      <c r="K103" s="21">
        <f t="shared" si="10"/>
        <v>2</v>
      </c>
    </row>
    <row r="104" spans="1:11" x14ac:dyDescent="0.25">
      <c r="A104" s="1932"/>
      <c r="B104" s="19" t="s">
        <v>33</v>
      </c>
      <c r="C104" s="22"/>
      <c r="D104" s="625">
        <v>3</v>
      </c>
      <c r="E104" s="628">
        <f>0.5*E$3</f>
        <v>0</v>
      </c>
      <c r="F104" s="625">
        <v>0</v>
      </c>
      <c r="G104" s="21">
        <f t="shared" si="9"/>
        <v>3</v>
      </c>
      <c r="H104" s="625">
        <v>3</v>
      </c>
      <c r="I104" s="628">
        <f>0.5*I$3</f>
        <v>0</v>
      </c>
      <c r="J104" s="625">
        <v>0</v>
      </c>
      <c r="K104" s="21">
        <f t="shared" si="10"/>
        <v>3</v>
      </c>
    </row>
    <row r="105" spans="1:11" ht="15.75" thickBot="1" x14ac:dyDescent="0.3">
      <c r="A105" s="1934"/>
      <c r="B105" s="20" t="s">
        <v>34</v>
      </c>
      <c r="C105" s="23"/>
      <c r="D105" s="649">
        <v>4</v>
      </c>
      <c r="E105" s="657">
        <f>0.5*E$3</f>
        <v>0</v>
      </c>
      <c r="F105" s="408">
        <v>0</v>
      </c>
      <c r="G105" s="24">
        <f t="shared" si="9"/>
        <v>4</v>
      </c>
      <c r="H105" s="649">
        <v>4</v>
      </c>
      <c r="I105" s="657">
        <f>0.5*I$3</f>
        <v>0</v>
      </c>
      <c r="J105" s="408">
        <v>0</v>
      </c>
      <c r="K105" s="24">
        <f t="shared" si="10"/>
        <v>4</v>
      </c>
    </row>
    <row r="107" spans="1:11" x14ac:dyDescent="0.25">
      <c r="A107" s="125" t="s">
        <v>89</v>
      </c>
    </row>
  </sheetData>
  <mergeCells count="37">
    <mergeCell ref="A100:A102"/>
    <mergeCell ref="A103:A105"/>
    <mergeCell ref="A81:A83"/>
    <mergeCell ref="A84:A86"/>
    <mergeCell ref="A88:A90"/>
    <mergeCell ref="A91:A93"/>
    <mergeCell ref="A94:A96"/>
    <mergeCell ref="A97:A99"/>
    <mergeCell ref="A78:A80"/>
    <mergeCell ref="A31:A33"/>
    <mergeCell ref="A34:A36"/>
    <mergeCell ref="A38:A40"/>
    <mergeCell ref="A42:A44"/>
    <mergeCell ref="A45:A47"/>
    <mergeCell ref="A48:A50"/>
    <mergeCell ref="A51:A53"/>
    <mergeCell ref="A54:A56"/>
    <mergeCell ref="A57:A59"/>
    <mergeCell ref="A60:A62"/>
    <mergeCell ref="A75:A77"/>
    <mergeCell ref="A63:A65"/>
    <mergeCell ref="A66:A68"/>
    <mergeCell ref="A69:A71"/>
    <mergeCell ref="A72:A74"/>
    <mergeCell ref="A28:A30"/>
    <mergeCell ref="D1:G1"/>
    <mergeCell ref="H1:K1"/>
    <mergeCell ref="C2:C3"/>
    <mergeCell ref="G2:G3"/>
    <mergeCell ref="K2:K3"/>
    <mergeCell ref="A8:A10"/>
    <mergeCell ref="A12:A14"/>
    <mergeCell ref="A16:A18"/>
    <mergeCell ref="A19:A21"/>
    <mergeCell ref="A22:A24"/>
    <mergeCell ref="A25:A27"/>
    <mergeCell ref="A5:A7"/>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Лист23"/>
  <dimension ref="A1:K202"/>
  <sheetViews>
    <sheetView zoomScale="55" zoomScaleNormal="55" workbookViewId="0">
      <selection activeCell="F2" sqref="F2"/>
    </sheetView>
  </sheetViews>
  <sheetFormatPr defaultRowHeight="15" x14ac:dyDescent="0.25"/>
  <cols>
    <col min="1" max="1" width="53.42578125" bestFit="1" customWidth="1"/>
    <col min="2" max="2" width="23.5703125" bestFit="1" customWidth="1"/>
    <col min="4" max="4" width="46.28515625" customWidth="1"/>
    <col min="5" max="5" width="50.5703125" bestFit="1" customWidth="1"/>
    <col min="6" max="6" width="36.7109375" bestFit="1" customWidth="1"/>
    <col min="8" max="8" width="58" bestFit="1" customWidth="1"/>
    <col min="9" max="9" width="31.85546875" bestFit="1" customWidth="1"/>
    <col min="10" max="10" width="35.7109375" customWidth="1"/>
  </cols>
  <sheetData>
    <row r="1" spans="1:11" ht="16.5" thickBot="1" x14ac:dyDescent="0.3">
      <c r="A1" s="465" t="s">
        <v>91</v>
      </c>
      <c r="B1" s="35"/>
      <c r="C1" s="43"/>
      <c r="D1" s="1939" t="str">
        <f>'Служебный АСУТП'!AD2</f>
        <v>MaxPatrol XDR/EDR</v>
      </c>
      <c r="E1" s="1940"/>
      <c r="F1" s="1940"/>
      <c r="G1" s="1941"/>
      <c r="H1" s="1939" t="str">
        <f>'Служебный АСУТП'!AD3</f>
        <v>Kaspersky EDR</v>
      </c>
      <c r="I1" s="1940"/>
      <c r="J1" s="1940"/>
      <c r="K1" s="1941"/>
    </row>
    <row r="2" spans="1:11" ht="15.75" x14ac:dyDescent="0.25">
      <c r="B2" s="41" t="s">
        <v>37</v>
      </c>
      <c r="C2" s="1945" t="s">
        <v>35</v>
      </c>
      <c r="D2" s="835" t="s">
        <v>1817</v>
      </c>
      <c r="E2" s="717" t="s">
        <v>1818</v>
      </c>
      <c r="F2" s="191" t="s">
        <v>568</v>
      </c>
      <c r="G2" s="1942" t="s">
        <v>38</v>
      </c>
      <c r="H2" s="835" t="s">
        <v>1817</v>
      </c>
      <c r="I2" s="717" t="s">
        <v>1818</v>
      </c>
      <c r="J2" s="191" t="s">
        <v>568</v>
      </c>
      <c r="K2" s="1942" t="s">
        <v>38</v>
      </c>
    </row>
    <row r="3" spans="1:11"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row>
    <row r="4" spans="1:11" ht="16.5" thickBot="1" x14ac:dyDescent="0.3">
      <c r="A4" s="326" t="s">
        <v>448</v>
      </c>
      <c r="B4" s="327"/>
      <c r="C4" s="327"/>
      <c r="D4" s="327"/>
      <c r="E4" s="327"/>
      <c r="F4" s="327"/>
      <c r="G4" s="327"/>
      <c r="H4" s="327"/>
      <c r="I4" s="327"/>
      <c r="J4" s="327"/>
      <c r="K4" s="396"/>
    </row>
    <row r="5" spans="1:11" x14ac:dyDescent="0.25">
      <c r="A5" s="1932" t="s">
        <v>0</v>
      </c>
      <c r="B5" s="1723" t="s">
        <v>32</v>
      </c>
      <c r="C5" s="1751"/>
      <c r="D5" s="1726">
        <v>1</v>
      </c>
      <c r="E5" s="1726">
        <f t="shared" ref="E5:F8" si="0">0.25*E$3</f>
        <v>0</v>
      </c>
      <c r="F5" s="1725">
        <f t="shared" si="0"/>
        <v>0</v>
      </c>
      <c r="G5" s="1727">
        <f xml:space="preserve"> SUM(D5:F5) + $C5</f>
        <v>1</v>
      </c>
      <c r="H5" s="1726">
        <v>1</v>
      </c>
      <c r="I5" s="1726">
        <f t="shared" ref="I5:J8" si="1">0.25*I$3</f>
        <v>0</v>
      </c>
      <c r="J5" s="1725">
        <f t="shared" si="1"/>
        <v>0</v>
      </c>
      <c r="K5" s="1727">
        <f t="shared" ref="K5:K10" si="2" xml:space="preserve"> SUM(H5:J5) + $C5</f>
        <v>1</v>
      </c>
    </row>
    <row r="6" spans="1:11" x14ac:dyDescent="0.25">
      <c r="A6" s="1932"/>
      <c r="B6" s="19" t="s">
        <v>33</v>
      </c>
      <c r="C6" s="817"/>
      <c r="D6" s="446">
        <v>0.5</v>
      </c>
      <c r="E6" s="814">
        <v>0</v>
      </c>
      <c r="F6" s="630">
        <f>IF(F$3=1,2,0)</f>
        <v>0</v>
      </c>
      <c r="G6" s="21">
        <f xml:space="preserve"> SUM(D6:F6) + $C6</f>
        <v>0.5</v>
      </c>
      <c r="H6" s="446">
        <v>0.5</v>
      </c>
      <c r="I6" s="814">
        <v>0</v>
      </c>
      <c r="J6" s="630">
        <f>IF(J$3=1,2,0)</f>
        <v>0</v>
      </c>
      <c r="K6" s="21">
        <f t="shared" si="2"/>
        <v>0.5</v>
      </c>
    </row>
    <row r="7" spans="1:11" x14ac:dyDescent="0.25">
      <c r="A7" s="1973"/>
      <c r="B7" s="19" t="s">
        <v>34</v>
      </c>
      <c r="C7" s="817"/>
      <c r="D7" s="446">
        <v>1.5</v>
      </c>
      <c r="E7" s="814">
        <v>0</v>
      </c>
      <c r="F7" s="630">
        <f>IF(F$3=1,4,0)</f>
        <v>0</v>
      </c>
      <c r="G7" s="21">
        <f xml:space="preserve"> SUM(D7:F7) + $C7</f>
        <v>1.5</v>
      </c>
      <c r="H7" s="446">
        <v>1.5</v>
      </c>
      <c r="I7" s="814">
        <v>0</v>
      </c>
      <c r="J7" s="630">
        <f>IF(J$3=1,4,0)</f>
        <v>0</v>
      </c>
      <c r="K7" s="21">
        <f t="shared" si="2"/>
        <v>1.5</v>
      </c>
    </row>
    <row r="8" spans="1:11" x14ac:dyDescent="0.25">
      <c r="A8" s="1932" t="s">
        <v>449</v>
      </c>
      <c r="B8" s="1723" t="s">
        <v>32</v>
      </c>
      <c r="C8" s="1724"/>
      <c r="D8" s="1726">
        <v>1</v>
      </c>
      <c r="E8" s="1726">
        <f t="shared" si="0"/>
        <v>0</v>
      </c>
      <c r="F8" s="1725">
        <f t="shared" si="0"/>
        <v>0</v>
      </c>
      <c r="G8" s="1730">
        <f xml:space="preserve"> SUM(D8:F8) + $C8</f>
        <v>1</v>
      </c>
      <c r="H8" s="1726">
        <v>1</v>
      </c>
      <c r="I8" s="1726">
        <f t="shared" si="1"/>
        <v>0</v>
      </c>
      <c r="J8" s="1725">
        <f t="shared" si="1"/>
        <v>0</v>
      </c>
      <c r="K8" s="1730">
        <f t="shared" si="2"/>
        <v>1</v>
      </c>
    </row>
    <row r="9" spans="1:11" x14ac:dyDescent="0.25">
      <c r="A9" s="1932"/>
      <c r="B9" s="19" t="s">
        <v>33</v>
      </c>
      <c r="C9" s="817"/>
      <c r="D9" s="446">
        <v>0.5</v>
      </c>
      <c r="E9" s="814">
        <v>0</v>
      </c>
      <c r="F9" s="630">
        <f>IF(F$3=1,3,0)</f>
        <v>0</v>
      </c>
      <c r="G9" s="21">
        <f t="shared" ref="G9:G93" si="3" xml:space="preserve"> SUM(D9:F9) + $C9</f>
        <v>0.5</v>
      </c>
      <c r="H9" s="446">
        <v>0.5</v>
      </c>
      <c r="I9" s="814">
        <v>0</v>
      </c>
      <c r="J9" s="630">
        <f>IF(J$3=1,3,0)</f>
        <v>0</v>
      </c>
      <c r="K9" s="21">
        <f t="shared" si="2"/>
        <v>0.5</v>
      </c>
    </row>
    <row r="10" spans="1:11" ht="15.75" thickBot="1" x14ac:dyDescent="0.3">
      <c r="A10" s="1932"/>
      <c r="B10" s="13" t="s">
        <v>34</v>
      </c>
      <c r="C10" s="820"/>
      <c r="D10" s="446">
        <v>1.5</v>
      </c>
      <c r="E10" s="814">
        <v>0</v>
      </c>
      <c r="F10" s="630">
        <f>IF(F$3=1,6,0)</f>
        <v>0</v>
      </c>
      <c r="G10" s="77">
        <f t="shared" si="3"/>
        <v>1.5</v>
      </c>
      <c r="H10" s="446">
        <v>1.5</v>
      </c>
      <c r="I10" s="814">
        <v>0</v>
      </c>
      <c r="J10" s="630">
        <f>IF(J$3=1,6,0)</f>
        <v>0</v>
      </c>
      <c r="K10" s="77">
        <f t="shared" si="2"/>
        <v>1.5</v>
      </c>
    </row>
    <row r="11" spans="1:11" ht="16.5" thickBot="1" x14ac:dyDescent="0.3">
      <c r="A11" s="326" t="s">
        <v>1</v>
      </c>
      <c r="B11" s="327"/>
      <c r="C11" s="1752"/>
      <c r="D11" s="327"/>
      <c r="E11" s="327"/>
      <c r="F11" s="327"/>
      <c r="G11" s="327"/>
      <c r="H11" s="327"/>
      <c r="I11" s="327"/>
      <c r="J11" s="327"/>
      <c r="K11" s="396"/>
    </row>
    <row r="12" spans="1:11" x14ac:dyDescent="0.25">
      <c r="A12" s="1932" t="s">
        <v>2</v>
      </c>
      <c r="B12" s="1723" t="s">
        <v>32</v>
      </c>
      <c r="C12" s="1724"/>
      <c r="D12" s="1726">
        <v>4</v>
      </c>
      <c r="E12" s="1725">
        <f>2*E$3</f>
        <v>0</v>
      </c>
      <c r="F12" s="1725">
        <f>0.5*F$3</f>
        <v>0</v>
      </c>
      <c r="G12" s="1727">
        <f t="shared" si="3"/>
        <v>4</v>
      </c>
      <c r="H12" s="1726">
        <v>4</v>
      </c>
      <c r="I12" s="1725">
        <f>2*I$3</f>
        <v>0</v>
      </c>
      <c r="J12" s="1725">
        <f>0.5*J$3</f>
        <v>0</v>
      </c>
      <c r="K12" s="1727">
        <f xml:space="preserve"> SUM(H12:J12) + $C12</f>
        <v>4</v>
      </c>
    </row>
    <row r="13" spans="1:11" x14ac:dyDescent="0.25">
      <c r="A13" s="1932"/>
      <c r="B13" s="19" t="s">
        <v>33</v>
      </c>
      <c r="C13" s="817"/>
      <c r="D13" s="446">
        <v>1</v>
      </c>
      <c r="E13" s="478">
        <f>IF(E$3&gt;2,0.5*E$3,1)</f>
        <v>1</v>
      </c>
      <c r="F13" s="630">
        <f>IF(F$3=1,10,0)</f>
        <v>0</v>
      </c>
      <c r="G13" s="21">
        <f t="shared" si="3"/>
        <v>2</v>
      </c>
      <c r="H13" s="446">
        <v>1</v>
      </c>
      <c r="I13" s="478">
        <f>IF(I$3&gt;2,0.5*I$3,1)</f>
        <v>1</v>
      </c>
      <c r="J13" s="630">
        <f>IF(J$3=1,10,0)</f>
        <v>0</v>
      </c>
      <c r="K13" s="21">
        <f xml:space="preserve"> SUM(H13:J13) + $C13</f>
        <v>2</v>
      </c>
    </row>
    <row r="14" spans="1:11" ht="15.75" thickBot="1" x14ac:dyDescent="0.3">
      <c r="A14" s="1932"/>
      <c r="B14" s="13" t="s">
        <v>34</v>
      </c>
      <c r="C14" s="820"/>
      <c r="D14" s="1749">
        <v>2</v>
      </c>
      <c r="E14" s="478">
        <f>IF(E$3&gt;2,0.5*E$3,1)</f>
        <v>1</v>
      </c>
      <c r="F14" s="630">
        <f>IF(F$3=1,18,0)</f>
        <v>0</v>
      </c>
      <c r="G14" s="77">
        <f t="shared" si="3"/>
        <v>3</v>
      </c>
      <c r="H14" s="1749">
        <v>2</v>
      </c>
      <c r="I14" s="478">
        <f>IF(I$3&gt;2,0.5*I$3,1)</f>
        <v>1</v>
      </c>
      <c r="J14" s="630">
        <f>IF(J$3=1,18,0)</f>
        <v>0</v>
      </c>
      <c r="K14" s="77">
        <f xml:space="preserve"> SUM(H14:J14) + $C14</f>
        <v>3</v>
      </c>
    </row>
    <row r="15" spans="1:11" ht="16.5" thickBot="1" x14ac:dyDescent="0.3">
      <c r="A15" s="330" t="s">
        <v>3</v>
      </c>
      <c r="B15" s="329"/>
      <c r="C15" s="1753"/>
      <c r="D15" s="329"/>
      <c r="E15" s="329"/>
      <c r="F15" s="329"/>
      <c r="G15" s="327"/>
      <c r="H15" s="329"/>
      <c r="I15" s="329"/>
      <c r="J15" s="329"/>
      <c r="K15" s="396"/>
    </row>
    <row r="16" spans="1:11" x14ac:dyDescent="0.25">
      <c r="A16" s="1944" t="s">
        <v>4</v>
      </c>
      <c r="B16" s="1731" t="s">
        <v>32</v>
      </c>
      <c r="C16" s="1724"/>
      <c r="D16" s="1732">
        <v>0.25</v>
      </c>
      <c r="E16" s="1733">
        <v>0</v>
      </c>
      <c r="F16" s="1734">
        <v>0</v>
      </c>
      <c r="G16" s="1727">
        <f t="shared" si="3"/>
        <v>0.25</v>
      </c>
      <c r="H16" s="1732">
        <v>0.25</v>
      </c>
      <c r="I16" s="1733">
        <v>0</v>
      </c>
      <c r="J16" s="1734">
        <v>0</v>
      </c>
      <c r="K16" s="1727">
        <f t="shared" ref="K16:K36" si="4" xml:space="preserve"> SUM(H16:J16) + $C16</f>
        <v>0.25</v>
      </c>
    </row>
    <row r="17" spans="1:11" x14ac:dyDescent="0.25">
      <c r="A17" s="1937"/>
      <c r="B17" s="18" t="s">
        <v>33</v>
      </c>
      <c r="C17" s="817"/>
      <c r="D17" s="482" t="s">
        <v>1768</v>
      </c>
      <c r="E17" s="482" t="s">
        <v>1768</v>
      </c>
      <c r="F17" s="482" t="s">
        <v>1768</v>
      </c>
      <c r="G17" s="21">
        <f t="shared" si="3"/>
        <v>0</v>
      </c>
      <c r="H17" s="482" t="s">
        <v>1768</v>
      </c>
      <c r="I17" s="482" t="s">
        <v>1768</v>
      </c>
      <c r="J17" s="482" t="s">
        <v>1768</v>
      </c>
      <c r="K17" s="21">
        <f t="shared" si="4"/>
        <v>0</v>
      </c>
    </row>
    <row r="18" spans="1:11" x14ac:dyDescent="0.25">
      <c r="A18" s="1937"/>
      <c r="B18" s="18" t="s">
        <v>34</v>
      </c>
      <c r="C18" s="817"/>
      <c r="D18" s="482" t="s">
        <v>1768</v>
      </c>
      <c r="E18" s="482" t="s">
        <v>1768</v>
      </c>
      <c r="F18" s="482" t="s">
        <v>1768</v>
      </c>
      <c r="G18" s="21">
        <f t="shared" si="3"/>
        <v>0</v>
      </c>
      <c r="H18" s="482" t="s">
        <v>1768</v>
      </c>
      <c r="I18" s="482" t="s">
        <v>1768</v>
      </c>
      <c r="J18" s="482" t="s">
        <v>1768</v>
      </c>
      <c r="K18" s="21">
        <f t="shared" si="4"/>
        <v>0</v>
      </c>
    </row>
    <row r="19" spans="1:11" x14ac:dyDescent="0.25">
      <c r="A19" s="1937" t="s">
        <v>5</v>
      </c>
      <c r="B19" s="1728" t="s">
        <v>32</v>
      </c>
      <c r="C19" s="1729"/>
      <c r="D19" s="1735">
        <f>0.5*D$3</f>
        <v>0</v>
      </c>
      <c r="E19" s="1736">
        <v>0</v>
      </c>
      <c r="F19" s="1725">
        <f t="shared" ref="F19:F22" si="5">0.5*F$3</f>
        <v>0</v>
      </c>
      <c r="G19" s="1730">
        <f t="shared" si="3"/>
        <v>0</v>
      </c>
      <c r="H19" s="1735">
        <f>0.5*H$3</f>
        <v>0</v>
      </c>
      <c r="I19" s="1736">
        <v>0</v>
      </c>
      <c r="J19" s="1725">
        <f t="shared" ref="J19:J22" si="6">0.5*J$3</f>
        <v>0</v>
      </c>
      <c r="K19" s="1730">
        <f t="shared" si="4"/>
        <v>0</v>
      </c>
    </row>
    <row r="20" spans="1:11" x14ac:dyDescent="0.25">
      <c r="A20" s="1937"/>
      <c r="B20" s="19" t="s">
        <v>33</v>
      </c>
      <c r="C20" s="817"/>
      <c r="D20" s="493">
        <f>IF(D$3&gt;1,0.25*D$3,0.25)</f>
        <v>0.25</v>
      </c>
      <c r="E20" s="493">
        <f>IF(E$3&gt;1,0.75*E$3,0.75)</f>
        <v>0.75</v>
      </c>
      <c r="F20" s="814">
        <v>0</v>
      </c>
      <c r="G20" s="21">
        <f t="shared" si="3"/>
        <v>1</v>
      </c>
      <c r="H20" s="493">
        <f>IF(H$3&gt;1,0.25*H$3,0.25)</f>
        <v>0.25</v>
      </c>
      <c r="I20" s="493">
        <f>IF(I$3&gt;1,0.75*I$3,0.75)</f>
        <v>0.75</v>
      </c>
      <c r="J20" s="814">
        <v>0</v>
      </c>
      <c r="K20" s="21">
        <f t="shared" si="4"/>
        <v>1</v>
      </c>
    </row>
    <row r="21" spans="1:11" x14ac:dyDescent="0.25">
      <c r="A21" s="1937"/>
      <c r="B21" s="19" t="s">
        <v>34</v>
      </c>
      <c r="C21" s="817"/>
      <c r="D21" s="493">
        <f>IF(D$3&gt;1,0.25*D$3,0.25)</f>
        <v>0.25</v>
      </c>
      <c r="E21" s="493">
        <f>IF(E$3&gt;1,0.75*E$3,0.75)</f>
        <v>0.75</v>
      </c>
      <c r="F21" s="814">
        <v>0</v>
      </c>
      <c r="G21" s="21">
        <f t="shared" si="3"/>
        <v>1</v>
      </c>
      <c r="H21" s="493">
        <f>IF(H$3&gt;1,0.25*H$3,0.25)</f>
        <v>0.25</v>
      </c>
      <c r="I21" s="493">
        <f>IF(I$3&gt;1,0.75*I$3,0.75)</f>
        <v>0.75</v>
      </c>
      <c r="J21" s="814">
        <v>0</v>
      </c>
      <c r="K21" s="21">
        <f t="shared" si="4"/>
        <v>1</v>
      </c>
    </row>
    <row r="22" spans="1:11" x14ac:dyDescent="0.25">
      <c r="A22" s="1937" t="s">
        <v>6</v>
      </c>
      <c r="B22" s="1728" t="s">
        <v>32</v>
      </c>
      <c r="C22" s="1729"/>
      <c r="D22" s="1746">
        <v>8</v>
      </c>
      <c r="E22" s="1737">
        <f>0.5*E$3</f>
        <v>0</v>
      </c>
      <c r="F22" s="1737">
        <f t="shared" si="5"/>
        <v>0</v>
      </c>
      <c r="G22" s="1730">
        <f t="shared" si="3"/>
        <v>8</v>
      </c>
      <c r="H22" s="1746">
        <v>8</v>
      </c>
      <c r="I22" s="1737">
        <f>0.5*I$3</f>
        <v>0</v>
      </c>
      <c r="J22" s="1737">
        <f t="shared" si="6"/>
        <v>0</v>
      </c>
      <c r="K22" s="1730">
        <f t="shared" si="4"/>
        <v>8</v>
      </c>
    </row>
    <row r="23" spans="1:11" x14ac:dyDescent="0.25">
      <c r="A23" s="1937"/>
      <c r="B23" s="19" t="s">
        <v>33</v>
      </c>
      <c r="C23" s="817"/>
      <c r="D23" s="446">
        <v>1</v>
      </c>
      <c r="E23" s="478">
        <f>IF(E$3&gt;2,0.5*E$3,1)</f>
        <v>1</v>
      </c>
      <c r="F23" s="630">
        <f>IF(F$3=1,10,0)</f>
        <v>0</v>
      </c>
      <c r="G23" s="21">
        <f t="shared" si="3"/>
        <v>2</v>
      </c>
      <c r="H23" s="446">
        <v>1</v>
      </c>
      <c r="I23" s="478">
        <f>IF(I$3&gt;2,0.5*I$3,1)</f>
        <v>1</v>
      </c>
      <c r="J23" s="630">
        <f>IF(J$3=1,10,0)</f>
        <v>0</v>
      </c>
      <c r="K23" s="21">
        <f t="shared" si="4"/>
        <v>2</v>
      </c>
    </row>
    <row r="24" spans="1:11" x14ac:dyDescent="0.25">
      <c r="A24" s="1937"/>
      <c r="B24" s="19" t="s">
        <v>34</v>
      </c>
      <c r="C24" s="817"/>
      <c r="D24" s="1749">
        <v>2</v>
      </c>
      <c r="E24" s="478">
        <f>IF(E$3&gt;2,0.5*E$3,1)</f>
        <v>1</v>
      </c>
      <c r="F24" s="630">
        <f>IF(F$3=1,18,0)</f>
        <v>0</v>
      </c>
      <c r="G24" s="21">
        <f t="shared" si="3"/>
        <v>3</v>
      </c>
      <c r="H24" s="1749">
        <v>2</v>
      </c>
      <c r="I24" s="478">
        <f>IF(I$3&gt;2,0.5*I$3,1)</f>
        <v>1</v>
      </c>
      <c r="J24" s="630">
        <f>IF(J$3=1,18,0)</f>
        <v>0</v>
      </c>
      <c r="K24" s="21">
        <f t="shared" si="4"/>
        <v>3</v>
      </c>
    </row>
    <row r="25" spans="1:11" x14ac:dyDescent="0.25">
      <c r="A25" s="1937" t="s">
        <v>7</v>
      </c>
      <c r="B25" s="1728" t="s">
        <v>32</v>
      </c>
      <c r="C25" s="1729"/>
      <c r="D25" s="1735">
        <v>2</v>
      </c>
      <c r="E25" s="1736">
        <v>0</v>
      </c>
      <c r="F25" s="1737">
        <v>0</v>
      </c>
      <c r="G25" s="1730">
        <f t="shared" si="3"/>
        <v>2</v>
      </c>
      <c r="H25" s="1735">
        <v>2</v>
      </c>
      <c r="I25" s="1736">
        <v>0</v>
      </c>
      <c r="J25" s="1737">
        <v>0</v>
      </c>
      <c r="K25" s="1730">
        <f t="shared" si="4"/>
        <v>2</v>
      </c>
    </row>
    <row r="26" spans="1:11" x14ac:dyDescent="0.25">
      <c r="A26" s="1937"/>
      <c r="B26" s="19" t="s">
        <v>33</v>
      </c>
      <c r="C26" s="817"/>
      <c r="D26" s="821">
        <v>1</v>
      </c>
      <c r="E26" s="814">
        <v>0</v>
      </c>
      <c r="F26" s="630">
        <f>IF(F$3=1,4,0)</f>
        <v>0</v>
      </c>
      <c r="G26" s="21">
        <f t="shared" si="3"/>
        <v>1</v>
      </c>
      <c r="H26" s="821">
        <v>1</v>
      </c>
      <c r="I26" s="814">
        <v>0</v>
      </c>
      <c r="J26" s="630">
        <f>IF(J$3=1,4,0)</f>
        <v>0</v>
      </c>
      <c r="K26" s="21">
        <f t="shared" si="4"/>
        <v>1</v>
      </c>
    </row>
    <row r="27" spans="1:11" x14ac:dyDescent="0.25">
      <c r="A27" s="1937"/>
      <c r="B27" s="19" t="s">
        <v>34</v>
      </c>
      <c r="C27" s="817"/>
      <c r="D27" s="807">
        <v>2</v>
      </c>
      <c r="E27" s="814">
        <v>0</v>
      </c>
      <c r="F27" s="630">
        <f>IF(F$3=1,8,0)</f>
        <v>0</v>
      </c>
      <c r="G27" s="21">
        <f t="shared" si="3"/>
        <v>2</v>
      </c>
      <c r="H27" s="807">
        <v>2</v>
      </c>
      <c r="I27" s="814">
        <v>0</v>
      </c>
      <c r="J27" s="630">
        <f>IF(J$3=1,8,0)</f>
        <v>0</v>
      </c>
      <c r="K27" s="21">
        <f t="shared" si="4"/>
        <v>2</v>
      </c>
    </row>
    <row r="28" spans="1:11" x14ac:dyDescent="0.25">
      <c r="A28" s="1937" t="s">
        <v>8</v>
      </c>
      <c r="B28" s="1728" t="s">
        <v>32</v>
      </c>
      <c r="C28" s="1729"/>
      <c r="D28" s="1735">
        <v>2</v>
      </c>
      <c r="E28" s="1736">
        <v>0</v>
      </c>
      <c r="F28" s="1738">
        <v>0</v>
      </c>
      <c r="G28" s="1730">
        <f t="shared" si="3"/>
        <v>2</v>
      </c>
      <c r="H28" s="1735">
        <v>2</v>
      </c>
      <c r="I28" s="1736">
        <v>0</v>
      </c>
      <c r="J28" s="1738">
        <v>0</v>
      </c>
      <c r="K28" s="1730">
        <f t="shared" si="4"/>
        <v>2</v>
      </c>
    </row>
    <row r="29" spans="1:11" x14ac:dyDescent="0.25">
      <c r="A29" s="1937"/>
      <c r="B29" s="19" t="s">
        <v>33</v>
      </c>
      <c r="C29" s="817"/>
      <c r="D29" s="821">
        <v>2</v>
      </c>
      <c r="E29" s="478">
        <f>IF(E$3&gt;0,1,0)</f>
        <v>0</v>
      </c>
      <c r="F29" s="630">
        <f>IF(F$3=1,10,0)</f>
        <v>0</v>
      </c>
      <c r="G29" s="21">
        <f t="shared" si="3"/>
        <v>2</v>
      </c>
      <c r="H29" s="821">
        <v>2</v>
      </c>
      <c r="I29" s="478">
        <f>IF(I$3&gt;0,1,0)</f>
        <v>0</v>
      </c>
      <c r="J29" s="630">
        <f>IF(J$3=1,10,0)</f>
        <v>0</v>
      </c>
      <c r="K29" s="21">
        <f t="shared" si="4"/>
        <v>2</v>
      </c>
    </row>
    <row r="30" spans="1:11" x14ac:dyDescent="0.25">
      <c r="A30" s="1937"/>
      <c r="B30" s="19" t="s">
        <v>34</v>
      </c>
      <c r="C30" s="817"/>
      <c r="D30" s="807">
        <v>4</v>
      </c>
      <c r="E30" s="478">
        <f>IF(E$3&gt;0,2,0)</f>
        <v>0</v>
      </c>
      <c r="F30" s="630">
        <f>IF(F$3=1,14,0)</f>
        <v>0</v>
      </c>
      <c r="G30" s="21">
        <f t="shared" si="3"/>
        <v>4</v>
      </c>
      <c r="H30" s="807">
        <v>4</v>
      </c>
      <c r="I30" s="478">
        <f>IF(I$3&gt;0,2,0)</f>
        <v>0</v>
      </c>
      <c r="J30" s="630">
        <f>IF(J$3=1,14,0)</f>
        <v>0</v>
      </c>
      <c r="K30" s="21">
        <f t="shared" si="4"/>
        <v>4</v>
      </c>
    </row>
    <row r="31" spans="1:11" x14ac:dyDescent="0.25">
      <c r="A31" s="1937" t="s">
        <v>9</v>
      </c>
      <c r="B31" s="1728" t="s">
        <v>32</v>
      </c>
      <c r="C31" s="1729"/>
      <c r="D31" s="1735">
        <f>2+(0.5*D$3)</f>
        <v>2</v>
      </c>
      <c r="E31" s="1736">
        <v>0</v>
      </c>
      <c r="F31" s="1735">
        <f>0.5*F$3</f>
        <v>0</v>
      </c>
      <c r="G31" s="1730">
        <f t="shared" si="3"/>
        <v>2</v>
      </c>
      <c r="H31" s="1735">
        <f>2+(0.5*H$3)</f>
        <v>2</v>
      </c>
      <c r="I31" s="1736">
        <v>0</v>
      </c>
      <c r="J31" s="1735">
        <f>0.5*J$3</f>
        <v>0</v>
      </c>
      <c r="K31" s="1730">
        <f t="shared" si="4"/>
        <v>2</v>
      </c>
    </row>
    <row r="32" spans="1:11" x14ac:dyDescent="0.25">
      <c r="A32" s="1937"/>
      <c r="B32" s="19" t="s">
        <v>33</v>
      </c>
      <c r="C32" s="817"/>
      <c r="D32" s="493">
        <f>IF(D$3&gt;1,D$3*0.25,0.25)</f>
        <v>0.25</v>
      </c>
      <c r="E32" s="478">
        <f>IF(E$3&gt;0,E$3*0.25,0)</f>
        <v>0</v>
      </c>
      <c r="F32" s="630">
        <f>IF(F$3=1,2,0)</f>
        <v>0</v>
      </c>
      <c r="G32" s="21">
        <f t="shared" si="3"/>
        <v>0.25</v>
      </c>
      <c r="H32" s="493">
        <f>IF(H$3&gt;1,H$3*0.25,0.25)</f>
        <v>0.25</v>
      </c>
      <c r="I32" s="478">
        <f>IF(I$3&gt;0,I$3*0.25,0)</f>
        <v>0</v>
      </c>
      <c r="J32" s="630">
        <f>IF(J$3=1,2,0)</f>
        <v>0</v>
      </c>
      <c r="K32" s="21">
        <f t="shared" si="4"/>
        <v>0.25</v>
      </c>
    </row>
    <row r="33" spans="1:11" x14ac:dyDescent="0.25">
      <c r="A33" s="1937"/>
      <c r="B33" s="19" t="s">
        <v>34</v>
      </c>
      <c r="C33" s="817"/>
      <c r="D33" s="493">
        <f>IF(D$3&gt;1,D$3*0.25,0.25)</f>
        <v>0.25</v>
      </c>
      <c r="E33" s="478">
        <f>IF(E$3&gt;0,E$3*0.25,0)</f>
        <v>0</v>
      </c>
      <c r="F33" s="630">
        <f>IF(F$3=1,4,0)</f>
        <v>0</v>
      </c>
      <c r="G33" s="21">
        <f t="shared" si="3"/>
        <v>0.25</v>
      </c>
      <c r="H33" s="493">
        <f>IF(H$3&gt;1,H$3*0.25,0.25)</f>
        <v>0.25</v>
      </c>
      <c r="I33" s="478">
        <f>IF(I$3&gt;0,I$3*0.25,0)</f>
        <v>0</v>
      </c>
      <c r="J33" s="630">
        <f>IF(J$3=1,4,0)</f>
        <v>0</v>
      </c>
      <c r="K33" s="21">
        <f t="shared" si="4"/>
        <v>0.25</v>
      </c>
    </row>
    <row r="34" spans="1:11" x14ac:dyDescent="0.25">
      <c r="A34" s="1937" t="s">
        <v>10</v>
      </c>
      <c r="B34" s="1728" t="s">
        <v>32</v>
      </c>
      <c r="C34" s="1729"/>
      <c r="D34" s="1735">
        <v>1</v>
      </c>
      <c r="E34" s="1736">
        <v>0</v>
      </c>
      <c r="F34" s="1735">
        <f>0.5*F$3</f>
        <v>0</v>
      </c>
      <c r="G34" s="1730">
        <f t="shared" si="3"/>
        <v>1</v>
      </c>
      <c r="H34" s="1735">
        <v>1</v>
      </c>
      <c r="I34" s="1736">
        <v>0</v>
      </c>
      <c r="J34" s="1735">
        <f>0.5*J$3</f>
        <v>0</v>
      </c>
      <c r="K34" s="1730">
        <f t="shared" si="4"/>
        <v>1</v>
      </c>
    </row>
    <row r="35" spans="1:11" x14ac:dyDescent="0.25">
      <c r="A35" s="1937"/>
      <c r="B35" s="19" t="s">
        <v>33</v>
      </c>
      <c r="C35" s="817"/>
      <c r="D35" s="821">
        <v>2</v>
      </c>
      <c r="E35" s="478">
        <f>IF(E$3&gt;0,1,0)</f>
        <v>0</v>
      </c>
      <c r="F35" s="493">
        <f>IF(F$3=1,4,0)</f>
        <v>0</v>
      </c>
      <c r="G35" s="21">
        <f t="shared" si="3"/>
        <v>2</v>
      </c>
      <c r="H35" s="821">
        <v>2</v>
      </c>
      <c r="I35" s="478">
        <f>IF(I$3&gt;0,1,0)</f>
        <v>0</v>
      </c>
      <c r="J35" s="493">
        <f>IF(J$3=1,4,0)</f>
        <v>0</v>
      </c>
      <c r="K35" s="21">
        <f t="shared" si="4"/>
        <v>2</v>
      </c>
    </row>
    <row r="36" spans="1:11" ht="15.75" thickBot="1" x14ac:dyDescent="0.3">
      <c r="A36" s="1938"/>
      <c r="B36" s="13" t="s">
        <v>34</v>
      </c>
      <c r="C36" s="820"/>
      <c r="D36" s="745">
        <v>4</v>
      </c>
      <c r="E36" s="478">
        <f>IF(E$3&gt;0,2,0)</f>
        <v>0</v>
      </c>
      <c r="F36" s="493">
        <f>IF(F$3=1,6,0)</f>
        <v>0</v>
      </c>
      <c r="G36" s="77">
        <f t="shared" si="3"/>
        <v>4</v>
      </c>
      <c r="H36" s="745">
        <v>4</v>
      </c>
      <c r="I36" s="478">
        <f>IF(I$3&gt;0,2,0)</f>
        <v>0</v>
      </c>
      <c r="J36" s="493">
        <f>IF(J$3=1,6,0)</f>
        <v>0</v>
      </c>
      <c r="K36" s="77">
        <f t="shared" si="4"/>
        <v>4</v>
      </c>
    </row>
    <row r="37" spans="1:11" ht="16.5" thickBot="1" x14ac:dyDescent="0.3">
      <c r="A37" s="330" t="s">
        <v>11</v>
      </c>
      <c r="B37" s="329"/>
      <c r="C37" s="1753"/>
      <c r="D37" s="329"/>
      <c r="E37" s="329"/>
      <c r="F37" s="329"/>
      <c r="G37" s="327"/>
      <c r="H37" s="329"/>
      <c r="I37" s="329"/>
      <c r="J37" s="329"/>
      <c r="K37" s="396"/>
    </row>
    <row r="38" spans="1:11" x14ac:dyDescent="0.25">
      <c r="A38" s="1932" t="s">
        <v>12</v>
      </c>
      <c r="B38" s="1723" t="s">
        <v>32</v>
      </c>
      <c r="C38" s="1724"/>
      <c r="D38" s="1726">
        <f>D$22+D$25+D$28</f>
        <v>12</v>
      </c>
      <c r="E38" s="1725">
        <f>E$22*2</f>
        <v>0</v>
      </c>
      <c r="F38" s="1737">
        <f>0.5*F$3</f>
        <v>0</v>
      </c>
      <c r="G38" s="1727">
        <f t="shared" si="3"/>
        <v>12</v>
      </c>
      <c r="H38" s="1726">
        <f>H$22+H$25+H$28</f>
        <v>12</v>
      </c>
      <c r="I38" s="1725">
        <f>I$22*2</f>
        <v>0</v>
      </c>
      <c r="J38" s="1737">
        <f>0.5*J$3</f>
        <v>0</v>
      </c>
      <c r="K38" s="1727">
        <f xml:space="preserve"> SUM(H38:J38) + $C38</f>
        <v>12</v>
      </c>
    </row>
    <row r="39" spans="1:11" x14ac:dyDescent="0.25">
      <c r="A39" s="1932"/>
      <c r="B39" s="19" t="s">
        <v>33</v>
      </c>
      <c r="C39" s="817"/>
      <c r="D39" s="1750">
        <v>4</v>
      </c>
      <c r="E39" s="478">
        <f>IF(E$3&gt;0,2,0)</f>
        <v>0</v>
      </c>
      <c r="F39" s="630">
        <f>IF(F$3=1,12,0)</f>
        <v>0</v>
      </c>
      <c r="G39" s="21">
        <f t="shared" si="3"/>
        <v>4</v>
      </c>
      <c r="H39" s="1750">
        <v>4</v>
      </c>
      <c r="I39" s="478">
        <f>IF(I$3&gt;0,2,0)</f>
        <v>0</v>
      </c>
      <c r="J39" s="630">
        <f>IF(J$3=1,12,0)</f>
        <v>0</v>
      </c>
      <c r="K39" s="21">
        <f xml:space="preserve"> SUM(H39:J39) + $C39</f>
        <v>4</v>
      </c>
    </row>
    <row r="40" spans="1:11" ht="15.75" thickBot="1" x14ac:dyDescent="0.3">
      <c r="A40" s="1932"/>
      <c r="B40" s="13" t="s">
        <v>34</v>
      </c>
      <c r="C40" s="820"/>
      <c r="D40" s="1750">
        <v>6</v>
      </c>
      <c r="E40" s="478">
        <f>IF(E$3&gt;0,2,0)</f>
        <v>0</v>
      </c>
      <c r="F40" s="630">
        <f>IF(F$3=1,20,0)</f>
        <v>0</v>
      </c>
      <c r="G40" s="77">
        <f t="shared" si="3"/>
        <v>6</v>
      </c>
      <c r="H40" s="1750">
        <v>6</v>
      </c>
      <c r="I40" s="478">
        <f>IF(I$3&gt;0,2,0)</f>
        <v>0</v>
      </c>
      <c r="J40" s="630">
        <f>IF(J$3=1,20,0)</f>
        <v>0</v>
      </c>
      <c r="K40" s="77">
        <f xml:space="preserve"> SUM(H40:J40) + $C40</f>
        <v>6</v>
      </c>
    </row>
    <row r="41" spans="1:11" ht="16.5" thickBot="1" x14ac:dyDescent="0.3">
      <c r="A41" s="330" t="s">
        <v>13</v>
      </c>
      <c r="B41" s="329"/>
      <c r="C41" s="1753"/>
      <c r="D41" s="329"/>
      <c r="E41" s="329"/>
      <c r="F41" s="329"/>
      <c r="G41" s="327"/>
      <c r="H41" s="329"/>
      <c r="I41" s="329"/>
      <c r="J41" s="329"/>
      <c r="K41" s="396"/>
    </row>
    <row r="42" spans="1:11" x14ac:dyDescent="0.25">
      <c r="A42" s="1932" t="s">
        <v>14</v>
      </c>
      <c r="B42" s="1723" t="s">
        <v>32</v>
      </c>
      <c r="C42" s="1724"/>
      <c r="D42" s="1735">
        <f>0.5*D$3</f>
        <v>0</v>
      </c>
      <c r="E42" s="1736">
        <v>0</v>
      </c>
      <c r="F42" s="1725">
        <f>0.5*F$3</f>
        <v>0</v>
      </c>
      <c r="G42" s="1727">
        <f t="shared" si="3"/>
        <v>0</v>
      </c>
      <c r="H42" s="1735">
        <f>0.5*H$3</f>
        <v>0</v>
      </c>
      <c r="I42" s="1736">
        <v>0</v>
      </c>
      <c r="J42" s="1725">
        <f>0.5*J$3</f>
        <v>0</v>
      </c>
      <c r="K42" s="1727">
        <f t="shared" ref="K42:K86" si="7" xml:space="preserve"> SUM(H42:J42) + $C42</f>
        <v>0</v>
      </c>
    </row>
    <row r="43" spans="1:11" x14ac:dyDescent="0.25">
      <c r="A43" s="1932"/>
      <c r="B43" s="19" t="s">
        <v>33</v>
      </c>
      <c r="C43" s="817"/>
      <c r="D43" s="493">
        <f>IF(D$3&gt;1,0.25*D$3,0.25)</f>
        <v>0.25</v>
      </c>
      <c r="E43" s="493">
        <f>IF(E$3&gt;1,0.75*E$3,0.75)</f>
        <v>0.75</v>
      </c>
      <c r="F43" s="814">
        <v>0</v>
      </c>
      <c r="G43" s="21">
        <f t="shared" si="3"/>
        <v>1</v>
      </c>
      <c r="H43" s="493">
        <f>IF(H$3&gt;1,0.25*H$3,0.25)</f>
        <v>0.25</v>
      </c>
      <c r="I43" s="493">
        <f>IF(I$3&gt;1,0.75*I$3,0.75)</f>
        <v>0.75</v>
      </c>
      <c r="J43" s="814">
        <v>0</v>
      </c>
      <c r="K43" s="21">
        <f t="shared" si="7"/>
        <v>1</v>
      </c>
    </row>
    <row r="44" spans="1:11" x14ac:dyDescent="0.25">
      <c r="A44" s="1932"/>
      <c r="B44" s="19" t="s">
        <v>34</v>
      </c>
      <c r="C44" s="817"/>
      <c r="D44" s="493">
        <f>IF(D$3&gt;1,0.25*D$3,0.25)</f>
        <v>0.25</v>
      </c>
      <c r="E44" s="493">
        <f>IF(E$3&gt;1,0.75*E$3,0.75)</f>
        <v>0.75</v>
      </c>
      <c r="F44" s="814">
        <v>0</v>
      </c>
      <c r="G44" s="21">
        <f t="shared" si="3"/>
        <v>1</v>
      </c>
      <c r="H44" s="493">
        <f>IF(H$3&gt;1,0.25*H$3,0.25)</f>
        <v>0.25</v>
      </c>
      <c r="I44" s="493">
        <f>IF(I$3&gt;1,0.75*I$3,0.75)</f>
        <v>0.75</v>
      </c>
      <c r="J44" s="814">
        <v>0</v>
      </c>
      <c r="K44" s="21">
        <f t="shared" si="7"/>
        <v>1</v>
      </c>
    </row>
    <row r="45" spans="1:11" x14ac:dyDescent="0.25">
      <c r="A45" s="1933" t="s">
        <v>15</v>
      </c>
      <c r="B45" s="1728" t="s">
        <v>32</v>
      </c>
      <c r="C45" s="1729"/>
      <c r="D45" s="1735">
        <v>12</v>
      </c>
      <c r="E45" s="1725">
        <f>E$3*2</f>
        <v>0</v>
      </c>
      <c r="F45" s="1735">
        <f>1*F$3</f>
        <v>0</v>
      </c>
      <c r="G45" s="1730">
        <f t="shared" si="3"/>
        <v>12</v>
      </c>
      <c r="H45" s="1735">
        <v>12</v>
      </c>
      <c r="I45" s="1725">
        <f>I$3*2</f>
        <v>0</v>
      </c>
      <c r="J45" s="1735">
        <f>1*J$3</f>
        <v>0</v>
      </c>
      <c r="K45" s="1730">
        <f t="shared" si="7"/>
        <v>12</v>
      </c>
    </row>
    <row r="46" spans="1:11" x14ac:dyDescent="0.25">
      <c r="A46" s="1933"/>
      <c r="B46" s="19" t="s">
        <v>33</v>
      </c>
      <c r="C46" s="817"/>
      <c r="D46" s="501">
        <v>2</v>
      </c>
      <c r="E46" s="478">
        <f>IF(E$3&gt;1,2,0)</f>
        <v>0</v>
      </c>
      <c r="F46" s="493">
        <f>IF(F$3=1,1,0)</f>
        <v>0</v>
      </c>
      <c r="G46" s="21">
        <f t="shared" si="3"/>
        <v>2</v>
      </c>
      <c r="H46" s="501">
        <v>2</v>
      </c>
      <c r="I46" s="478">
        <f>IF(I$3&gt;1,2,0)</f>
        <v>0</v>
      </c>
      <c r="J46" s="493">
        <f>IF(J$3=1,1,0)</f>
        <v>0</v>
      </c>
      <c r="K46" s="21">
        <f t="shared" si="7"/>
        <v>2</v>
      </c>
    </row>
    <row r="47" spans="1:11" x14ac:dyDescent="0.25">
      <c r="A47" s="1933"/>
      <c r="B47" s="19" t="s">
        <v>34</v>
      </c>
      <c r="C47" s="817"/>
      <c r="D47" s="501">
        <v>4</v>
      </c>
      <c r="E47" s="478">
        <f>IF(E$3&gt;1,4,0)</f>
        <v>0</v>
      </c>
      <c r="F47" s="493">
        <f>IF(F$3=1,2,0)</f>
        <v>0</v>
      </c>
      <c r="G47" s="21">
        <f t="shared" si="3"/>
        <v>4</v>
      </c>
      <c r="H47" s="501">
        <v>4</v>
      </c>
      <c r="I47" s="478">
        <f>IF(I$3&gt;1,4,0)</f>
        <v>0</v>
      </c>
      <c r="J47" s="493">
        <f>IF(J$3=1,2,0)</f>
        <v>0</v>
      </c>
      <c r="K47" s="21">
        <f t="shared" si="7"/>
        <v>4</v>
      </c>
    </row>
    <row r="48" spans="1:11" x14ac:dyDescent="0.25">
      <c r="A48" s="1933" t="s">
        <v>16</v>
      </c>
      <c r="B48" s="1728" t="s">
        <v>32</v>
      </c>
      <c r="C48" s="1729"/>
      <c r="D48" s="1735">
        <f>1*D$3</f>
        <v>0</v>
      </c>
      <c r="E48" s="1736">
        <v>0</v>
      </c>
      <c r="F48" s="1735">
        <v>0</v>
      </c>
      <c r="G48" s="1730">
        <f t="shared" si="3"/>
        <v>0</v>
      </c>
      <c r="H48" s="1735">
        <f>1*H$3</f>
        <v>0</v>
      </c>
      <c r="I48" s="1736">
        <v>0</v>
      </c>
      <c r="J48" s="1735">
        <v>0</v>
      </c>
      <c r="K48" s="1730">
        <f t="shared" si="7"/>
        <v>0</v>
      </c>
    </row>
    <row r="49" spans="1:11" x14ac:dyDescent="0.25">
      <c r="A49" s="1933"/>
      <c r="B49" s="19" t="s">
        <v>33</v>
      </c>
      <c r="C49" s="817"/>
      <c r="D49" s="493">
        <f>IF(D$3&gt;1,D$3*0.25,0.5)</f>
        <v>0.5</v>
      </c>
      <c r="E49" s="478">
        <f>IF(E$3&gt;1,E$3*0.25,0)</f>
        <v>0</v>
      </c>
      <c r="F49" s="630">
        <f>IF(F$3=1,1,0)</f>
        <v>0</v>
      </c>
      <c r="G49" s="21">
        <f t="shared" si="3"/>
        <v>0.5</v>
      </c>
      <c r="H49" s="493">
        <f>IF(H$3&gt;1,H$3*0.25,0.5)</f>
        <v>0.5</v>
      </c>
      <c r="I49" s="478">
        <f>IF(I$3&gt;1,I$3*0.25,0)</f>
        <v>0</v>
      </c>
      <c r="J49" s="630">
        <f>IF(J$3=1,1,0)</f>
        <v>0</v>
      </c>
      <c r="K49" s="21">
        <f t="shared" si="7"/>
        <v>0.5</v>
      </c>
    </row>
    <row r="50" spans="1:11" x14ac:dyDescent="0.25">
      <c r="A50" s="1933"/>
      <c r="B50" s="19" t="s">
        <v>34</v>
      </c>
      <c r="C50" s="817"/>
      <c r="D50" s="493">
        <f>IF(D$3&gt;1,D$3*0.25,0.5)</f>
        <v>0.5</v>
      </c>
      <c r="E50" s="478">
        <f>IF(E$3&gt;1,E$3*0.25,0)</f>
        <v>0</v>
      </c>
      <c r="F50" s="630">
        <f>IF(F$3=1,1,0)</f>
        <v>0</v>
      </c>
      <c r="G50" s="21">
        <f t="shared" si="3"/>
        <v>0.5</v>
      </c>
      <c r="H50" s="493">
        <f>IF(H$3&gt;1,H$3*0.25,0.5)</f>
        <v>0.5</v>
      </c>
      <c r="I50" s="478">
        <f>IF(I$3&gt;1,I$3*0.25,0)</f>
        <v>0</v>
      </c>
      <c r="J50" s="630">
        <f>IF(J$3=1,1,0)</f>
        <v>0</v>
      </c>
      <c r="K50" s="21">
        <f t="shared" si="7"/>
        <v>0.5</v>
      </c>
    </row>
    <row r="51" spans="1:11" x14ac:dyDescent="0.25">
      <c r="A51" s="1933" t="s">
        <v>17</v>
      </c>
      <c r="B51" s="1728" t="s">
        <v>32</v>
      </c>
      <c r="C51" s="1729"/>
      <c r="D51" s="1735">
        <f>1*D$3</f>
        <v>0</v>
      </c>
      <c r="E51" s="1736">
        <v>0</v>
      </c>
      <c r="F51" s="1735">
        <v>0</v>
      </c>
      <c r="G51" s="1730">
        <f t="shared" si="3"/>
        <v>0</v>
      </c>
      <c r="H51" s="1735">
        <f>1*H$3</f>
        <v>0</v>
      </c>
      <c r="I51" s="1736">
        <v>0</v>
      </c>
      <c r="J51" s="1735">
        <v>0</v>
      </c>
      <c r="K51" s="1730">
        <f t="shared" si="7"/>
        <v>0</v>
      </c>
    </row>
    <row r="52" spans="1:11" x14ac:dyDescent="0.25">
      <c r="A52" s="1933"/>
      <c r="B52" s="19" t="s">
        <v>33</v>
      </c>
      <c r="C52" s="817"/>
      <c r="D52" s="493">
        <f>IF(D$3&gt;1,D$3*0.25,0.5)</f>
        <v>0.5</v>
      </c>
      <c r="E52" s="478">
        <f>IF(E$3&gt;1,E$3*0.25,0)</f>
        <v>0</v>
      </c>
      <c r="F52" s="630">
        <f>IF(F$3=1,1,0)</f>
        <v>0</v>
      </c>
      <c r="G52" s="21">
        <f t="shared" si="3"/>
        <v>0.5</v>
      </c>
      <c r="H52" s="493">
        <f>IF(H$3&gt;1,H$3*0.25,0.5)</f>
        <v>0.5</v>
      </c>
      <c r="I52" s="478">
        <f>IF(I$3&gt;1,I$3*0.25,0)</f>
        <v>0</v>
      </c>
      <c r="J52" s="630">
        <f>IF(J$3=1,1,0)</f>
        <v>0</v>
      </c>
      <c r="K52" s="21">
        <f t="shared" si="7"/>
        <v>0.5</v>
      </c>
    </row>
    <row r="53" spans="1:11" x14ac:dyDescent="0.25">
      <c r="A53" s="1933"/>
      <c r="B53" s="19" t="s">
        <v>34</v>
      </c>
      <c r="C53" s="817"/>
      <c r="D53" s="493">
        <f>IF(D$3&gt;1,D$3*0.25,0.5)</f>
        <v>0.5</v>
      </c>
      <c r="E53" s="478">
        <f>IF(E$3&gt;1,E$3*0.25,0)</f>
        <v>0</v>
      </c>
      <c r="F53" s="630">
        <f>IF(F$3=1,1,0)</f>
        <v>0</v>
      </c>
      <c r="G53" s="21">
        <f t="shared" si="3"/>
        <v>0.5</v>
      </c>
      <c r="H53" s="493">
        <f>IF(H$3&gt;1,H$3*0.25,0.5)</f>
        <v>0.5</v>
      </c>
      <c r="I53" s="478">
        <f>IF(I$3&gt;1,I$3*0.25,0)</f>
        <v>0</v>
      </c>
      <c r="J53" s="630">
        <f>IF(J$3=1,1,0)</f>
        <v>0</v>
      </c>
      <c r="K53" s="21">
        <f t="shared" si="7"/>
        <v>0.5</v>
      </c>
    </row>
    <row r="54" spans="1:11" x14ac:dyDescent="0.25">
      <c r="A54" s="1933" t="s">
        <v>18</v>
      </c>
      <c r="B54" s="1728" t="s">
        <v>32</v>
      </c>
      <c r="C54" s="1729"/>
      <c r="D54" s="1735">
        <f>1*D$3</f>
        <v>0</v>
      </c>
      <c r="E54" s="1736">
        <v>0</v>
      </c>
      <c r="F54" s="1736">
        <v>0</v>
      </c>
      <c r="G54" s="1730">
        <f t="shared" si="3"/>
        <v>0</v>
      </c>
      <c r="H54" s="1735">
        <f>1*H$3</f>
        <v>0</v>
      </c>
      <c r="I54" s="1736">
        <v>0</v>
      </c>
      <c r="J54" s="1736">
        <v>0</v>
      </c>
      <c r="K54" s="1730">
        <f t="shared" si="7"/>
        <v>0</v>
      </c>
    </row>
    <row r="55" spans="1:11" x14ac:dyDescent="0.25">
      <c r="A55" s="1933"/>
      <c r="B55" s="19" t="s">
        <v>33</v>
      </c>
      <c r="C55" s="817"/>
      <c r="D55" s="493">
        <f>IF(D$3&gt;1,D$3*0.25,0.25)</f>
        <v>0.25</v>
      </c>
      <c r="E55" s="478">
        <f>IF(E$3&gt;1,E$3*0.25,0)</f>
        <v>0</v>
      </c>
      <c r="F55" s="630">
        <f>IF(F$3=1,1,0)</f>
        <v>0</v>
      </c>
      <c r="G55" s="21">
        <f t="shared" si="3"/>
        <v>0.25</v>
      </c>
      <c r="H55" s="493">
        <f>IF(H$3&gt;1,H$3*0.25,0.25)</f>
        <v>0.25</v>
      </c>
      <c r="I55" s="478">
        <f>IF(I$3&gt;1,I$3*0.25,0)</f>
        <v>0</v>
      </c>
      <c r="J55" s="630">
        <f>IF(J$3=1,1,0)</f>
        <v>0</v>
      </c>
      <c r="K55" s="21">
        <f t="shared" si="7"/>
        <v>0.25</v>
      </c>
    </row>
    <row r="56" spans="1:11" x14ac:dyDescent="0.25">
      <c r="A56" s="1933"/>
      <c r="B56" s="19" t="s">
        <v>34</v>
      </c>
      <c r="C56" s="817"/>
      <c r="D56" s="493">
        <f>IF(D$3&gt;1,D$3*0.25,0.25)</f>
        <v>0.25</v>
      </c>
      <c r="E56" s="478">
        <f>IF(E$3&gt;1,E$3*0.25,0)</f>
        <v>0</v>
      </c>
      <c r="F56" s="630">
        <f>IF(F$3=1,1,0)</f>
        <v>0</v>
      </c>
      <c r="G56" s="21">
        <f t="shared" si="3"/>
        <v>0.25</v>
      </c>
      <c r="H56" s="493">
        <f>IF(H$3&gt;1,H$3*0.25,0.25)</f>
        <v>0.25</v>
      </c>
      <c r="I56" s="478">
        <f>IF(I$3&gt;1,I$3*0.25,0)</f>
        <v>0</v>
      </c>
      <c r="J56" s="630">
        <f>IF(J$3=1,1,0)</f>
        <v>0</v>
      </c>
      <c r="K56" s="21">
        <f t="shared" si="7"/>
        <v>0.25</v>
      </c>
    </row>
    <row r="57" spans="1:11" x14ac:dyDescent="0.25">
      <c r="A57" s="1933" t="s">
        <v>19</v>
      </c>
      <c r="B57" s="1728" t="s">
        <v>32</v>
      </c>
      <c r="C57" s="1729"/>
      <c r="D57" s="1735">
        <v>2</v>
      </c>
      <c r="E57" s="1736">
        <v>0</v>
      </c>
      <c r="F57" s="1736">
        <v>0</v>
      </c>
      <c r="G57" s="1730">
        <f t="shared" si="3"/>
        <v>2</v>
      </c>
      <c r="H57" s="1735">
        <v>2</v>
      </c>
      <c r="I57" s="1736">
        <v>0</v>
      </c>
      <c r="J57" s="1736">
        <v>0</v>
      </c>
      <c r="K57" s="1730">
        <f t="shared" si="7"/>
        <v>2</v>
      </c>
    </row>
    <row r="58" spans="1:11" x14ac:dyDescent="0.25">
      <c r="A58" s="1933"/>
      <c r="B58" s="19" t="s">
        <v>33</v>
      </c>
      <c r="C58" s="817"/>
      <c r="D58" s="821">
        <v>2</v>
      </c>
      <c r="E58" s="478">
        <f>IF(E$3&gt;1,1,0)</f>
        <v>0</v>
      </c>
      <c r="F58" s="630">
        <f>IF(F$3=1,10,0)</f>
        <v>0</v>
      </c>
      <c r="G58" s="21">
        <f t="shared" si="3"/>
        <v>2</v>
      </c>
      <c r="H58" s="821">
        <v>2</v>
      </c>
      <c r="I58" s="478">
        <f>IF(I$3&gt;1,1,0)</f>
        <v>0</v>
      </c>
      <c r="J58" s="630">
        <f>IF(J$3=1,10,0)</f>
        <v>0</v>
      </c>
      <c r="K58" s="21">
        <f t="shared" si="7"/>
        <v>2</v>
      </c>
    </row>
    <row r="59" spans="1:11" x14ac:dyDescent="0.25">
      <c r="A59" s="1933"/>
      <c r="B59" s="19" t="s">
        <v>34</v>
      </c>
      <c r="C59" s="817"/>
      <c r="D59" s="821">
        <v>4</v>
      </c>
      <c r="E59" s="478">
        <f>IF(E$3&gt;1,1,0)</f>
        <v>0</v>
      </c>
      <c r="F59" s="630">
        <f>IF(F$3=1,16,0)</f>
        <v>0</v>
      </c>
      <c r="G59" s="21">
        <f t="shared" si="3"/>
        <v>4</v>
      </c>
      <c r="H59" s="821">
        <v>4</v>
      </c>
      <c r="I59" s="478">
        <f>IF(I$3&gt;1,1,0)</f>
        <v>0</v>
      </c>
      <c r="J59" s="630">
        <f>IF(J$3=1,16,0)</f>
        <v>0</v>
      </c>
      <c r="K59" s="21">
        <f t="shared" si="7"/>
        <v>4</v>
      </c>
    </row>
    <row r="60" spans="1:11" x14ac:dyDescent="0.25">
      <c r="A60" s="1933" t="s">
        <v>20</v>
      </c>
      <c r="B60" s="1728" t="s">
        <v>32</v>
      </c>
      <c r="C60" s="1729"/>
      <c r="D60" s="1735">
        <v>4</v>
      </c>
      <c r="E60" s="1737">
        <f>2*E$3</f>
        <v>0</v>
      </c>
      <c r="F60" s="1725">
        <f>0.5*F$3</f>
        <v>0</v>
      </c>
      <c r="G60" s="1730">
        <f t="shared" si="3"/>
        <v>4</v>
      </c>
      <c r="H60" s="1735">
        <v>4</v>
      </c>
      <c r="I60" s="1737">
        <f>2*I$3</f>
        <v>0</v>
      </c>
      <c r="J60" s="1725">
        <f>0.5*J$3</f>
        <v>0</v>
      </c>
      <c r="K60" s="1730">
        <f t="shared" si="7"/>
        <v>4</v>
      </c>
    </row>
    <row r="61" spans="1:11" x14ac:dyDescent="0.25">
      <c r="A61" s="1933"/>
      <c r="B61" s="19" t="s">
        <v>33</v>
      </c>
      <c r="C61" s="817"/>
      <c r="D61" s="821">
        <v>2</v>
      </c>
      <c r="E61" s="478">
        <f>IF(E$3&gt;1,1,0)</f>
        <v>0</v>
      </c>
      <c r="F61" s="630">
        <f>IF(F$3=1,4,0)</f>
        <v>0</v>
      </c>
      <c r="G61" s="21">
        <f t="shared" si="3"/>
        <v>2</v>
      </c>
      <c r="H61" s="821">
        <v>2</v>
      </c>
      <c r="I61" s="478">
        <f>IF(I$3&gt;1,1,0)</f>
        <v>0</v>
      </c>
      <c r="J61" s="630">
        <f>IF(J$3=1,4,0)</f>
        <v>0</v>
      </c>
      <c r="K61" s="21">
        <f t="shared" si="7"/>
        <v>2</v>
      </c>
    </row>
    <row r="62" spans="1:11" x14ac:dyDescent="0.25">
      <c r="A62" s="1933"/>
      <c r="B62" s="19" t="s">
        <v>34</v>
      </c>
      <c r="C62" s="817"/>
      <c r="D62" s="821">
        <v>4</v>
      </c>
      <c r="E62" s="478">
        <f>IF(E$3&gt;1,2,0)</f>
        <v>0</v>
      </c>
      <c r="F62" s="630">
        <f>IF(F$3=1,6,0)</f>
        <v>0</v>
      </c>
      <c r="G62" s="21">
        <f t="shared" si="3"/>
        <v>4</v>
      </c>
      <c r="H62" s="821">
        <v>4</v>
      </c>
      <c r="I62" s="478">
        <f>IF(I$3&gt;1,2,0)</f>
        <v>0</v>
      </c>
      <c r="J62" s="630">
        <f>IF(J$3=1,6,0)</f>
        <v>0</v>
      </c>
      <c r="K62" s="21">
        <f t="shared" si="7"/>
        <v>4</v>
      </c>
    </row>
    <row r="63" spans="1:11" x14ac:dyDescent="0.25">
      <c r="A63" s="1933" t="s">
        <v>451</v>
      </c>
      <c r="B63" s="1728" t="s">
        <v>32</v>
      </c>
      <c r="C63" s="1729"/>
      <c r="D63" s="1739">
        <v>0.25</v>
      </c>
      <c r="E63" s="1737">
        <v>0</v>
      </c>
      <c r="F63" s="1738">
        <v>0</v>
      </c>
      <c r="G63" s="1730">
        <f t="shared" si="3"/>
        <v>0.25</v>
      </c>
      <c r="H63" s="1739">
        <v>0.25</v>
      </c>
      <c r="I63" s="1737">
        <v>0</v>
      </c>
      <c r="J63" s="1738">
        <v>0</v>
      </c>
      <c r="K63" s="1730">
        <f t="shared" si="7"/>
        <v>0.25</v>
      </c>
    </row>
    <row r="64" spans="1:11" x14ac:dyDescent="0.25">
      <c r="A64" s="1933"/>
      <c r="B64" s="19" t="s">
        <v>33</v>
      </c>
      <c r="C64" s="817"/>
      <c r="D64" s="482" t="s">
        <v>1768</v>
      </c>
      <c r="E64" s="482" t="s">
        <v>1768</v>
      </c>
      <c r="F64" s="482" t="s">
        <v>1768</v>
      </c>
      <c r="G64" s="21">
        <f t="shared" si="3"/>
        <v>0</v>
      </c>
      <c r="H64" s="482" t="s">
        <v>1768</v>
      </c>
      <c r="I64" s="482" t="s">
        <v>1768</v>
      </c>
      <c r="J64" s="482" t="s">
        <v>1768</v>
      </c>
      <c r="K64" s="21">
        <f t="shared" si="7"/>
        <v>0</v>
      </c>
    </row>
    <row r="65" spans="1:11" x14ac:dyDescent="0.25">
      <c r="A65" s="1933"/>
      <c r="B65" s="19" t="s">
        <v>34</v>
      </c>
      <c r="C65" s="817"/>
      <c r="D65" s="482" t="s">
        <v>1768</v>
      </c>
      <c r="E65" s="482" t="s">
        <v>1768</v>
      </c>
      <c r="F65" s="482" t="s">
        <v>1768</v>
      </c>
      <c r="G65" s="21">
        <f t="shared" si="3"/>
        <v>0</v>
      </c>
      <c r="H65" s="482" t="s">
        <v>1768</v>
      </c>
      <c r="I65" s="482" t="s">
        <v>1768</v>
      </c>
      <c r="J65" s="482" t="s">
        <v>1768</v>
      </c>
      <c r="K65" s="21">
        <f t="shared" si="7"/>
        <v>0</v>
      </c>
    </row>
    <row r="66" spans="1:11" x14ac:dyDescent="0.25">
      <c r="A66" s="1933" t="s">
        <v>452</v>
      </c>
      <c r="B66" s="1728" t="s">
        <v>32</v>
      </c>
      <c r="C66" s="1729"/>
      <c r="D66" s="1739">
        <v>0.25</v>
      </c>
      <c r="E66" s="1737">
        <v>0</v>
      </c>
      <c r="F66" s="1738">
        <v>0</v>
      </c>
      <c r="G66" s="1730">
        <f t="shared" si="3"/>
        <v>0.25</v>
      </c>
      <c r="H66" s="1739">
        <v>0.25</v>
      </c>
      <c r="I66" s="1737">
        <v>0</v>
      </c>
      <c r="J66" s="1738">
        <v>0</v>
      </c>
      <c r="K66" s="1730">
        <f t="shared" si="7"/>
        <v>0.25</v>
      </c>
    </row>
    <row r="67" spans="1:11" x14ac:dyDescent="0.25">
      <c r="A67" s="1933"/>
      <c r="B67" s="19" t="s">
        <v>33</v>
      </c>
      <c r="C67" s="817"/>
      <c r="D67" s="493">
        <f>IF(D$3&gt;1,D$3*0.25,0.25)</f>
        <v>0.25</v>
      </c>
      <c r="E67" s="478">
        <f>IF(E$3&gt;1,E$3*0.25,0)</f>
        <v>0</v>
      </c>
      <c r="F67" s="630">
        <f>IF(F$3=1,1,0)</f>
        <v>0</v>
      </c>
      <c r="G67" s="21">
        <f t="shared" si="3"/>
        <v>0.25</v>
      </c>
      <c r="H67" s="493">
        <f>IF(H$3&gt;1,H$3*0.25,0.25)</f>
        <v>0.25</v>
      </c>
      <c r="I67" s="478">
        <f>IF(I$3&gt;1,I$3*0.25,0)</f>
        <v>0</v>
      </c>
      <c r="J67" s="630">
        <f>IF(J$3=1,1,0)</f>
        <v>0</v>
      </c>
      <c r="K67" s="21">
        <f t="shared" si="7"/>
        <v>0.25</v>
      </c>
    </row>
    <row r="68" spans="1:11" x14ac:dyDescent="0.25">
      <c r="A68" s="1933"/>
      <c r="B68" s="19" t="s">
        <v>34</v>
      </c>
      <c r="C68" s="817"/>
      <c r="D68" s="493">
        <f>IF(D$3&gt;1,D$3*0.25,0.25)</f>
        <v>0.25</v>
      </c>
      <c r="E68" s="478">
        <f>IF(E$3&gt;1,E$3*0.25,0)</f>
        <v>0</v>
      </c>
      <c r="F68" s="630">
        <f>IF(F$3=1,1,0)</f>
        <v>0</v>
      </c>
      <c r="G68" s="21">
        <f t="shared" si="3"/>
        <v>0.25</v>
      </c>
      <c r="H68" s="493">
        <f>IF(H$3&gt;1,H$3*0.25,0.25)</f>
        <v>0.25</v>
      </c>
      <c r="I68" s="478">
        <f>IF(I$3&gt;1,I$3*0.25,0)</f>
        <v>0</v>
      </c>
      <c r="J68" s="630">
        <f>IF(J$3=1,1,0)</f>
        <v>0</v>
      </c>
      <c r="K68" s="21">
        <f t="shared" si="7"/>
        <v>0.25</v>
      </c>
    </row>
    <row r="69" spans="1:11" x14ac:dyDescent="0.25">
      <c r="A69" s="1936" t="s">
        <v>533</v>
      </c>
      <c r="B69" s="1728" t="s">
        <v>32</v>
      </c>
      <c r="C69" s="1729"/>
      <c r="D69" s="1735">
        <f>2+(1.5*D$3)</f>
        <v>2</v>
      </c>
      <c r="E69" s="1725">
        <f>E$3*2</f>
        <v>0</v>
      </c>
      <c r="F69" s="1725">
        <f t="shared" ref="F69:F72" si="8">0.5*F$3</f>
        <v>0</v>
      </c>
      <c r="G69" s="1730">
        <f t="shared" si="3"/>
        <v>2</v>
      </c>
      <c r="H69" s="1735">
        <f>2+(1.5*H$3)</f>
        <v>2</v>
      </c>
      <c r="I69" s="1725">
        <f>I$3*2</f>
        <v>0</v>
      </c>
      <c r="J69" s="1725">
        <f t="shared" ref="J69:J72" si="9">0.5*J$3</f>
        <v>0</v>
      </c>
      <c r="K69" s="1730">
        <f t="shared" si="7"/>
        <v>2</v>
      </c>
    </row>
    <row r="70" spans="1:11" x14ac:dyDescent="0.25">
      <c r="A70" s="1936"/>
      <c r="B70" s="19" t="s">
        <v>33</v>
      </c>
      <c r="C70" s="817"/>
      <c r="D70" s="482" t="s">
        <v>1768</v>
      </c>
      <c r="E70" s="482" t="s">
        <v>1768</v>
      </c>
      <c r="F70" s="482" t="s">
        <v>1768</v>
      </c>
      <c r="G70" s="21">
        <f t="shared" si="3"/>
        <v>0</v>
      </c>
      <c r="H70" s="482" t="s">
        <v>1768</v>
      </c>
      <c r="I70" s="482" t="s">
        <v>1768</v>
      </c>
      <c r="J70" s="482" t="s">
        <v>1768</v>
      </c>
      <c r="K70" s="21">
        <f t="shared" si="7"/>
        <v>0</v>
      </c>
    </row>
    <row r="71" spans="1:11" x14ac:dyDescent="0.25">
      <c r="A71" s="1936"/>
      <c r="B71" s="19" t="s">
        <v>34</v>
      </c>
      <c r="C71" s="817"/>
      <c r="D71" s="482" t="s">
        <v>1768</v>
      </c>
      <c r="E71" s="482" t="s">
        <v>1768</v>
      </c>
      <c r="F71" s="482" t="s">
        <v>1768</v>
      </c>
      <c r="G71" s="21">
        <f t="shared" si="3"/>
        <v>0</v>
      </c>
      <c r="H71" s="482" t="s">
        <v>1768</v>
      </c>
      <c r="I71" s="482" t="s">
        <v>1768</v>
      </c>
      <c r="J71" s="482" t="s">
        <v>1768</v>
      </c>
      <c r="K71" s="21">
        <f t="shared" si="7"/>
        <v>0</v>
      </c>
    </row>
    <row r="72" spans="1:11" x14ac:dyDescent="0.25">
      <c r="A72" s="1933" t="s">
        <v>534</v>
      </c>
      <c r="B72" s="1728" t="s">
        <v>32</v>
      </c>
      <c r="C72" s="1729"/>
      <c r="D72" s="1735">
        <f>2+(1.5*D$3)</f>
        <v>2</v>
      </c>
      <c r="E72" s="1725">
        <f>E$3*2</f>
        <v>0</v>
      </c>
      <c r="F72" s="1725">
        <f t="shared" si="8"/>
        <v>0</v>
      </c>
      <c r="G72" s="1730">
        <f t="shared" si="3"/>
        <v>2</v>
      </c>
      <c r="H72" s="1735">
        <f>2+(1.5*H$3)</f>
        <v>2</v>
      </c>
      <c r="I72" s="1725">
        <f>I$3*2</f>
        <v>0</v>
      </c>
      <c r="J72" s="1725">
        <f t="shared" si="9"/>
        <v>0</v>
      </c>
      <c r="K72" s="1730">
        <f t="shared" si="7"/>
        <v>2</v>
      </c>
    </row>
    <row r="73" spans="1:11" x14ac:dyDescent="0.25">
      <c r="A73" s="1933"/>
      <c r="B73" s="19" t="s">
        <v>33</v>
      </c>
      <c r="C73" s="817"/>
      <c r="D73" s="482" t="s">
        <v>1768</v>
      </c>
      <c r="E73" s="482" t="s">
        <v>1768</v>
      </c>
      <c r="F73" s="482" t="s">
        <v>1768</v>
      </c>
      <c r="G73" s="21">
        <f t="shared" si="3"/>
        <v>0</v>
      </c>
      <c r="H73" s="482" t="s">
        <v>1768</v>
      </c>
      <c r="I73" s="482" t="s">
        <v>1768</v>
      </c>
      <c r="J73" s="482" t="s">
        <v>1768</v>
      </c>
      <c r="K73" s="21">
        <f t="shared" si="7"/>
        <v>0</v>
      </c>
    </row>
    <row r="74" spans="1:11" x14ac:dyDescent="0.25">
      <c r="A74" s="1933"/>
      <c r="B74" s="19" t="s">
        <v>34</v>
      </c>
      <c r="C74" s="817"/>
      <c r="D74" s="482" t="s">
        <v>1768</v>
      </c>
      <c r="E74" s="482" t="s">
        <v>1768</v>
      </c>
      <c r="F74" s="482" t="s">
        <v>1768</v>
      </c>
      <c r="G74" s="21">
        <f t="shared" si="3"/>
        <v>0</v>
      </c>
      <c r="H74" s="482" t="s">
        <v>1768</v>
      </c>
      <c r="I74" s="482" t="s">
        <v>1768</v>
      </c>
      <c r="J74" s="482" t="s">
        <v>1768</v>
      </c>
      <c r="K74" s="21">
        <f t="shared" si="7"/>
        <v>0</v>
      </c>
    </row>
    <row r="75" spans="1:11" x14ac:dyDescent="0.25">
      <c r="A75" s="1933" t="s">
        <v>21</v>
      </c>
      <c r="B75" s="1728" t="s">
        <v>32</v>
      </c>
      <c r="C75" s="1729"/>
      <c r="D75" s="1735" t="s">
        <v>90</v>
      </c>
      <c r="E75" s="1735" t="s">
        <v>90</v>
      </c>
      <c r="F75" s="1735" t="s">
        <v>90</v>
      </c>
      <c r="G75" s="1730">
        <f t="shared" si="3"/>
        <v>0</v>
      </c>
      <c r="H75" s="1735" t="s">
        <v>90</v>
      </c>
      <c r="I75" s="1735" t="s">
        <v>90</v>
      </c>
      <c r="J75" s="1735" t="s">
        <v>90</v>
      </c>
      <c r="K75" s="1730">
        <f t="shared" si="7"/>
        <v>0</v>
      </c>
    </row>
    <row r="76" spans="1:11" x14ac:dyDescent="0.25">
      <c r="A76" s="1933"/>
      <c r="B76" s="19" t="s">
        <v>33</v>
      </c>
      <c r="C76" s="817"/>
      <c r="D76" s="821" t="s">
        <v>90</v>
      </c>
      <c r="E76" s="821" t="s">
        <v>90</v>
      </c>
      <c r="F76" s="821" t="s">
        <v>90</v>
      </c>
      <c r="G76" s="21">
        <f t="shared" si="3"/>
        <v>0</v>
      </c>
      <c r="H76" s="821" t="s">
        <v>90</v>
      </c>
      <c r="I76" s="821" t="s">
        <v>90</v>
      </c>
      <c r="J76" s="821" t="s">
        <v>90</v>
      </c>
      <c r="K76" s="21">
        <f t="shared" si="7"/>
        <v>0</v>
      </c>
    </row>
    <row r="77" spans="1:11" x14ac:dyDescent="0.25">
      <c r="A77" s="1933"/>
      <c r="B77" s="13" t="s">
        <v>34</v>
      </c>
      <c r="C77" s="820"/>
      <c r="D77" s="821" t="s">
        <v>90</v>
      </c>
      <c r="E77" s="821" t="s">
        <v>90</v>
      </c>
      <c r="F77" s="821" t="s">
        <v>90</v>
      </c>
      <c r="G77" s="21">
        <f t="shared" si="3"/>
        <v>0</v>
      </c>
      <c r="H77" s="821" t="s">
        <v>90</v>
      </c>
      <c r="I77" s="821" t="s">
        <v>90</v>
      </c>
      <c r="J77" s="821" t="s">
        <v>90</v>
      </c>
      <c r="K77" s="21">
        <f t="shared" si="7"/>
        <v>0</v>
      </c>
    </row>
    <row r="78" spans="1:11" x14ac:dyDescent="0.25">
      <c r="A78" s="1933" t="s">
        <v>181</v>
      </c>
      <c r="B78" s="1728" t="s">
        <v>32</v>
      </c>
      <c r="C78" s="1729"/>
      <c r="D78" s="1735">
        <f t="shared" ref="D78:D84" si="10">0.25*D$3</f>
        <v>0</v>
      </c>
      <c r="E78" s="1736">
        <v>0</v>
      </c>
      <c r="F78" s="1741">
        <v>0</v>
      </c>
      <c r="G78" s="1730">
        <f t="shared" si="3"/>
        <v>0</v>
      </c>
      <c r="H78" s="1735">
        <f t="shared" ref="H78:H84" si="11">0.25*H$3</f>
        <v>0</v>
      </c>
      <c r="I78" s="1736">
        <v>0</v>
      </c>
      <c r="J78" s="1741">
        <v>0</v>
      </c>
      <c r="K78" s="1730">
        <f t="shared" si="7"/>
        <v>0</v>
      </c>
    </row>
    <row r="79" spans="1:11" x14ac:dyDescent="0.25">
      <c r="A79" s="1933"/>
      <c r="B79" s="19" t="s">
        <v>33</v>
      </c>
      <c r="C79" s="817"/>
      <c r="D79" s="493">
        <f>IF(D$3&gt;1,D$3*0.25+1,1)</f>
        <v>1</v>
      </c>
      <c r="E79" s="478">
        <f>IF(E$3&gt;1,E$3*0.5,0)</f>
        <v>0</v>
      </c>
      <c r="F79" s="630">
        <f>IF(F$3=1,1,0)</f>
        <v>0</v>
      </c>
      <c r="G79" s="21">
        <f t="shared" si="3"/>
        <v>1</v>
      </c>
      <c r="H79" s="493">
        <f>IF(H$3&gt;1,H$3*0.25+1,1)</f>
        <v>1</v>
      </c>
      <c r="I79" s="478">
        <f>IF(I$3&gt;1,I$3*0.5,0)</f>
        <v>0</v>
      </c>
      <c r="J79" s="630">
        <f>IF(J$3=1,1,0)</f>
        <v>0</v>
      </c>
      <c r="K79" s="21">
        <f t="shared" si="7"/>
        <v>1</v>
      </c>
    </row>
    <row r="80" spans="1:11" x14ac:dyDescent="0.25">
      <c r="A80" s="1933"/>
      <c r="B80" s="19" t="s">
        <v>34</v>
      </c>
      <c r="C80" s="817"/>
      <c r="D80" s="493">
        <f>IF(D$3&gt;1,D$3*0.25+1,1)</f>
        <v>1</v>
      </c>
      <c r="E80" s="478">
        <f>IF(E$3&gt;1,E$3*0.5,0)</f>
        <v>0</v>
      </c>
      <c r="F80" s="630">
        <f>IF(F$3=1,1,0)</f>
        <v>0</v>
      </c>
      <c r="G80" s="21">
        <f t="shared" si="3"/>
        <v>1</v>
      </c>
      <c r="H80" s="493">
        <f>IF(H$3&gt;1,H$3*0.25+1,1)</f>
        <v>1</v>
      </c>
      <c r="I80" s="478">
        <f>IF(I$3&gt;1,I$3*0.5,0)</f>
        <v>0</v>
      </c>
      <c r="J80" s="630">
        <f>IF(J$3=1,1,0)</f>
        <v>0</v>
      </c>
      <c r="K80" s="21">
        <f t="shared" si="7"/>
        <v>1</v>
      </c>
    </row>
    <row r="81" spans="1:11" x14ac:dyDescent="0.25">
      <c r="A81" s="1933" t="s">
        <v>182</v>
      </c>
      <c r="B81" s="1728" t="s">
        <v>32</v>
      </c>
      <c r="C81" s="1729"/>
      <c r="D81" s="1735">
        <f t="shared" si="10"/>
        <v>0</v>
      </c>
      <c r="E81" s="1736">
        <v>0</v>
      </c>
      <c r="F81" s="1741">
        <v>0</v>
      </c>
      <c r="G81" s="1730">
        <f t="shared" si="3"/>
        <v>0</v>
      </c>
      <c r="H81" s="1735">
        <f t="shared" si="11"/>
        <v>0</v>
      </c>
      <c r="I81" s="1736">
        <v>0</v>
      </c>
      <c r="J81" s="1741">
        <v>0</v>
      </c>
      <c r="K81" s="1730">
        <f t="shared" si="7"/>
        <v>0</v>
      </c>
    </row>
    <row r="82" spans="1:11" x14ac:dyDescent="0.25">
      <c r="A82" s="1933"/>
      <c r="B82" s="19" t="s">
        <v>33</v>
      </c>
      <c r="C82" s="817"/>
      <c r="D82" s="493">
        <f>IF(D$3&gt;1,D$3*0.25,0.5)</f>
        <v>0.5</v>
      </c>
      <c r="E82" s="478">
        <f>IF(E$3&gt;1,E$3*0.25,0)</f>
        <v>0</v>
      </c>
      <c r="F82" s="630">
        <f>IF(F$3=1,1,0)</f>
        <v>0</v>
      </c>
      <c r="G82" s="21">
        <f t="shared" si="3"/>
        <v>0.5</v>
      </c>
      <c r="H82" s="493">
        <f>IF(H$3&gt;1,H$3*0.25,0.5)</f>
        <v>0.5</v>
      </c>
      <c r="I82" s="478">
        <f>IF(I$3&gt;1,I$3*0.25,0)</f>
        <v>0</v>
      </c>
      <c r="J82" s="630">
        <f>IF(J$3=1,1,0)</f>
        <v>0</v>
      </c>
      <c r="K82" s="21">
        <f t="shared" si="7"/>
        <v>0.5</v>
      </c>
    </row>
    <row r="83" spans="1:11" x14ac:dyDescent="0.25">
      <c r="A83" s="1933"/>
      <c r="B83" s="19" t="s">
        <v>34</v>
      </c>
      <c r="C83" s="817"/>
      <c r="D83" s="493">
        <f>IF(D$3&gt;1,D$3*0.25,0.5)</f>
        <v>0.5</v>
      </c>
      <c r="E83" s="478">
        <f>IF(E$3&gt;1,E$3*0.25,0)</f>
        <v>0</v>
      </c>
      <c r="F83" s="630">
        <f>IF(F$3=1,1,0)</f>
        <v>0</v>
      </c>
      <c r="G83" s="21">
        <f t="shared" si="3"/>
        <v>0.5</v>
      </c>
      <c r="H83" s="493">
        <f>IF(H$3&gt;1,H$3*0.25,0.5)</f>
        <v>0.5</v>
      </c>
      <c r="I83" s="478">
        <f>IF(I$3&gt;1,I$3*0.25,0)</f>
        <v>0</v>
      </c>
      <c r="J83" s="630">
        <f>IF(J$3=1,1,0)</f>
        <v>0</v>
      </c>
      <c r="K83" s="21">
        <f t="shared" si="7"/>
        <v>0.5</v>
      </c>
    </row>
    <row r="84" spans="1:11" x14ac:dyDescent="0.25">
      <c r="A84" s="1935" t="s">
        <v>183</v>
      </c>
      <c r="B84" s="1728" t="s">
        <v>32</v>
      </c>
      <c r="C84" s="1729"/>
      <c r="D84" s="1735">
        <f t="shared" si="10"/>
        <v>0</v>
      </c>
      <c r="E84" s="1736">
        <v>0</v>
      </c>
      <c r="F84" s="1741">
        <v>0</v>
      </c>
      <c r="G84" s="1730">
        <f t="shared" si="3"/>
        <v>0</v>
      </c>
      <c r="H84" s="1735">
        <f t="shared" si="11"/>
        <v>0</v>
      </c>
      <c r="I84" s="1736">
        <v>0</v>
      </c>
      <c r="J84" s="1741">
        <v>0</v>
      </c>
      <c r="K84" s="1730">
        <f t="shared" si="7"/>
        <v>0</v>
      </c>
    </row>
    <row r="85" spans="1:11" x14ac:dyDescent="0.25">
      <c r="A85" s="1935"/>
      <c r="B85" s="19" t="s">
        <v>33</v>
      </c>
      <c r="C85" s="817"/>
      <c r="D85" s="493">
        <f>IF(D$3&gt;1,D$3*0.25,0.25)</f>
        <v>0.25</v>
      </c>
      <c r="E85" s="478">
        <f>IF(E$3&gt;1,E$3*0.25,0)</f>
        <v>0</v>
      </c>
      <c r="F85" s="630">
        <f>IF(F$3=1,1,0)</f>
        <v>0</v>
      </c>
      <c r="G85" s="21">
        <f t="shared" si="3"/>
        <v>0.25</v>
      </c>
      <c r="H85" s="493">
        <f>IF(H$3&gt;1,H$3*0.25,0.25)</f>
        <v>0.25</v>
      </c>
      <c r="I85" s="478">
        <f>IF(I$3&gt;1,I$3*0.25,0)</f>
        <v>0</v>
      </c>
      <c r="J85" s="630">
        <f>IF(J$3=1,1,0)</f>
        <v>0</v>
      </c>
      <c r="K85" s="21">
        <f t="shared" si="7"/>
        <v>0.25</v>
      </c>
    </row>
    <row r="86" spans="1:11" ht="15.75" thickBot="1" x14ac:dyDescent="0.3">
      <c r="A86" s="1935"/>
      <c r="B86" s="13" t="s">
        <v>34</v>
      </c>
      <c r="C86" s="820"/>
      <c r="D86" s="493">
        <f>IF(D$3&gt;1,D$3*0.25,0.25)</f>
        <v>0.25</v>
      </c>
      <c r="E86" s="478">
        <f>IF(E$3&gt;1,E$3*0.25,0)</f>
        <v>0</v>
      </c>
      <c r="F86" s="630">
        <f>IF(F$3=1,1,0)</f>
        <v>0</v>
      </c>
      <c r="G86" s="77">
        <f t="shared" si="3"/>
        <v>0.25</v>
      </c>
      <c r="H86" s="493">
        <f>IF(H$3&gt;1,H$3*0.25,0.25)</f>
        <v>0.25</v>
      </c>
      <c r="I86" s="478">
        <f>IF(I$3&gt;1,I$3*0.25,0)</f>
        <v>0</v>
      </c>
      <c r="J86" s="630">
        <f>IF(J$3=1,1,0)</f>
        <v>0</v>
      </c>
      <c r="K86" s="77">
        <f t="shared" si="7"/>
        <v>0.25</v>
      </c>
    </row>
    <row r="87" spans="1:11" ht="16.5" thickBot="1" x14ac:dyDescent="0.3">
      <c r="A87" s="330" t="s">
        <v>22</v>
      </c>
      <c r="B87" s="329"/>
      <c r="C87" s="1753"/>
      <c r="D87" s="329"/>
      <c r="E87" s="329"/>
      <c r="F87" s="329"/>
      <c r="G87" s="327"/>
      <c r="H87" s="329"/>
      <c r="I87" s="329"/>
      <c r="J87" s="329"/>
      <c r="K87" s="396"/>
    </row>
    <row r="88" spans="1:11" x14ac:dyDescent="0.25">
      <c r="A88" s="1932" t="s">
        <v>23</v>
      </c>
      <c r="B88" s="1723" t="s">
        <v>32</v>
      </c>
      <c r="C88" s="1724"/>
      <c r="D88" s="1742">
        <v>0.25</v>
      </c>
      <c r="E88" s="1733">
        <v>0</v>
      </c>
      <c r="F88" s="1743">
        <v>0</v>
      </c>
      <c r="G88" s="1727">
        <f t="shared" si="3"/>
        <v>0.25</v>
      </c>
      <c r="H88" s="1742">
        <v>0.25</v>
      </c>
      <c r="I88" s="1733">
        <v>0</v>
      </c>
      <c r="J88" s="1743">
        <v>0</v>
      </c>
      <c r="K88" s="1727">
        <f t="shared" ref="K88:K93" si="12" xml:space="preserve"> SUM(H88:J88) + $C88</f>
        <v>0.25</v>
      </c>
    </row>
    <row r="89" spans="1:11" x14ac:dyDescent="0.25">
      <c r="A89" s="1932"/>
      <c r="B89" s="19" t="s">
        <v>33</v>
      </c>
      <c r="C89" s="817"/>
      <c r="D89" s="503" t="s">
        <v>1768</v>
      </c>
      <c r="E89" s="482" t="s">
        <v>1768</v>
      </c>
      <c r="F89" s="1760" t="s">
        <v>1768</v>
      </c>
      <c r="G89" s="21">
        <f t="shared" si="3"/>
        <v>0</v>
      </c>
      <c r="H89" s="503" t="s">
        <v>1768</v>
      </c>
      <c r="I89" s="482" t="s">
        <v>1768</v>
      </c>
      <c r="J89" s="1760" t="s">
        <v>1768</v>
      </c>
      <c r="K89" s="21">
        <f t="shared" si="12"/>
        <v>0</v>
      </c>
    </row>
    <row r="90" spans="1:11" x14ac:dyDescent="0.25">
      <c r="A90" s="1932"/>
      <c r="B90" s="19" t="s">
        <v>34</v>
      </c>
      <c r="C90" s="817"/>
      <c r="D90" s="503" t="s">
        <v>1768</v>
      </c>
      <c r="E90" s="482" t="s">
        <v>1768</v>
      </c>
      <c r="F90" s="1760" t="s">
        <v>1768</v>
      </c>
      <c r="G90" s="21">
        <f t="shared" si="3"/>
        <v>0</v>
      </c>
      <c r="H90" s="503" t="s">
        <v>1768</v>
      </c>
      <c r="I90" s="482" t="s">
        <v>1768</v>
      </c>
      <c r="J90" s="1760" t="s">
        <v>1768</v>
      </c>
      <c r="K90" s="21">
        <f t="shared" si="12"/>
        <v>0</v>
      </c>
    </row>
    <row r="91" spans="1:11" x14ac:dyDescent="0.25">
      <c r="A91" s="1933" t="s">
        <v>24</v>
      </c>
      <c r="B91" s="1728" t="s">
        <v>32</v>
      </c>
      <c r="C91" s="1729"/>
      <c r="D91" s="1740">
        <v>6</v>
      </c>
      <c r="E91" s="1737">
        <f>1*E$3</f>
        <v>0</v>
      </c>
      <c r="F91" s="1744">
        <f>0.5*F$3</f>
        <v>0</v>
      </c>
      <c r="G91" s="1730">
        <f t="shared" si="3"/>
        <v>6</v>
      </c>
      <c r="H91" s="1740">
        <v>6</v>
      </c>
      <c r="I91" s="1737">
        <f>1*I$3</f>
        <v>0</v>
      </c>
      <c r="J91" s="1744">
        <f>0.5*J$3</f>
        <v>0</v>
      </c>
      <c r="K91" s="1730">
        <f t="shared" si="12"/>
        <v>6</v>
      </c>
    </row>
    <row r="92" spans="1:11" x14ac:dyDescent="0.25">
      <c r="A92" s="1933"/>
      <c r="B92" s="19" t="s">
        <v>33</v>
      </c>
      <c r="C92" s="817"/>
      <c r="D92" s="823">
        <v>1</v>
      </c>
      <c r="E92" s="478">
        <f>IF(E$3&gt;1,1,0)</f>
        <v>0</v>
      </c>
      <c r="F92" s="229">
        <f>IF(F$3=1,8,0)</f>
        <v>0</v>
      </c>
      <c r="G92" s="21">
        <f t="shared" si="3"/>
        <v>1</v>
      </c>
      <c r="H92" s="823">
        <v>1</v>
      </c>
      <c r="I92" s="478">
        <f>IF(I$3&gt;1,1,0)</f>
        <v>0</v>
      </c>
      <c r="J92" s="229">
        <f>IF(J$3=1,8,0)</f>
        <v>0</v>
      </c>
      <c r="K92" s="21">
        <f t="shared" si="12"/>
        <v>1</v>
      </c>
    </row>
    <row r="93" spans="1:11" x14ac:dyDescent="0.25">
      <c r="A93" s="1933"/>
      <c r="B93" s="19" t="s">
        <v>34</v>
      </c>
      <c r="C93" s="817"/>
      <c r="D93" s="823">
        <v>2</v>
      </c>
      <c r="E93" s="478">
        <f>IF(E$3&gt;1,1,0)</f>
        <v>0</v>
      </c>
      <c r="F93" s="229">
        <f>IF(F$3=1,12,0)</f>
        <v>0</v>
      </c>
      <c r="G93" s="21">
        <f t="shared" si="3"/>
        <v>2</v>
      </c>
      <c r="H93" s="823">
        <v>2</v>
      </c>
      <c r="I93" s="478">
        <f>IF(I$3&gt;1,1,0)</f>
        <v>0</v>
      </c>
      <c r="J93" s="229">
        <f>IF(J$3=1,12,0)</f>
        <v>0</v>
      </c>
      <c r="K93" s="21">
        <f t="shared" si="12"/>
        <v>2</v>
      </c>
    </row>
    <row r="94" spans="1:11" x14ac:dyDescent="0.25">
      <c r="A94" s="1933" t="s">
        <v>25</v>
      </c>
      <c r="B94" s="1728" t="s">
        <v>32</v>
      </c>
      <c r="C94" s="1729"/>
      <c r="D94" s="1740">
        <v>2</v>
      </c>
      <c r="E94" s="1738">
        <v>0</v>
      </c>
      <c r="F94" s="1741">
        <v>0</v>
      </c>
      <c r="G94" s="1730">
        <f t="shared" ref="G94:G105" si="13" xml:space="preserve"> SUM(D94:F94) + $C94</f>
        <v>2</v>
      </c>
      <c r="H94" s="1740">
        <v>2</v>
      </c>
      <c r="I94" s="1738">
        <v>0</v>
      </c>
      <c r="J94" s="1741">
        <v>0</v>
      </c>
      <c r="K94" s="1730">
        <f t="shared" ref="K94:K105" si="14" xml:space="preserve"> SUM(H94:J94) + $C94</f>
        <v>2</v>
      </c>
    </row>
    <row r="95" spans="1:11" x14ac:dyDescent="0.25">
      <c r="A95" s="1933"/>
      <c r="B95" s="19" t="s">
        <v>33</v>
      </c>
      <c r="C95" s="817"/>
      <c r="D95" s="823">
        <v>2</v>
      </c>
      <c r="E95" s="478">
        <f>IF(E$3&gt;1,2,0)</f>
        <v>0</v>
      </c>
      <c r="F95" s="229">
        <f>IF(F$3=1,8,0)</f>
        <v>0</v>
      </c>
      <c r="G95" s="21">
        <f t="shared" si="13"/>
        <v>2</v>
      </c>
      <c r="H95" s="823">
        <v>2</v>
      </c>
      <c r="I95" s="478">
        <f>IF(I$3&gt;1,2,0)</f>
        <v>0</v>
      </c>
      <c r="J95" s="229">
        <f>IF(J$3=1,8,0)</f>
        <v>0</v>
      </c>
      <c r="K95" s="21">
        <f t="shared" si="14"/>
        <v>2</v>
      </c>
    </row>
    <row r="96" spans="1:11" x14ac:dyDescent="0.25">
      <c r="A96" s="1933"/>
      <c r="B96" s="19" t="s">
        <v>34</v>
      </c>
      <c r="C96" s="817"/>
      <c r="D96" s="823">
        <v>4</v>
      </c>
      <c r="E96" s="478">
        <f>IF(E$3&gt;1,2,0)</f>
        <v>0</v>
      </c>
      <c r="F96" s="229">
        <f>IF(F$3=1,12,0)</f>
        <v>0</v>
      </c>
      <c r="G96" s="21">
        <f t="shared" si="13"/>
        <v>4</v>
      </c>
      <c r="H96" s="823">
        <v>4</v>
      </c>
      <c r="I96" s="478">
        <f>IF(I$3&gt;1,2,0)</f>
        <v>0</v>
      </c>
      <c r="J96" s="229">
        <f>IF(J$3=1,12,0)</f>
        <v>0</v>
      </c>
      <c r="K96" s="21">
        <f t="shared" si="14"/>
        <v>4</v>
      </c>
    </row>
    <row r="97" spans="1:11" x14ac:dyDescent="0.25">
      <c r="A97" s="1933" t="s">
        <v>26</v>
      </c>
      <c r="B97" s="1728" t="s">
        <v>32</v>
      </c>
      <c r="C97" s="1729"/>
      <c r="D97" s="1740">
        <v>12</v>
      </c>
      <c r="E97" s="1725">
        <f>E$3*2</f>
        <v>0</v>
      </c>
      <c r="F97" s="1745">
        <f>1*F$3</f>
        <v>0</v>
      </c>
      <c r="G97" s="1730">
        <f t="shared" si="13"/>
        <v>12</v>
      </c>
      <c r="H97" s="1740">
        <v>12</v>
      </c>
      <c r="I97" s="1725">
        <f>I$3*2</f>
        <v>0</v>
      </c>
      <c r="J97" s="1745">
        <f>1*J$3</f>
        <v>0</v>
      </c>
      <c r="K97" s="1730">
        <f t="shared" si="14"/>
        <v>12</v>
      </c>
    </row>
    <row r="98" spans="1:11" x14ac:dyDescent="0.25">
      <c r="A98" s="1933"/>
      <c r="B98" s="19" t="s">
        <v>33</v>
      </c>
      <c r="C98" s="817"/>
      <c r="D98" s="1761">
        <f>IF(D$3&gt;1,D$3*0.25+1,1)</f>
        <v>1</v>
      </c>
      <c r="E98" s="478">
        <f>IF(E$3&gt;1,1,0)</f>
        <v>0</v>
      </c>
      <c r="F98" s="229">
        <f>IF(F$3=1,4,0)</f>
        <v>0</v>
      </c>
      <c r="G98" s="21">
        <f t="shared" si="13"/>
        <v>1</v>
      </c>
      <c r="H98" s="1761">
        <f>IF(H$3&gt;1,H$3*0.25+1,1)</f>
        <v>1</v>
      </c>
      <c r="I98" s="478">
        <f>IF(I$3&gt;1,1,0)</f>
        <v>0</v>
      </c>
      <c r="J98" s="229">
        <f>IF(J$3=1,4,0)</f>
        <v>0</v>
      </c>
      <c r="K98" s="21">
        <f t="shared" si="14"/>
        <v>1</v>
      </c>
    </row>
    <row r="99" spans="1:11" x14ac:dyDescent="0.25">
      <c r="A99" s="1933"/>
      <c r="B99" s="19" t="s">
        <v>34</v>
      </c>
      <c r="C99" s="817"/>
      <c r="D99" s="1761">
        <f>IF(D$3&gt;1,D$3*0.25+2,2)</f>
        <v>2</v>
      </c>
      <c r="E99" s="478">
        <f>IF(E$3&gt;1,1,0)</f>
        <v>0</v>
      </c>
      <c r="F99" s="229">
        <f>IF(F$3=1,6,0)</f>
        <v>0</v>
      </c>
      <c r="G99" s="21">
        <f t="shared" si="13"/>
        <v>2</v>
      </c>
      <c r="H99" s="1761">
        <f>IF(H$3&gt;1,H$3*0.25+2,2)</f>
        <v>2</v>
      </c>
      <c r="I99" s="478">
        <f>IF(I$3&gt;1,1,0)</f>
        <v>0</v>
      </c>
      <c r="J99" s="229">
        <f>IF(J$3=1,6,0)</f>
        <v>0</v>
      </c>
      <c r="K99" s="21">
        <f t="shared" si="14"/>
        <v>2</v>
      </c>
    </row>
    <row r="100" spans="1:11" x14ac:dyDescent="0.25">
      <c r="A100" s="1933" t="s">
        <v>27</v>
      </c>
      <c r="B100" s="1728" t="s">
        <v>32</v>
      </c>
      <c r="C100" s="1729"/>
      <c r="D100" s="1740">
        <v>6</v>
      </c>
      <c r="E100" s="1725">
        <f>E$3*2</f>
        <v>0</v>
      </c>
      <c r="F100" s="1745">
        <f>1*F$3</f>
        <v>0</v>
      </c>
      <c r="G100" s="1730">
        <f t="shared" si="13"/>
        <v>6</v>
      </c>
      <c r="H100" s="1740">
        <v>6</v>
      </c>
      <c r="I100" s="1725">
        <f>I$3*2</f>
        <v>0</v>
      </c>
      <c r="J100" s="1745">
        <f>1*J$3</f>
        <v>0</v>
      </c>
      <c r="K100" s="1730">
        <f t="shared" si="14"/>
        <v>6</v>
      </c>
    </row>
    <row r="101" spans="1:11" x14ac:dyDescent="0.25">
      <c r="A101" s="1933"/>
      <c r="B101" s="19" t="s">
        <v>33</v>
      </c>
      <c r="C101" s="817"/>
      <c r="D101" s="1761">
        <f>IF(D$3&gt;1,D$3*0.25+1,1)</f>
        <v>1</v>
      </c>
      <c r="E101" s="478">
        <f>IF(E$3&gt;1,1,0)</f>
        <v>0</v>
      </c>
      <c r="F101" s="229">
        <f>IF(F$3=1,4,0)</f>
        <v>0</v>
      </c>
      <c r="G101" s="21">
        <f t="shared" si="13"/>
        <v>1</v>
      </c>
      <c r="H101" s="1761">
        <f>IF(H$3&gt;1,H$3*0.25+1,1)</f>
        <v>1</v>
      </c>
      <c r="I101" s="478">
        <f>IF(I$3&gt;1,1,0)</f>
        <v>0</v>
      </c>
      <c r="J101" s="229">
        <f>IF(J$3=1,4,0)</f>
        <v>0</v>
      </c>
      <c r="K101" s="21">
        <f t="shared" si="14"/>
        <v>1</v>
      </c>
    </row>
    <row r="102" spans="1:11" x14ac:dyDescent="0.25">
      <c r="A102" s="1933"/>
      <c r="B102" s="19" t="s">
        <v>34</v>
      </c>
      <c r="C102" s="817"/>
      <c r="D102" s="1761">
        <f>IF(D$3&gt;1,D$3*0.25+2,2)</f>
        <v>2</v>
      </c>
      <c r="E102" s="478">
        <f>IF(E$3&gt;1,1,0)</f>
        <v>0</v>
      </c>
      <c r="F102" s="229">
        <f>IF(F$3=1,6,0)</f>
        <v>0</v>
      </c>
      <c r="G102" s="21">
        <f t="shared" si="13"/>
        <v>2</v>
      </c>
      <c r="H102" s="1761">
        <f>IF(H$3&gt;1,H$3*0.25+2,2)</f>
        <v>2</v>
      </c>
      <c r="I102" s="478">
        <f>IF(I$3&gt;1,1,0)</f>
        <v>0</v>
      </c>
      <c r="J102" s="229">
        <f>IF(J$3=1,6,0)</f>
        <v>0</v>
      </c>
      <c r="K102" s="21">
        <f t="shared" si="14"/>
        <v>2</v>
      </c>
    </row>
    <row r="103" spans="1:11" x14ac:dyDescent="0.25">
      <c r="A103" s="1932" t="s">
        <v>28</v>
      </c>
      <c r="B103" s="1728" t="s">
        <v>32</v>
      </c>
      <c r="C103" s="1729"/>
      <c r="D103" s="1740">
        <v>2</v>
      </c>
      <c r="E103" s="1746">
        <f t="shared" ref="E103:F103" si="15">0.5*E$3</f>
        <v>0</v>
      </c>
      <c r="F103" s="1747">
        <f t="shared" si="15"/>
        <v>0</v>
      </c>
      <c r="G103" s="1730">
        <f t="shared" si="13"/>
        <v>2</v>
      </c>
      <c r="H103" s="1740">
        <v>2</v>
      </c>
      <c r="I103" s="1746">
        <f t="shared" ref="I103:J103" si="16">0.5*I$3</f>
        <v>0</v>
      </c>
      <c r="J103" s="1747">
        <f t="shared" si="16"/>
        <v>0</v>
      </c>
      <c r="K103" s="1730">
        <f t="shared" si="14"/>
        <v>2</v>
      </c>
    </row>
    <row r="104" spans="1:11" x14ac:dyDescent="0.25">
      <c r="A104" s="1932"/>
      <c r="B104" s="19" t="s">
        <v>33</v>
      </c>
      <c r="C104" s="817"/>
      <c r="D104" s="503">
        <v>1</v>
      </c>
      <c r="E104" s="478">
        <f>IF(E$3&gt;1,1,0)</f>
        <v>0</v>
      </c>
      <c r="F104" s="229">
        <f>IF(F$3=1,2,0)</f>
        <v>0</v>
      </c>
      <c r="G104" s="21">
        <f t="shared" si="13"/>
        <v>1</v>
      </c>
      <c r="H104" s="503">
        <v>1</v>
      </c>
      <c r="I104" s="478">
        <f>IF(I$3&gt;1,1,0)</f>
        <v>0</v>
      </c>
      <c r="J104" s="229">
        <f>IF(J$3=1,2,0)</f>
        <v>0</v>
      </c>
      <c r="K104" s="21">
        <f t="shared" si="14"/>
        <v>1</v>
      </c>
    </row>
    <row r="105" spans="1:11" ht="15.75" thickBot="1" x14ac:dyDescent="0.3">
      <c r="A105" s="1934"/>
      <c r="B105" s="20" t="s">
        <v>34</v>
      </c>
      <c r="C105" s="818"/>
      <c r="D105" s="507">
        <v>2</v>
      </c>
      <c r="E105" s="1762">
        <f>IF(E$3&gt;1,1,0)</f>
        <v>0</v>
      </c>
      <c r="F105" s="1695">
        <f>IF(F$3=1,4,0)</f>
        <v>0</v>
      </c>
      <c r="G105" s="24">
        <f t="shared" si="13"/>
        <v>2</v>
      </c>
      <c r="H105" s="507">
        <v>2</v>
      </c>
      <c r="I105" s="1762">
        <f>IF(I$3&gt;1,1,0)</f>
        <v>0</v>
      </c>
      <c r="J105" s="1695">
        <f>IF(J$3=1,4,0)</f>
        <v>0</v>
      </c>
      <c r="K105" s="24">
        <f t="shared" si="14"/>
        <v>2</v>
      </c>
    </row>
    <row r="107" spans="1:11" ht="15.75" x14ac:dyDescent="0.25">
      <c r="A107" s="1691" t="s">
        <v>1702</v>
      </c>
      <c r="B107" s="1691" t="s">
        <v>1703</v>
      </c>
      <c r="C107" s="1748"/>
      <c r="D107" s="1696"/>
      <c r="E107" s="1748" t="s">
        <v>1704</v>
      </c>
      <c r="F107" s="1748"/>
    </row>
    <row r="108" spans="1:11" ht="130.15" customHeight="1" x14ac:dyDescent="0.25">
      <c r="A108" s="1692" t="s">
        <v>1817</v>
      </c>
      <c r="B108" s="1692" t="s">
        <v>1781</v>
      </c>
      <c r="C108" s="1748"/>
      <c r="D108" s="1748"/>
      <c r="E108" s="1748"/>
      <c r="F108" s="1748"/>
    </row>
    <row r="109" spans="1:11" ht="45" x14ac:dyDescent="0.25">
      <c r="A109" s="1692" t="s">
        <v>1818</v>
      </c>
      <c r="B109" s="1692" t="s">
        <v>1819</v>
      </c>
      <c r="C109" s="1748"/>
      <c r="D109" s="1748"/>
      <c r="E109" s="1748"/>
      <c r="F109" s="1748"/>
    </row>
    <row r="110" spans="1:11" ht="60" x14ac:dyDescent="0.25">
      <c r="A110" s="1692" t="s">
        <v>1815</v>
      </c>
      <c r="B110" s="1692" t="s">
        <v>1816</v>
      </c>
      <c r="C110" s="1748"/>
      <c r="D110" s="1748"/>
      <c r="E110" s="1748"/>
      <c r="F110" s="1748"/>
    </row>
    <row r="111" spans="1:11" x14ac:dyDescent="0.25">
      <c r="A111" s="1748"/>
      <c r="B111" s="1748"/>
      <c r="C111" s="1748"/>
      <c r="D111" s="1748"/>
      <c r="E111" s="1748"/>
      <c r="F111" s="1748"/>
    </row>
    <row r="112" spans="1:11" x14ac:dyDescent="0.25">
      <c r="A112" s="1693" t="s">
        <v>89</v>
      </c>
      <c r="B112" s="1748"/>
      <c r="C112" s="1748"/>
      <c r="D112" s="1748"/>
      <c r="E112" s="1748"/>
      <c r="F112" s="1748"/>
    </row>
    <row r="113" spans="1:6" ht="15.75" x14ac:dyDescent="0.25">
      <c r="A113" s="1930" t="str">
        <f>A5</f>
        <v>ТЗ</v>
      </c>
      <c r="B113" s="1931"/>
      <c r="C113" s="1748"/>
      <c r="D113" s="1694" t="s">
        <v>66</v>
      </c>
      <c r="E113" s="1694" t="s">
        <v>65</v>
      </c>
      <c r="F113" s="1694" t="s">
        <v>64</v>
      </c>
    </row>
    <row r="114" spans="1:6" x14ac:dyDescent="0.25">
      <c r="A114" s="132" t="s">
        <v>1707</v>
      </c>
      <c r="B114" s="905" t="s">
        <v>33</v>
      </c>
      <c r="C114" s="1748"/>
      <c r="D114" s="658"/>
      <c r="E114" s="658"/>
      <c r="F114" s="658" t="s">
        <v>1806</v>
      </c>
    </row>
    <row r="115" spans="1:6" x14ac:dyDescent="0.25">
      <c r="A115" s="132" t="s">
        <v>1708</v>
      </c>
      <c r="B115" s="905" t="s">
        <v>34</v>
      </c>
      <c r="C115" s="1748"/>
      <c r="D115" s="658"/>
      <c r="E115" s="658"/>
      <c r="F115" s="658" t="s">
        <v>1804</v>
      </c>
    </row>
    <row r="116" spans="1:6" ht="15.75" x14ac:dyDescent="0.25">
      <c r="A116" s="1930" t="str">
        <f>A8</f>
        <v>ФТТ</v>
      </c>
      <c r="B116" s="1931"/>
      <c r="C116" s="1748"/>
      <c r="D116" s="1694" t="s">
        <v>66</v>
      </c>
      <c r="E116" s="1694" t="s">
        <v>65</v>
      </c>
      <c r="F116" s="1694" t="s">
        <v>64</v>
      </c>
    </row>
    <row r="117" spans="1:6" x14ac:dyDescent="0.25">
      <c r="A117" s="132" t="s">
        <v>1709</v>
      </c>
      <c r="B117" s="905" t="s">
        <v>33</v>
      </c>
      <c r="C117" s="1748"/>
      <c r="D117" s="658"/>
      <c r="E117" s="658"/>
      <c r="F117" s="658" t="s">
        <v>1806</v>
      </c>
    </row>
    <row r="118" spans="1:6" x14ac:dyDescent="0.25">
      <c r="A118" s="132" t="s">
        <v>1710</v>
      </c>
      <c r="B118" s="905" t="s">
        <v>34</v>
      </c>
      <c r="C118" s="1748"/>
      <c r="D118" s="658"/>
      <c r="E118" s="658"/>
      <c r="F118" s="658" t="s">
        <v>1804</v>
      </c>
    </row>
    <row r="119" spans="1:6" ht="15.75" x14ac:dyDescent="0.25">
      <c r="A119" s="1930" t="str">
        <f>A12</f>
        <v>Пояснительная записка к эскизному проекту</v>
      </c>
      <c r="B119" s="1931"/>
      <c r="C119" s="1748"/>
      <c r="D119" s="1694" t="s">
        <v>66</v>
      </c>
      <c r="E119" s="1694" t="s">
        <v>65</v>
      </c>
      <c r="F119" s="1694" t="s">
        <v>64</v>
      </c>
    </row>
    <row r="120" spans="1:6" x14ac:dyDescent="0.25">
      <c r="A120" s="132" t="s">
        <v>1711</v>
      </c>
      <c r="B120" s="905" t="s">
        <v>33</v>
      </c>
      <c r="C120" s="1748"/>
      <c r="D120" s="658"/>
      <c r="E120" s="658" t="s">
        <v>1821</v>
      </c>
      <c r="F120" s="658" t="s">
        <v>1809</v>
      </c>
    </row>
    <row r="121" spans="1:6" x14ac:dyDescent="0.25">
      <c r="A121" s="132" t="s">
        <v>1712</v>
      </c>
      <c r="B121" s="905" t="s">
        <v>34</v>
      </c>
      <c r="C121" s="1748"/>
      <c r="D121" s="658"/>
      <c r="E121" s="658" t="s">
        <v>1821</v>
      </c>
      <c r="F121" s="658" t="s">
        <v>1829</v>
      </c>
    </row>
    <row r="122" spans="1:6" ht="15.75" x14ac:dyDescent="0.25">
      <c r="A122" s="1930" t="str">
        <f>A19</f>
        <v xml:space="preserve">Ведомость покупных изделий </v>
      </c>
      <c r="B122" s="1931"/>
      <c r="C122" s="1748"/>
      <c r="D122" s="1694" t="s">
        <v>66</v>
      </c>
      <c r="E122" s="1694" t="s">
        <v>65</v>
      </c>
      <c r="F122" s="1694" t="s">
        <v>64</v>
      </c>
    </row>
    <row r="123" spans="1:6" x14ac:dyDescent="0.25">
      <c r="A123" s="132" t="s">
        <v>1713</v>
      </c>
      <c r="B123" s="905" t="s">
        <v>33</v>
      </c>
      <c r="C123" s="1748"/>
      <c r="D123" s="658" t="s">
        <v>1773</v>
      </c>
      <c r="E123" s="658" t="s">
        <v>1822</v>
      </c>
      <c r="F123" s="658"/>
    </row>
    <row r="124" spans="1:6" x14ac:dyDescent="0.25">
      <c r="A124" s="132" t="s">
        <v>1714</v>
      </c>
      <c r="B124" s="905" t="s">
        <v>34</v>
      </c>
      <c r="C124" s="1748"/>
      <c r="D124" s="658" t="s">
        <v>1773</v>
      </c>
      <c r="E124" s="658" t="s">
        <v>1822</v>
      </c>
      <c r="F124" s="658"/>
    </row>
    <row r="125" spans="1:6" ht="15.75" x14ac:dyDescent="0.25">
      <c r="A125" s="1930" t="str">
        <f>A22</f>
        <v xml:space="preserve">Пояснительная записка к техническому проекту </v>
      </c>
      <c r="B125" s="1931"/>
      <c r="C125" s="1748"/>
      <c r="D125" s="1694" t="s">
        <v>66</v>
      </c>
      <c r="E125" s="1694" t="s">
        <v>65</v>
      </c>
      <c r="F125" s="1694" t="s">
        <v>64</v>
      </c>
    </row>
    <row r="126" spans="1:6" x14ac:dyDescent="0.25">
      <c r="A126" s="132" t="s">
        <v>1715</v>
      </c>
      <c r="B126" s="905" t="s">
        <v>33</v>
      </c>
      <c r="C126" s="1748"/>
      <c r="D126" s="658"/>
      <c r="E126" s="658" t="s">
        <v>1821</v>
      </c>
      <c r="F126" s="658" t="s">
        <v>1809</v>
      </c>
    </row>
    <row r="127" spans="1:6" x14ac:dyDescent="0.25">
      <c r="A127" s="132" t="s">
        <v>1716</v>
      </c>
      <c r="B127" s="905" t="s">
        <v>34</v>
      </c>
      <c r="C127" s="1748"/>
      <c r="D127" s="658"/>
      <c r="E127" s="658" t="s">
        <v>1821</v>
      </c>
      <c r="F127" s="658" t="s">
        <v>1829</v>
      </c>
    </row>
    <row r="128" spans="1:6" ht="15.75" x14ac:dyDescent="0.25">
      <c r="A128" s="1930" t="str">
        <f>A25</f>
        <v xml:space="preserve">Описание комплекса технических средств </v>
      </c>
      <c r="B128" s="1931"/>
      <c r="C128" s="1748"/>
      <c r="D128" s="1694" t="s">
        <v>66</v>
      </c>
      <c r="E128" s="1694" t="s">
        <v>65</v>
      </c>
      <c r="F128" s="1694" t="s">
        <v>64</v>
      </c>
    </row>
    <row r="129" spans="1:6" x14ac:dyDescent="0.25">
      <c r="A129" s="132" t="s">
        <v>1717</v>
      </c>
      <c r="B129" s="905" t="s">
        <v>33</v>
      </c>
      <c r="C129" s="1748"/>
      <c r="D129" s="658"/>
      <c r="E129" s="658"/>
      <c r="F129" s="658" t="s">
        <v>1804</v>
      </c>
    </row>
    <row r="130" spans="1:6" x14ac:dyDescent="0.25">
      <c r="A130" s="132" t="s">
        <v>1718</v>
      </c>
      <c r="B130" s="905" t="s">
        <v>34</v>
      </c>
      <c r="C130" s="1748"/>
      <c r="D130" s="658"/>
      <c r="E130" s="658"/>
      <c r="F130" s="658" t="s">
        <v>1805</v>
      </c>
    </row>
    <row r="131" spans="1:6" ht="15.75" x14ac:dyDescent="0.25">
      <c r="A131" s="1930" t="str">
        <f>A28</f>
        <v xml:space="preserve">Описание программного обеспечения </v>
      </c>
      <c r="B131" s="1931"/>
      <c r="C131" s="1748"/>
      <c r="D131" s="1694" t="s">
        <v>66</v>
      </c>
      <c r="E131" s="1694" t="s">
        <v>65</v>
      </c>
      <c r="F131" s="1694" t="s">
        <v>64</v>
      </c>
    </row>
    <row r="132" spans="1:6" x14ac:dyDescent="0.25">
      <c r="A132" s="132" t="s">
        <v>1719</v>
      </c>
      <c r="B132" s="905" t="s">
        <v>33</v>
      </c>
      <c r="C132" s="1748"/>
      <c r="D132" s="658"/>
      <c r="E132" s="658" t="s">
        <v>1826</v>
      </c>
      <c r="F132" s="658" t="s">
        <v>1809</v>
      </c>
    </row>
    <row r="133" spans="1:6" x14ac:dyDescent="0.25">
      <c r="A133" s="132" t="s">
        <v>1720</v>
      </c>
      <c r="B133" s="905" t="s">
        <v>34</v>
      </c>
      <c r="C133" s="1748"/>
      <c r="D133" s="658"/>
      <c r="E133" s="658" t="s">
        <v>1827</v>
      </c>
      <c r="F133" s="658" t="s">
        <v>1825</v>
      </c>
    </row>
    <row r="134" spans="1:6" ht="15.75" x14ac:dyDescent="0.25">
      <c r="A134" s="1930" t="str">
        <f>A31</f>
        <v>Схема структурная</v>
      </c>
      <c r="B134" s="1931"/>
      <c r="C134" s="1748"/>
      <c r="D134" s="1694" t="s">
        <v>66</v>
      </c>
      <c r="E134" s="1694" t="s">
        <v>65</v>
      </c>
      <c r="F134" s="1694" t="s">
        <v>64</v>
      </c>
    </row>
    <row r="135" spans="1:6" x14ac:dyDescent="0.25">
      <c r="A135" s="132" t="s">
        <v>1721</v>
      </c>
      <c r="B135" s="905" t="s">
        <v>33</v>
      </c>
      <c r="C135" s="1748"/>
      <c r="D135" s="658" t="s">
        <v>1773</v>
      </c>
      <c r="E135" s="658" t="s">
        <v>1828</v>
      </c>
      <c r="F135" s="658" t="s">
        <v>1806</v>
      </c>
    </row>
    <row r="136" spans="1:6" x14ac:dyDescent="0.25">
      <c r="A136" s="132" t="s">
        <v>1722</v>
      </c>
      <c r="B136" s="905" t="s">
        <v>34</v>
      </c>
      <c r="C136" s="1748"/>
      <c r="D136" s="658" t="s">
        <v>1773</v>
      </c>
      <c r="E136" s="658" t="s">
        <v>1828</v>
      </c>
      <c r="F136" s="658" t="s">
        <v>1804</v>
      </c>
    </row>
    <row r="137" spans="1:6" ht="15.75" x14ac:dyDescent="0.25">
      <c r="A137" s="1930" t="str">
        <f>A34</f>
        <v>Схема функциональная</v>
      </c>
      <c r="B137" s="1931"/>
      <c r="C137" s="1748"/>
      <c r="D137" s="1694" t="s">
        <v>66</v>
      </c>
      <c r="E137" s="1694" t="s">
        <v>65</v>
      </c>
      <c r="F137" s="1694" t="s">
        <v>64</v>
      </c>
    </row>
    <row r="138" spans="1:6" x14ac:dyDescent="0.25">
      <c r="A138" s="132" t="s">
        <v>1723</v>
      </c>
      <c r="B138" s="905" t="s">
        <v>33</v>
      </c>
      <c r="C138" s="1748"/>
      <c r="D138" s="658"/>
      <c r="E138" s="658" t="s">
        <v>1826</v>
      </c>
      <c r="F138" s="658" t="s">
        <v>1804</v>
      </c>
    </row>
    <row r="139" spans="1:6" x14ac:dyDescent="0.25">
      <c r="A139" s="132" t="s">
        <v>1724</v>
      </c>
      <c r="B139" s="905" t="s">
        <v>34</v>
      </c>
      <c r="C139" s="1748"/>
      <c r="D139" s="658"/>
      <c r="E139" s="658" t="s">
        <v>1827</v>
      </c>
      <c r="F139" s="658" t="s">
        <v>1807</v>
      </c>
    </row>
    <row r="140" spans="1:6" ht="15.75" x14ac:dyDescent="0.25">
      <c r="A140" s="1930" t="str">
        <f>A38</f>
        <v xml:space="preserve">Пояснительная записка к технорабочему проекту </v>
      </c>
      <c r="B140" s="1931"/>
      <c r="C140" s="1748"/>
      <c r="D140" s="1694" t="s">
        <v>66</v>
      </c>
      <c r="E140" s="1694" t="s">
        <v>65</v>
      </c>
      <c r="F140" s="1694" t="s">
        <v>64</v>
      </c>
    </row>
    <row r="141" spans="1:6" x14ac:dyDescent="0.25">
      <c r="A141" s="132" t="s">
        <v>1725</v>
      </c>
      <c r="B141" s="905" t="s">
        <v>33</v>
      </c>
      <c r="C141" s="1748"/>
      <c r="D141" s="658"/>
      <c r="E141" s="658" t="s">
        <v>1827</v>
      </c>
      <c r="F141" s="658" t="s">
        <v>1811</v>
      </c>
    </row>
    <row r="142" spans="1:6" x14ac:dyDescent="0.25">
      <c r="A142" s="132" t="s">
        <v>1726</v>
      </c>
      <c r="B142" s="905" t="s">
        <v>34</v>
      </c>
      <c r="C142" s="1748"/>
      <c r="D142" s="658"/>
      <c r="E142" s="658" t="s">
        <v>1827</v>
      </c>
      <c r="F142" s="658" t="s">
        <v>1824</v>
      </c>
    </row>
    <row r="143" spans="1:6" ht="15.75" x14ac:dyDescent="0.25">
      <c r="A143" s="1930" t="str">
        <f>A42</f>
        <v xml:space="preserve">Спецификация оборудования </v>
      </c>
      <c r="B143" s="1931"/>
      <c r="C143" s="1748"/>
      <c r="D143" s="1694" t="s">
        <v>66</v>
      </c>
      <c r="E143" s="1694" t="s">
        <v>65</v>
      </c>
      <c r="F143" s="1694" t="s">
        <v>64</v>
      </c>
    </row>
    <row r="144" spans="1:6" x14ac:dyDescent="0.25">
      <c r="A144" s="132" t="s">
        <v>1727</v>
      </c>
      <c r="B144" s="905" t="s">
        <v>33</v>
      </c>
      <c r="C144" s="1748"/>
      <c r="D144" s="658" t="s">
        <v>1773</v>
      </c>
      <c r="E144" s="658" t="s">
        <v>1822</v>
      </c>
      <c r="F144" s="658"/>
    </row>
    <row r="145" spans="1:6" x14ac:dyDescent="0.25">
      <c r="A145" s="132" t="s">
        <v>1728</v>
      </c>
      <c r="B145" s="905" t="s">
        <v>34</v>
      </c>
      <c r="C145" s="1748"/>
      <c r="D145" s="658" t="s">
        <v>1773</v>
      </c>
      <c r="E145" s="658" t="s">
        <v>1822</v>
      </c>
      <c r="F145" s="658"/>
    </row>
    <row r="146" spans="1:6" ht="15.75" x14ac:dyDescent="0.25">
      <c r="A146" s="1930" t="str">
        <f>A45</f>
        <v>Инструкция по установке и настройке</v>
      </c>
      <c r="B146" s="1931"/>
      <c r="C146" s="1748"/>
      <c r="D146" s="1694" t="s">
        <v>66</v>
      </c>
      <c r="E146" s="1694" t="s">
        <v>65</v>
      </c>
      <c r="F146" s="1694" t="s">
        <v>64</v>
      </c>
    </row>
    <row r="147" spans="1:6" x14ac:dyDescent="0.25">
      <c r="A147" s="132" t="s">
        <v>1729</v>
      </c>
      <c r="B147" s="905" t="s">
        <v>33</v>
      </c>
      <c r="C147" s="1748"/>
      <c r="D147" s="658"/>
      <c r="E147" s="658" t="s">
        <v>1827</v>
      </c>
      <c r="F147" s="658" t="s">
        <v>1799</v>
      </c>
    </row>
    <row r="148" spans="1:6" x14ac:dyDescent="0.25">
      <c r="A148" s="132" t="s">
        <v>1730</v>
      </c>
      <c r="B148" s="905" t="s">
        <v>34</v>
      </c>
      <c r="C148" s="1748"/>
      <c r="D148" s="658"/>
      <c r="E148" s="658" t="s">
        <v>1830</v>
      </c>
      <c r="F148" s="658" t="s">
        <v>1806</v>
      </c>
    </row>
    <row r="149" spans="1:6" ht="15.75" x14ac:dyDescent="0.25">
      <c r="A149" s="1930" t="str">
        <f>A48</f>
        <v xml:space="preserve">Схема соединений внешних проводок </v>
      </c>
      <c r="B149" s="1931"/>
      <c r="C149" s="1748"/>
      <c r="D149" s="1694" t="s">
        <v>66</v>
      </c>
      <c r="E149" s="1694" t="s">
        <v>65</v>
      </c>
      <c r="F149" s="1694" t="s">
        <v>64</v>
      </c>
    </row>
    <row r="150" spans="1:6" x14ac:dyDescent="0.25">
      <c r="A150" s="132" t="s">
        <v>1731</v>
      </c>
      <c r="B150" s="905" t="s">
        <v>33</v>
      </c>
      <c r="C150" s="1748"/>
      <c r="D150" s="658" t="s">
        <v>1769</v>
      </c>
      <c r="E150" s="658" t="s">
        <v>1831</v>
      </c>
      <c r="F150" s="658" t="s">
        <v>1799</v>
      </c>
    </row>
    <row r="151" spans="1:6" x14ac:dyDescent="0.25">
      <c r="A151" s="132" t="s">
        <v>1732</v>
      </c>
      <c r="B151" s="905" t="s">
        <v>34</v>
      </c>
      <c r="C151" s="1748"/>
      <c r="D151" s="658" t="s">
        <v>1769</v>
      </c>
      <c r="E151" s="658" t="s">
        <v>1831</v>
      </c>
      <c r="F151" s="658" t="s">
        <v>1799</v>
      </c>
    </row>
    <row r="152" spans="1:6" ht="15.75" x14ac:dyDescent="0.25">
      <c r="A152" s="1930" t="str">
        <f>A51</f>
        <v xml:space="preserve">Таблица соединений и подключений </v>
      </c>
      <c r="B152" s="1931"/>
      <c r="C152" s="1748"/>
      <c r="D152" s="1694" t="s">
        <v>66</v>
      </c>
      <c r="E152" s="1694" t="s">
        <v>65</v>
      </c>
      <c r="F152" s="1694" t="s">
        <v>64</v>
      </c>
    </row>
    <row r="153" spans="1:6" x14ac:dyDescent="0.25">
      <c r="A153" s="132" t="s">
        <v>1733</v>
      </c>
      <c r="B153" s="905" t="s">
        <v>33</v>
      </c>
      <c r="C153" s="1748"/>
      <c r="D153" s="658" t="s">
        <v>1769</v>
      </c>
      <c r="E153" s="658" t="s">
        <v>1831</v>
      </c>
      <c r="F153" s="658" t="s">
        <v>1799</v>
      </c>
    </row>
    <row r="154" spans="1:6" x14ac:dyDescent="0.25">
      <c r="A154" s="132" t="s">
        <v>1734</v>
      </c>
      <c r="B154" s="905" t="s">
        <v>34</v>
      </c>
      <c r="C154" s="1748"/>
      <c r="D154" s="658" t="s">
        <v>1769</v>
      </c>
      <c r="E154" s="658" t="s">
        <v>1831</v>
      </c>
      <c r="F154" s="658" t="s">
        <v>1799</v>
      </c>
    </row>
    <row r="155" spans="1:6" ht="15.75" x14ac:dyDescent="0.25">
      <c r="A155" s="1930" t="str">
        <f>A54</f>
        <v xml:space="preserve">План расположения </v>
      </c>
      <c r="B155" s="1931"/>
      <c r="C155" s="1748"/>
      <c r="D155" s="1694" t="s">
        <v>66</v>
      </c>
      <c r="E155" s="1694" t="s">
        <v>65</v>
      </c>
      <c r="F155" s="1694" t="s">
        <v>64</v>
      </c>
    </row>
    <row r="156" spans="1:6" x14ac:dyDescent="0.25">
      <c r="A156" s="132" t="s">
        <v>1735</v>
      </c>
      <c r="B156" s="905" t="s">
        <v>33</v>
      </c>
      <c r="C156" s="1748"/>
      <c r="D156" s="658" t="s">
        <v>1773</v>
      </c>
      <c r="E156" s="658" t="s">
        <v>1831</v>
      </c>
      <c r="F156" s="658" t="s">
        <v>1799</v>
      </c>
    </row>
    <row r="157" spans="1:6" x14ac:dyDescent="0.25">
      <c r="A157" s="132" t="s">
        <v>1736</v>
      </c>
      <c r="B157" s="905" t="s">
        <v>34</v>
      </c>
      <c r="C157" s="1748"/>
      <c r="D157" s="658" t="s">
        <v>1773</v>
      </c>
      <c r="E157" s="658" t="s">
        <v>1831</v>
      </c>
      <c r="F157" s="658" t="s">
        <v>1799</v>
      </c>
    </row>
    <row r="158" spans="1:6" ht="15.75" x14ac:dyDescent="0.25">
      <c r="A158" s="1930" t="str">
        <f>A57</f>
        <v>Паспорт</v>
      </c>
      <c r="B158" s="1931"/>
      <c r="C158" s="1748"/>
      <c r="D158" s="1694" t="s">
        <v>66</v>
      </c>
      <c r="E158" s="1694" t="s">
        <v>65</v>
      </c>
      <c r="F158" s="1694" t="s">
        <v>64</v>
      </c>
    </row>
    <row r="159" spans="1:6" x14ac:dyDescent="0.25">
      <c r="A159" s="132" t="s">
        <v>1744</v>
      </c>
      <c r="B159" s="905" t="s">
        <v>33</v>
      </c>
      <c r="C159" s="1748"/>
      <c r="D159" s="658"/>
      <c r="E159" s="658" t="s">
        <v>1826</v>
      </c>
      <c r="F159" s="658" t="s">
        <v>1809</v>
      </c>
    </row>
    <row r="160" spans="1:6" x14ac:dyDescent="0.25">
      <c r="A160" s="132" t="s">
        <v>1743</v>
      </c>
      <c r="B160" s="905" t="s">
        <v>34</v>
      </c>
      <c r="C160" s="1748"/>
      <c r="D160" s="658"/>
      <c r="E160" s="658" t="s">
        <v>1826</v>
      </c>
      <c r="F160" s="658" t="s">
        <v>1810</v>
      </c>
    </row>
    <row r="161" spans="1:6" ht="15.75" x14ac:dyDescent="0.25">
      <c r="A161" s="1930" t="str">
        <f>A60</f>
        <v>ПиМИ</v>
      </c>
      <c r="B161" s="1931"/>
      <c r="C161" s="1748"/>
      <c r="D161" s="1694" t="s">
        <v>66</v>
      </c>
      <c r="E161" s="1694" t="s">
        <v>65</v>
      </c>
      <c r="F161" s="1694" t="s">
        <v>64</v>
      </c>
    </row>
    <row r="162" spans="1:6" x14ac:dyDescent="0.25">
      <c r="A162" s="132" t="s">
        <v>1742</v>
      </c>
      <c r="B162" s="905" t="s">
        <v>33</v>
      </c>
      <c r="C162" s="1748"/>
      <c r="D162" s="658"/>
      <c r="E162" s="658" t="s">
        <v>1826</v>
      </c>
      <c r="F162" s="658" t="s">
        <v>1804</v>
      </c>
    </row>
    <row r="163" spans="1:6" x14ac:dyDescent="0.25">
      <c r="A163" s="132" t="s">
        <v>1741</v>
      </c>
      <c r="B163" s="905" t="s">
        <v>34</v>
      </c>
      <c r="C163" s="1748"/>
      <c r="D163" s="658"/>
      <c r="E163" s="658" t="s">
        <v>1827</v>
      </c>
      <c r="F163" s="658" t="s">
        <v>1807</v>
      </c>
    </row>
    <row r="164" spans="1:6" ht="15.75" x14ac:dyDescent="0.25">
      <c r="A164" s="1930" t="str">
        <f>A63</f>
        <v>Технические условия для монтажа оборудования</v>
      </c>
      <c r="B164" s="1931"/>
      <c r="C164" s="1748"/>
      <c r="D164" s="1694" t="s">
        <v>66</v>
      </c>
      <c r="E164" s="1694" t="s">
        <v>65</v>
      </c>
      <c r="F164" s="1694" t="s">
        <v>64</v>
      </c>
    </row>
    <row r="165" spans="1:6" x14ac:dyDescent="0.25">
      <c r="A165" s="132" t="s">
        <v>1740</v>
      </c>
      <c r="B165" s="905" t="s">
        <v>33</v>
      </c>
      <c r="C165" s="1748"/>
      <c r="D165" s="658"/>
      <c r="E165" s="658"/>
      <c r="F165" s="658"/>
    </row>
    <row r="166" spans="1:6" x14ac:dyDescent="0.25">
      <c r="A166" s="132" t="s">
        <v>1739</v>
      </c>
      <c r="B166" s="905" t="s">
        <v>34</v>
      </c>
      <c r="C166" s="1748"/>
      <c r="D166" s="658"/>
      <c r="E166" s="658"/>
      <c r="F166" s="658"/>
    </row>
    <row r="167" spans="1:6" ht="15.75" x14ac:dyDescent="0.25">
      <c r="A167" s="1930" t="str">
        <f>A66</f>
        <v>Эскизная схема расположения оборудования</v>
      </c>
      <c r="B167" s="1931"/>
      <c r="C167" s="1748"/>
      <c r="D167" s="1694" t="s">
        <v>66</v>
      </c>
      <c r="E167" s="1694" t="s">
        <v>65</v>
      </c>
      <c r="F167" s="1694" t="s">
        <v>64</v>
      </c>
    </row>
    <row r="168" spans="1:6" x14ac:dyDescent="0.25">
      <c r="A168" s="132" t="s">
        <v>1737</v>
      </c>
      <c r="B168" s="905" t="s">
        <v>33</v>
      </c>
      <c r="C168" s="1748"/>
      <c r="D168" s="658" t="s">
        <v>1773</v>
      </c>
      <c r="E168" s="658" t="s">
        <v>1832</v>
      </c>
      <c r="F168" s="658" t="s">
        <v>1799</v>
      </c>
    </row>
    <row r="169" spans="1:6" x14ac:dyDescent="0.25">
      <c r="A169" s="132" t="s">
        <v>1738</v>
      </c>
      <c r="B169" s="905" t="s">
        <v>34</v>
      </c>
      <c r="C169" s="1748"/>
      <c r="D169" s="658" t="s">
        <v>1773</v>
      </c>
      <c r="E169" s="658" t="s">
        <v>1832</v>
      </c>
      <c r="F169" s="658" t="s">
        <v>1799</v>
      </c>
    </row>
    <row r="170" spans="1:6" ht="15.75" x14ac:dyDescent="0.25">
      <c r="A170" s="1930" t="str">
        <f>A69</f>
        <v>Сетевая схема L2</v>
      </c>
      <c r="B170" s="1931"/>
      <c r="C170" s="1748"/>
      <c r="D170" s="1694" t="s">
        <v>66</v>
      </c>
      <c r="E170" s="1694" t="s">
        <v>65</v>
      </c>
      <c r="F170" s="1694" t="s">
        <v>64</v>
      </c>
    </row>
    <row r="171" spans="1:6" x14ac:dyDescent="0.25">
      <c r="A171" s="132" t="s">
        <v>1745</v>
      </c>
      <c r="B171" s="905" t="s">
        <v>33</v>
      </c>
      <c r="C171" s="1748"/>
      <c r="D171" s="658"/>
      <c r="E171" s="658"/>
      <c r="F171" s="658"/>
    </row>
    <row r="172" spans="1:6" x14ac:dyDescent="0.25">
      <c r="A172" s="132" t="s">
        <v>1746</v>
      </c>
      <c r="B172" s="905" t="s">
        <v>34</v>
      </c>
      <c r="C172" s="1748"/>
      <c r="D172" s="658"/>
      <c r="E172" s="658"/>
      <c r="F172" s="658"/>
    </row>
    <row r="173" spans="1:6" ht="15.75" x14ac:dyDescent="0.25">
      <c r="A173" s="1930" t="str">
        <f>A72</f>
        <v>Сетевая схема L3</v>
      </c>
      <c r="B173" s="1931"/>
      <c r="C173" s="1748"/>
      <c r="D173" s="1694" t="s">
        <v>66</v>
      </c>
      <c r="E173" s="1694" t="s">
        <v>65</v>
      </c>
      <c r="F173" s="1694" t="s">
        <v>64</v>
      </c>
    </row>
    <row r="174" spans="1:6" x14ac:dyDescent="0.25">
      <c r="A174" s="132" t="s">
        <v>1747</v>
      </c>
      <c r="B174" s="905" t="s">
        <v>33</v>
      </c>
      <c r="C174" s="1748"/>
      <c r="D174" s="658"/>
      <c r="E174" s="658"/>
      <c r="F174" s="658"/>
    </row>
    <row r="175" spans="1:6" x14ac:dyDescent="0.25">
      <c r="A175" s="132" t="s">
        <v>1748</v>
      </c>
      <c r="B175" s="905" t="s">
        <v>34</v>
      </c>
      <c r="C175" s="1748"/>
      <c r="D175" s="658"/>
      <c r="E175" s="658"/>
      <c r="F175" s="658"/>
    </row>
    <row r="176" spans="1:6" ht="15.75" x14ac:dyDescent="0.25">
      <c r="A176" s="1930" t="str">
        <f>A78</f>
        <v>Принципиальная схема электропитания оборудования (СБ)</v>
      </c>
      <c r="B176" s="1931"/>
      <c r="C176" s="1748"/>
      <c r="D176" s="1694" t="s">
        <v>66</v>
      </c>
      <c r="E176" s="1694" t="s">
        <v>65</v>
      </c>
      <c r="F176" s="1694" t="s">
        <v>64</v>
      </c>
    </row>
    <row r="177" spans="1:6" x14ac:dyDescent="0.25">
      <c r="A177" s="132" t="s">
        <v>1749</v>
      </c>
      <c r="B177" s="905" t="s">
        <v>33</v>
      </c>
      <c r="C177" s="1748"/>
      <c r="D177" s="658" t="s">
        <v>1797</v>
      </c>
      <c r="E177" s="658" t="s">
        <v>1831</v>
      </c>
      <c r="F177" s="658" t="s">
        <v>1799</v>
      </c>
    </row>
    <row r="178" spans="1:6" x14ac:dyDescent="0.25">
      <c r="A178" s="132" t="s">
        <v>1750</v>
      </c>
      <c r="B178" s="905" t="s">
        <v>34</v>
      </c>
      <c r="C178" s="1748"/>
      <c r="D178" s="658" t="s">
        <v>1797</v>
      </c>
      <c r="E178" s="658" t="s">
        <v>1831</v>
      </c>
      <c r="F178" s="658" t="s">
        <v>1799</v>
      </c>
    </row>
    <row r="179" spans="1:6" ht="15.75" x14ac:dyDescent="0.25">
      <c r="A179" s="1930" t="str">
        <f>A81</f>
        <v>Схема подключения внешних проводок (С5)</v>
      </c>
      <c r="B179" s="1931"/>
      <c r="C179" s="1748"/>
      <c r="D179" s="1694" t="s">
        <v>66</v>
      </c>
      <c r="E179" s="1694" t="s">
        <v>65</v>
      </c>
      <c r="F179" s="1694" t="s">
        <v>64</v>
      </c>
    </row>
    <row r="180" spans="1:6" x14ac:dyDescent="0.25">
      <c r="A180" s="132" t="s">
        <v>1751</v>
      </c>
      <c r="B180" s="905" t="s">
        <v>33</v>
      </c>
      <c r="C180" s="1748"/>
      <c r="D180" s="658" t="s">
        <v>1769</v>
      </c>
      <c r="E180" s="658" t="s">
        <v>1831</v>
      </c>
      <c r="F180" s="658" t="s">
        <v>1799</v>
      </c>
    </row>
    <row r="181" spans="1:6" x14ac:dyDescent="0.25">
      <c r="A181" s="132" t="s">
        <v>1752</v>
      </c>
      <c r="B181" s="905" t="s">
        <v>34</v>
      </c>
      <c r="C181" s="1748"/>
      <c r="D181" s="658" t="s">
        <v>1769</v>
      </c>
      <c r="E181" s="658" t="s">
        <v>1831</v>
      </c>
      <c r="F181" s="658" t="s">
        <v>1799</v>
      </c>
    </row>
    <row r="182" spans="1:6" ht="15.75" x14ac:dyDescent="0.25">
      <c r="A182" s="1930" t="str">
        <f>A84</f>
        <v>Чертеж установки технических средств (СА)</v>
      </c>
      <c r="B182" s="1931"/>
      <c r="C182" s="1748"/>
      <c r="D182" s="1694" t="s">
        <v>66</v>
      </c>
      <c r="E182" s="1694" t="s">
        <v>65</v>
      </c>
      <c r="F182" s="1694" t="s">
        <v>64</v>
      </c>
    </row>
    <row r="183" spans="1:6" x14ac:dyDescent="0.25">
      <c r="A183" s="132" t="s">
        <v>1753</v>
      </c>
      <c r="B183" s="905" t="s">
        <v>33</v>
      </c>
      <c r="C183" s="1748"/>
      <c r="D183" s="658" t="s">
        <v>1773</v>
      </c>
      <c r="E183" s="658" t="s">
        <v>1831</v>
      </c>
      <c r="F183" s="658" t="s">
        <v>1799</v>
      </c>
    </row>
    <row r="184" spans="1:6" x14ac:dyDescent="0.25">
      <c r="A184" s="132" t="s">
        <v>1754</v>
      </c>
      <c r="B184" s="905" t="s">
        <v>34</v>
      </c>
      <c r="C184" s="1748"/>
      <c r="D184" s="658" t="s">
        <v>1773</v>
      </c>
      <c r="E184" s="658" t="s">
        <v>1831</v>
      </c>
      <c r="F184" s="658" t="s">
        <v>1799</v>
      </c>
    </row>
    <row r="185" spans="1:6" ht="15.75" x14ac:dyDescent="0.25">
      <c r="A185" s="1930" t="str">
        <f>A88</f>
        <v xml:space="preserve">Ведомость эксплуатационных документов </v>
      </c>
      <c r="B185" s="1931"/>
      <c r="C185" s="1748"/>
      <c r="D185" s="1694" t="s">
        <v>66</v>
      </c>
      <c r="E185" s="1694" t="s">
        <v>65</v>
      </c>
      <c r="F185" s="1694" t="s">
        <v>64</v>
      </c>
    </row>
    <row r="186" spans="1:6" x14ac:dyDescent="0.25">
      <c r="A186" s="132" t="s">
        <v>1755</v>
      </c>
      <c r="B186" s="905" t="s">
        <v>33</v>
      </c>
      <c r="C186" s="1748"/>
      <c r="D186" s="658"/>
      <c r="E186" s="658"/>
      <c r="F186" s="658"/>
    </row>
    <row r="187" spans="1:6" x14ac:dyDescent="0.25">
      <c r="A187" s="132" t="s">
        <v>1756</v>
      </c>
      <c r="B187" s="905" t="s">
        <v>34</v>
      </c>
      <c r="C187" s="1748"/>
      <c r="D187" s="658"/>
      <c r="E187" s="658"/>
      <c r="F187" s="658"/>
    </row>
    <row r="188" spans="1:6" ht="15.75" x14ac:dyDescent="0.25">
      <c r="A188" s="1930" t="str">
        <f>A91</f>
        <v>Руководство администратора</v>
      </c>
      <c r="B188" s="1931"/>
      <c r="C188" s="1748"/>
      <c r="D188" s="1694" t="s">
        <v>66</v>
      </c>
      <c r="E188" s="1694" t="s">
        <v>65</v>
      </c>
      <c r="F188" s="1694" t="s">
        <v>64</v>
      </c>
    </row>
    <row r="189" spans="1:6" x14ac:dyDescent="0.25">
      <c r="A189" s="132" t="s">
        <v>1757</v>
      </c>
      <c r="B189" s="905" t="s">
        <v>33</v>
      </c>
      <c r="C189" s="1748"/>
      <c r="D189" s="658"/>
      <c r="E189" s="658" t="s">
        <v>1826</v>
      </c>
      <c r="F189" s="658" t="s">
        <v>1805</v>
      </c>
    </row>
    <row r="190" spans="1:6" x14ac:dyDescent="0.25">
      <c r="A190" s="132" t="s">
        <v>1758</v>
      </c>
      <c r="B190" s="905" t="s">
        <v>34</v>
      </c>
      <c r="C190" s="1748"/>
      <c r="D190" s="658"/>
      <c r="E190" s="658" t="s">
        <v>1826</v>
      </c>
      <c r="F190" s="658" t="s">
        <v>1811</v>
      </c>
    </row>
    <row r="191" spans="1:6" ht="15.75" x14ac:dyDescent="0.25">
      <c r="A191" s="1930" t="str">
        <f>A94</f>
        <v xml:space="preserve">Руководство пользователя </v>
      </c>
      <c r="B191" s="1931"/>
      <c r="C191" s="1748"/>
      <c r="D191" s="1694" t="s">
        <v>66</v>
      </c>
      <c r="E191" s="1694" t="s">
        <v>65</v>
      </c>
      <c r="F191" s="1694" t="s">
        <v>64</v>
      </c>
    </row>
    <row r="192" spans="1:6" x14ac:dyDescent="0.25">
      <c r="A192" s="132" t="s">
        <v>1759</v>
      </c>
      <c r="B192" s="905" t="s">
        <v>33</v>
      </c>
      <c r="C192" s="1748"/>
      <c r="D192" s="658"/>
      <c r="E192" s="658" t="s">
        <v>1827</v>
      </c>
      <c r="F192" s="658" t="s">
        <v>1805</v>
      </c>
    </row>
    <row r="193" spans="1:6" x14ac:dyDescent="0.25">
      <c r="A193" s="132" t="s">
        <v>1760</v>
      </c>
      <c r="B193" s="905" t="s">
        <v>34</v>
      </c>
      <c r="C193" s="1748"/>
      <c r="D193" s="658"/>
      <c r="E193" s="658" t="s">
        <v>1827</v>
      </c>
      <c r="F193" s="658" t="s">
        <v>1811</v>
      </c>
    </row>
    <row r="194" spans="1:6" ht="15.75" x14ac:dyDescent="0.25">
      <c r="A194" s="1930" t="str">
        <f>A97</f>
        <v>Руководство по мониторингу</v>
      </c>
      <c r="B194" s="1931"/>
      <c r="C194" s="1748"/>
      <c r="D194" s="1694" t="s">
        <v>66</v>
      </c>
      <c r="E194" s="1694" t="s">
        <v>65</v>
      </c>
      <c r="F194" s="1694" t="s">
        <v>64</v>
      </c>
    </row>
    <row r="195" spans="1:6" x14ac:dyDescent="0.25">
      <c r="A195" s="132" t="s">
        <v>1761</v>
      </c>
      <c r="B195" s="905" t="s">
        <v>33</v>
      </c>
      <c r="C195" s="1748"/>
      <c r="D195" s="658" t="s">
        <v>1797</v>
      </c>
      <c r="E195" s="658" t="s">
        <v>1826</v>
      </c>
      <c r="F195" s="658" t="s">
        <v>1804</v>
      </c>
    </row>
    <row r="196" spans="1:6" x14ac:dyDescent="0.25">
      <c r="A196" s="132" t="s">
        <v>1762</v>
      </c>
      <c r="B196" s="905" t="s">
        <v>34</v>
      </c>
      <c r="C196" s="1748"/>
      <c r="D196" s="658" t="s">
        <v>1812</v>
      </c>
      <c r="E196" s="658" t="s">
        <v>1826</v>
      </c>
      <c r="F196" s="658" t="s">
        <v>1807</v>
      </c>
    </row>
    <row r="197" spans="1:6" ht="15.75" x14ac:dyDescent="0.25">
      <c r="A197" s="1930" t="str">
        <f>A100</f>
        <v>План резервного копирования</v>
      </c>
      <c r="B197" s="1931"/>
      <c r="C197" s="1748"/>
      <c r="D197" s="1694" t="s">
        <v>66</v>
      </c>
      <c r="E197" s="1694" t="s">
        <v>65</v>
      </c>
      <c r="F197" s="1694" t="s">
        <v>64</v>
      </c>
    </row>
    <row r="198" spans="1:6" x14ac:dyDescent="0.25">
      <c r="A198" s="132" t="s">
        <v>1763</v>
      </c>
      <c r="B198" s="905" t="s">
        <v>33</v>
      </c>
      <c r="C198" s="1748"/>
      <c r="D198" s="658" t="s">
        <v>1797</v>
      </c>
      <c r="E198" s="658" t="s">
        <v>1826</v>
      </c>
      <c r="F198" s="658" t="s">
        <v>1804</v>
      </c>
    </row>
    <row r="199" spans="1:6" x14ac:dyDescent="0.25">
      <c r="A199" s="132" t="s">
        <v>1764</v>
      </c>
      <c r="B199" s="905" t="s">
        <v>34</v>
      </c>
      <c r="C199" s="1748"/>
      <c r="D199" s="658" t="s">
        <v>1812</v>
      </c>
      <c r="E199" s="658" t="s">
        <v>1826</v>
      </c>
      <c r="F199" s="658" t="s">
        <v>1807</v>
      </c>
    </row>
    <row r="200" spans="1:6" ht="15.75" x14ac:dyDescent="0.25">
      <c r="A200" s="1930" t="str">
        <f>A103</f>
        <v>План опытной эксплуатации</v>
      </c>
      <c r="B200" s="1931"/>
      <c r="C200" s="1748"/>
      <c r="D200" s="1694" t="s">
        <v>66</v>
      </c>
      <c r="E200" s="1694" t="s">
        <v>65</v>
      </c>
      <c r="F200" s="1694" t="s">
        <v>64</v>
      </c>
    </row>
    <row r="201" spans="1:6" x14ac:dyDescent="0.25">
      <c r="A201" s="132" t="s">
        <v>1765</v>
      </c>
      <c r="B201" s="905" t="s">
        <v>33</v>
      </c>
      <c r="C201" s="1748"/>
      <c r="D201" s="658"/>
      <c r="E201" s="658" t="s">
        <v>1826</v>
      </c>
      <c r="F201" s="658" t="s">
        <v>1806</v>
      </c>
    </row>
    <row r="202" spans="1:6" x14ac:dyDescent="0.25">
      <c r="A202" s="132" t="s">
        <v>1766</v>
      </c>
      <c r="B202" s="905" t="s">
        <v>34</v>
      </c>
      <c r="C202" s="1748"/>
      <c r="D202" s="658"/>
      <c r="E202" s="658" t="s">
        <v>1826</v>
      </c>
      <c r="F202" s="658" t="s">
        <v>1804</v>
      </c>
    </row>
  </sheetData>
  <autoFilter ref="A2:K105" xr:uid="{00000000-0001-0000-5F00-000000000000}"/>
  <mergeCells count="67">
    <mergeCell ref="A100:A102"/>
    <mergeCell ref="A103:A105"/>
    <mergeCell ref="A81:A83"/>
    <mergeCell ref="A84:A86"/>
    <mergeCell ref="A88:A90"/>
    <mergeCell ref="A91:A93"/>
    <mergeCell ref="A94:A96"/>
    <mergeCell ref="A97:A99"/>
    <mergeCell ref="A78:A80"/>
    <mergeCell ref="A31:A33"/>
    <mergeCell ref="A34:A36"/>
    <mergeCell ref="A38:A40"/>
    <mergeCell ref="A42:A44"/>
    <mergeCell ref="A45:A47"/>
    <mergeCell ref="A48:A50"/>
    <mergeCell ref="A51:A53"/>
    <mergeCell ref="A54:A56"/>
    <mergeCell ref="A57:A59"/>
    <mergeCell ref="A60:A62"/>
    <mergeCell ref="A75:A77"/>
    <mergeCell ref="A63:A65"/>
    <mergeCell ref="A66:A68"/>
    <mergeCell ref="A69:A71"/>
    <mergeCell ref="A72:A74"/>
    <mergeCell ref="A28:A30"/>
    <mergeCell ref="D1:G1"/>
    <mergeCell ref="H1:K1"/>
    <mergeCell ref="C2:C3"/>
    <mergeCell ref="G2:G3"/>
    <mergeCell ref="K2:K3"/>
    <mergeCell ref="A8:A10"/>
    <mergeCell ref="A12:A14"/>
    <mergeCell ref="A16:A18"/>
    <mergeCell ref="A19:A21"/>
    <mergeCell ref="A22:A24"/>
    <mergeCell ref="A25:A27"/>
    <mergeCell ref="A5:A7"/>
    <mergeCell ref="A113:B113"/>
    <mergeCell ref="A116:B116"/>
    <mergeCell ref="A119:B119"/>
    <mergeCell ref="A122:B122"/>
    <mergeCell ref="A125:B125"/>
    <mergeCell ref="A128:B128"/>
    <mergeCell ref="A131:B131"/>
    <mergeCell ref="A134:B134"/>
    <mergeCell ref="A137:B137"/>
    <mergeCell ref="A140:B140"/>
    <mergeCell ref="A143:B143"/>
    <mergeCell ref="A146:B146"/>
    <mergeCell ref="A149:B149"/>
    <mergeCell ref="A152:B152"/>
    <mergeCell ref="A155:B155"/>
    <mergeCell ref="A158:B158"/>
    <mergeCell ref="A161:B161"/>
    <mergeCell ref="A164:B164"/>
    <mergeCell ref="A167:B167"/>
    <mergeCell ref="A170:B170"/>
    <mergeCell ref="A173:B173"/>
    <mergeCell ref="A176:B176"/>
    <mergeCell ref="A179:B179"/>
    <mergeCell ref="A182:B182"/>
    <mergeCell ref="A185:B185"/>
    <mergeCell ref="A188:B188"/>
    <mergeCell ref="A191:B191"/>
    <mergeCell ref="A194:B194"/>
    <mergeCell ref="A197:B197"/>
    <mergeCell ref="A200:B200"/>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Лист17"/>
  <dimension ref="A1:G202"/>
  <sheetViews>
    <sheetView zoomScale="70" zoomScaleNormal="70" workbookViewId="0">
      <selection activeCell="E6" sqref="E6"/>
    </sheetView>
  </sheetViews>
  <sheetFormatPr defaultRowHeight="15" x14ac:dyDescent="0.25"/>
  <cols>
    <col min="1" max="1" width="53.42578125" bestFit="1" customWidth="1"/>
    <col min="2" max="2" width="23.5703125" bestFit="1" customWidth="1"/>
    <col min="4" max="4" width="54.140625" bestFit="1" customWidth="1"/>
    <col min="5" max="5" width="57.28515625" bestFit="1" customWidth="1"/>
    <col min="6" max="6" width="44.5703125" bestFit="1" customWidth="1"/>
  </cols>
  <sheetData>
    <row r="1" spans="1:7" ht="15.75" x14ac:dyDescent="0.25">
      <c r="A1" s="465" t="s">
        <v>91</v>
      </c>
      <c r="B1" s="35"/>
      <c r="C1" s="43"/>
      <c r="D1" s="1947" t="str">
        <f>'Служебный АСУТП'!X2</f>
        <v>Efros Defence Operations</v>
      </c>
      <c r="E1" s="1947"/>
      <c r="F1" s="1947"/>
      <c r="G1" s="1947"/>
    </row>
    <row r="2" spans="1:7" ht="15.75" x14ac:dyDescent="0.25">
      <c r="B2" s="41" t="s">
        <v>37</v>
      </c>
      <c r="C2" s="1945" t="s">
        <v>35</v>
      </c>
      <c r="D2" s="439" t="s">
        <v>1851</v>
      </c>
      <c r="E2" s="191" t="s">
        <v>1854</v>
      </c>
      <c r="F2" s="191" t="s">
        <v>1852</v>
      </c>
      <c r="G2" s="1942" t="s">
        <v>38</v>
      </c>
    </row>
    <row r="3" spans="1:7"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row>
    <row r="4" spans="1:7" ht="16.5" thickBot="1" x14ac:dyDescent="0.3">
      <c r="A4" s="326" t="s">
        <v>0</v>
      </c>
      <c r="B4" s="327"/>
      <c r="C4" s="327"/>
      <c r="D4" s="327"/>
      <c r="E4" s="327"/>
      <c r="F4" s="327"/>
      <c r="G4" s="396"/>
    </row>
    <row r="5" spans="1:7" x14ac:dyDescent="0.25">
      <c r="A5" s="1932" t="s">
        <v>0</v>
      </c>
      <c r="B5" s="1723" t="s">
        <v>32</v>
      </c>
      <c r="C5" s="1724"/>
      <c r="D5" s="1725">
        <v>2</v>
      </c>
      <c r="E5" s="1725">
        <v>0.5</v>
      </c>
      <c r="F5" s="1725">
        <v>0</v>
      </c>
      <c r="G5" s="1727">
        <f xml:space="preserve"> SUM(D5:F5) + $C5</f>
        <v>2.5</v>
      </c>
    </row>
    <row r="6" spans="1:7" x14ac:dyDescent="0.25">
      <c r="A6" s="1932"/>
      <c r="B6" s="19" t="s">
        <v>33</v>
      </c>
      <c r="C6" s="22"/>
      <c r="D6" s="446">
        <v>1</v>
      </c>
      <c r="E6" s="478">
        <f>IF(E$3&gt;1,E$3*0.25,0.25)</f>
        <v>0.25</v>
      </c>
      <c r="F6" s="630">
        <f>IF(F$3=1,D6+E6+4,0)</f>
        <v>0</v>
      </c>
      <c r="G6" s="21">
        <f xml:space="preserve"> SUM(D6:F6) + $C6</f>
        <v>1.25</v>
      </c>
    </row>
    <row r="7" spans="1:7" x14ac:dyDescent="0.25">
      <c r="A7" s="1973"/>
      <c r="B7" s="19" t="s">
        <v>34</v>
      </c>
      <c r="C7" s="22"/>
      <c r="D7" s="446">
        <v>2</v>
      </c>
      <c r="E7" s="478">
        <f>IF(E$3&gt;1,E$3*0.25,0.25)</f>
        <v>0.25</v>
      </c>
      <c r="F7" s="630">
        <f>IF(F$3=1,D7+E7+8,0)</f>
        <v>0</v>
      </c>
      <c r="G7" s="21">
        <f xml:space="preserve"> SUM(D7:F7) + $C7</f>
        <v>2.25</v>
      </c>
    </row>
    <row r="8" spans="1:7" x14ac:dyDescent="0.25">
      <c r="A8" s="1932" t="s">
        <v>449</v>
      </c>
      <c r="B8" s="1723" t="s">
        <v>32</v>
      </c>
      <c r="C8" s="1724"/>
      <c r="D8" s="1725">
        <v>2</v>
      </c>
      <c r="E8" s="1737">
        <v>0.5</v>
      </c>
      <c r="F8" s="1737">
        <v>0</v>
      </c>
      <c r="G8" s="1730">
        <f xml:space="preserve"> SUM(D8:F8) + $C8</f>
        <v>2.5</v>
      </c>
    </row>
    <row r="9" spans="1:7" x14ac:dyDescent="0.25">
      <c r="A9" s="1932"/>
      <c r="B9" s="19" t="s">
        <v>33</v>
      </c>
      <c r="C9" s="22"/>
      <c r="D9" s="446">
        <v>1</v>
      </c>
      <c r="E9" s="478">
        <f>IF(E$3&gt;1,E$3*0.25,0.25)</f>
        <v>0.25</v>
      </c>
      <c r="F9" s="630">
        <f>IF(F$3=1,D9+E9+4,0)</f>
        <v>0</v>
      </c>
      <c r="G9" s="21">
        <f t="shared" ref="G9:G93" si="0" xml:space="preserve"> SUM(D9:F9) + $C9</f>
        <v>1.25</v>
      </c>
    </row>
    <row r="10" spans="1:7" ht="15.75" thickBot="1" x14ac:dyDescent="0.3">
      <c r="A10" s="1932"/>
      <c r="B10" s="13" t="s">
        <v>34</v>
      </c>
      <c r="C10" s="34"/>
      <c r="D10" s="446">
        <v>2</v>
      </c>
      <c r="E10" s="478">
        <f>IF(E$3&gt;1,E$3*0.25,0.25)</f>
        <v>0.25</v>
      </c>
      <c r="F10" s="630">
        <f>IF(F$3=1,D10+E10+8,0)</f>
        <v>0</v>
      </c>
      <c r="G10" s="77">
        <f t="shared" si="0"/>
        <v>2.25</v>
      </c>
    </row>
    <row r="11" spans="1:7" ht="16.5" thickBot="1" x14ac:dyDescent="0.3">
      <c r="A11" s="326" t="s">
        <v>1</v>
      </c>
      <c r="B11" s="327"/>
      <c r="C11" s="327"/>
      <c r="D11" s="327"/>
      <c r="E11" s="327"/>
      <c r="F11" s="327"/>
      <c r="G11" s="396"/>
    </row>
    <row r="12" spans="1:7" x14ac:dyDescent="0.25">
      <c r="A12" s="1932" t="s">
        <v>2</v>
      </c>
      <c r="B12" s="1723" t="s">
        <v>32</v>
      </c>
      <c r="C12" s="1724"/>
      <c r="D12" s="1725">
        <v>8</v>
      </c>
      <c r="E12" s="1725">
        <f>2*E$3</f>
        <v>0</v>
      </c>
      <c r="F12" s="1725">
        <v>0</v>
      </c>
      <c r="G12" s="1727">
        <f t="shared" si="0"/>
        <v>8</v>
      </c>
    </row>
    <row r="13" spans="1:7" x14ac:dyDescent="0.25">
      <c r="A13" s="1932"/>
      <c r="B13" s="19" t="s">
        <v>33</v>
      </c>
      <c r="C13" s="22"/>
      <c r="D13" s="501">
        <v>2</v>
      </c>
      <c r="E13" s="478">
        <f>IF(E$3&gt;1,E$3*0.5,0.5)</f>
        <v>0.5</v>
      </c>
      <c r="F13" s="630">
        <f>IF(F$3=1,D13+E13+16,0)</f>
        <v>0</v>
      </c>
      <c r="G13" s="21">
        <f t="shared" si="0"/>
        <v>2.5</v>
      </c>
    </row>
    <row r="14" spans="1:7" ht="15.75" thickBot="1" x14ac:dyDescent="0.3">
      <c r="A14" s="1932"/>
      <c r="B14" s="13" t="s">
        <v>34</v>
      </c>
      <c r="C14" s="34"/>
      <c r="D14" s="501">
        <v>4</v>
      </c>
      <c r="E14" s="478">
        <f>IF(E$3&gt;1,E$3*0.5,0.5)</f>
        <v>0.5</v>
      </c>
      <c r="F14" s="630">
        <f>IF(F$3=1,D14+E14+32,0)</f>
        <v>0</v>
      </c>
      <c r="G14" s="77">
        <f t="shared" si="0"/>
        <v>4.5</v>
      </c>
    </row>
    <row r="15" spans="1:7" ht="16.5" thickBot="1" x14ac:dyDescent="0.3">
      <c r="A15" s="330" t="s">
        <v>3</v>
      </c>
      <c r="B15" s="329"/>
      <c r="C15" s="329"/>
      <c r="D15" s="329"/>
      <c r="E15" s="329"/>
      <c r="F15" s="327"/>
      <c r="G15" s="396"/>
    </row>
    <row r="16" spans="1:7" x14ac:dyDescent="0.25">
      <c r="A16" s="1944" t="s">
        <v>4</v>
      </c>
      <c r="B16" s="1731" t="s">
        <v>32</v>
      </c>
      <c r="C16" s="1724"/>
      <c r="D16" s="1786">
        <v>0.25</v>
      </c>
      <c r="E16" s="1755">
        <v>0</v>
      </c>
      <c r="F16" s="1756">
        <v>0</v>
      </c>
      <c r="G16" s="1727">
        <f t="shared" si="0"/>
        <v>0.25</v>
      </c>
    </row>
    <row r="17" spans="1:7" x14ac:dyDescent="0.25">
      <c r="A17" s="1937"/>
      <c r="B17" s="18" t="s">
        <v>33</v>
      </c>
      <c r="C17" s="22"/>
      <c r="D17" s="482" t="s">
        <v>1768</v>
      </c>
      <c r="E17" s="482" t="s">
        <v>1768</v>
      </c>
      <c r="F17" s="482" t="s">
        <v>1768</v>
      </c>
      <c r="G17" s="21">
        <f t="shared" si="0"/>
        <v>0</v>
      </c>
    </row>
    <row r="18" spans="1:7" x14ac:dyDescent="0.25">
      <c r="A18" s="1937"/>
      <c r="B18" s="18" t="s">
        <v>34</v>
      </c>
      <c r="C18" s="22"/>
      <c r="D18" s="482" t="s">
        <v>1768</v>
      </c>
      <c r="E18" s="482" t="s">
        <v>1768</v>
      </c>
      <c r="F18" s="482" t="s">
        <v>1768</v>
      </c>
      <c r="G18" s="21">
        <f t="shared" si="0"/>
        <v>0</v>
      </c>
    </row>
    <row r="19" spans="1:7" x14ac:dyDescent="0.25">
      <c r="A19" s="1937" t="s">
        <v>5</v>
      </c>
      <c r="B19" s="1728" t="s">
        <v>32</v>
      </c>
      <c r="C19" s="1729"/>
      <c r="D19" s="1735">
        <v>1</v>
      </c>
      <c r="E19" s="1736">
        <v>0</v>
      </c>
      <c r="F19" s="1738">
        <v>0</v>
      </c>
      <c r="G19" s="1730">
        <f t="shared" si="0"/>
        <v>1</v>
      </c>
    </row>
    <row r="20" spans="1:7" x14ac:dyDescent="0.25">
      <c r="A20" s="1937"/>
      <c r="B20" s="19" t="s">
        <v>33</v>
      </c>
      <c r="C20" s="22"/>
      <c r="D20" s="493">
        <f>IF(D$3&gt;0,0.25*D$3+1,1)</f>
        <v>1</v>
      </c>
      <c r="E20" s="478">
        <f>IF(E$3&gt;1,E$3*0.25,0.25)</f>
        <v>0.25</v>
      </c>
      <c r="F20" s="814">
        <v>0</v>
      </c>
      <c r="G20" s="21">
        <f t="shared" si="0"/>
        <v>1.25</v>
      </c>
    </row>
    <row r="21" spans="1:7" x14ac:dyDescent="0.25">
      <c r="A21" s="1937"/>
      <c r="B21" s="19" t="s">
        <v>34</v>
      </c>
      <c r="C21" s="22"/>
      <c r="D21" s="493">
        <f>IF(D$3&gt;0,0.25*D$3+1,1)</f>
        <v>1</v>
      </c>
      <c r="E21" s="478">
        <f>IF(E$3&gt;1,E$3*0.25,0.25)</f>
        <v>0.25</v>
      </c>
      <c r="F21" s="814">
        <v>0</v>
      </c>
      <c r="G21" s="21">
        <f t="shared" si="0"/>
        <v>1.25</v>
      </c>
    </row>
    <row r="22" spans="1:7" x14ac:dyDescent="0.25">
      <c r="A22" s="1937" t="s">
        <v>6</v>
      </c>
      <c r="B22" s="1728" t="s">
        <v>32</v>
      </c>
      <c r="C22" s="1729"/>
      <c r="D22" s="1737">
        <v>8</v>
      </c>
      <c r="E22" s="1737">
        <f>1*E$3</f>
        <v>0</v>
      </c>
      <c r="F22" s="1737">
        <v>0</v>
      </c>
      <c r="G22" s="1730">
        <f t="shared" si="0"/>
        <v>8</v>
      </c>
    </row>
    <row r="23" spans="1:7" x14ac:dyDescent="0.25">
      <c r="A23" s="1937"/>
      <c r="B23" s="19" t="s">
        <v>33</v>
      </c>
      <c r="C23" s="22"/>
      <c r="D23" s="501">
        <v>2</v>
      </c>
      <c r="E23" s="478">
        <f>IF(E$3&gt;1,E$3*0.5,0.5)</f>
        <v>0.5</v>
      </c>
      <c r="F23" s="630">
        <f>IF(F$3=1,D23+E23+16,0)</f>
        <v>0</v>
      </c>
      <c r="G23" s="21">
        <f t="shared" si="0"/>
        <v>2.5</v>
      </c>
    </row>
    <row r="24" spans="1:7" x14ac:dyDescent="0.25">
      <c r="A24" s="1937"/>
      <c r="B24" s="19" t="s">
        <v>34</v>
      </c>
      <c r="C24" s="22"/>
      <c r="D24" s="501">
        <v>4</v>
      </c>
      <c r="E24" s="478">
        <f>IF(E$3&gt;1,E$3*0.5,0.5)</f>
        <v>0.5</v>
      </c>
      <c r="F24" s="630">
        <f>IF(F$3=1,D24+E24+32,0)</f>
        <v>0</v>
      </c>
      <c r="G24" s="21">
        <f t="shared" si="0"/>
        <v>4.5</v>
      </c>
    </row>
    <row r="25" spans="1:7" x14ac:dyDescent="0.25">
      <c r="A25" s="1937" t="s">
        <v>7</v>
      </c>
      <c r="B25" s="1728" t="s">
        <v>32</v>
      </c>
      <c r="C25" s="1729"/>
      <c r="D25" s="1735">
        <v>4</v>
      </c>
      <c r="E25" s="1736">
        <v>0</v>
      </c>
      <c r="F25" s="1738">
        <v>0</v>
      </c>
      <c r="G25" s="1730">
        <f t="shared" si="0"/>
        <v>4</v>
      </c>
    </row>
    <row r="26" spans="1:7" x14ac:dyDescent="0.25">
      <c r="A26" s="1937"/>
      <c r="B26" s="19" t="s">
        <v>33</v>
      </c>
      <c r="C26" s="22"/>
      <c r="D26" s="821">
        <v>2</v>
      </c>
      <c r="E26" s="814">
        <v>0</v>
      </c>
      <c r="F26" s="630">
        <f>IF(F$3=1,12,0)</f>
        <v>0</v>
      </c>
      <c r="G26" s="21">
        <f t="shared" si="0"/>
        <v>2</v>
      </c>
    </row>
    <row r="27" spans="1:7" x14ac:dyDescent="0.25">
      <c r="A27" s="1937"/>
      <c r="B27" s="19" t="s">
        <v>34</v>
      </c>
      <c r="C27" s="22"/>
      <c r="D27" s="807">
        <v>4</v>
      </c>
      <c r="E27" s="814">
        <v>0</v>
      </c>
      <c r="F27" s="630">
        <f>IF(F$3=1,20,0)</f>
        <v>0</v>
      </c>
      <c r="G27" s="21">
        <f t="shared" si="0"/>
        <v>4</v>
      </c>
    </row>
    <row r="28" spans="1:7" x14ac:dyDescent="0.25">
      <c r="A28" s="1937" t="s">
        <v>8</v>
      </c>
      <c r="B28" s="1728" t="s">
        <v>32</v>
      </c>
      <c r="C28" s="1729"/>
      <c r="D28" s="1735">
        <v>3</v>
      </c>
      <c r="E28" s="1736">
        <v>0</v>
      </c>
      <c r="F28" s="1738">
        <v>0</v>
      </c>
      <c r="G28" s="1730">
        <f t="shared" si="0"/>
        <v>3</v>
      </c>
    </row>
    <row r="29" spans="1:7" x14ac:dyDescent="0.25">
      <c r="A29" s="1937"/>
      <c r="B29" s="19" t="s">
        <v>33</v>
      </c>
      <c r="C29" s="22"/>
      <c r="D29" s="821">
        <v>4</v>
      </c>
      <c r="E29" s="478">
        <f>IF(E$3&gt;1,E$3*0.5,0.5)</f>
        <v>0.5</v>
      </c>
      <c r="F29" s="630">
        <f>IF(F$3=1,12,0)</f>
        <v>0</v>
      </c>
      <c r="G29" s="21">
        <f t="shared" si="0"/>
        <v>4.5</v>
      </c>
    </row>
    <row r="30" spans="1:7" x14ac:dyDescent="0.25">
      <c r="A30" s="1937"/>
      <c r="B30" s="19" t="s">
        <v>34</v>
      </c>
      <c r="C30" s="22"/>
      <c r="D30" s="807">
        <v>6</v>
      </c>
      <c r="E30" s="478">
        <f>IF(E$3&gt;1,E$3*0.5,0.5)</f>
        <v>0.5</v>
      </c>
      <c r="F30" s="630">
        <f>IF(F$3=1,20,0)</f>
        <v>0</v>
      </c>
      <c r="G30" s="21">
        <f t="shared" si="0"/>
        <v>6.5</v>
      </c>
    </row>
    <row r="31" spans="1:7" x14ac:dyDescent="0.25">
      <c r="A31" s="1937" t="s">
        <v>9</v>
      </c>
      <c r="B31" s="1728" t="s">
        <v>32</v>
      </c>
      <c r="C31" s="1729"/>
      <c r="D31" s="1735">
        <f>1+(0.5*D$3)</f>
        <v>1</v>
      </c>
      <c r="E31" s="1736">
        <v>0</v>
      </c>
      <c r="F31" s="1736">
        <v>0</v>
      </c>
      <c r="G31" s="1730">
        <f t="shared" si="0"/>
        <v>1</v>
      </c>
    </row>
    <row r="32" spans="1:7" x14ac:dyDescent="0.25">
      <c r="A32" s="1937"/>
      <c r="B32" s="19" t="s">
        <v>33</v>
      </c>
      <c r="C32" s="22"/>
      <c r="D32" s="501">
        <v>1</v>
      </c>
      <c r="E32" s="814">
        <v>0</v>
      </c>
      <c r="F32" s="630">
        <f>IF(F$3=1,4,0)</f>
        <v>0</v>
      </c>
      <c r="G32" s="21">
        <f t="shared" si="0"/>
        <v>1</v>
      </c>
    </row>
    <row r="33" spans="1:7" x14ac:dyDescent="0.25">
      <c r="A33" s="1937"/>
      <c r="B33" s="19" t="s">
        <v>34</v>
      </c>
      <c r="C33" s="22"/>
      <c r="D33" s="501">
        <v>2</v>
      </c>
      <c r="E33" s="814">
        <v>0</v>
      </c>
      <c r="F33" s="630">
        <f>IF(F$3=1,6,0)</f>
        <v>0</v>
      </c>
      <c r="G33" s="21">
        <f t="shared" si="0"/>
        <v>2</v>
      </c>
    </row>
    <row r="34" spans="1:7" x14ac:dyDescent="0.25">
      <c r="A34" s="1937" t="s">
        <v>10</v>
      </c>
      <c r="B34" s="1728" t="s">
        <v>32</v>
      </c>
      <c r="C34" s="1729"/>
      <c r="D34" s="1735">
        <v>2</v>
      </c>
      <c r="E34" s="1736">
        <v>0</v>
      </c>
      <c r="F34" s="1736">
        <v>0</v>
      </c>
      <c r="G34" s="1730">
        <f t="shared" si="0"/>
        <v>2</v>
      </c>
    </row>
    <row r="35" spans="1:7" x14ac:dyDescent="0.25">
      <c r="A35" s="1937"/>
      <c r="B35" s="19" t="s">
        <v>33</v>
      </c>
      <c r="C35" s="22"/>
      <c r="D35" s="625">
        <v>2</v>
      </c>
      <c r="E35" s="478">
        <f>IF(E$3&gt;1,E$3*0.5,0.5)</f>
        <v>0.5</v>
      </c>
      <c r="F35" s="630">
        <f>IF(F$3=1,4,0)</f>
        <v>0</v>
      </c>
      <c r="G35" s="21">
        <f t="shared" si="0"/>
        <v>2.5</v>
      </c>
    </row>
    <row r="36" spans="1:7" ht="15.75" thickBot="1" x14ac:dyDescent="0.3">
      <c r="A36" s="1938"/>
      <c r="B36" s="13" t="s">
        <v>34</v>
      </c>
      <c r="C36" s="34"/>
      <c r="D36" s="626">
        <v>4</v>
      </c>
      <c r="E36" s="478">
        <f>IF(E$3&gt;1,E$3*0.5,0.5)</f>
        <v>0.5</v>
      </c>
      <c r="F36" s="630">
        <f>IF(F$3=1,6,0)</f>
        <v>0</v>
      </c>
      <c r="G36" s="77">
        <f t="shared" si="0"/>
        <v>4.5</v>
      </c>
    </row>
    <row r="37" spans="1:7" ht="16.5" thickBot="1" x14ac:dyDescent="0.3">
      <c r="A37" s="330" t="s">
        <v>11</v>
      </c>
      <c r="B37" s="329"/>
      <c r="C37" s="329"/>
      <c r="D37" s="329"/>
      <c r="E37" s="329"/>
      <c r="F37" s="327"/>
      <c r="G37" s="396"/>
    </row>
    <row r="38" spans="1:7" x14ac:dyDescent="0.25">
      <c r="A38" s="1932" t="s">
        <v>12</v>
      </c>
      <c r="B38" s="1723" t="s">
        <v>32</v>
      </c>
      <c r="C38" s="1724"/>
      <c r="D38" s="1725">
        <v>32</v>
      </c>
      <c r="E38" s="1725">
        <f>1*E$3</f>
        <v>0</v>
      </c>
      <c r="F38" s="1725">
        <v>0</v>
      </c>
      <c r="G38" s="1727">
        <f t="shared" si="0"/>
        <v>32</v>
      </c>
    </row>
    <row r="39" spans="1:7" x14ac:dyDescent="0.25">
      <c r="A39" s="1932"/>
      <c r="B39" s="19" t="s">
        <v>33</v>
      </c>
      <c r="C39" s="22"/>
      <c r="D39" s="615">
        <v>8</v>
      </c>
      <c r="E39" s="478">
        <f>IF(E$3&gt;1,E$3*0.5,0.5)</f>
        <v>0.5</v>
      </c>
      <c r="F39" s="630">
        <f>IF(F$3=1,16,0)</f>
        <v>0</v>
      </c>
      <c r="G39" s="21">
        <f t="shared" si="0"/>
        <v>8.5</v>
      </c>
    </row>
    <row r="40" spans="1:7" ht="15.75" thickBot="1" x14ac:dyDescent="0.3">
      <c r="A40" s="1932"/>
      <c r="B40" s="13" t="s">
        <v>34</v>
      </c>
      <c r="C40" s="34"/>
      <c r="D40" s="673">
        <v>12</v>
      </c>
      <c r="E40" s="478">
        <f>IF(E$3&gt;1,E$3*0.5,0.5)</f>
        <v>0.5</v>
      </c>
      <c r="F40" s="630">
        <f>IF(F$3=1,24,0)</f>
        <v>0</v>
      </c>
      <c r="G40" s="77">
        <f t="shared" si="0"/>
        <v>12.5</v>
      </c>
    </row>
    <row r="41" spans="1:7" ht="16.5" thickBot="1" x14ac:dyDescent="0.3">
      <c r="A41" s="330" t="s">
        <v>13</v>
      </c>
      <c r="B41" s="329"/>
      <c r="C41" s="329"/>
      <c r="D41" s="329"/>
      <c r="E41" s="329"/>
      <c r="F41" s="327"/>
      <c r="G41" s="396"/>
    </row>
    <row r="42" spans="1:7" x14ac:dyDescent="0.25">
      <c r="A42" s="1932" t="s">
        <v>14</v>
      </c>
      <c r="B42" s="1723" t="s">
        <v>32</v>
      </c>
      <c r="C42" s="1724"/>
      <c r="D42" s="1735">
        <v>1</v>
      </c>
      <c r="E42" s="1736">
        <v>0</v>
      </c>
      <c r="F42" s="1738">
        <v>0</v>
      </c>
      <c r="G42" s="1727">
        <f t="shared" si="0"/>
        <v>1</v>
      </c>
    </row>
    <row r="43" spans="1:7" x14ac:dyDescent="0.25">
      <c r="A43" s="1932"/>
      <c r="B43" s="19" t="s">
        <v>33</v>
      </c>
      <c r="C43" s="22"/>
      <c r="D43" s="493">
        <f>IF(D$3&gt;0,0.25*D$3+1,1)</f>
        <v>1</v>
      </c>
      <c r="E43" s="478">
        <f>IF(E$3&gt;1,E$3*0.25,0.25)</f>
        <v>0.25</v>
      </c>
      <c r="F43" s="814">
        <v>0</v>
      </c>
      <c r="G43" s="21">
        <f t="shared" si="0"/>
        <v>1.25</v>
      </c>
    </row>
    <row r="44" spans="1:7" x14ac:dyDescent="0.25">
      <c r="A44" s="1932"/>
      <c r="B44" s="19" t="s">
        <v>34</v>
      </c>
      <c r="C44" s="22"/>
      <c r="D44" s="493">
        <f>IF(D$3&gt;0,0.25*D$3+1,1)</f>
        <v>1</v>
      </c>
      <c r="E44" s="478">
        <f>IF(E$3&gt;1,E$3*0.25,0.25)</f>
        <v>0.25</v>
      </c>
      <c r="F44" s="814">
        <v>0</v>
      </c>
      <c r="G44" s="21">
        <f t="shared" si="0"/>
        <v>1.25</v>
      </c>
    </row>
    <row r="45" spans="1:7" x14ac:dyDescent="0.25">
      <c r="A45" s="1933" t="s">
        <v>15</v>
      </c>
      <c r="B45" s="1728" t="s">
        <v>32</v>
      </c>
      <c r="C45" s="1729"/>
      <c r="D45" s="1735">
        <v>16</v>
      </c>
      <c r="E45" s="1725">
        <f>2*E$3</f>
        <v>0</v>
      </c>
      <c r="F45" s="1736">
        <v>0</v>
      </c>
      <c r="G45" s="1730">
        <f t="shared" si="0"/>
        <v>16</v>
      </c>
    </row>
    <row r="46" spans="1:7" x14ac:dyDescent="0.25">
      <c r="A46" s="1933"/>
      <c r="B46" s="19" t="s">
        <v>33</v>
      </c>
      <c r="C46" s="22"/>
      <c r="D46" s="821">
        <v>6</v>
      </c>
      <c r="E46" s="478">
        <f t="shared" ref="E46:E47" si="1">IF(E$3&gt;1,E$3*0.5,0.5)</f>
        <v>0.5</v>
      </c>
      <c r="F46" s="630">
        <f>IF(F$3=1,6,0)</f>
        <v>0</v>
      </c>
      <c r="G46" s="21">
        <f t="shared" si="0"/>
        <v>6.5</v>
      </c>
    </row>
    <row r="47" spans="1:7" x14ac:dyDescent="0.25">
      <c r="A47" s="1933"/>
      <c r="B47" s="19" t="s">
        <v>34</v>
      </c>
      <c r="C47" s="22"/>
      <c r="D47" s="821">
        <v>10</v>
      </c>
      <c r="E47" s="478">
        <f t="shared" si="1"/>
        <v>0.5</v>
      </c>
      <c r="F47" s="630">
        <f>IF(F$3=1,6,0)</f>
        <v>0</v>
      </c>
      <c r="G47" s="21">
        <f t="shared" si="0"/>
        <v>10.5</v>
      </c>
    </row>
    <row r="48" spans="1:7" x14ac:dyDescent="0.25">
      <c r="A48" s="1933" t="s">
        <v>16</v>
      </c>
      <c r="B48" s="1728" t="s">
        <v>32</v>
      </c>
      <c r="C48" s="1729"/>
      <c r="D48" s="1735">
        <f>1*D$3+(0.5*E$3)</f>
        <v>0</v>
      </c>
      <c r="E48" s="1736">
        <v>0</v>
      </c>
      <c r="F48" s="1738">
        <v>0</v>
      </c>
      <c r="G48" s="1730">
        <f t="shared" si="0"/>
        <v>0</v>
      </c>
    </row>
    <row r="49" spans="1:7" x14ac:dyDescent="0.25">
      <c r="A49" s="1933"/>
      <c r="B49" s="19" t="s">
        <v>33</v>
      </c>
      <c r="C49" s="22"/>
      <c r="D49" s="478">
        <f>IF(D$3&gt;1,D$3*0.5,0.5)</f>
        <v>0.5</v>
      </c>
      <c r="E49" s="486"/>
      <c r="F49" s="630">
        <f>IF(F$3=1,1,0)</f>
        <v>0</v>
      </c>
      <c r="G49" s="21">
        <f t="shared" si="0"/>
        <v>0.5</v>
      </c>
    </row>
    <row r="50" spans="1:7" x14ac:dyDescent="0.25">
      <c r="A50" s="1933"/>
      <c r="B50" s="19" t="s">
        <v>34</v>
      </c>
      <c r="C50" s="22"/>
      <c r="D50" s="478">
        <f>IF(D$3&gt;1,D$3*0.5,0.5)</f>
        <v>0.5</v>
      </c>
      <c r="E50" s="486"/>
      <c r="F50" s="630">
        <f>IF(F$3=1,1,0)</f>
        <v>0</v>
      </c>
      <c r="G50" s="21">
        <f t="shared" si="0"/>
        <v>0.5</v>
      </c>
    </row>
    <row r="51" spans="1:7" x14ac:dyDescent="0.25">
      <c r="A51" s="1933" t="s">
        <v>17</v>
      </c>
      <c r="B51" s="1728" t="s">
        <v>32</v>
      </c>
      <c r="C51" s="1729"/>
      <c r="D51" s="1735">
        <f>1*D$3+(0.5*E$3)</f>
        <v>0</v>
      </c>
      <c r="E51" s="1736">
        <v>0</v>
      </c>
      <c r="F51" s="1736">
        <v>0</v>
      </c>
      <c r="G51" s="1730">
        <f t="shared" si="0"/>
        <v>0</v>
      </c>
    </row>
    <row r="52" spans="1:7" x14ac:dyDescent="0.25">
      <c r="A52" s="1933"/>
      <c r="B52" s="19" t="s">
        <v>33</v>
      </c>
      <c r="C52" s="22"/>
      <c r="D52" s="478">
        <f>IF(D$3&gt;1,D$3*0.5,0.5)</f>
        <v>0.5</v>
      </c>
      <c r="E52" s="486"/>
      <c r="F52" s="630">
        <f>IF(F$3=1,1,0)</f>
        <v>0</v>
      </c>
      <c r="G52" s="21">
        <f t="shared" si="0"/>
        <v>0.5</v>
      </c>
    </row>
    <row r="53" spans="1:7" x14ac:dyDescent="0.25">
      <c r="A53" s="1933"/>
      <c r="B53" s="19" t="s">
        <v>34</v>
      </c>
      <c r="C53" s="22"/>
      <c r="D53" s="478">
        <f>IF(D$3&gt;1,D$3*0.5,0.5)</f>
        <v>0.5</v>
      </c>
      <c r="E53" s="486"/>
      <c r="F53" s="630">
        <f>IF(F$3=1,1,0)</f>
        <v>0</v>
      </c>
      <c r="G53" s="21">
        <f t="shared" si="0"/>
        <v>0.5</v>
      </c>
    </row>
    <row r="54" spans="1:7" x14ac:dyDescent="0.25">
      <c r="A54" s="1933" t="s">
        <v>18</v>
      </c>
      <c r="B54" s="1728" t="s">
        <v>32</v>
      </c>
      <c r="C54" s="1729"/>
      <c r="D54" s="1735">
        <f>1*D$3</f>
        <v>0</v>
      </c>
      <c r="E54" s="1736">
        <v>0</v>
      </c>
      <c r="F54" s="1736">
        <v>0</v>
      </c>
      <c r="G54" s="1730">
        <f t="shared" si="0"/>
        <v>0</v>
      </c>
    </row>
    <row r="55" spans="1:7" x14ac:dyDescent="0.25">
      <c r="A55" s="1933"/>
      <c r="B55" s="19" t="s">
        <v>33</v>
      </c>
      <c r="C55" s="22"/>
      <c r="D55" s="476">
        <f>IF(D$3&gt;0,D$3*0.25,0.25)</f>
        <v>0.25</v>
      </c>
      <c r="E55" s="616">
        <v>0</v>
      </c>
      <c r="F55" s="630">
        <f>IF(F$3=1,1,0)</f>
        <v>0</v>
      </c>
      <c r="G55" s="21">
        <f t="shared" si="0"/>
        <v>0.25</v>
      </c>
    </row>
    <row r="56" spans="1:7" x14ac:dyDescent="0.25">
      <c r="A56" s="1933"/>
      <c r="B56" s="19" t="s">
        <v>34</v>
      </c>
      <c r="C56" s="22"/>
      <c r="D56" s="476">
        <f>IF(D$3&gt;0,D$3*0.25,0.25)</f>
        <v>0.25</v>
      </c>
      <c r="E56" s="616">
        <v>0</v>
      </c>
      <c r="F56" s="630">
        <f>IF(F$3=1,1,0)</f>
        <v>0</v>
      </c>
      <c r="G56" s="21">
        <f t="shared" si="0"/>
        <v>0.25</v>
      </c>
    </row>
    <row r="57" spans="1:7" x14ac:dyDescent="0.25">
      <c r="A57" s="1933" t="s">
        <v>19</v>
      </c>
      <c r="B57" s="1728" t="s">
        <v>32</v>
      </c>
      <c r="C57" s="1729"/>
      <c r="D57" s="1735">
        <v>2</v>
      </c>
      <c r="E57" s="1736">
        <v>0</v>
      </c>
      <c r="F57" s="1736">
        <v>0</v>
      </c>
      <c r="G57" s="1730">
        <f t="shared" si="0"/>
        <v>2</v>
      </c>
    </row>
    <row r="58" spans="1:7" x14ac:dyDescent="0.25">
      <c r="A58" s="1933"/>
      <c r="B58" s="19" t="s">
        <v>33</v>
      </c>
      <c r="C58" s="22"/>
      <c r="D58" s="821">
        <v>4</v>
      </c>
      <c r="E58" s="478">
        <f t="shared" ref="E58:E62" si="2">IF(E$3&gt;1,E$3*0.5,0.5)</f>
        <v>0.5</v>
      </c>
      <c r="F58" s="630">
        <f>IF(F$3=1,16,0)</f>
        <v>0</v>
      </c>
      <c r="G58" s="21">
        <f t="shared" si="0"/>
        <v>4.5</v>
      </c>
    </row>
    <row r="59" spans="1:7" x14ac:dyDescent="0.25">
      <c r="A59" s="1933"/>
      <c r="B59" s="19" t="s">
        <v>34</v>
      </c>
      <c r="C59" s="22"/>
      <c r="D59" s="821">
        <v>6</v>
      </c>
      <c r="E59" s="478">
        <f t="shared" si="2"/>
        <v>0.5</v>
      </c>
      <c r="F59" s="630">
        <f>IF(F$3=1,32,0)</f>
        <v>0</v>
      </c>
      <c r="G59" s="21">
        <f t="shared" si="0"/>
        <v>6.5</v>
      </c>
    </row>
    <row r="60" spans="1:7" x14ac:dyDescent="0.25">
      <c r="A60" s="1933" t="s">
        <v>20</v>
      </c>
      <c r="B60" s="1728" t="s">
        <v>32</v>
      </c>
      <c r="C60" s="1729"/>
      <c r="D60" s="1735">
        <v>8</v>
      </c>
      <c r="E60" s="1737">
        <f>1*$E$3</f>
        <v>0</v>
      </c>
      <c r="F60" s="1738">
        <v>0</v>
      </c>
      <c r="G60" s="1730">
        <f t="shared" si="0"/>
        <v>8</v>
      </c>
    </row>
    <row r="61" spans="1:7" x14ac:dyDescent="0.25">
      <c r="A61" s="1933"/>
      <c r="B61" s="19" t="s">
        <v>33</v>
      </c>
      <c r="C61" s="22"/>
      <c r="D61" s="625">
        <v>4</v>
      </c>
      <c r="E61" s="478">
        <f t="shared" si="2"/>
        <v>0.5</v>
      </c>
      <c r="F61" s="630">
        <f>IF(F$3=1,4,0)</f>
        <v>0</v>
      </c>
      <c r="G61" s="21">
        <f t="shared" si="0"/>
        <v>4.5</v>
      </c>
    </row>
    <row r="62" spans="1:7" x14ac:dyDescent="0.25">
      <c r="A62" s="1933"/>
      <c r="B62" s="19" t="s">
        <v>34</v>
      </c>
      <c r="C62" s="22"/>
      <c r="D62" s="625">
        <v>6</v>
      </c>
      <c r="E62" s="478">
        <f t="shared" si="2"/>
        <v>0.5</v>
      </c>
      <c r="F62" s="630">
        <f>IF(F$3=1,8,0)</f>
        <v>0</v>
      </c>
      <c r="G62" s="21">
        <f t="shared" si="0"/>
        <v>6.5</v>
      </c>
    </row>
    <row r="63" spans="1:7" x14ac:dyDescent="0.25">
      <c r="A63" s="1933" t="s">
        <v>451</v>
      </c>
      <c r="B63" s="1728" t="s">
        <v>32</v>
      </c>
      <c r="C63" s="1729"/>
      <c r="D63" s="1739">
        <v>0.25</v>
      </c>
      <c r="E63" s="1737">
        <v>0</v>
      </c>
      <c r="F63" s="1738">
        <v>0</v>
      </c>
      <c r="G63" s="1730">
        <f t="shared" si="0"/>
        <v>0.25</v>
      </c>
    </row>
    <row r="64" spans="1:7" x14ac:dyDescent="0.25">
      <c r="A64" s="1933"/>
      <c r="B64" s="19" t="s">
        <v>33</v>
      </c>
      <c r="C64" s="22"/>
      <c r="D64" s="482" t="s">
        <v>1768</v>
      </c>
      <c r="E64" s="482" t="s">
        <v>1768</v>
      </c>
      <c r="F64" s="482" t="s">
        <v>1768</v>
      </c>
      <c r="G64" s="21">
        <f t="shared" si="0"/>
        <v>0</v>
      </c>
    </row>
    <row r="65" spans="1:7" x14ac:dyDescent="0.25">
      <c r="A65" s="1933"/>
      <c r="B65" s="19" t="s">
        <v>34</v>
      </c>
      <c r="C65" s="22"/>
      <c r="D65" s="482" t="s">
        <v>1768</v>
      </c>
      <c r="E65" s="482" t="s">
        <v>1768</v>
      </c>
      <c r="F65" s="482" t="s">
        <v>1768</v>
      </c>
      <c r="G65" s="21">
        <f t="shared" si="0"/>
        <v>0</v>
      </c>
    </row>
    <row r="66" spans="1:7" x14ac:dyDescent="0.25">
      <c r="A66" s="1933" t="s">
        <v>452</v>
      </c>
      <c r="B66" s="1728" t="s">
        <v>32</v>
      </c>
      <c r="C66" s="1729"/>
      <c r="D66" s="1739">
        <v>0.25</v>
      </c>
      <c r="E66" s="1737">
        <v>0</v>
      </c>
      <c r="F66" s="1738">
        <v>0</v>
      </c>
      <c r="G66" s="1730">
        <f t="shared" si="0"/>
        <v>0.25</v>
      </c>
    </row>
    <row r="67" spans="1:7" x14ac:dyDescent="0.25">
      <c r="A67" s="1933"/>
      <c r="B67" s="19" t="s">
        <v>33</v>
      </c>
      <c r="C67" s="22"/>
      <c r="D67" s="476">
        <f>IF(D$3&gt;0,D$3*0.25,0.25)</f>
        <v>0.25</v>
      </c>
      <c r="E67" s="814">
        <v>0</v>
      </c>
      <c r="F67" s="630">
        <f>IF(F$3=1,1,0)</f>
        <v>0</v>
      </c>
      <c r="G67" s="21">
        <f t="shared" si="0"/>
        <v>0.25</v>
      </c>
    </row>
    <row r="68" spans="1:7" x14ac:dyDescent="0.25">
      <c r="A68" s="1933"/>
      <c r="B68" s="19" t="s">
        <v>34</v>
      </c>
      <c r="C68" s="22"/>
      <c r="D68" s="476">
        <f>IF(D$3&gt;0,D$3*0.25,0.25)</f>
        <v>0.25</v>
      </c>
      <c r="E68" s="814">
        <v>0</v>
      </c>
      <c r="F68" s="630">
        <f>IF(F$3=1,1,0)</f>
        <v>0</v>
      </c>
      <c r="G68" s="21">
        <f t="shared" si="0"/>
        <v>0.25</v>
      </c>
    </row>
    <row r="69" spans="1:7" x14ac:dyDescent="0.25">
      <c r="A69" s="1936" t="s">
        <v>533</v>
      </c>
      <c r="B69" s="1728" t="s">
        <v>32</v>
      </c>
      <c r="C69" s="1729"/>
      <c r="D69" s="1735">
        <v>3</v>
      </c>
      <c r="E69" s="1737">
        <f t="shared" ref="E69:E72" si="3">1*$E$3</f>
        <v>0</v>
      </c>
      <c r="F69" s="1738">
        <v>0</v>
      </c>
      <c r="G69" s="1730">
        <f t="shared" si="0"/>
        <v>3</v>
      </c>
    </row>
    <row r="70" spans="1:7" x14ac:dyDescent="0.25">
      <c r="A70" s="1936"/>
      <c r="B70" s="19" t="s">
        <v>33</v>
      </c>
      <c r="C70" s="22"/>
      <c r="D70" s="482" t="s">
        <v>1768</v>
      </c>
      <c r="E70" s="482" t="s">
        <v>1768</v>
      </c>
      <c r="F70" s="482" t="s">
        <v>1768</v>
      </c>
      <c r="G70" s="21">
        <f t="shared" si="0"/>
        <v>0</v>
      </c>
    </row>
    <row r="71" spans="1:7" x14ac:dyDescent="0.25">
      <c r="A71" s="1936"/>
      <c r="B71" s="19" t="s">
        <v>34</v>
      </c>
      <c r="C71" s="22"/>
      <c r="D71" s="482" t="s">
        <v>1768</v>
      </c>
      <c r="E71" s="482" t="s">
        <v>1768</v>
      </c>
      <c r="F71" s="482" t="s">
        <v>1768</v>
      </c>
      <c r="G71" s="21">
        <f t="shared" si="0"/>
        <v>0</v>
      </c>
    </row>
    <row r="72" spans="1:7" x14ac:dyDescent="0.25">
      <c r="A72" s="1933" t="s">
        <v>534</v>
      </c>
      <c r="B72" s="1728" t="s">
        <v>32</v>
      </c>
      <c r="C72" s="1729"/>
      <c r="D72" s="1735">
        <v>4</v>
      </c>
      <c r="E72" s="1737">
        <f t="shared" si="3"/>
        <v>0</v>
      </c>
      <c r="F72" s="1738">
        <v>0</v>
      </c>
      <c r="G72" s="1730">
        <f t="shared" si="0"/>
        <v>4</v>
      </c>
    </row>
    <row r="73" spans="1:7" x14ac:dyDescent="0.25">
      <c r="A73" s="1933"/>
      <c r="B73" s="19" t="s">
        <v>33</v>
      </c>
      <c r="C73" s="22"/>
      <c r="D73" s="482" t="s">
        <v>1768</v>
      </c>
      <c r="E73" s="482" t="s">
        <v>1768</v>
      </c>
      <c r="F73" s="482" t="s">
        <v>1768</v>
      </c>
      <c r="G73" s="21">
        <f t="shared" si="0"/>
        <v>0</v>
      </c>
    </row>
    <row r="74" spans="1:7" x14ac:dyDescent="0.25">
      <c r="A74" s="1933"/>
      <c r="B74" s="19" t="s">
        <v>34</v>
      </c>
      <c r="C74" s="22"/>
      <c r="D74" s="482" t="s">
        <v>1768</v>
      </c>
      <c r="E74" s="482" t="s">
        <v>1768</v>
      </c>
      <c r="F74" s="482" t="s">
        <v>1768</v>
      </c>
      <c r="G74" s="21">
        <f t="shared" si="0"/>
        <v>0</v>
      </c>
    </row>
    <row r="75" spans="1:7" x14ac:dyDescent="0.25">
      <c r="A75" s="1933" t="s">
        <v>21</v>
      </c>
      <c r="B75" s="1728" t="s">
        <v>32</v>
      </c>
      <c r="C75" s="1729"/>
      <c r="D75" s="1735" t="s">
        <v>90</v>
      </c>
      <c r="E75" s="1735" t="s">
        <v>90</v>
      </c>
      <c r="F75" s="1735" t="s">
        <v>90</v>
      </c>
      <c r="G75" s="1730">
        <f t="shared" si="0"/>
        <v>0</v>
      </c>
    </row>
    <row r="76" spans="1:7" x14ac:dyDescent="0.25">
      <c r="A76" s="1933"/>
      <c r="B76" s="19" t="s">
        <v>33</v>
      </c>
      <c r="C76" s="22"/>
      <c r="D76" s="38" t="s">
        <v>90</v>
      </c>
      <c r="E76" s="38" t="s">
        <v>90</v>
      </c>
      <c r="F76" s="38" t="s">
        <v>90</v>
      </c>
      <c r="G76" s="21">
        <f t="shared" si="0"/>
        <v>0</v>
      </c>
    </row>
    <row r="77" spans="1:7" x14ac:dyDescent="0.25">
      <c r="A77" s="1933"/>
      <c r="B77" s="13" t="s">
        <v>34</v>
      </c>
      <c r="C77" s="34"/>
      <c r="D77" s="38" t="s">
        <v>90</v>
      </c>
      <c r="E77" s="38" t="s">
        <v>90</v>
      </c>
      <c r="F77" s="38" t="s">
        <v>90</v>
      </c>
      <c r="G77" s="21">
        <f t="shared" si="0"/>
        <v>0</v>
      </c>
    </row>
    <row r="78" spans="1:7" ht="15.75" thickBot="1" x14ac:dyDescent="0.3">
      <c r="A78" s="1933" t="s">
        <v>181</v>
      </c>
      <c r="B78" s="1728" t="s">
        <v>32</v>
      </c>
      <c r="C78" s="1788"/>
      <c r="D78" s="1740">
        <f>0.5*D$3</f>
        <v>0</v>
      </c>
      <c r="E78" s="1736">
        <v>0</v>
      </c>
      <c r="F78" s="1741">
        <v>0</v>
      </c>
      <c r="G78" s="1730">
        <f t="shared" si="0"/>
        <v>0</v>
      </c>
    </row>
    <row r="79" spans="1:7" x14ac:dyDescent="0.25">
      <c r="A79" s="1933"/>
      <c r="B79" s="19" t="s">
        <v>33</v>
      </c>
      <c r="C79" s="822"/>
      <c r="D79" s="476">
        <f>IF(D$3&gt;1,D$3*0.5,0.5)</f>
        <v>0.5</v>
      </c>
      <c r="E79" s="486">
        <v>1</v>
      </c>
      <c r="F79" s="630">
        <f>IF(F$3=1,1,0)</f>
        <v>0</v>
      </c>
      <c r="G79" s="21">
        <f t="shared" si="0"/>
        <v>1.5</v>
      </c>
    </row>
    <row r="80" spans="1:7" x14ac:dyDescent="0.25">
      <c r="A80" s="1933"/>
      <c r="B80" s="19" t="s">
        <v>34</v>
      </c>
      <c r="C80" s="817"/>
      <c r="D80" s="476">
        <f>IF(D$3&gt;1,D$3*0.5,0.5)</f>
        <v>0.5</v>
      </c>
      <c r="E80" s="486">
        <v>1</v>
      </c>
      <c r="F80" s="630">
        <f>IF(F$3=1,1,0)</f>
        <v>0</v>
      </c>
      <c r="G80" s="21">
        <f t="shared" si="0"/>
        <v>1.5</v>
      </c>
    </row>
    <row r="81" spans="1:7" ht="15.75" thickBot="1" x14ac:dyDescent="0.3">
      <c r="A81" s="1933" t="s">
        <v>182</v>
      </c>
      <c r="B81" s="1728" t="s">
        <v>32</v>
      </c>
      <c r="C81" s="1789"/>
      <c r="D81" s="1740">
        <f t="shared" ref="D81:D84" si="4">0.5*D$3</f>
        <v>0</v>
      </c>
      <c r="E81" s="1736">
        <v>0</v>
      </c>
      <c r="F81" s="1741">
        <v>0</v>
      </c>
      <c r="G81" s="1730">
        <f t="shared" si="0"/>
        <v>0</v>
      </c>
    </row>
    <row r="82" spans="1:7" x14ac:dyDescent="0.25">
      <c r="A82" s="1933"/>
      <c r="B82" s="19" t="s">
        <v>33</v>
      </c>
      <c r="C82" s="822"/>
      <c r="D82" s="476">
        <f>IF(D$3&gt;1,D$3*0.5,0.5)</f>
        <v>0.5</v>
      </c>
      <c r="E82" s="486"/>
      <c r="F82" s="630">
        <f>IF(F$3=1,1,0)</f>
        <v>0</v>
      </c>
      <c r="G82" s="21">
        <f t="shared" si="0"/>
        <v>0.5</v>
      </c>
    </row>
    <row r="83" spans="1:7" x14ac:dyDescent="0.25">
      <c r="A83" s="1933"/>
      <c r="B83" s="19" t="s">
        <v>34</v>
      </c>
      <c r="C83" s="817"/>
      <c r="D83" s="476">
        <f>IF(D$3&gt;1,D$3*0.5,0.5)</f>
        <v>0.5</v>
      </c>
      <c r="E83" s="486"/>
      <c r="F83" s="630">
        <f>IF(F$3=1,1,0)</f>
        <v>0</v>
      </c>
      <c r="G83" s="21">
        <f t="shared" si="0"/>
        <v>0.5</v>
      </c>
    </row>
    <row r="84" spans="1:7" x14ac:dyDescent="0.25">
      <c r="A84" s="1935" t="s">
        <v>183</v>
      </c>
      <c r="B84" s="1728" t="s">
        <v>32</v>
      </c>
      <c r="C84" s="1729"/>
      <c r="D84" s="1740">
        <f t="shared" si="4"/>
        <v>0</v>
      </c>
      <c r="E84" s="1736">
        <v>0</v>
      </c>
      <c r="F84" s="1741">
        <v>0</v>
      </c>
      <c r="G84" s="1730">
        <f t="shared" si="0"/>
        <v>0</v>
      </c>
    </row>
    <row r="85" spans="1:7" x14ac:dyDescent="0.25">
      <c r="A85" s="1935"/>
      <c r="B85" s="19" t="s">
        <v>33</v>
      </c>
      <c r="C85" s="324"/>
      <c r="D85" s="476">
        <f>IF(D$3&gt;0,D$3*0.25,0.25)</f>
        <v>0.25</v>
      </c>
      <c r="E85" s="486"/>
      <c r="F85" s="630">
        <f>IF(F$3=1,1,0)</f>
        <v>0</v>
      </c>
      <c r="G85" s="21">
        <f t="shared" si="0"/>
        <v>0.25</v>
      </c>
    </row>
    <row r="86" spans="1:7" ht="15.75" thickBot="1" x14ac:dyDescent="0.3">
      <c r="A86" s="1935"/>
      <c r="B86" s="13" t="s">
        <v>34</v>
      </c>
      <c r="C86" s="818"/>
      <c r="D86" s="476">
        <f>IF(D$3&gt;0,D$3*0.25,0.25)</f>
        <v>0.25</v>
      </c>
      <c r="E86" s="486"/>
      <c r="F86" s="630">
        <f>IF(F$3=1,1,0)</f>
        <v>0</v>
      </c>
      <c r="G86" s="77">
        <f t="shared" si="0"/>
        <v>0.25</v>
      </c>
    </row>
    <row r="87" spans="1:7" ht="16.5" thickBot="1" x14ac:dyDescent="0.3">
      <c r="A87" s="330" t="s">
        <v>22</v>
      </c>
      <c r="B87" s="329"/>
      <c r="C87" s="1790"/>
      <c r="D87" s="329"/>
      <c r="E87" s="329"/>
      <c r="F87" s="327"/>
      <c r="G87" s="396"/>
    </row>
    <row r="88" spans="1:7" x14ac:dyDescent="0.25">
      <c r="A88" s="1932" t="s">
        <v>23</v>
      </c>
      <c r="B88" s="1723" t="s">
        <v>32</v>
      </c>
      <c r="C88" s="1724"/>
      <c r="D88" s="1787">
        <v>0.25</v>
      </c>
      <c r="E88" s="1733">
        <v>0</v>
      </c>
      <c r="F88" s="1743">
        <v>0</v>
      </c>
      <c r="G88" s="1727">
        <f t="shared" si="0"/>
        <v>0.25</v>
      </c>
    </row>
    <row r="89" spans="1:7" x14ac:dyDescent="0.25">
      <c r="A89" s="1932"/>
      <c r="B89" s="19" t="s">
        <v>33</v>
      </c>
      <c r="C89" s="22"/>
      <c r="D89" s="482" t="s">
        <v>1768</v>
      </c>
      <c r="E89" s="482" t="s">
        <v>1768</v>
      </c>
      <c r="F89" s="482" t="s">
        <v>1768</v>
      </c>
      <c r="G89" s="21">
        <f t="shared" si="0"/>
        <v>0</v>
      </c>
    </row>
    <row r="90" spans="1:7" x14ac:dyDescent="0.25">
      <c r="A90" s="1932"/>
      <c r="B90" s="19" t="s">
        <v>34</v>
      </c>
      <c r="C90" s="22"/>
      <c r="D90" s="482" t="s">
        <v>1768</v>
      </c>
      <c r="E90" s="482" t="s">
        <v>1768</v>
      </c>
      <c r="F90" s="482" t="s">
        <v>1768</v>
      </c>
      <c r="G90" s="21">
        <f t="shared" si="0"/>
        <v>0</v>
      </c>
    </row>
    <row r="91" spans="1:7" x14ac:dyDescent="0.25">
      <c r="A91" s="1933" t="s">
        <v>24</v>
      </c>
      <c r="B91" s="1728" t="s">
        <v>32</v>
      </c>
      <c r="C91" s="1729"/>
      <c r="D91" s="1740">
        <v>8</v>
      </c>
      <c r="E91" s="1737">
        <f t="shared" ref="E91:E94" si="5">0.5*E$3</f>
        <v>0</v>
      </c>
      <c r="F91" s="1741">
        <v>0</v>
      </c>
      <c r="G91" s="1730">
        <f t="shared" si="0"/>
        <v>8</v>
      </c>
    </row>
    <row r="92" spans="1:7" x14ac:dyDescent="0.25">
      <c r="A92" s="1933"/>
      <c r="B92" s="19" t="s">
        <v>33</v>
      </c>
      <c r="C92" s="22"/>
      <c r="D92" s="821">
        <v>4</v>
      </c>
      <c r="E92" s="478">
        <f t="shared" ref="E92:E96" si="6">IF(E$3&gt;1,E$3*0.5,0.5)</f>
        <v>0.5</v>
      </c>
      <c r="F92" s="630">
        <f>IF(F$3=1,10,0)</f>
        <v>0</v>
      </c>
      <c r="G92" s="21">
        <f t="shared" si="0"/>
        <v>4.5</v>
      </c>
    </row>
    <row r="93" spans="1:7" x14ac:dyDescent="0.25">
      <c r="A93" s="1933"/>
      <c r="B93" s="19" t="s">
        <v>34</v>
      </c>
      <c r="C93" s="22"/>
      <c r="D93" s="821">
        <v>6</v>
      </c>
      <c r="E93" s="478">
        <f t="shared" si="6"/>
        <v>0.5</v>
      </c>
      <c r="F93" s="630">
        <f>IF(F$3=1,16,0)</f>
        <v>0</v>
      </c>
      <c r="G93" s="21">
        <f t="shared" si="0"/>
        <v>6.5</v>
      </c>
    </row>
    <row r="94" spans="1:7" x14ac:dyDescent="0.25">
      <c r="A94" s="1933" t="s">
        <v>25</v>
      </c>
      <c r="B94" s="1728" t="s">
        <v>32</v>
      </c>
      <c r="C94" s="1729"/>
      <c r="D94" s="1740">
        <v>6</v>
      </c>
      <c r="E94" s="1737">
        <f t="shared" si="5"/>
        <v>0</v>
      </c>
      <c r="F94" s="1741">
        <v>0</v>
      </c>
      <c r="G94" s="1730">
        <f t="shared" ref="G94:G105" si="7" xml:space="preserve"> SUM(D94:F94) + $C94</f>
        <v>6</v>
      </c>
    </row>
    <row r="95" spans="1:7" x14ac:dyDescent="0.25">
      <c r="A95" s="1933"/>
      <c r="B95" s="19" t="s">
        <v>33</v>
      </c>
      <c r="C95" s="22"/>
      <c r="D95" s="821">
        <v>4</v>
      </c>
      <c r="E95" s="478">
        <f t="shared" si="6"/>
        <v>0.5</v>
      </c>
      <c r="F95" s="630">
        <f>IF(F$3=1,10,0)</f>
        <v>0</v>
      </c>
      <c r="G95" s="21">
        <f t="shared" si="7"/>
        <v>4.5</v>
      </c>
    </row>
    <row r="96" spans="1:7" x14ac:dyDescent="0.25">
      <c r="A96" s="1933"/>
      <c r="B96" s="19" t="s">
        <v>34</v>
      </c>
      <c r="C96" s="22"/>
      <c r="D96" s="821">
        <v>6</v>
      </c>
      <c r="E96" s="478">
        <f t="shared" si="6"/>
        <v>0.5</v>
      </c>
      <c r="F96" s="630">
        <f>IF(F$3=1,16,0)</f>
        <v>0</v>
      </c>
      <c r="G96" s="21">
        <f t="shared" si="7"/>
        <v>6.5</v>
      </c>
    </row>
    <row r="97" spans="1:7" x14ac:dyDescent="0.25">
      <c r="A97" s="1933" t="s">
        <v>26</v>
      </c>
      <c r="B97" s="1728" t="s">
        <v>32</v>
      </c>
      <c r="C97" s="1729"/>
      <c r="D97" s="1740">
        <f>4+(0.5*D$3)</f>
        <v>4</v>
      </c>
      <c r="E97" s="1735">
        <v>0</v>
      </c>
      <c r="F97" s="1745">
        <v>0</v>
      </c>
      <c r="G97" s="1730">
        <f t="shared" si="7"/>
        <v>4</v>
      </c>
    </row>
    <row r="98" spans="1:7" x14ac:dyDescent="0.25">
      <c r="A98" s="1933"/>
      <c r="B98" s="19" t="s">
        <v>33</v>
      </c>
      <c r="C98" s="22"/>
      <c r="D98" s="501">
        <v>2</v>
      </c>
      <c r="E98" s="819">
        <v>0</v>
      </c>
      <c r="F98" s="630">
        <f>IF(F$3=1,10,0)</f>
        <v>0</v>
      </c>
      <c r="G98" s="21">
        <f t="shared" si="7"/>
        <v>2</v>
      </c>
    </row>
    <row r="99" spans="1:7" x14ac:dyDescent="0.25">
      <c r="A99" s="1933"/>
      <c r="B99" s="19" t="s">
        <v>34</v>
      </c>
      <c r="C99" s="22"/>
      <c r="D99" s="501">
        <v>4</v>
      </c>
      <c r="E99" s="819">
        <v>0</v>
      </c>
      <c r="F99" s="630">
        <f>IF(F$3=1,16,0)</f>
        <v>0</v>
      </c>
      <c r="G99" s="21">
        <f t="shared" si="7"/>
        <v>4</v>
      </c>
    </row>
    <row r="100" spans="1:7" x14ac:dyDescent="0.25">
      <c r="A100" s="1933" t="s">
        <v>27</v>
      </c>
      <c r="B100" s="1728" t="s">
        <v>32</v>
      </c>
      <c r="C100" s="1729"/>
      <c r="D100" s="1740">
        <f>2+(0.5*D$3)</f>
        <v>2</v>
      </c>
      <c r="E100" s="1735">
        <v>0</v>
      </c>
      <c r="F100" s="1745">
        <v>0</v>
      </c>
      <c r="G100" s="1730">
        <f t="shared" si="7"/>
        <v>2</v>
      </c>
    </row>
    <row r="101" spans="1:7" x14ac:dyDescent="0.25">
      <c r="A101" s="1933"/>
      <c r="B101" s="19" t="s">
        <v>33</v>
      </c>
      <c r="C101" s="22"/>
      <c r="D101" s="478">
        <f>IF(D$3&gt;1,D$3*0.25,0.25)</f>
        <v>0.25</v>
      </c>
      <c r="E101" s="501">
        <v>2</v>
      </c>
      <c r="F101" s="630">
        <f>IF(F$3=1,10,0)</f>
        <v>0</v>
      </c>
      <c r="G101" s="21">
        <f t="shared" si="7"/>
        <v>2.25</v>
      </c>
    </row>
    <row r="102" spans="1:7" x14ac:dyDescent="0.25">
      <c r="A102" s="1933"/>
      <c r="B102" s="19" t="s">
        <v>34</v>
      </c>
      <c r="C102" s="22"/>
      <c r="D102" s="478">
        <f>IF(D$3&gt;1,D$3*0.25,0.25)</f>
        <v>0.25</v>
      </c>
      <c r="E102" s="501">
        <v>4</v>
      </c>
      <c r="F102" s="630">
        <f>IF(F$3=1,16,0)</f>
        <v>0</v>
      </c>
      <c r="G102" s="21">
        <f t="shared" si="7"/>
        <v>4.25</v>
      </c>
    </row>
    <row r="103" spans="1:7" x14ac:dyDescent="0.25">
      <c r="A103" s="1932" t="s">
        <v>28</v>
      </c>
      <c r="B103" s="1728" t="s">
        <v>32</v>
      </c>
      <c r="C103" s="1729"/>
      <c r="D103" s="1740">
        <v>2</v>
      </c>
      <c r="E103" s="1746">
        <f>0.5*E$3</f>
        <v>0</v>
      </c>
      <c r="F103" s="1745">
        <v>0</v>
      </c>
      <c r="G103" s="1730">
        <f t="shared" si="7"/>
        <v>2</v>
      </c>
    </row>
    <row r="104" spans="1:7" x14ac:dyDescent="0.25">
      <c r="A104" s="1932"/>
      <c r="B104" s="19" t="s">
        <v>33</v>
      </c>
      <c r="C104" s="22"/>
      <c r="D104" s="482">
        <v>2</v>
      </c>
      <c r="E104" s="482">
        <v>0</v>
      </c>
      <c r="F104" s="630">
        <f>IF(F$3=1,10,0)</f>
        <v>0</v>
      </c>
      <c r="G104" s="21">
        <f t="shared" si="7"/>
        <v>2</v>
      </c>
    </row>
    <row r="105" spans="1:7" ht="15.75" thickBot="1" x14ac:dyDescent="0.3">
      <c r="A105" s="1934"/>
      <c r="B105" s="20" t="s">
        <v>34</v>
      </c>
      <c r="C105" s="23"/>
      <c r="D105" s="507">
        <v>4</v>
      </c>
      <c r="E105" s="491">
        <v>0</v>
      </c>
      <c r="F105" s="1695">
        <f>IF(F$3=1,16,0)</f>
        <v>0</v>
      </c>
      <c r="G105" s="24">
        <f t="shared" si="7"/>
        <v>4</v>
      </c>
    </row>
    <row r="106" spans="1:7" x14ac:dyDescent="0.25">
      <c r="A106" s="1785"/>
      <c r="B106" s="1785"/>
      <c r="C106" s="1785"/>
      <c r="D106" s="1785"/>
      <c r="E106" s="1785"/>
      <c r="F106" s="1785"/>
    </row>
    <row r="107" spans="1:7" ht="15.75" x14ac:dyDescent="0.25">
      <c r="A107" s="1691" t="s">
        <v>1702</v>
      </c>
      <c r="B107" s="1691" t="s">
        <v>1703</v>
      </c>
      <c r="C107" s="1785"/>
      <c r="D107" s="1696"/>
      <c r="E107" s="1785" t="s">
        <v>1704</v>
      </c>
      <c r="F107" s="1785"/>
    </row>
    <row r="108" spans="1:7" ht="135" x14ac:dyDescent="0.25">
      <c r="A108" s="1784" t="s">
        <v>1851</v>
      </c>
      <c r="B108" s="1784" t="s">
        <v>1853</v>
      </c>
      <c r="C108" s="1785"/>
      <c r="D108" s="1785"/>
      <c r="E108" s="1785"/>
      <c r="F108" s="1785"/>
    </row>
    <row r="109" spans="1:7" ht="60" x14ac:dyDescent="0.25">
      <c r="A109" s="1784" t="s">
        <v>1854</v>
      </c>
      <c r="B109" s="1784" t="s">
        <v>1855</v>
      </c>
      <c r="C109" s="1785"/>
      <c r="D109" s="1785"/>
      <c r="E109" s="1785"/>
      <c r="F109" s="1785"/>
    </row>
    <row r="110" spans="1:7" ht="60" x14ac:dyDescent="0.25">
      <c r="A110" s="1692" t="s">
        <v>1856</v>
      </c>
      <c r="B110" s="1692" t="s">
        <v>1816</v>
      </c>
      <c r="C110" s="1785"/>
      <c r="D110" s="1785"/>
      <c r="E110" s="1785"/>
      <c r="F110" s="1785"/>
    </row>
    <row r="111" spans="1:7" x14ac:dyDescent="0.25">
      <c r="A111" s="1785"/>
      <c r="B111" s="1785"/>
      <c r="C111" s="1785"/>
      <c r="D111" s="1785"/>
      <c r="E111" s="1785"/>
      <c r="F111" s="1785"/>
    </row>
    <row r="112" spans="1:7" x14ac:dyDescent="0.25">
      <c r="A112" s="1693" t="s">
        <v>89</v>
      </c>
      <c r="B112" s="1785"/>
      <c r="C112" s="1785"/>
      <c r="D112" s="1785"/>
      <c r="E112" s="1785"/>
      <c r="F112" s="1785"/>
    </row>
    <row r="113" spans="1:6" ht="15.75" x14ac:dyDescent="0.25">
      <c r="A113" s="1930" t="str">
        <f>A5</f>
        <v>ТЗ</v>
      </c>
      <c r="B113" s="1931"/>
      <c r="C113" s="1785"/>
      <c r="D113" s="1694" t="s">
        <v>66</v>
      </c>
      <c r="E113" s="1694" t="s">
        <v>65</v>
      </c>
      <c r="F113" s="1694" t="s">
        <v>64</v>
      </c>
    </row>
    <row r="114" spans="1:6" x14ac:dyDescent="0.25">
      <c r="A114" s="132" t="s">
        <v>1707</v>
      </c>
      <c r="B114" s="905" t="s">
        <v>33</v>
      </c>
      <c r="C114" s="1785"/>
      <c r="D114" s="658"/>
      <c r="E114" s="658" t="s">
        <v>1857</v>
      </c>
      <c r="F114" s="658" t="s">
        <v>1774</v>
      </c>
    </row>
    <row r="115" spans="1:6" x14ac:dyDescent="0.25">
      <c r="A115" s="132" t="s">
        <v>1708</v>
      </c>
      <c r="B115" s="905" t="s">
        <v>34</v>
      </c>
      <c r="C115" s="1785"/>
      <c r="D115" s="658"/>
      <c r="E115" s="658" t="s">
        <v>1857</v>
      </c>
      <c r="F115" s="658" t="s">
        <v>1840</v>
      </c>
    </row>
    <row r="116" spans="1:6" ht="15.75" x14ac:dyDescent="0.25">
      <c r="A116" s="1930" t="str">
        <f>A8</f>
        <v>ФТТ</v>
      </c>
      <c r="B116" s="1931"/>
      <c r="C116" s="1785"/>
      <c r="D116" s="1694" t="s">
        <v>66</v>
      </c>
      <c r="E116" s="1694" t="s">
        <v>65</v>
      </c>
      <c r="F116" s="1694" t="s">
        <v>64</v>
      </c>
    </row>
    <row r="117" spans="1:6" x14ac:dyDescent="0.25">
      <c r="A117" s="132" t="s">
        <v>1709</v>
      </c>
      <c r="B117" s="905" t="s">
        <v>33</v>
      </c>
      <c r="C117" s="1785"/>
      <c r="D117" s="658"/>
      <c r="E117" s="658" t="s">
        <v>1857</v>
      </c>
      <c r="F117" s="658" t="s">
        <v>1774</v>
      </c>
    </row>
    <row r="118" spans="1:6" x14ac:dyDescent="0.25">
      <c r="A118" s="132" t="s">
        <v>1710</v>
      </c>
      <c r="B118" s="905" t="s">
        <v>34</v>
      </c>
      <c r="C118" s="1785"/>
      <c r="D118" s="658"/>
      <c r="E118" s="658" t="s">
        <v>1857</v>
      </c>
      <c r="F118" s="658" t="s">
        <v>1840</v>
      </c>
    </row>
    <row r="119" spans="1:6" ht="15.75" x14ac:dyDescent="0.25">
      <c r="A119" s="1930" t="str">
        <f>A12</f>
        <v>Пояснительная записка к эскизному проекту</v>
      </c>
      <c r="B119" s="1931"/>
      <c r="C119" s="1785"/>
      <c r="D119" s="1694" t="s">
        <v>66</v>
      </c>
      <c r="E119" s="1694" t="s">
        <v>65</v>
      </c>
      <c r="F119" s="1694" t="s">
        <v>64</v>
      </c>
    </row>
    <row r="120" spans="1:6" x14ac:dyDescent="0.25">
      <c r="A120" s="132" t="s">
        <v>1711</v>
      </c>
      <c r="B120" s="905" t="s">
        <v>33</v>
      </c>
      <c r="C120" s="1785"/>
      <c r="D120" s="658"/>
      <c r="E120" s="658" t="s">
        <v>1858</v>
      </c>
      <c r="F120" s="658" t="s">
        <v>1810</v>
      </c>
    </row>
    <row r="121" spans="1:6" x14ac:dyDescent="0.25">
      <c r="A121" s="132" t="s">
        <v>1712</v>
      </c>
      <c r="B121" s="905" t="s">
        <v>34</v>
      </c>
      <c r="C121" s="1785"/>
      <c r="D121" s="658"/>
      <c r="E121" s="658" t="s">
        <v>1858</v>
      </c>
      <c r="F121" s="658" t="s">
        <v>1841</v>
      </c>
    </row>
    <row r="122" spans="1:6" ht="15.75" x14ac:dyDescent="0.25">
      <c r="A122" s="1930" t="str">
        <f>A19</f>
        <v xml:space="preserve">Ведомость покупных изделий </v>
      </c>
      <c r="B122" s="1931"/>
      <c r="C122" s="1785"/>
      <c r="D122" s="1694" t="s">
        <v>66</v>
      </c>
      <c r="E122" s="1694" t="s">
        <v>65</v>
      </c>
      <c r="F122" s="1694" t="s">
        <v>64</v>
      </c>
    </row>
    <row r="123" spans="1:6" x14ac:dyDescent="0.25">
      <c r="A123" s="132" t="s">
        <v>1713</v>
      </c>
      <c r="B123" s="905" t="s">
        <v>33</v>
      </c>
      <c r="C123" s="1785"/>
      <c r="D123" s="658" t="s">
        <v>1844</v>
      </c>
      <c r="E123" s="658" t="s">
        <v>1857</v>
      </c>
      <c r="F123" s="658"/>
    </row>
    <row r="124" spans="1:6" x14ac:dyDescent="0.25">
      <c r="A124" s="132" t="s">
        <v>1714</v>
      </c>
      <c r="B124" s="905" t="s">
        <v>34</v>
      </c>
      <c r="C124" s="1785"/>
      <c r="D124" s="658" t="s">
        <v>1844</v>
      </c>
      <c r="E124" s="658" t="s">
        <v>1857</v>
      </c>
      <c r="F124" s="658"/>
    </row>
    <row r="125" spans="1:6" ht="15.75" x14ac:dyDescent="0.25">
      <c r="A125" s="1930" t="str">
        <f>A22</f>
        <v xml:space="preserve">Пояснительная записка к техническому проекту </v>
      </c>
      <c r="B125" s="1931"/>
      <c r="C125" s="1785"/>
      <c r="D125" s="1694" t="s">
        <v>66</v>
      </c>
      <c r="E125" s="1694" t="s">
        <v>65</v>
      </c>
      <c r="F125" s="1694" t="s">
        <v>64</v>
      </c>
    </row>
    <row r="126" spans="1:6" x14ac:dyDescent="0.25">
      <c r="A126" s="132" t="s">
        <v>1715</v>
      </c>
      <c r="B126" s="905" t="s">
        <v>33</v>
      </c>
      <c r="C126" s="1785"/>
      <c r="D126" s="658"/>
      <c r="E126" s="658" t="s">
        <v>1858</v>
      </c>
      <c r="F126" s="658" t="s">
        <v>1810</v>
      </c>
    </row>
    <row r="127" spans="1:6" x14ac:dyDescent="0.25">
      <c r="A127" s="132" t="s">
        <v>1716</v>
      </c>
      <c r="B127" s="905" t="s">
        <v>34</v>
      </c>
      <c r="C127" s="1785"/>
      <c r="D127" s="658"/>
      <c r="E127" s="658" t="s">
        <v>1858</v>
      </c>
      <c r="F127" s="658" t="s">
        <v>1841</v>
      </c>
    </row>
    <row r="128" spans="1:6" ht="15.75" x14ac:dyDescent="0.25">
      <c r="A128" s="1930" t="str">
        <f>A25</f>
        <v xml:space="preserve">Описание комплекса технических средств </v>
      </c>
      <c r="B128" s="1931"/>
      <c r="C128" s="1785"/>
      <c r="D128" s="1694" t="s">
        <v>66</v>
      </c>
      <c r="E128" s="1694" t="s">
        <v>65</v>
      </c>
      <c r="F128" s="1694" t="s">
        <v>64</v>
      </c>
    </row>
    <row r="129" spans="1:6" x14ac:dyDescent="0.25">
      <c r="A129" s="132" t="s">
        <v>1717</v>
      </c>
      <c r="B129" s="905" t="s">
        <v>33</v>
      </c>
      <c r="C129" s="1785"/>
      <c r="D129" s="658"/>
      <c r="E129" s="658"/>
      <c r="F129" s="658" t="s">
        <v>1785</v>
      </c>
    </row>
    <row r="130" spans="1:6" x14ac:dyDescent="0.25">
      <c r="A130" s="132" t="s">
        <v>1718</v>
      </c>
      <c r="B130" s="905" t="s">
        <v>34</v>
      </c>
      <c r="C130" s="1785"/>
      <c r="D130" s="658"/>
      <c r="E130" s="658"/>
      <c r="F130" s="658" t="s">
        <v>1786</v>
      </c>
    </row>
    <row r="131" spans="1:6" ht="15.75" x14ac:dyDescent="0.25">
      <c r="A131" s="1930" t="str">
        <f>A28</f>
        <v xml:space="preserve">Описание программного обеспечения </v>
      </c>
      <c r="B131" s="1931"/>
      <c r="C131" s="1785"/>
      <c r="D131" s="1694" t="s">
        <v>66</v>
      </c>
      <c r="E131" s="1694" t="s">
        <v>65</v>
      </c>
      <c r="F131" s="1694" t="s">
        <v>64</v>
      </c>
    </row>
    <row r="132" spans="1:6" x14ac:dyDescent="0.25">
      <c r="A132" s="132" t="s">
        <v>1719</v>
      </c>
      <c r="B132" s="905" t="s">
        <v>33</v>
      </c>
      <c r="C132" s="1785"/>
      <c r="D132" s="658"/>
      <c r="E132" s="658" t="s">
        <v>1858</v>
      </c>
      <c r="F132" s="658" t="s">
        <v>1787</v>
      </c>
    </row>
    <row r="133" spans="1:6" x14ac:dyDescent="0.25">
      <c r="A133" s="132" t="s">
        <v>1720</v>
      </c>
      <c r="B133" s="905" t="s">
        <v>34</v>
      </c>
      <c r="C133" s="1785"/>
      <c r="D133" s="658"/>
      <c r="E133" s="658" t="s">
        <v>1858</v>
      </c>
      <c r="F133" s="658" t="s">
        <v>1788</v>
      </c>
    </row>
    <row r="134" spans="1:6" ht="15.75" x14ac:dyDescent="0.25">
      <c r="A134" s="1930" t="str">
        <f>A31</f>
        <v>Схема структурная</v>
      </c>
      <c r="B134" s="1931"/>
      <c r="C134" s="1785"/>
      <c r="D134" s="1694" t="s">
        <v>66</v>
      </c>
      <c r="E134" s="1694" t="s">
        <v>65</v>
      </c>
      <c r="F134" s="1694" t="s">
        <v>64</v>
      </c>
    </row>
    <row r="135" spans="1:6" x14ac:dyDescent="0.25">
      <c r="A135" s="132" t="s">
        <v>1721</v>
      </c>
      <c r="B135" s="905" t="s">
        <v>33</v>
      </c>
      <c r="C135" s="1785"/>
      <c r="D135" s="658"/>
      <c r="E135" s="658"/>
      <c r="F135" s="658" t="s">
        <v>1804</v>
      </c>
    </row>
    <row r="136" spans="1:6" x14ac:dyDescent="0.25">
      <c r="A136" s="132" t="s">
        <v>1722</v>
      </c>
      <c r="B136" s="905" t="s">
        <v>34</v>
      </c>
      <c r="C136" s="1785"/>
      <c r="D136" s="658"/>
      <c r="E136" s="658"/>
      <c r="F136" s="658" t="s">
        <v>1807</v>
      </c>
    </row>
    <row r="137" spans="1:6" ht="15.75" x14ac:dyDescent="0.25">
      <c r="A137" s="1930" t="str">
        <f>A34</f>
        <v>Схема функциональная</v>
      </c>
      <c r="B137" s="1931"/>
      <c r="C137" s="1785"/>
      <c r="D137" s="1694" t="s">
        <v>66</v>
      </c>
      <c r="E137" s="1694" t="s">
        <v>65</v>
      </c>
      <c r="F137" s="1694" t="s">
        <v>64</v>
      </c>
    </row>
    <row r="138" spans="1:6" x14ac:dyDescent="0.25">
      <c r="A138" s="132" t="s">
        <v>1723</v>
      </c>
      <c r="B138" s="905" t="s">
        <v>33</v>
      </c>
      <c r="C138" s="1785"/>
      <c r="D138" s="658"/>
      <c r="E138" s="658" t="s">
        <v>1858</v>
      </c>
      <c r="F138" s="658" t="s">
        <v>1804</v>
      </c>
    </row>
    <row r="139" spans="1:6" x14ac:dyDescent="0.25">
      <c r="A139" s="132" t="s">
        <v>1724</v>
      </c>
      <c r="B139" s="905" t="s">
        <v>34</v>
      </c>
      <c r="C139" s="1785"/>
      <c r="D139" s="658"/>
      <c r="E139" s="658" t="s">
        <v>1858</v>
      </c>
      <c r="F139" s="658" t="s">
        <v>1807</v>
      </c>
    </row>
    <row r="140" spans="1:6" ht="15.75" x14ac:dyDescent="0.25">
      <c r="A140" s="1930" t="str">
        <f>A38</f>
        <v xml:space="preserve">Пояснительная записка к технорабочему проекту </v>
      </c>
      <c r="B140" s="1931"/>
      <c r="C140" s="1785"/>
      <c r="D140" s="1694" t="s">
        <v>66</v>
      </c>
      <c r="E140" s="1694" t="s">
        <v>65</v>
      </c>
      <c r="F140" s="1694" t="s">
        <v>64</v>
      </c>
    </row>
    <row r="141" spans="1:6" x14ac:dyDescent="0.25">
      <c r="A141" s="132" t="s">
        <v>1725</v>
      </c>
      <c r="B141" s="905" t="s">
        <v>33</v>
      </c>
      <c r="C141" s="1785"/>
      <c r="D141" s="658"/>
      <c r="E141" s="658" t="s">
        <v>1858</v>
      </c>
      <c r="F141" s="658" t="s">
        <v>1810</v>
      </c>
    </row>
    <row r="142" spans="1:6" x14ac:dyDescent="0.25">
      <c r="A142" s="132" t="s">
        <v>1726</v>
      </c>
      <c r="B142" s="905" t="s">
        <v>34</v>
      </c>
      <c r="C142" s="1785"/>
      <c r="D142" s="658"/>
      <c r="E142" s="658" t="s">
        <v>1858</v>
      </c>
      <c r="F142" s="658" t="s">
        <v>1820</v>
      </c>
    </row>
    <row r="143" spans="1:6" ht="15.75" x14ac:dyDescent="0.25">
      <c r="A143" s="1930" t="str">
        <f>A42</f>
        <v xml:space="preserve">Спецификация оборудования </v>
      </c>
      <c r="B143" s="1931"/>
      <c r="C143" s="1785"/>
      <c r="D143" s="1694" t="s">
        <v>66</v>
      </c>
      <c r="E143" s="1694" t="s">
        <v>65</v>
      </c>
      <c r="F143" s="1694" t="s">
        <v>64</v>
      </c>
    </row>
    <row r="144" spans="1:6" x14ac:dyDescent="0.25">
      <c r="A144" s="132" t="s">
        <v>1727</v>
      </c>
      <c r="B144" s="905" t="s">
        <v>33</v>
      </c>
      <c r="C144" s="1785"/>
      <c r="D144" s="658" t="s">
        <v>1844</v>
      </c>
      <c r="E144" s="658" t="s">
        <v>1857</v>
      </c>
      <c r="F144" s="658"/>
    </row>
    <row r="145" spans="1:6" x14ac:dyDescent="0.25">
      <c r="A145" s="132" t="s">
        <v>1728</v>
      </c>
      <c r="B145" s="905" t="s">
        <v>34</v>
      </c>
      <c r="C145" s="1785"/>
      <c r="D145" s="658" t="s">
        <v>1844</v>
      </c>
      <c r="E145" s="658" t="s">
        <v>1857</v>
      </c>
      <c r="F145" s="658"/>
    </row>
    <row r="146" spans="1:6" ht="15.75" x14ac:dyDescent="0.25">
      <c r="A146" s="1930" t="str">
        <f>A45</f>
        <v>Инструкция по установке и настройке</v>
      </c>
      <c r="B146" s="1931"/>
      <c r="C146" s="1785"/>
      <c r="D146" s="1694" t="s">
        <v>66</v>
      </c>
      <c r="E146" s="1694" t="s">
        <v>65</v>
      </c>
      <c r="F146" s="1694" t="s">
        <v>64</v>
      </c>
    </row>
    <row r="147" spans="1:6" x14ac:dyDescent="0.25">
      <c r="A147" s="132" t="s">
        <v>1729</v>
      </c>
      <c r="B147" s="905" t="s">
        <v>33</v>
      </c>
      <c r="C147" s="1785"/>
      <c r="D147" s="658"/>
      <c r="E147" s="658" t="s">
        <v>1858</v>
      </c>
      <c r="F147" s="658" t="s">
        <v>1807</v>
      </c>
    </row>
    <row r="148" spans="1:6" x14ac:dyDescent="0.25">
      <c r="A148" s="132" t="s">
        <v>1730</v>
      </c>
      <c r="B148" s="905" t="s">
        <v>34</v>
      </c>
      <c r="C148" s="1785"/>
      <c r="D148" s="658"/>
      <c r="E148" s="658" t="s">
        <v>1858</v>
      </c>
      <c r="F148" s="658" t="s">
        <v>1807</v>
      </c>
    </row>
    <row r="149" spans="1:6" ht="15.75" x14ac:dyDescent="0.25">
      <c r="A149" s="1930" t="str">
        <f>A48</f>
        <v xml:space="preserve">Схема соединений внешних проводок </v>
      </c>
      <c r="B149" s="1931"/>
      <c r="C149" s="1785"/>
      <c r="D149" s="1694" t="s">
        <v>66</v>
      </c>
      <c r="E149" s="1694" t="s">
        <v>65</v>
      </c>
      <c r="F149" s="1694" t="s">
        <v>64</v>
      </c>
    </row>
    <row r="150" spans="1:6" x14ac:dyDescent="0.25">
      <c r="A150" s="132" t="s">
        <v>1731</v>
      </c>
      <c r="B150" s="905" t="s">
        <v>33</v>
      </c>
      <c r="C150" s="1785"/>
      <c r="D150" s="658" t="s">
        <v>1859</v>
      </c>
      <c r="E150" s="658"/>
      <c r="F150" s="658" t="s">
        <v>1799</v>
      </c>
    </row>
    <row r="151" spans="1:6" x14ac:dyDescent="0.25">
      <c r="A151" s="132" t="s">
        <v>1732</v>
      </c>
      <c r="B151" s="905" t="s">
        <v>34</v>
      </c>
      <c r="C151" s="1785"/>
      <c r="D151" s="658" t="s">
        <v>1859</v>
      </c>
      <c r="E151" s="658"/>
      <c r="F151" s="658" t="s">
        <v>1799</v>
      </c>
    </row>
    <row r="152" spans="1:6" ht="15.75" x14ac:dyDescent="0.25">
      <c r="A152" s="1930" t="str">
        <f>A51</f>
        <v xml:space="preserve">Таблица соединений и подключений </v>
      </c>
      <c r="B152" s="1931"/>
      <c r="C152" s="1785"/>
      <c r="D152" s="1694" t="s">
        <v>66</v>
      </c>
      <c r="E152" s="1694" t="s">
        <v>65</v>
      </c>
      <c r="F152" s="1694" t="s">
        <v>64</v>
      </c>
    </row>
    <row r="153" spans="1:6" x14ac:dyDescent="0.25">
      <c r="A153" s="132" t="s">
        <v>1733</v>
      </c>
      <c r="B153" s="905" t="s">
        <v>33</v>
      </c>
      <c r="C153" s="1785"/>
      <c r="D153" s="658" t="s">
        <v>1859</v>
      </c>
      <c r="E153" s="658"/>
      <c r="F153" s="658" t="s">
        <v>1799</v>
      </c>
    </row>
    <row r="154" spans="1:6" x14ac:dyDescent="0.25">
      <c r="A154" s="132" t="s">
        <v>1734</v>
      </c>
      <c r="B154" s="905" t="s">
        <v>34</v>
      </c>
      <c r="C154" s="1785"/>
      <c r="D154" s="658" t="s">
        <v>1859</v>
      </c>
      <c r="E154" s="658"/>
      <c r="F154" s="658" t="s">
        <v>1799</v>
      </c>
    </row>
    <row r="155" spans="1:6" ht="15.75" x14ac:dyDescent="0.25">
      <c r="A155" s="1930" t="str">
        <f>A54</f>
        <v xml:space="preserve">План расположения </v>
      </c>
      <c r="B155" s="1931"/>
      <c r="C155" s="1785"/>
      <c r="D155" s="1694" t="s">
        <v>66</v>
      </c>
      <c r="E155" s="1694" t="s">
        <v>65</v>
      </c>
      <c r="F155" s="1694" t="s">
        <v>64</v>
      </c>
    </row>
    <row r="156" spans="1:6" x14ac:dyDescent="0.25">
      <c r="A156" s="132" t="s">
        <v>1735</v>
      </c>
      <c r="B156" s="905" t="s">
        <v>33</v>
      </c>
      <c r="C156" s="1785"/>
      <c r="D156" s="658" t="s">
        <v>1773</v>
      </c>
      <c r="E156" s="658"/>
      <c r="F156" s="658" t="s">
        <v>1799</v>
      </c>
    </row>
    <row r="157" spans="1:6" x14ac:dyDescent="0.25">
      <c r="A157" s="132" t="s">
        <v>1736</v>
      </c>
      <c r="B157" s="905" t="s">
        <v>34</v>
      </c>
      <c r="C157" s="1785"/>
      <c r="D157" s="658" t="s">
        <v>1773</v>
      </c>
      <c r="E157" s="658"/>
      <c r="F157" s="658" t="s">
        <v>1799</v>
      </c>
    </row>
    <row r="158" spans="1:6" ht="15.75" x14ac:dyDescent="0.25">
      <c r="A158" s="1930" t="str">
        <f>A57</f>
        <v>Паспорт</v>
      </c>
      <c r="B158" s="1931"/>
      <c r="C158" s="1785"/>
      <c r="D158" s="1694" t="s">
        <v>66</v>
      </c>
      <c r="E158" s="1694" t="s">
        <v>65</v>
      </c>
      <c r="F158" s="1694" t="s">
        <v>64</v>
      </c>
    </row>
    <row r="159" spans="1:6" x14ac:dyDescent="0.25">
      <c r="A159" s="132" t="s">
        <v>1744</v>
      </c>
      <c r="B159" s="905" t="s">
        <v>33</v>
      </c>
      <c r="C159" s="1785"/>
      <c r="D159" s="658"/>
      <c r="E159" s="658" t="s">
        <v>1858</v>
      </c>
      <c r="F159" s="658" t="s">
        <v>1810</v>
      </c>
    </row>
    <row r="160" spans="1:6" x14ac:dyDescent="0.25">
      <c r="A160" s="132" t="s">
        <v>1743</v>
      </c>
      <c r="B160" s="905" t="s">
        <v>34</v>
      </c>
      <c r="C160" s="1785"/>
      <c r="D160" s="658"/>
      <c r="E160" s="658" t="s">
        <v>1858</v>
      </c>
      <c r="F160" s="658" t="s">
        <v>1841</v>
      </c>
    </row>
    <row r="161" spans="1:6" ht="15.75" x14ac:dyDescent="0.25">
      <c r="A161" s="1930" t="str">
        <f>A60</f>
        <v>ПиМИ</v>
      </c>
      <c r="B161" s="1931"/>
      <c r="C161" s="1785"/>
      <c r="D161" s="1694" t="s">
        <v>66</v>
      </c>
      <c r="E161" s="1694" t="s">
        <v>65</v>
      </c>
      <c r="F161" s="1694" t="s">
        <v>64</v>
      </c>
    </row>
    <row r="162" spans="1:6" x14ac:dyDescent="0.25">
      <c r="A162" s="132" t="s">
        <v>1742</v>
      </c>
      <c r="B162" s="905" t="s">
        <v>33</v>
      </c>
      <c r="C162" s="1785"/>
      <c r="D162" s="658"/>
      <c r="E162" s="658" t="s">
        <v>1858</v>
      </c>
      <c r="F162" s="658" t="s">
        <v>1804</v>
      </c>
    </row>
    <row r="163" spans="1:6" x14ac:dyDescent="0.25">
      <c r="A163" s="132" t="s">
        <v>1741</v>
      </c>
      <c r="B163" s="905" t="s">
        <v>34</v>
      </c>
      <c r="C163" s="1785"/>
      <c r="D163" s="658"/>
      <c r="E163" s="658" t="s">
        <v>1858</v>
      </c>
      <c r="F163" s="658" t="s">
        <v>1805</v>
      </c>
    </row>
    <row r="164" spans="1:6" ht="15.75" x14ac:dyDescent="0.25">
      <c r="A164" s="1930" t="str">
        <f>A63</f>
        <v>Технические условия для монтажа оборудования</v>
      </c>
      <c r="B164" s="1931"/>
      <c r="C164" s="1785"/>
      <c r="D164" s="1694" t="s">
        <v>66</v>
      </c>
      <c r="E164" s="1694" t="s">
        <v>65</v>
      </c>
      <c r="F164" s="1694" t="s">
        <v>64</v>
      </c>
    </row>
    <row r="165" spans="1:6" x14ac:dyDescent="0.25">
      <c r="A165" s="132" t="s">
        <v>1740</v>
      </c>
      <c r="B165" s="905" t="s">
        <v>33</v>
      </c>
      <c r="C165" s="1785"/>
      <c r="D165" s="658"/>
      <c r="E165" s="1381"/>
      <c r="F165" s="1381"/>
    </row>
    <row r="166" spans="1:6" x14ac:dyDescent="0.25">
      <c r="A166" s="132" t="s">
        <v>1739</v>
      </c>
      <c r="B166" s="905" t="s">
        <v>34</v>
      </c>
      <c r="C166" s="1785"/>
      <c r="D166" s="658"/>
      <c r="E166" s="1381"/>
      <c r="F166" s="1381"/>
    </row>
    <row r="167" spans="1:6" ht="15.75" x14ac:dyDescent="0.25">
      <c r="A167" s="1930" t="str">
        <f>A66</f>
        <v>Эскизная схема расположения оборудования</v>
      </c>
      <c r="B167" s="1931"/>
      <c r="C167" s="1785"/>
      <c r="D167" s="1694" t="s">
        <v>66</v>
      </c>
      <c r="E167" s="1694" t="s">
        <v>65</v>
      </c>
      <c r="F167" s="1694" t="s">
        <v>64</v>
      </c>
    </row>
    <row r="168" spans="1:6" x14ac:dyDescent="0.25">
      <c r="A168" s="132" t="s">
        <v>1737</v>
      </c>
      <c r="B168" s="905" t="s">
        <v>33</v>
      </c>
      <c r="C168" s="1785"/>
      <c r="D168" s="658" t="s">
        <v>1773</v>
      </c>
      <c r="E168" s="658"/>
      <c r="F168" s="658" t="s">
        <v>1799</v>
      </c>
    </row>
    <row r="169" spans="1:6" x14ac:dyDescent="0.25">
      <c r="A169" s="132" t="s">
        <v>1738</v>
      </c>
      <c r="B169" s="905" t="s">
        <v>34</v>
      </c>
      <c r="C169" s="1785"/>
      <c r="D169" s="658" t="s">
        <v>1773</v>
      </c>
      <c r="E169" s="658"/>
      <c r="F169" s="658" t="s">
        <v>1799</v>
      </c>
    </row>
    <row r="170" spans="1:6" ht="15.75" x14ac:dyDescent="0.25">
      <c r="A170" s="1930" t="str">
        <f>A69</f>
        <v>Сетевая схема L2</v>
      </c>
      <c r="B170" s="1931"/>
      <c r="C170" s="1785"/>
      <c r="D170" s="1694" t="s">
        <v>66</v>
      </c>
      <c r="E170" s="1694" t="s">
        <v>65</v>
      </c>
      <c r="F170" s="1694" t="s">
        <v>64</v>
      </c>
    </row>
    <row r="171" spans="1:6" x14ac:dyDescent="0.25">
      <c r="A171" s="132" t="s">
        <v>1745</v>
      </c>
      <c r="B171" s="905" t="s">
        <v>33</v>
      </c>
      <c r="C171" s="1785"/>
      <c r="D171" s="658"/>
      <c r="E171" s="1381"/>
      <c r="F171" s="1381"/>
    </row>
    <row r="172" spans="1:6" x14ac:dyDescent="0.25">
      <c r="A172" s="132" t="s">
        <v>1746</v>
      </c>
      <c r="B172" s="905" t="s">
        <v>34</v>
      </c>
      <c r="C172" s="1785"/>
      <c r="D172" s="658"/>
      <c r="E172" s="1381"/>
      <c r="F172" s="1381"/>
    </row>
    <row r="173" spans="1:6" ht="15.75" x14ac:dyDescent="0.25">
      <c r="A173" s="1930" t="str">
        <f>A72</f>
        <v>Сетевая схема L3</v>
      </c>
      <c r="B173" s="1931"/>
      <c r="C173" s="1785"/>
      <c r="D173" s="1694" t="s">
        <v>66</v>
      </c>
      <c r="E173" s="1694" t="s">
        <v>65</v>
      </c>
      <c r="F173" s="1694" t="s">
        <v>64</v>
      </c>
    </row>
    <row r="174" spans="1:6" x14ac:dyDescent="0.25">
      <c r="A174" s="132" t="s">
        <v>1747</v>
      </c>
      <c r="B174" s="905" t="s">
        <v>33</v>
      </c>
      <c r="C174" s="1785"/>
      <c r="D174" s="658"/>
      <c r="E174" s="1381"/>
      <c r="F174" s="1381"/>
    </row>
    <row r="175" spans="1:6" x14ac:dyDescent="0.25">
      <c r="A175" s="132" t="s">
        <v>1748</v>
      </c>
      <c r="B175" s="905" t="s">
        <v>34</v>
      </c>
      <c r="C175" s="1785"/>
      <c r="D175" s="658"/>
      <c r="E175" s="1381"/>
      <c r="F175" s="1381"/>
    </row>
    <row r="176" spans="1:6" ht="15.75" x14ac:dyDescent="0.25">
      <c r="A176" s="1930" t="str">
        <f>A78</f>
        <v>Принципиальная схема электропитания оборудования (СБ)</v>
      </c>
      <c r="B176" s="1931"/>
      <c r="C176" s="1785"/>
      <c r="D176" s="1694" t="s">
        <v>66</v>
      </c>
      <c r="E176" s="1694" t="s">
        <v>65</v>
      </c>
      <c r="F176" s="1694" t="s">
        <v>64</v>
      </c>
    </row>
    <row r="177" spans="1:6" x14ac:dyDescent="0.25">
      <c r="A177" s="132" t="s">
        <v>1749</v>
      </c>
      <c r="B177" s="905" t="s">
        <v>33</v>
      </c>
      <c r="C177" s="1785"/>
      <c r="D177" s="658" t="s">
        <v>1859</v>
      </c>
      <c r="E177" s="658"/>
      <c r="F177" s="658" t="s">
        <v>1799</v>
      </c>
    </row>
    <row r="178" spans="1:6" x14ac:dyDescent="0.25">
      <c r="A178" s="132" t="s">
        <v>1750</v>
      </c>
      <c r="B178" s="905" t="s">
        <v>34</v>
      </c>
      <c r="C178" s="1785"/>
      <c r="D178" s="658" t="s">
        <v>1859</v>
      </c>
      <c r="E178" s="658"/>
      <c r="F178" s="658" t="s">
        <v>1799</v>
      </c>
    </row>
    <row r="179" spans="1:6" ht="15.75" x14ac:dyDescent="0.25">
      <c r="A179" s="1930" t="str">
        <f>A81</f>
        <v>Схема подключения внешних проводок (С5)</v>
      </c>
      <c r="B179" s="1931"/>
      <c r="C179" s="1785"/>
      <c r="D179" s="1694" t="s">
        <v>66</v>
      </c>
      <c r="E179" s="1694" t="s">
        <v>65</v>
      </c>
      <c r="F179" s="1694" t="s">
        <v>64</v>
      </c>
    </row>
    <row r="180" spans="1:6" x14ac:dyDescent="0.25">
      <c r="A180" s="132" t="s">
        <v>1751</v>
      </c>
      <c r="B180" s="905" t="s">
        <v>33</v>
      </c>
      <c r="C180" s="1785"/>
      <c r="D180" s="658" t="s">
        <v>1859</v>
      </c>
      <c r="E180" s="658"/>
      <c r="F180" s="658" t="s">
        <v>1799</v>
      </c>
    </row>
    <row r="181" spans="1:6" x14ac:dyDescent="0.25">
      <c r="A181" s="132" t="s">
        <v>1752</v>
      </c>
      <c r="B181" s="905" t="s">
        <v>34</v>
      </c>
      <c r="C181" s="1785"/>
      <c r="D181" s="658" t="s">
        <v>1859</v>
      </c>
      <c r="E181" s="658"/>
      <c r="F181" s="658" t="s">
        <v>1799</v>
      </c>
    </row>
    <row r="182" spans="1:6" ht="15.75" x14ac:dyDescent="0.25">
      <c r="A182" s="1930" t="str">
        <f>A84</f>
        <v>Чертеж установки технических средств (СА)</v>
      </c>
      <c r="B182" s="1931"/>
      <c r="C182" s="1785"/>
      <c r="D182" s="1694" t="s">
        <v>66</v>
      </c>
      <c r="E182" s="1694" t="s">
        <v>65</v>
      </c>
      <c r="F182" s="1694" t="s">
        <v>64</v>
      </c>
    </row>
    <row r="183" spans="1:6" x14ac:dyDescent="0.25">
      <c r="A183" s="132" t="s">
        <v>1753</v>
      </c>
      <c r="B183" s="905" t="s">
        <v>33</v>
      </c>
      <c r="C183" s="1785"/>
      <c r="D183" s="658" t="s">
        <v>1773</v>
      </c>
      <c r="E183" s="658"/>
      <c r="F183" s="658" t="s">
        <v>1799</v>
      </c>
    </row>
    <row r="184" spans="1:6" x14ac:dyDescent="0.25">
      <c r="A184" s="132" t="s">
        <v>1754</v>
      </c>
      <c r="B184" s="905" t="s">
        <v>34</v>
      </c>
      <c r="C184" s="1785"/>
      <c r="D184" s="658" t="s">
        <v>1773</v>
      </c>
      <c r="E184" s="658"/>
      <c r="F184" s="658" t="s">
        <v>1799</v>
      </c>
    </row>
    <row r="185" spans="1:6" ht="15.75" x14ac:dyDescent="0.25">
      <c r="A185" s="1930" t="str">
        <f>A88</f>
        <v xml:space="preserve">Ведомость эксплуатационных документов </v>
      </c>
      <c r="B185" s="1931"/>
      <c r="C185" s="1785"/>
      <c r="D185" s="1694" t="s">
        <v>66</v>
      </c>
      <c r="E185" s="1694" t="s">
        <v>65</v>
      </c>
      <c r="F185" s="1694" t="s">
        <v>64</v>
      </c>
    </row>
    <row r="186" spans="1:6" x14ac:dyDescent="0.25">
      <c r="A186" s="132" t="s">
        <v>1755</v>
      </c>
      <c r="B186" s="905" t="s">
        <v>33</v>
      </c>
      <c r="C186" s="1785"/>
      <c r="D186" s="658"/>
      <c r="E186" s="1381"/>
      <c r="F186" s="1381"/>
    </row>
    <row r="187" spans="1:6" x14ac:dyDescent="0.25">
      <c r="A187" s="132" t="s">
        <v>1756</v>
      </c>
      <c r="B187" s="905" t="s">
        <v>34</v>
      </c>
      <c r="C187" s="1785"/>
      <c r="D187" s="658"/>
      <c r="E187" s="1381"/>
      <c r="F187" s="1381"/>
    </row>
    <row r="188" spans="1:6" ht="15.75" x14ac:dyDescent="0.25">
      <c r="A188" s="1930" t="str">
        <f>A91</f>
        <v>Руководство администратора</v>
      </c>
      <c r="B188" s="1931"/>
      <c r="C188" s="1785"/>
      <c r="D188" s="1694" t="s">
        <v>66</v>
      </c>
      <c r="E188" s="1694" t="s">
        <v>65</v>
      </c>
      <c r="F188" s="1694" t="s">
        <v>64</v>
      </c>
    </row>
    <row r="189" spans="1:6" x14ac:dyDescent="0.25">
      <c r="A189" s="132" t="s">
        <v>1757</v>
      </c>
      <c r="B189" s="905" t="s">
        <v>33</v>
      </c>
      <c r="C189" s="1785"/>
      <c r="D189" s="658"/>
      <c r="E189" s="658" t="s">
        <v>1858</v>
      </c>
      <c r="F189" s="658" t="s">
        <v>1809</v>
      </c>
    </row>
    <row r="190" spans="1:6" x14ac:dyDescent="0.25">
      <c r="A190" s="132" t="s">
        <v>1758</v>
      </c>
      <c r="B190" s="905" t="s">
        <v>34</v>
      </c>
      <c r="C190" s="1785"/>
      <c r="D190" s="658"/>
      <c r="E190" s="658" t="s">
        <v>1858</v>
      </c>
      <c r="F190" s="658" t="s">
        <v>1810</v>
      </c>
    </row>
    <row r="191" spans="1:6" ht="15.75" x14ac:dyDescent="0.25">
      <c r="A191" s="1930" t="str">
        <f>A94</f>
        <v xml:space="preserve">Руководство пользователя </v>
      </c>
      <c r="B191" s="1931"/>
      <c r="C191" s="1785"/>
      <c r="D191" s="1694" t="s">
        <v>66</v>
      </c>
      <c r="E191" s="1694" t="s">
        <v>65</v>
      </c>
      <c r="F191" s="1694" t="s">
        <v>64</v>
      </c>
    </row>
    <row r="192" spans="1:6" x14ac:dyDescent="0.25">
      <c r="A192" s="132" t="s">
        <v>1759</v>
      </c>
      <c r="B192" s="905" t="s">
        <v>33</v>
      </c>
      <c r="C192" s="1785"/>
      <c r="D192" s="658"/>
      <c r="E192" s="658" t="s">
        <v>1858</v>
      </c>
      <c r="F192" s="658" t="s">
        <v>1805</v>
      </c>
    </row>
    <row r="193" spans="1:6" x14ac:dyDescent="0.25">
      <c r="A193" s="132" t="s">
        <v>1760</v>
      </c>
      <c r="B193" s="905" t="s">
        <v>34</v>
      </c>
      <c r="C193" s="1785"/>
      <c r="D193" s="658"/>
      <c r="E193" s="658" t="s">
        <v>1858</v>
      </c>
      <c r="F193" s="658" t="s">
        <v>1811</v>
      </c>
    </row>
    <row r="194" spans="1:6" ht="15.75" x14ac:dyDescent="0.25">
      <c r="A194" s="1930" t="str">
        <f>A97</f>
        <v>Руководство по мониторингу</v>
      </c>
      <c r="B194" s="1931"/>
      <c r="C194" s="1785"/>
      <c r="D194" s="1694" t="s">
        <v>66</v>
      </c>
      <c r="E194" s="1694" t="s">
        <v>65</v>
      </c>
      <c r="F194" s="1694" t="s">
        <v>64</v>
      </c>
    </row>
    <row r="195" spans="1:6" x14ac:dyDescent="0.25">
      <c r="A195" s="132" t="s">
        <v>1761</v>
      </c>
      <c r="B195" s="905" t="s">
        <v>33</v>
      </c>
      <c r="C195" s="1785"/>
      <c r="D195" s="658"/>
      <c r="E195" s="658"/>
      <c r="F195" s="658" t="s">
        <v>1809</v>
      </c>
    </row>
    <row r="196" spans="1:6" x14ac:dyDescent="0.25">
      <c r="A196" s="132" t="s">
        <v>1762</v>
      </c>
      <c r="B196" s="905" t="s">
        <v>34</v>
      </c>
      <c r="C196" s="1785"/>
      <c r="D196" s="658"/>
      <c r="E196" s="658"/>
      <c r="F196" s="658" t="s">
        <v>1810</v>
      </c>
    </row>
    <row r="197" spans="1:6" ht="15.75" x14ac:dyDescent="0.25">
      <c r="A197" s="1930" t="str">
        <f>A100</f>
        <v>План резервного копирования</v>
      </c>
      <c r="B197" s="1931"/>
      <c r="C197" s="1785"/>
      <c r="D197" s="1694" t="s">
        <v>66</v>
      </c>
      <c r="E197" s="1694" t="s">
        <v>65</v>
      </c>
      <c r="F197" s="1694" t="s">
        <v>64</v>
      </c>
    </row>
    <row r="198" spans="1:6" x14ac:dyDescent="0.25">
      <c r="A198" s="132" t="s">
        <v>1763</v>
      </c>
      <c r="B198" s="905" t="s">
        <v>33</v>
      </c>
      <c r="C198" s="1785"/>
      <c r="D198" s="658" t="s">
        <v>1845</v>
      </c>
      <c r="E198" s="658"/>
      <c r="F198" s="658" t="s">
        <v>1809</v>
      </c>
    </row>
    <row r="199" spans="1:6" x14ac:dyDescent="0.25">
      <c r="A199" s="132" t="s">
        <v>1764</v>
      </c>
      <c r="B199" s="905" t="s">
        <v>34</v>
      </c>
      <c r="C199" s="1785"/>
      <c r="D199" s="658" t="s">
        <v>1845</v>
      </c>
      <c r="E199" s="658"/>
      <c r="F199" s="658" t="s">
        <v>1810</v>
      </c>
    </row>
    <row r="200" spans="1:6" ht="15.75" x14ac:dyDescent="0.25">
      <c r="A200" s="1930" t="str">
        <f>A103</f>
        <v>План опытной эксплуатации</v>
      </c>
      <c r="B200" s="1931"/>
      <c r="C200" s="1785"/>
      <c r="D200" s="1694" t="s">
        <v>66</v>
      </c>
      <c r="E200" s="1694" t="s">
        <v>65</v>
      </c>
      <c r="F200" s="1694" t="s">
        <v>64</v>
      </c>
    </row>
    <row r="201" spans="1:6" x14ac:dyDescent="0.25">
      <c r="A201" s="132" t="s">
        <v>1765</v>
      </c>
      <c r="B201" s="905" t="s">
        <v>33</v>
      </c>
      <c r="C201" s="1785"/>
      <c r="D201" s="658"/>
      <c r="E201" s="658"/>
      <c r="F201" s="658" t="s">
        <v>1809</v>
      </c>
    </row>
    <row r="202" spans="1:6" x14ac:dyDescent="0.25">
      <c r="A202" s="132" t="s">
        <v>1766</v>
      </c>
      <c r="B202" s="905" t="s">
        <v>34</v>
      </c>
      <c r="C202" s="1785"/>
      <c r="D202" s="658"/>
      <c r="E202" s="658"/>
      <c r="F202" s="658" t="s">
        <v>1810</v>
      </c>
    </row>
  </sheetData>
  <autoFilter ref="A2:G105" xr:uid="{00000000-0001-0000-5800-000000000000}"/>
  <mergeCells count="65">
    <mergeCell ref="A103:A105"/>
    <mergeCell ref="A57:A59"/>
    <mergeCell ref="A60:A62"/>
    <mergeCell ref="A75:A77"/>
    <mergeCell ref="A78:A80"/>
    <mergeCell ref="A81:A83"/>
    <mergeCell ref="A84:A86"/>
    <mergeCell ref="A88:A90"/>
    <mergeCell ref="A91:A93"/>
    <mergeCell ref="A94:A96"/>
    <mergeCell ref="A97:A99"/>
    <mergeCell ref="A100:A102"/>
    <mergeCell ref="A63:A65"/>
    <mergeCell ref="A66:A68"/>
    <mergeCell ref="A69:A71"/>
    <mergeCell ref="A72:A74"/>
    <mergeCell ref="A54:A56"/>
    <mergeCell ref="A19:A21"/>
    <mergeCell ref="A22:A24"/>
    <mergeCell ref="A25:A27"/>
    <mergeCell ref="A28:A30"/>
    <mergeCell ref="A31:A33"/>
    <mergeCell ref="A34:A36"/>
    <mergeCell ref="A38:A40"/>
    <mergeCell ref="A42:A44"/>
    <mergeCell ref="A45:A47"/>
    <mergeCell ref="A48:A50"/>
    <mergeCell ref="A51:A53"/>
    <mergeCell ref="A16:A18"/>
    <mergeCell ref="D1:G1"/>
    <mergeCell ref="C2:C3"/>
    <mergeCell ref="G2:G3"/>
    <mergeCell ref="A8:A10"/>
    <mergeCell ref="A12:A14"/>
    <mergeCell ref="A5:A7"/>
    <mergeCell ref="A113:B113"/>
    <mergeCell ref="A116:B116"/>
    <mergeCell ref="A119:B119"/>
    <mergeCell ref="A122:B122"/>
    <mergeCell ref="A125:B125"/>
    <mergeCell ref="A128:B128"/>
    <mergeCell ref="A131:B131"/>
    <mergeCell ref="A134:B134"/>
    <mergeCell ref="A137:B137"/>
    <mergeCell ref="A140:B140"/>
    <mergeCell ref="A143:B143"/>
    <mergeCell ref="A146:B146"/>
    <mergeCell ref="A149:B149"/>
    <mergeCell ref="A152:B152"/>
    <mergeCell ref="A155:B155"/>
    <mergeCell ref="A158:B158"/>
    <mergeCell ref="A161:B161"/>
    <mergeCell ref="A164:B164"/>
    <mergeCell ref="A167:B167"/>
    <mergeCell ref="A170:B170"/>
    <mergeCell ref="A173:B173"/>
    <mergeCell ref="A176:B176"/>
    <mergeCell ref="A179:B179"/>
    <mergeCell ref="A182:B182"/>
    <mergeCell ref="A185:B185"/>
    <mergeCell ref="A188:B188"/>
    <mergeCell ref="A191:B191"/>
    <mergeCell ref="A194:B194"/>
    <mergeCell ref="A197:B197"/>
    <mergeCell ref="A200:B200"/>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Лист25"/>
  <dimension ref="A1:O202"/>
  <sheetViews>
    <sheetView topLeftCell="G1" zoomScale="85" zoomScaleNormal="85" workbookViewId="0">
      <selection activeCell="N24" sqref="N24"/>
    </sheetView>
  </sheetViews>
  <sheetFormatPr defaultRowHeight="15" x14ac:dyDescent="0.25"/>
  <cols>
    <col min="1" max="1" width="53.42578125" bestFit="1" customWidth="1"/>
    <col min="2" max="2" width="23.5703125" bestFit="1" customWidth="1"/>
    <col min="4" max="4" width="73.5703125" bestFit="1" customWidth="1"/>
    <col min="5" max="5" width="54.5703125" customWidth="1"/>
    <col min="6" max="6" width="49.28515625" customWidth="1"/>
    <col min="8" max="8" width="72.28515625" bestFit="1" customWidth="1"/>
    <col min="9" max="9" width="31.85546875" bestFit="1" customWidth="1"/>
    <col min="10" max="10" width="34.28515625" bestFit="1" customWidth="1"/>
    <col min="12" max="12" width="72.28515625" bestFit="1" customWidth="1"/>
    <col min="13" max="13" width="31.85546875" bestFit="1" customWidth="1"/>
    <col min="14" max="14" width="34.28515625" bestFit="1" customWidth="1"/>
    <col min="15" max="15" width="7.5703125" bestFit="1" customWidth="1"/>
  </cols>
  <sheetData>
    <row r="1" spans="1:15" ht="16.5" thickBot="1" x14ac:dyDescent="0.3">
      <c r="A1" s="465" t="s">
        <v>91</v>
      </c>
      <c r="B1" s="35"/>
      <c r="C1" s="43"/>
      <c r="D1" s="1939" t="str">
        <f>'Служебный АСУТП'!R2</f>
        <v>R-Vision SOAR</v>
      </c>
      <c r="E1" s="1940"/>
      <c r="F1" s="1940"/>
      <c r="G1" s="1941"/>
      <c r="H1" s="1939" t="str">
        <f>'Служебный АСУТП'!R3</f>
        <v>Security Vision SOAR</v>
      </c>
      <c r="I1" s="1940"/>
      <c r="J1" s="1940"/>
      <c r="K1" s="1941"/>
      <c r="L1" s="1939" t="str">
        <f>'Служебный АСУТП'!R4</f>
        <v>UDV SOAR</v>
      </c>
      <c r="M1" s="1940"/>
      <c r="N1" s="1940"/>
      <c r="O1" s="1941"/>
    </row>
    <row r="2" spans="1:15" ht="15.75" x14ac:dyDescent="0.25">
      <c r="B2" s="41" t="s">
        <v>37</v>
      </c>
      <c r="C2" s="1945" t="s">
        <v>35</v>
      </c>
      <c r="D2" s="835" t="s">
        <v>1836</v>
      </c>
      <c r="E2" s="717" t="s">
        <v>1838</v>
      </c>
      <c r="F2" s="717" t="s">
        <v>1835</v>
      </c>
      <c r="G2" s="1942" t="s">
        <v>38</v>
      </c>
      <c r="H2" s="835" t="s">
        <v>1836</v>
      </c>
      <c r="I2" s="717" t="s">
        <v>1838</v>
      </c>
      <c r="J2" s="717" t="s">
        <v>1835</v>
      </c>
      <c r="K2" s="1942" t="s">
        <v>38</v>
      </c>
      <c r="L2" s="835" t="s">
        <v>1836</v>
      </c>
      <c r="M2" s="717" t="s">
        <v>1838</v>
      </c>
      <c r="N2" s="717" t="s">
        <v>1835</v>
      </c>
      <c r="O2" s="1942" t="s">
        <v>38</v>
      </c>
    </row>
    <row r="3" spans="1:15" ht="16.5" thickBot="1" x14ac:dyDescent="0.3">
      <c r="A3" s="12" t="s">
        <v>36</v>
      </c>
      <c r="B3" s="295">
        <f>ТрЗ_ОП!F5</f>
        <v>1</v>
      </c>
      <c r="C3" s="1946"/>
      <c r="D3" s="37">
        <f>INDEX(ТрЗ_ОП!$P$11:$P$102,MATCH(D2,ТрЗ_ОП!$O$11:$O$102,0))</f>
        <v>0</v>
      </c>
      <c r="E3" s="37">
        <f>INDEX(ТрЗ_ОП!$P$11:$P$102,MATCH(E2,ТрЗ_ОП!$O$11:$O$102,0))</f>
        <v>0</v>
      </c>
      <c r="F3" s="37">
        <f>INDEX(ТрЗ_ОП!$P$11:$P$102,MATCH(F2,ТрЗ_ОП!$O$11:$O$102,0))</f>
        <v>0</v>
      </c>
      <c r="G3" s="1942"/>
      <c r="H3" s="37">
        <f>INDEX(ТрЗ_ОП!$P$11:$P$102,MATCH(H2,ТрЗ_ОП!$O$11:$O$102,0))</f>
        <v>0</v>
      </c>
      <c r="I3" s="37">
        <f>INDEX(ТрЗ_ОП!$P$11:$P$102,MATCH(I2,ТрЗ_ОП!$O$11:$O$102,0))</f>
        <v>0</v>
      </c>
      <c r="J3" s="37">
        <f>INDEX(ТрЗ_ОП!$P$11:$P$102,MATCH(J2,ТрЗ_ОП!$O$11:$O$102,0))</f>
        <v>0</v>
      </c>
      <c r="K3" s="1942"/>
      <c r="L3" s="37">
        <f>INDEX(ТрЗ_ОП!$P$11:$P$102,MATCH(L2,ТрЗ_ОП!$O$11:$O$102,0))</f>
        <v>0</v>
      </c>
      <c r="M3" s="37">
        <f>INDEX(ТрЗ_ОП!$P$11:$P$102,MATCH(M2,ТрЗ_ОП!$O$11:$O$102,0))</f>
        <v>0</v>
      </c>
      <c r="N3" s="37">
        <f>INDEX(ТрЗ_ОП!$P$11:$P$102,MATCH(N2,ТрЗ_ОП!$O$11:$O$102,0))</f>
        <v>0</v>
      </c>
      <c r="O3" s="1942"/>
    </row>
    <row r="4" spans="1:15" ht="16.5" thickBot="1" x14ac:dyDescent="0.3">
      <c r="A4" s="326" t="s">
        <v>448</v>
      </c>
      <c r="B4" s="327"/>
      <c r="C4" s="327"/>
      <c r="D4" s="327"/>
      <c r="E4" s="327"/>
      <c r="F4" s="327"/>
      <c r="G4" s="327"/>
      <c r="H4" s="327"/>
      <c r="I4" s="327"/>
      <c r="J4" s="327"/>
      <c r="K4" s="327"/>
      <c r="L4" s="327"/>
      <c r="M4" s="327"/>
      <c r="N4" s="327"/>
      <c r="O4" s="327"/>
    </row>
    <row r="5" spans="1:15" x14ac:dyDescent="0.25">
      <c r="A5" s="1977" t="s">
        <v>0</v>
      </c>
      <c r="B5" s="1763" t="s">
        <v>32</v>
      </c>
      <c r="C5" s="1751"/>
      <c r="D5" s="1726">
        <v>1</v>
      </c>
      <c r="E5" s="1726">
        <f t="shared" ref="E5:F8" si="0">0.25*E$3</f>
        <v>0</v>
      </c>
      <c r="F5" s="1725">
        <f t="shared" si="0"/>
        <v>0</v>
      </c>
      <c r="G5" s="1727">
        <f xml:space="preserve"> SUM(D5:F5) + $C5</f>
        <v>1</v>
      </c>
      <c r="H5" s="1726">
        <v>1</v>
      </c>
      <c r="I5" s="1726">
        <f t="shared" ref="I5:J8" si="1">0.25*I$3</f>
        <v>0</v>
      </c>
      <c r="J5" s="1725">
        <f t="shared" si="1"/>
        <v>0</v>
      </c>
      <c r="K5" s="1727">
        <f t="shared" ref="K5:K10" si="2" xml:space="preserve"> SUM(H5:J5) + $C5</f>
        <v>1</v>
      </c>
      <c r="L5" s="1726">
        <v>1</v>
      </c>
      <c r="M5" s="1726">
        <f t="shared" ref="M5:N8" si="3">0.25*M$3</f>
        <v>0</v>
      </c>
      <c r="N5" s="1725">
        <f t="shared" si="3"/>
        <v>0</v>
      </c>
      <c r="O5" s="1727">
        <f t="shared" ref="O5:O10" si="4" xml:space="preserve"> SUM(L5:N5) + $C5</f>
        <v>1</v>
      </c>
    </row>
    <row r="6" spans="1:15" x14ac:dyDescent="0.25">
      <c r="A6" s="1932"/>
      <c r="B6" s="19" t="s">
        <v>33</v>
      </c>
      <c r="C6" s="22"/>
      <c r="D6" s="446">
        <v>1</v>
      </c>
      <c r="E6" s="814">
        <v>0</v>
      </c>
      <c r="F6" s="630">
        <f>IF(F$3=1,4,0)</f>
        <v>0</v>
      </c>
      <c r="G6" s="21">
        <f xml:space="preserve"> SUM(D6:F6) + $C6</f>
        <v>1</v>
      </c>
      <c r="H6" s="446">
        <v>1</v>
      </c>
      <c r="I6" s="814">
        <v>0</v>
      </c>
      <c r="J6" s="630">
        <f>IF(J$3=1,4,0)</f>
        <v>0</v>
      </c>
      <c r="K6" s="21">
        <f t="shared" si="2"/>
        <v>1</v>
      </c>
      <c r="L6" s="446">
        <v>1</v>
      </c>
      <c r="M6" s="814">
        <v>0</v>
      </c>
      <c r="N6" s="630">
        <f>IF(N$3=1,4,0)</f>
        <v>0</v>
      </c>
      <c r="O6" s="21">
        <f t="shared" si="4"/>
        <v>1</v>
      </c>
    </row>
    <row r="7" spans="1:15" x14ac:dyDescent="0.25">
      <c r="A7" s="1973"/>
      <c r="B7" s="19" t="s">
        <v>34</v>
      </c>
      <c r="C7" s="22"/>
      <c r="D7" s="446">
        <v>2</v>
      </c>
      <c r="E7" s="814">
        <v>0</v>
      </c>
      <c r="F7" s="630">
        <f>IF(F$3=1,8,0)</f>
        <v>0</v>
      </c>
      <c r="G7" s="21">
        <f xml:space="preserve"> SUM(D7:F7) + $C7</f>
        <v>2</v>
      </c>
      <c r="H7" s="446">
        <v>2</v>
      </c>
      <c r="I7" s="814">
        <v>0</v>
      </c>
      <c r="J7" s="630">
        <f>IF(J$3=1,8,0)</f>
        <v>0</v>
      </c>
      <c r="K7" s="21">
        <f t="shared" si="2"/>
        <v>2</v>
      </c>
      <c r="L7" s="446">
        <v>2</v>
      </c>
      <c r="M7" s="814">
        <v>0</v>
      </c>
      <c r="N7" s="630">
        <f>IF(N$3=1,8,0)</f>
        <v>0</v>
      </c>
      <c r="O7" s="21">
        <f t="shared" si="4"/>
        <v>2</v>
      </c>
    </row>
    <row r="8" spans="1:15" x14ac:dyDescent="0.25">
      <c r="A8" s="1932" t="s">
        <v>449</v>
      </c>
      <c r="B8" s="1723" t="s">
        <v>32</v>
      </c>
      <c r="C8" s="1724"/>
      <c r="D8" s="1726">
        <v>1</v>
      </c>
      <c r="E8" s="1726">
        <f t="shared" si="0"/>
        <v>0</v>
      </c>
      <c r="F8" s="1725">
        <f t="shared" si="0"/>
        <v>0</v>
      </c>
      <c r="G8" s="1730">
        <f xml:space="preserve"> SUM(D8:F8) + $C8</f>
        <v>1</v>
      </c>
      <c r="H8" s="1726">
        <v>1</v>
      </c>
      <c r="I8" s="1726">
        <f t="shared" si="1"/>
        <v>0</v>
      </c>
      <c r="J8" s="1725">
        <f t="shared" si="1"/>
        <v>0</v>
      </c>
      <c r="K8" s="1730">
        <f t="shared" si="2"/>
        <v>1</v>
      </c>
      <c r="L8" s="1726">
        <v>1</v>
      </c>
      <c r="M8" s="1726">
        <f t="shared" si="3"/>
        <v>0</v>
      </c>
      <c r="N8" s="1725">
        <f t="shared" si="3"/>
        <v>0</v>
      </c>
      <c r="O8" s="1730">
        <f t="shared" si="4"/>
        <v>1</v>
      </c>
    </row>
    <row r="9" spans="1:15" x14ac:dyDescent="0.25">
      <c r="A9" s="1932"/>
      <c r="B9" s="19" t="s">
        <v>33</v>
      </c>
      <c r="C9" s="22"/>
      <c r="D9" s="446">
        <v>1</v>
      </c>
      <c r="E9" s="814">
        <v>0</v>
      </c>
      <c r="F9" s="630">
        <f>IF(F$3=1,4,0)</f>
        <v>0</v>
      </c>
      <c r="G9" s="21">
        <f t="shared" ref="G9:G93" si="5" xml:space="preserve"> SUM(D9:F9) + $C9</f>
        <v>1</v>
      </c>
      <c r="H9" s="446">
        <v>1</v>
      </c>
      <c r="I9" s="814">
        <v>0</v>
      </c>
      <c r="J9" s="630">
        <f>IF(J$3=1,4,0)</f>
        <v>0</v>
      </c>
      <c r="K9" s="21">
        <f t="shared" si="2"/>
        <v>1</v>
      </c>
      <c r="L9" s="446">
        <v>1</v>
      </c>
      <c r="M9" s="814">
        <v>0</v>
      </c>
      <c r="N9" s="630">
        <f>IF(N$3=1,4,0)</f>
        <v>0</v>
      </c>
      <c r="O9" s="21">
        <f t="shared" si="4"/>
        <v>1</v>
      </c>
    </row>
    <row r="10" spans="1:15" ht="15.75" thickBot="1" x14ac:dyDescent="0.3">
      <c r="A10" s="1932"/>
      <c r="B10" s="13" t="s">
        <v>34</v>
      </c>
      <c r="C10" s="34"/>
      <c r="D10" s="446">
        <v>2</v>
      </c>
      <c r="E10" s="814">
        <v>0</v>
      </c>
      <c r="F10" s="630">
        <f>IF(F$3=1,8,0)</f>
        <v>0</v>
      </c>
      <c r="G10" s="77">
        <f t="shared" si="5"/>
        <v>2</v>
      </c>
      <c r="H10" s="446">
        <v>2</v>
      </c>
      <c r="I10" s="814">
        <v>0</v>
      </c>
      <c r="J10" s="630">
        <f>IF(J$3=1,8,0)</f>
        <v>0</v>
      </c>
      <c r="K10" s="77">
        <f t="shared" si="2"/>
        <v>2</v>
      </c>
      <c r="L10" s="446">
        <v>2</v>
      </c>
      <c r="M10" s="814">
        <v>0</v>
      </c>
      <c r="N10" s="630">
        <f>IF(N$3=1,8,0)</f>
        <v>0</v>
      </c>
      <c r="O10" s="77">
        <f t="shared" si="4"/>
        <v>2</v>
      </c>
    </row>
    <row r="11" spans="1:15" ht="16.5" thickBot="1" x14ac:dyDescent="0.3">
      <c r="A11" s="326" t="s">
        <v>1</v>
      </c>
      <c r="B11" s="327"/>
      <c r="C11" s="327"/>
      <c r="D11" s="327"/>
      <c r="E11" s="327"/>
      <c r="F11" s="327"/>
      <c r="G11" s="327"/>
      <c r="H11" s="327"/>
      <c r="I11" s="327"/>
      <c r="J11" s="327"/>
      <c r="K11" s="327"/>
      <c r="L11" s="327"/>
      <c r="M11" s="327"/>
      <c r="N11" s="327"/>
      <c r="O11" s="327"/>
    </row>
    <row r="12" spans="1:15" x14ac:dyDescent="0.25">
      <c r="A12" s="1932" t="s">
        <v>2</v>
      </c>
      <c r="B12" s="1723" t="s">
        <v>32</v>
      </c>
      <c r="C12" s="1724"/>
      <c r="D12" s="1726">
        <v>4</v>
      </c>
      <c r="E12" s="1725">
        <f>2*E$3</f>
        <v>0</v>
      </c>
      <c r="F12" s="1725">
        <f>0.5*F$3</f>
        <v>0</v>
      </c>
      <c r="G12" s="1727">
        <f t="shared" si="5"/>
        <v>4</v>
      </c>
      <c r="H12" s="1726">
        <v>4</v>
      </c>
      <c r="I12" s="1725">
        <f>2*I$3</f>
        <v>0</v>
      </c>
      <c r="J12" s="1725">
        <f>0.5*J$3</f>
        <v>0</v>
      </c>
      <c r="K12" s="1727">
        <f xml:space="preserve"> SUM(H12:J12) + $C12</f>
        <v>4</v>
      </c>
      <c r="L12" s="1726">
        <v>4</v>
      </c>
      <c r="M12" s="1725">
        <f>2*M$3</f>
        <v>0</v>
      </c>
      <c r="N12" s="1725">
        <f>0.5*N$3</f>
        <v>0</v>
      </c>
      <c r="O12" s="1727">
        <f xml:space="preserve"> SUM(L12:N12) + $C12</f>
        <v>4</v>
      </c>
    </row>
    <row r="13" spans="1:15" x14ac:dyDescent="0.25">
      <c r="A13" s="1932"/>
      <c r="B13" s="19" t="s">
        <v>33</v>
      </c>
      <c r="C13" s="22"/>
      <c r="D13" s="493">
        <f>IF(D$3&gt;0,0.5*D$3+2,2)</f>
        <v>2</v>
      </c>
      <c r="E13" s="814">
        <v>0</v>
      </c>
      <c r="F13" s="630">
        <f>IF(F$3=1,16,0)</f>
        <v>0</v>
      </c>
      <c r="G13" s="21">
        <f t="shared" si="5"/>
        <v>2</v>
      </c>
      <c r="H13" s="493">
        <f>IF(H$3&gt;0,0.5*H$3+2,2)</f>
        <v>2</v>
      </c>
      <c r="I13" s="814">
        <v>0</v>
      </c>
      <c r="J13" s="630">
        <f>IF(J$3=1,16,0)</f>
        <v>0</v>
      </c>
      <c r="K13" s="21">
        <f xml:space="preserve"> SUM(H13:J13) + $C13</f>
        <v>2</v>
      </c>
      <c r="L13" s="493">
        <f>IF(L$3&gt;0,0.5*L$3+2,2)</f>
        <v>2</v>
      </c>
      <c r="M13" s="814">
        <v>0</v>
      </c>
      <c r="N13" s="630">
        <f>IF(N$3=1,16,0)</f>
        <v>0</v>
      </c>
      <c r="O13" s="21">
        <f xml:space="preserve"> SUM(L13:N13) + $C13</f>
        <v>2</v>
      </c>
    </row>
    <row r="14" spans="1:15" ht="15.75" thickBot="1" x14ac:dyDescent="0.3">
      <c r="A14" s="1932"/>
      <c r="B14" s="13" t="s">
        <v>34</v>
      </c>
      <c r="C14" s="34"/>
      <c r="D14" s="493">
        <f>IF(D$3&gt;0,0.5*D$3+4,4)</f>
        <v>4</v>
      </c>
      <c r="E14" s="814">
        <v>0</v>
      </c>
      <c r="F14" s="630">
        <f>IF(F$3=1,32,0)</f>
        <v>0</v>
      </c>
      <c r="G14" s="77">
        <f t="shared" si="5"/>
        <v>4</v>
      </c>
      <c r="H14" s="493">
        <f>IF(H$3&gt;0,0.5*H$3+4,4)</f>
        <v>4</v>
      </c>
      <c r="I14" s="814">
        <v>0</v>
      </c>
      <c r="J14" s="630">
        <f>IF(J$3=1,32,0)</f>
        <v>0</v>
      </c>
      <c r="K14" s="77">
        <f xml:space="preserve"> SUM(H14:J14) + $C14</f>
        <v>4</v>
      </c>
      <c r="L14" s="493">
        <f>IF(L$3&gt;0,0.5*L$3+4,4)</f>
        <v>4</v>
      </c>
      <c r="M14" s="814">
        <v>0</v>
      </c>
      <c r="N14" s="630">
        <f>IF(N$3=1,32,0)</f>
        <v>0</v>
      </c>
      <c r="O14" s="77">
        <f xml:space="preserve"> SUM(L14:N14) + $C14</f>
        <v>4</v>
      </c>
    </row>
    <row r="15" spans="1:15" ht="16.5" thickBot="1" x14ac:dyDescent="0.3">
      <c r="A15" s="330" t="s">
        <v>3</v>
      </c>
      <c r="B15" s="329"/>
      <c r="C15" s="329"/>
      <c r="D15" s="329"/>
      <c r="E15" s="329"/>
      <c r="F15" s="329"/>
      <c r="G15" s="327"/>
      <c r="H15" s="329"/>
      <c r="I15" s="329"/>
      <c r="J15" s="329"/>
      <c r="K15" s="327"/>
      <c r="L15" s="329"/>
      <c r="M15" s="329"/>
      <c r="N15" s="329"/>
      <c r="O15" s="327"/>
    </row>
    <row r="16" spans="1:15" x14ac:dyDescent="0.25">
      <c r="A16" s="1944" t="s">
        <v>4</v>
      </c>
      <c r="B16" s="1731" t="s">
        <v>32</v>
      </c>
      <c r="C16" s="1724"/>
      <c r="D16" s="1732">
        <v>0.25</v>
      </c>
      <c r="E16" s="1733">
        <v>0</v>
      </c>
      <c r="F16" s="1734">
        <v>0</v>
      </c>
      <c r="G16" s="1727">
        <f t="shared" si="5"/>
        <v>0.25</v>
      </c>
      <c r="H16" s="1732">
        <v>0.25</v>
      </c>
      <c r="I16" s="1733">
        <v>0</v>
      </c>
      <c r="J16" s="1734">
        <v>0</v>
      </c>
      <c r="K16" s="1727">
        <f t="shared" ref="K16:K36" si="6" xml:space="preserve"> SUM(H16:J16) + $C16</f>
        <v>0.25</v>
      </c>
      <c r="L16" s="1732">
        <v>0.25</v>
      </c>
      <c r="M16" s="1733">
        <v>0</v>
      </c>
      <c r="N16" s="1734">
        <v>0</v>
      </c>
      <c r="O16" s="1727">
        <f t="shared" ref="O16:O36" si="7" xml:space="preserve"> SUM(L16:N16) + $C16</f>
        <v>0.25</v>
      </c>
    </row>
    <row r="17" spans="1:15" x14ac:dyDescent="0.25">
      <c r="A17" s="1937"/>
      <c r="B17" s="18" t="s">
        <v>33</v>
      </c>
      <c r="C17" s="22"/>
      <c r="D17" s="482" t="s">
        <v>1768</v>
      </c>
      <c r="E17" s="482" t="s">
        <v>1768</v>
      </c>
      <c r="F17" s="482" t="s">
        <v>1768</v>
      </c>
      <c r="G17" s="21">
        <f t="shared" si="5"/>
        <v>0</v>
      </c>
      <c r="H17" s="482" t="s">
        <v>1768</v>
      </c>
      <c r="I17" s="482" t="s">
        <v>1768</v>
      </c>
      <c r="J17" s="482" t="s">
        <v>1768</v>
      </c>
      <c r="K17" s="21">
        <f t="shared" si="6"/>
        <v>0</v>
      </c>
      <c r="L17" s="482" t="s">
        <v>1768</v>
      </c>
      <c r="M17" s="482" t="s">
        <v>1768</v>
      </c>
      <c r="N17" s="482" t="s">
        <v>1768</v>
      </c>
      <c r="O17" s="21">
        <f t="shared" si="7"/>
        <v>0</v>
      </c>
    </row>
    <row r="18" spans="1:15" x14ac:dyDescent="0.25">
      <c r="A18" s="1937"/>
      <c r="B18" s="18" t="s">
        <v>34</v>
      </c>
      <c r="C18" s="22"/>
      <c r="D18" s="482" t="s">
        <v>1768</v>
      </c>
      <c r="E18" s="482" t="s">
        <v>1768</v>
      </c>
      <c r="F18" s="482" t="s">
        <v>1768</v>
      </c>
      <c r="G18" s="21">
        <f t="shared" si="5"/>
        <v>0</v>
      </c>
      <c r="H18" s="482" t="s">
        <v>1768</v>
      </c>
      <c r="I18" s="482" t="s">
        <v>1768</v>
      </c>
      <c r="J18" s="482" t="s">
        <v>1768</v>
      </c>
      <c r="K18" s="21">
        <f t="shared" si="6"/>
        <v>0</v>
      </c>
      <c r="L18" s="482" t="s">
        <v>1768</v>
      </c>
      <c r="M18" s="482" t="s">
        <v>1768</v>
      </c>
      <c r="N18" s="482" t="s">
        <v>1768</v>
      </c>
      <c r="O18" s="21">
        <f t="shared" si="7"/>
        <v>0</v>
      </c>
    </row>
    <row r="19" spans="1:15" x14ac:dyDescent="0.25">
      <c r="A19" s="1937" t="s">
        <v>5</v>
      </c>
      <c r="B19" s="1728" t="s">
        <v>32</v>
      </c>
      <c r="C19" s="1729"/>
      <c r="D19" s="1735">
        <f>0.5*D$3</f>
        <v>0</v>
      </c>
      <c r="E19" s="1736">
        <v>0</v>
      </c>
      <c r="F19" s="1725">
        <f t="shared" ref="F19:F22" si="8">0.5*F$3</f>
        <v>0</v>
      </c>
      <c r="G19" s="1730">
        <f t="shared" si="5"/>
        <v>0</v>
      </c>
      <c r="H19" s="1735">
        <f>0.5*H$3</f>
        <v>0</v>
      </c>
      <c r="I19" s="1736">
        <v>0</v>
      </c>
      <c r="J19" s="1725">
        <f t="shared" ref="J19:J22" si="9">0.5*J$3</f>
        <v>0</v>
      </c>
      <c r="K19" s="1730">
        <f t="shared" si="6"/>
        <v>0</v>
      </c>
      <c r="L19" s="1735">
        <f>0.5*L$3</f>
        <v>0</v>
      </c>
      <c r="M19" s="1736">
        <v>0</v>
      </c>
      <c r="N19" s="1725">
        <f t="shared" ref="N19:N22" si="10">0.5*N$3</f>
        <v>0</v>
      </c>
      <c r="O19" s="1730">
        <f t="shared" si="7"/>
        <v>0</v>
      </c>
    </row>
    <row r="20" spans="1:15" x14ac:dyDescent="0.25">
      <c r="A20" s="1937"/>
      <c r="B20" s="19" t="s">
        <v>33</v>
      </c>
      <c r="C20" s="22"/>
      <c r="D20" s="493">
        <f>IF(D$3&gt;0,0.25*D$3+1,1)</f>
        <v>1</v>
      </c>
      <c r="E20" s="478">
        <f>IF(E$3&gt;1,0.5,0)</f>
        <v>0</v>
      </c>
      <c r="F20" s="814">
        <v>0</v>
      </c>
      <c r="G20" s="21">
        <f t="shared" si="5"/>
        <v>1</v>
      </c>
      <c r="H20" s="493">
        <f>IF(H$3&gt;0,0.25*H$3+1,1)</f>
        <v>1</v>
      </c>
      <c r="I20" s="478">
        <f>IF(I$3&gt;1,0.5,0)</f>
        <v>0</v>
      </c>
      <c r="J20" s="814">
        <v>0</v>
      </c>
      <c r="K20" s="21">
        <f t="shared" si="6"/>
        <v>1</v>
      </c>
      <c r="L20" s="493">
        <f>IF(L$3&gt;0,0.25*L$3+1,1)</f>
        <v>1</v>
      </c>
      <c r="M20" s="478">
        <f>IF(M$3&gt;1,0.5,0)</f>
        <v>0</v>
      </c>
      <c r="N20" s="814">
        <v>0</v>
      </c>
      <c r="O20" s="21">
        <f t="shared" si="7"/>
        <v>1</v>
      </c>
    </row>
    <row r="21" spans="1:15" x14ac:dyDescent="0.25">
      <c r="A21" s="1937"/>
      <c r="B21" s="19" t="s">
        <v>34</v>
      </c>
      <c r="C21" s="22"/>
      <c r="D21" s="493">
        <f>IF(D$3&gt;0,0.25*D$3+1,1)</f>
        <v>1</v>
      </c>
      <c r="E21" s="478">
        <f>IF(E$3&gt;1,0.5,0)</f>
        <v>0</v>
      </c>
      <c r="F21" s="814">
        <v>0</v>
      </c>
      <c r="G21" s="21">
        <f t="shared" si="5"/>
        <v>1</v>
      </c>
      <c r="H21" s="493">
        <f>IF(H$3&gt;0,0.25*H$3+1,1)</f>
        <v>1</v>
      </c>
      <c r="I21" s="478">
        <f>IF(I$3&gt;1,0.5,0)</f>
        <v>0</v>
      </c>
      <c r="J21" s="814">
        <v>0</v>
      </c>
      <c r="K21" s="21">
        <f t="shared" si="6"/>
        <v>1</v>
      </c>
      <c r="L21" s="493">
        <f>IF(L$3&gt;0,0.25*L$3+1,1)</f>
        <v>1</v>
      </c>
      <c r="M21" s="478">
        <f>IF(M$3&gt;1,0.5,0)</f>
        <v>0</v>
      </c>
      <c r="N21" s="814">
        <v>0</v>
      </c>
      <c r="O21" s="21">
        <f t="shared" si="7"/>
        <v>1</v>
      </c>
    </row>
    <row r="22" spans="1:15" x14ac:dyDescent="0.25">
      <c r="A22" s="1937" t="s">
        <v>6</v>
      </c>
      <c r="B22" s="1728" t="s">
        <v>32</v>
      </c>
      <c r="C22" s="1729"/>
      <c r="D22" s="1746">
        <v>8</v>
      </c>
      <c r="E22" s="1737">
        <f>0.5*E$3</f>
        <v>0</v>
      </c>
      <c r="F22" s="1737">
        <f t="shared" si="8"/>
        <v>0</v>
      </c>
      <c r="G22" s="1730">
        <f t="shared" si="5"/>
        <v>8</v>
      </c>
      <c r="H22" s="1746">
        <v>8</v>
      </c>
      <c r="I22" s="1737">
        <f>0.5*I$3</f>
        <v>0</v>
      </c>
      <c r="J22" s="1737">
        <f t="shared" si="9"/>
        <v>0</v>
      </c>
      <c r="K22" s="1730">
        <f t="shared" si="6"/>
        <v>8</v>
      </c>
      <c r="L22" s="1746">
        <v>8</v>
      </c>
      <c r="M22" s="1737">
        <f>0.5*M$3</f>
        <v>0</v>
      </c>
      <c r="N22" s="1737">
        <f t="shared" si="10"/>
        <v>0</v>
      </c>
      <c r="O22" s="1730">
        <f t="shared" si="7"/>
        <v>8</v>
      </c>
    </row>
    <row r="23" spans="1:15" x14ac:dyDescent="0.25">
      <c r="A23" s="1937"/>
      <c r="B23" s="19" t="s">
        <v>33</v>
      </c>
      <c r="C23" s="22"/>
      <c r="D23" s="493">
        <f>IF(D$3&gt;0,0.5*D$3+2,2)</f>
        <v>2</v>
      </c>
      <c r="E23" s="814">
        <v>0</v>
      </c>
      <c r="F23" s="630">
        <f>IF(F$3=1,16,0)</f>
        <v>0</v>
      </c>
      <c r="G23" s="21">
        <f t="shared" si="5"/>
        <v>2</v>
      </c>
      <c r="H23" s="493">
        <f>IF(H$3&gt;0,0.5*H$3+2,2)</f>
        <v>2</v>
      </c>
      <c r="I23" s="814">
        <v>0</v>
      </c>
      <c r="J23" s="630">
        <f>IF(J$3=1,16,0)</f>
        <v>0</v>
      </c>
      <c r="K23" s="21">
        <f t="shared" si="6"/>
        <v>2</v>
      </c>
      <c r="L23" s="493">
        <f>IF(L$3&gt;0,0.5*L$3+2,2)</f>
        <v>2</v>
      </c>
      <c r="M23" s="814">
        <v>0</v>
      </c>
      <c r="N23" s="630">
        <f>IF(N$3=1,16,0)</f>
        <v>0</v>
      </c>
      <c r="O23" s="21">
        <f t="shared" si="7"/>
        <v>2</v>
      </c>
    </row>
    <row r="24" spans="1:15" x14ac:dyDescent="0.25">
      <c r="A24" s="1937"/>
      <c r="B24" s="19" t="s">
        <v>34</v>
      </c>
      <c r="C24" s="22"/>
      <c r="D24" s="493">
        <f>IF(D$3&gt;0,0.5*D$3+4,4)</f>
        <v>4</v>
      </c>
      <c r="E24" s="814">
        <v>0</v>
      </c>
      <c r="F24" s="630">
        <f>IF(F$3=1,32,0)</f>
        <v>0</v>
      </c>
      <c r="G24" s="21">
        <f t="shared" si="5"/>
        <v>4</v>
      </c>
      <c r="H24" s="493">
        <f>IF(H$3&gt;0,0.5*H$3+4,4)</f>
        <v>4</v>
      </c>
      <c r="I24" s="814">
        <v>0</v>
      </c>
      <c r="J24" s="630">
        <f>IF(J$3=1,32,0)</f>
        <v>0</v>
      </c>
      <c r="K24" s="21">
        <f t="shared" si="6"/>
        <v>4</v>
      </c>
      <c r="L24" s="493">
        <f>IF(L$3&gt;0,0.5*L$3+4,4)</f>
        <v>4</v>
      </c>
      <c r="M24" s="814">
        <v>0</v>
      </c>
      <c r="N24" s="630">
        <f>IF(N$3=1,32,0)</f>
        <v>0</v>
      </c>
      <c r="O24" s="21">
        <f t="shared" si="7"/>
        <v>4</v>
      </c>
    </row>
    <row r="25" spans="1:15" x14ac:dyDescent="0.25">
      <c r="A25" s="1937" t="s">
        <v>7</v>
      </c>
      <c r="B25" s="1728" t="s">
        <v>32</v>
      </c>
      <c r="C25" s="1729"/>
      <c r="D25" s="1735">
        <v>2</v>
      </c>
      <c r="E25" s="1736">
        <v>0</v>
      </c>
      <c r="F25" s="1737">
        <v>0</v>
      </c>
      <c r="G25" s="1730">
        <f t="shared" si="5"/>
        <v>2</v>
      </c>
      <c r="H25" s="1735">
        <v>2</v>
      </c>
      <c r="I25" s="1736">
        <v>0</v>
      </c>
      <c r="J25" s="1737">
        <v>0</v>
      </c>
      <c r="K25" s="1730">
        <f t="shared" si="6"/>
        <v>2</v>
      </c>
      <c r="L25" s="1735">
        <v>2</v>
      </c>
      <c r="M25" s="1736">
        <v>0</v>
      </c>
      <c r="N25" s="1737">
        <v>0</v>
      </c>
      <c r="O25" s="1730">
        <f t="shared" si="7"/>
        <v>2</v>
      </c>
    </row>
    <row r="26" spans="1:15" x14ac:dyDescent="0.25">
      <c r="A26" s="1937"/>
      <c r="B26" s="19" t="s">
        <v>33</v>
      </c>
      <c r="C26" s="22"/>
      <c r="D26" s="821">
        <v>2</v>
      </c>
      <c r="E26" s="814">
        <v>0</v>
      </c>
      <c r="F26" s="630">
        <f>IF(F$3=1,12,0)</f>
        <v>0</v>
      </c>
      <c r="G26" s="21">
        <f t="shared" si="5"/>
        <v>2</v>
      </c>
      <c r="H26" s="821">
        <v>2</v>
      </c>
      <c r="I26" s="814">
        <v>0</v>
      </c>
      <c r="J26" s="630">
        <f>IF(J$3=1,12,0)</f>
        <v>0</v>
      </c>
      <c r="K26" s="21">
        <f t="shared" si="6"/>
        <v>2</v>
      </c>
      <c r="L26" s="821">
        <v>2</v>
      </c>
      <c r="M26" s="814">
        <v>0</v>
      </c>
      <c r="N26" s="630">
        <f>IF(N$3=1,12,0)</f>
        <v>0</v>
      </c>
      <c r="O26" s="21">
        <f t="shared" si="7"/>
        <v>2</v>
      </c>
    </row>
    <row r="27" spans="1:15" x14ac:dyDescent="0.25">
      <c r="A27" s="1937"/>
      <c r="B27" s="19" t="s">
        <v>34</v>
      </c>
      <c r="C27" s="22"/>
      <c r="D27" s="807">
        <v>4</v>
      </c>
      <c r="E27" s="814">
        <v>0</v>
      </c>
      <c r="F27" s="630">
        <f>IF(F$3=1,20,0)</f>
        <v>0</v>
      </c>
      <c r="G27" s="21">
        <f t="shared" si="5"/>
        <v>4</v>
      </c>
      <c r="H27" s="807">
        <v>4</v>
      </c>
      <c r="I27" s="814">
        <v>0</v>
      </c>
      <c r="J27" s="630">
        <f>IF(J$3=1,20,0)</f>
        <v>0</v>
      </c>
      <c r="K27" s="21">
        <f t="shared" si="6"/>
        <v>4</v>
      </c>
      <c r="L27" s="807">
        <v>4</v>
      </c>
      <c r="M27" s="814">
        <v>0</v>
      </c>
      <c r="N27" s="630">
        <f>IF(N$3=1,20,0)</f>
        <v>0</v>
      </c>
      <c r="O27" s="21">
        <f t="shared" si="7"/>
        <v>4</v>
      </c>
    </row>
    <row r="28" spans="1:15" x14ac:dyDescent="0.25">
      <c r="A28" s="1937" t="s">
        <v>8</v>
      </c>
      <c r="B28" s="1728" t="s">
        <v>32</v>
      </c>
      <c r="C28" s="1729"/>
      <c r="D28" s="1735">
        <v>2</v>
      </c>
      <c r="E28" s="1736">
        <v>0</v>
      </c>
      <c r="F28" s="1738">
        <v>0</v>
      </c>
      <c r="G28" s="1730">
        <f t="shared" si="5"/>
        <v>2</v>
      </c>
      <c r="H28" s="1735">
        <v>2</v>
      </c>
      <c r="I28" s="1736">
        <v>0</v>
      </c>
      <c r="J28" s="1738">
        <v>0</v>
      </c>
      <c r="K28" s="1730">
        <f t="shared" si="6"/>
        <v>2</v>
      </c>
      <c r="L28" s="1735">
        <v>2</v>
      </c>
      <c r="M28" s="1736">
        <v>0</v>
      </c>
      <c r="N28" s="1738">
        <v>0</v>
      </c>
      <c r="O28" s="1730">
        <f t="shared" si="7"/>
        <v>2</v>
      </c>
    </row>
    <row r="29" spans="1:15" x14ac:dyDescent="0.25">
      <c r="A29" s="1937"/>
      <c r="B29" s="19" t="s">
        <v>33</v>
      </c>
      <c r="C29" s="22"/>
      <c r="D29" s="821">
        <v>4</v>
      </c>
      <c r="E29" s="814">
        <v>0</v>
      </c>
      <c r="F29" s="630">
        <f>IF(F$3=1,12,0)</f>
        <v>0</v>
      </c>
      <c r="G29" s="21">
        <f t="shared" si="5"/>
        <v>4</v>
      </c>
      <c r="H29" s="821">
        <v>4</v>
      </c>
      <c r="I29" s="814">
        <v>0</v>
      </c>
      <c r="J29" s="630">
        <f>IF(J$3=1,12,0)</f>
        <v>0</v>
      </c>
      <c r="K29" s="21">
        <f t="shared" si="6"/>
        <v>4</v>
      </c>
      <c r="L29" s="821">
        <v>4</v>
      </c>
      <c r="M29" s="814">
        <v>0</v>
      </c>
      <c r="N29" s="630">
        <f>IF(N$3=1,12,0)</f>
        <v>0</v>
      </c>
      <c r="O29" s="21">
        <f t="shared" si="7"/>
        <v>4</v>
      </c>
    </row>
    <row r="30" spans="1:15" x14ac:dyDescent="0.25">
      <c r="A30" s="1937"/>
      <c r="B30" s="19" t="s">
        <v>34</v>
      </c>
      <c r="C30" s="22"/>
      <c r="D30" s="807">
        <v>6</v>
      </c>
      <c r="E30" s="814">
        <v>0</v>
      </c>
      <c r="F30" s="630">
        <f>IF(F$3=1,20,0)</f>
        <v>0</v>
      </c>
      <c r="G30" s="21">
        <f t="shared" si="5"/>
        <v>6</v>
      </c>
      <c r="H30" s="807">
        <v>6</v>
      </c>
      <c r="I30" s="814">
        <v>0</v>
      </c>
      <c r="J30" s="630">
        <f>IF(J$3=1,20,0)</f>
        <v>0</v>
      </c>
      <c r="K30" s="21">
        <f t="shared" si="6"/>
        <v>6</v>
      </c>
      <c r="L30" s="807">
        <v>6</v>
      </c>
      <c r="M30" s="814">
        <v>0</v>
      </c>
      <c r="N30" s="630">
        <f>IF(N$3=1,20,0)</f>
        <v>0</v>
      </c>
      <c r="O30" s="21">
        <f t="shared" si="7"/>
        <v>6</v>
      </c>
    </row>
    <row r="31" spans="1:15" x14ac:dyDescent="0.25">
      <c r="A31" s="1937" t="s">
        <v>9</v>
      </c>
      <c r="B31" s="1728" t="s">
        <v>32</v>
      </c>
      <c r="C31" s="1729"/>
      <c r="D31" s="1735">
        <f>2+(0.5*D$3)</f>
        <v>2</v>
      </c>
      <c r="E31" s="1736">
        <v>0</v>
      </c>
      <c r="F31" s="1735">
        <f>0.5*F$3</f>
        <v>0</v>
      </c>
      <c r="G31" s="1730">
        <f t="shared" si="5"/>
        <v>2</v>
      </c>
      <c r="H31" s="1735">
        <f>2+(0.5*H$3)</f>
        <v>2</v>
      </c>
      <c r="I31" s="1736">
        <v>0</v>
      </c>
      <c r="J31" s="1735">
        <f>0.5*J$3</f>
        <v>0</v>
      </c>
      <c r="K31" s="1730">
        <f t="shared" si="6"/>
        <v>2</v>
      </c>
      <c r="L31" s="1735">
        <f>2+(0.5*L$3)</f>
        <v>2</v>
      </c>
      <c r="M31" s="1736">
        <v>0</v>
      </c>
      <c r="N31" s="1735">
        <f>0.5*N$3</f>
        <v>0</v>
      </c>
      <c r="O31" s="1730">
        <f t="shared" si="7"/>
        <v>2</v>
      </c>
    </row>
    <row r="32" spans="1:15" x14ac:dyDescent="0.25">
      <c r="A32" s="1937"/>
      <c r="B32" s="19" t="s">
        <v>33</v>
      </c>
      <c r="C32" s="22"/>
      <c r="D32" s="501">
        <v>0.5</v>
      </c>
      <c r="E32" s="478">
        <f>IF(E$3&gt;1,E$3*0.25,0.25)</f>
        <v>0.25</v>
      </c>
      <c r="F32" s="630">
        <f>IF(F$3=1,4,0)</f>
        <v>0</v>
      </c>
      <c r="G32" s="21">
        <f t="shared" si="5"/>
        <v>0.75</v>
      </c>
      <c r="H32" s="501">
        <v>0.5</v>
      </c>
      <c r="I32" s="478">
        <f>IF(I$3&gt;1,I$3*0.25,0.25)</f>
        <v>0.25</v>
      </c>
      <c r="J32" s="630">
        <f>IF(J$3=1,4,0)</f>
        <v>0</v>
      </c>
      <c r="K32" s="21">
        <f t="shared" si="6"/>
        <v>0.75</v>
      </c>
      <c r="L32" s="501">
        <v>0.5</v>
      </c>
      <c r="M32" s="478">
        <f>IF(M$3&gt;1,M$3*0.25,0.25)</f>
        <v>0.25</v>
      </c>
      <c r="N32" s="630">
        <f>IF(N$3=1,4,0)</f>
        <v>0</v>
      </c>
      <c r="O32" s="21">
        <f t="shared" si="7"/>
        <v>0.75</v>
      </c>
    </row>
    <row r="33" spans="1:15" x14ac:dyDescent="0.25">
      <c r="A33" s="1937"/>
      <c r="B33" s="19" t="s">
        <v>34</v>
      </c>
      <c r="C33" s="22"/>
      <c r="D33" s="501">
        <v>0.5</v>
      </c>
      <c r="E33" s="478">
        <f>IF(E$3&gt;1,E$3*0.25,0.25)</f>
        <v>0.25</v>
      </c>
      <c r="F33" s="630">
        <f>IF(F$3=1,6,0)</f>
        <v>0</v>
      </c>
      <c r="G33" s="21">
        <f t="shared" si="5"/>
        <v>0.75</v>
      </c>
      <c r="H33" s="501">
        <v>0.5</v>
      </c>
      <c r="I33" s="478">
        <f>IF(I$3&gt;1,I$3*0.25,0.25)</f>
        <v>0.25</v>
      </c>
      <c r="J33" s="630">
        <f>IF(J$3=1,6,0)</f>
        <v>0</v>
      </c>
      <c r="K33" s="21">
        <f t="shared" si="6"/>
        <v>0.75</v>
      </c>
      <c r="L33" s="501">
        <v>0.5</v>
      </c>
      <c r="M33" s="478">
        <f>IF(M$3&gt;1,M$3*0.25,0.25)</f>
        <v>0.25</v>
      </c>
      <c r="N33" s="630">
        <f>IF(N$3=1,6,0)</f>
        <v>0</v>
      </c>
      <c r="O33" s="21">
        <f t="shared" si="7"/>
        <v>0.75</v>
      </c>
    </row>
    <row r="34" spans="1:15" x14ac:dyDescent="0.25">
      <c r="A34" s="1937" t="s">
        <v>10</v>
      </c>
      <c r="B34" s="1728" t="s">
        <v>32</v>
      </c>
      <c r="C34" s="1729"/>
      <c r="D34" s="1735">
        <v>1</v>
      </c>
      <c r="E34" s="1736">
        <v>0</v>
      </c>
      <c r="F34" s="1735">
        <f>0.5*F$3</f>
        <v>0</v>
      </c>
      <c r="G34" s="1730">
        <f t="shared" si="5"/>
        <v>1</v>
      </c>
      <c r="H34" s="1735">
        <v>1</v>
      </c>
      <c r="I34" s="1736">
        <v>0</v>
      </c>
      <c r="J34" s="1735">
        <f>0.5*J$3</f>
        <v>0</v>
      </c>
      <c r="K34" s="1730">
        <f t="shared" si="6"/>
        <v>1</v>
      </c>
      <c r="L34" s="1735">
        <v>1</v>
      </c>
      <c r="M34" s="1736">
        <v>0</v>
      </c>
      <c r="N34" s="1735">
        <f>0.5*N$3</f>
        <v>0</v>
      </c>
      <c r="O34" s="1730">
        <f t="shared" si="7"/>
        <v>1</v>
      </c>
    </row>
    <row r="35" spans="1:15" x14ac:dyDescent="0.25">
      <c r="A35" s="1937"/>
      <c r="B35" s="19" t="s">
        <v>33</v>
      </c>
      <c r="C35" s="22"/>
      <c r="D35" s="478">
        <f>IF(D$3&gt;0,D$3*0.25,0.25)</f>
        <v>0.25</v>
      </c>
      <c r="E35" s="814">
        <v>0.5</v>
      </c>
      <c r="F35" s="493">
        <f>IF(F$3=1,4,0)</f>
        <v>0</v>
      </c>
      <c r="G35" s="21">
        <f t="shared" si="5"/>
        <v>0.75</v>
      </c>
      <c r="H35" s="478">
        <f>IF(H$3&gt;0,H$3*0.25,0.25)</f>
        <v>0.25</v>
      </c>
      <c r="I35" s="814">
        <v>0.5</v>
      </c>
      <c r="J35" s="493">
        <f>IF(J$3=1,4,0)</f>
        <v>0</v>
      </c>
      <c r="K35" s="21">
        <f t="shared" si="6"/>
        <v>0.75</v>
      </c>
      <c r="L35" s="478">
        <f>IF(L$3&gt;0,L$3*0.25,0.25)</f>
        <v>0.25</v>
      </c>
      <c r="M35" s="814">
        <v>0.5</v>
      </c>
      <c r="N35" s="493">
        <f>IF(N$3=1,4,0)</f>
        <v>0</v>
      </c>
      <c r="O35" s="21">
        <f t="shared" si="7"/>
        <v>0.75</v>
      </c>
    </row>
    <row r="36" spans="1:15" ht="15.75" thickBot="1" x14ac:dyDescent="0.3">
      <c r="A36" s="1938"/>
      <c r="B36" s="13" t="s">
        <v>34</v>
      </c>
      <c r="C36" s="34"/>
      <c r="D36" s="478">
        <f>IF(D$3&gt;0,D$3*0.25,0.25)</f>
        <v>0.25</v>
      </c>
      <c r="E36" s="917">
        <v>0.5</v>
      </c>
      <c r="F36" s="493">
        <f>IF(F$3=1,6,0)</f>
        <v>0</v>
      </c>
      <c r="G36" s="77">
        <f t="shared" si="5"/>
        <v>0.75</v>
      </c>
      <c r="H36" s="478">
        <f>IF(H$3&gt;0,H$3*0.25,0.25)</f>
        <v>0.25</v>
      </c>
      <c r="I36" s="917">
        <v>0.5</v>
      </c>
      <c r="J36" s="493">
        <f>IF(J$3=1,6,0)</f>
        <v>0</v>
      </c>
      <c r="K36" s="77">
        <f t="shared" si="6"/>
        <v>0.75</v>
      </c>
      <c r="L36" s="478">
        <f>IF(L$3&gt;0,L$3*0.25,0.25)</f>
        <v>0.25</v>
      </c>
      <c r="M36" s="917">
        <v>0.5</v>
      </c>
      <c r="N36" s="493">
        <f>IF(N$3=1,6,0)</f>
        <v>0</v>
      </c>
      <c r="O36" s="77">
        <f t="shared" si="7"/>
        <v>0.75</v>
      </c>
    </row>
    <row r="37" spans="1:15" ht="16.5" thickBot="1" x14ac:dyDescent="0.3">
      <c r="A37" s="330" t="s">
        <v>11</v>
      </c>
      <c r="B37" s="329"/>
      <c r="C37" s="329"/>
      <c r="D37" s="329"/>
      <c r="E37" s="329"/>
      <c r="F37" s="329"/>
      <c r="G37" s="327"/>
      <c r="H37" s="329"/>
      <c r="I37" s="329"/>
      <c r="J37" s="329"/>
      <c r="K37" s="327"/>
      <c r="L37" s="329"/>
      <c r="M37" s="329"/>
      <c r="N37" s="329"/>
      <c r="O37" s="327"/>
    </row>
    <row r="38" spans="1:15" x14ac:dyDescent="0.25">
      <c r="A38" s="1932" t="s">
        <v>12</v>
      </c>
      <c r="B38" s="1723" t="s">
        <v>32</v>
      </c>
      <c r="C38" s="1724"/>
      <c r="D38" s="1726">
        <f>D$22+D$25+D$28</f>
        <v>12</v>
      </c>
      <c r="E38" s="1725">
        <f>E$22*2</f>
        <v>0</v>
      </c>
      <c r="F38" s="1737">
        <f>0.5*F$3</f>
        <v>0</v>
      </c>
      <c r="G38" s="1727">
        <f t="shared" si="5"/>
        <v>12</v>
      </c>
      <c r="H38" s="1726">
        <f>H$22+H$25+H$28</f>
        <v>12</v>
      </c>
      <c r="I38" s="1725">
        <f>I$22*2</f>
        <v>0</v>
      </c>
      <c r="J38" s="1737">
        <f>0.5*J$3</f>
        <v>0</v>
      </c>
      <c r="K38" s="1727">
        <f xml:space="preserve"> SUM(H38:J38) + $C38</f>
        <v>12</v>
      </c>
      <c r="L38" s="1726">
        <f>L$22+L$25+L$28</f>
        <v>12</v>
      </c>
      <c r="M38" s="1725">
        <f>M$22*2</f>
        <v>0</v>
      </c>
      <c r="N38" s="1737">
        <f>0.5*N$3</f>
        <v>0</v>
      </c>
      <c r="O38" s="1727">
        <f xml:space="preserve"> SUM(L38:N38) + $C38</f>
        <v>12</v>
      </c>
    </row>
    <row r="39" spans="1:15" x14ac:dyDescent="0.25">
      <c r="A39" s="1932"/>
      <c r="B39" s="19" t="s">
        <v>33</v>
      </c>
      <c r="C39" s="22"/>
      <c r="D39" s="1750">
        <v>8</v>
      </c>
      <c r="E39" s="814">
        <v>0</v>
      </c>
      <c r="F39" s="630">
        <f>IF(F$3=1,16,0)</f>
        <v>0</v>
      </c>
      <c r="G39" s="21">
        <f t="shared" si="5"/>
        <v>8</v>
      </c>
      <c r="H39" s="1750">
        <v>8</v>
      </c>
      <c r="I39" s="814">
        <v>0</v>
      </c>
      <c r="J39" s="630">
        <f>IF(J$3=1,16,0)</f>
        <v>0</v>
      </c>
      <c r="K39" s="21">
        <f xml:space="preserve"> SUM(H39:J39) + $C39</f>
        <v>8</v>
      </c>
      <c r="L39" s="1750">
        <v>8</v>
      </c>
      <c r="M39" s="814">
        <v>0</v>
      </c>
      <c r="N39" s="630">
        <f>IF(N$3=1,16,0)</f>
        <v>0</v>
      </c>
      <c r="O39" s="21">
        <f xml:space="preserve"> SUM(L39:N39) + $C39</f>
        <v>8</v>
      </c>
    </row>
    <row r="40" spans="1:15" ht="15.75" thickBot="1" x14ac:dyDescent="0.3">
      <c r="A40" s="1932"/>
      <c r="B40" s="13" t="s">
        <v>34</v>
      </c>
      <c r="C40" s="34"/>
      <c r="D40" s="1750">
        <v>12</v>
      </c>
      <c r="E40" s="814">
        <v>0</v>
      </c>
      <c r="F40" s="630">
        <f>IF(F$3=1,24,0)</f>
        <v>0</v>
      </c>
      <c r="G40" s="77">
        <f t="shared" si="5"/>
        <v>12</v>
      </c>
      <c r="H40" s="1750">
        <v>12</v>
      </c>
      <c r="I40" s="814">
        <v>0</v>
      </c>
      <c r="J40" s="630">
        <f>IF(J$3=1,24,0)</f>
        <v>0</v>
      </c>
      <c r="K40" s="77">
        <f xml:space="preserve"> SUM(H40:J40) + $C40</f>
        <v>12</v>
      </c>
      <c r="L40" s="1750">
        <v>12</v>
      </c>
      <c r="M40" s="814">
        <v>0</v>
      </c>
      <c r="N40" s="630">
        <f>IF(N$3=1,24,0)</f>
        <v>0</v>
      </c>
      <c r="O40" s="77">
        <f xml:space="preserve"> SUM(L40:N40) + $C40</f>
        <v>12</v>
      </c>
    </row>
    <row r="41" spans="1:15" ht="16.5" thickBot="1" x14ac:dyDescent="0.3">
      <c r="A41" s="330" t="s">
        <v>13</v>
      </c>
      <c r="B41" s="329"/>
      <c r="C41" s="329"/>
      <c r="D41" s="329"/>
      <c r="E41" s="329"/>
      <c r="F41" s="329"/>
      <c r="G41" s="327"/>
      <c r="H41" s="329"/>
      <c r="I41" s="329"/>
      <c r="J41" s="329"/>
      <c r="K41" s="327"/>
      <c r="L41" s="329"/>
      <c r="M41" s="329"/>
      <c r="N41" s="329"/>
      <c r="O41" s="327"/>
    </row>
    <row r="42" spans="1:15" x14ac:dyDescent="0.25">
      <c r="A42" s="1932" t="s">
        <v>14</v>
      </c>
      <c r="B42" s="1723" t="s">
        <v>32</v>
      </c>
      <c r="C42" s="1751"/>
      <c r="D42" s="1735">
        <f>0.5*D$3</f>
        <v>0</v>
      </c>
      <c r="E42" s="1736">
        <v>0</v>
      </c>
      <c r="F42" s="1725">
        <f>0.5*F$3</f>
        <v>0</v>
      </c>
      <c r="G42" s="1727">
        <f t="shared" si="5"/>
        <v>0</v>
      </c>
      <c r="H42" s="1735">
        <f>0.5*H$3</f>
        <v>0</v>
      </c>
      <c r="I42" s="1736">
        <v>0</v>
      </c>
      <c r="J42" s="1725">
        <f>0.5*J$3</f>
        <v>0</v>
      </c>
      <c r="K42" s="1727">
        <f t="shared" ref="K42:K86" si="11" xml:space="preserve"> SUM(H42:J42) + $C42</f>
        <v>0</v>
      </c>
      <c r="L42" s="1735">
        <f>0.5*L$3</f>
        <v>0</v>
      </c>
      <c r="M42" s="1736">
        <v>0</v>
      </c>
      <c r="N42" s="1725">
        <f>0.5*N$3</f>
        <v>0</v>
      </c>
      <c r="O42" s="1727">
        <f t="shared" ref="O42:O86" si="12" xml:space="preserve"> SUM(L42:N42) + $C42</f>
        <v>0</v>
      </c>
    </row>
    <row r="43" spans="1:15" x14ac:dyDescent="0.25">
      <c r="A43" s="1932"/>
      <c r="B43" s="19" t="s">
        <v>33</v>
      </c>
      <c r="C43" s="817"/>
      <c r="D43" s="493">
        <f>IF(D$3&gt;0,0.25*D$3+1,1)</f>
        <v>1</v>
      </c>
      <c r="E43" s="478">
        <f>IF(E$3&gt;1,0.5,0)</f>
        <v>0</v>
      </c>
      <c r="F43" s="814">
        <v>0</v>
      </c>
      <c r="G43" s="21">
        <f t="shared" si="5"/>
        <v>1</v>
      </c>
      <c r="H43" s="493">
        <f>IF(H$3&gt;0,0.25*H$3+1,1)</f>
        <v>1</v>
      </c>
      <c r="I43" s="478">
        <f>IF(I$3&gt;1,0.5,0)</f>
        <v>0</v>
      </c>
      <c r="J43" s="814">
        <v>0</v>
      </c>
      <c r="K43" s="21">
        <f t="shared" si="11"/>
        <v>1</v>
      </c>
      <c r="L43" s="493">
        <f>IF(L$3&gt;0,0.25*L$3+1,1)</f>
        <v>1</v>
      </c>
      <c r="M43" s="478">
        <f>IF(M$3&gt;1,0.5,0)</f>
        <v>0</v>
      </c>
      <c r="N43" s="814">
        <v>0</v>
      </c>
      <c r="O43" s="21">
        <f t="shared" si="12"/>
        <v>1</v>
      </c>
    </row>
    <row r="44" spans="1:15" x14ac:dyDescent="0.25">
      <c r="A44" s="1932"/>
      <c r="B44" s="19" t="s">
        <v>34</v>
      </c>
      <c r="C44" s="817"/>
      <c r="D44" s="493">
        <f>IF(D$3&gt;0,0.25*D$3+1,1)</f>
        <v>1</v>
      </c>
      <c r="E44" s="478">
        <f>IF(E$3&gt;1,0.5,0)</f>
        <v>0</v>
      </c>
      <c r="F44" s="814">
        <v>0</v>
      </c>
      <c r="G44" s="21">
        <f t="shared" si="5"/>
        <v>1</v>
      </c>
      <c r="H44" s="493">
        <f>IF(H$3&gt;0,0.25*H$3+1,1)</f>
        <v>1</v>
      </c>
      <c r="I44" s="478">
        <f>IF(I$3&gt;1,0.5,0)</f>
        <v>0</v>
      </c>
      <c r="J44" s="814">
        <v>0</v>
      </c>
      <c r="K44" s="21">
        <f t="shared" si="11"/>
        <v>1</v>
      </c>
      <c r="L44" s="493">
        <f>IF(L$3&gt;0,0.25*L$3+1,1)</f>
        <v>1</v>
      </c>
      <c r="M44" s="478">
        <f>IF(M$3&gt;1,0.5,0)</f>
        <v>0</v>
      </c>
      <c r="N44" s="814">
        <v>0</v>
      </c>
      <c r="O44" s="21">
        <f t="shared" si="12"/>
        <v>1</v>
      </c>
    </row>
    <row r="45" spans="1:15" x14ac:dyDescent="0.25">
      <c r="A45" s="1933" t="s">
        <v>15</v>
      </c>
      <c r="B45" s="1728" t="s">
        <v>32</v>
      </c>
      <c r="C45" s="1729"/>
      <c r="D45" s="1735">
        <v>12</v>
      </c>
      <c r="E45" s="1725">
        <f>E$3*2</f>
        <v>0</v>
      </c>
      <c r="F45" s="1735">
        <f>1*F$3</f>
        <v>0</v>
      </c>
      <c r="G45" s="1730">
        <f t="shared" si="5"/>
        <v>12</v>
      </c>
      <c r="H45" s="1735">
        <v>12</v>
      </c>
      <c r="I45" s="1725">
        <f>I$3*2</f>
        <v>0</v>
      </c>
      <c r="J45" s="1735">
        <f>1*J$3</f>
        <v>0</v>
      </c>
      <c r="K45" s="1730">
        <f t="shared" si="11"/>
        <v>12</v>
      </c>
      <c r="L45" s="1735">
        <v>12</v>
      </c>
      <c r="M45" s="1725">
        <f>M$3*2</f>
        <v>0</v>
      </c>
      <c r="N45" s="1735">
        <f>1*N$3</f>
        <v>0</v>
      </c>
      <c r="O45" s="1730">
        <f t="shared" si="12"/>
        <v>12</v>
      </c>
    </row>
    <row r="46" spans="1:15" x14ac:dyDescent="0.25">
      <c r="A46" s="1933"/>
      <c r="B46" s="19" t="s">
        <v>33</v>
      </c>
      <c r="C46" s="817"/>
      <c r="D46" s="821">
        <v>4</v>
      </c>
      <c r="E46" s="486">
        <v>0.5</v>
      </c>
      <c r="F46" s="630">
        <f>IF(F$3=1,6,0)</f>
        <v>0</v>
      </c>
      <c r="G46" s="21">
        <f t="shared" si="5"/>
        <v>4.5</v>
      </c>
      <c r="H46" s="821">
        <v>4</v>
      </c>
      <c r="I46" s="486">
        <v>0.5</v>
      </c>
      <c r="J46" s="630">
        <f>IF(J$3=1,6,0)</f>
        <v>0</v>
      </c>
      <c r="K46" s="21">
        <f t="shared" si="11"/>
        <v>4.5</v>
      </c>
      <c r="L46" s="821">
        <v>4</v>
      </c>
      <c r="M46" s="486">
        <v>0.5</v>
      </c>
      <c r="N46" s="630">
        <f>IF(N$3=1,6,0)</f>
        <v>0</v>
      </c>
      <c r="O46" s="21">
        <f t="shared" si="12"/>
        <v>4.5</v>
      </c>
    </row>
    <row r="47" spans="1:15" x14ac:dyDescent="0.25">
      <c r="A47" s="1933"/>
      <c r="B47" s="19" t="s">
        <v>34</v>
      </c>
      <c r="C47" s="817"/>
      <c r="D47" s="821">
        <v>8</v>
      </c>
      <c r="E47" s="486">
        <v>0.5</v>
      </c>
      <c r="F47" s="630">
        <f>IF(F$3=1,6,0)</f>
        <v>0</v>
      </c>
      <c r="G47" s="21">
        <f t="shared" si="5"/>
        <v>8.5</v>
      </c>
      <c r="H47" s="821">
        <v>8</v>
      </c>
      <c r="I47" s="486">
        <v>0.5</v>
      </c>
      <c r="J47" s="630">
        <f>IF(J$3=1,6,0)</f>
        <v>0</v>
      </c>
      <c r="K47" s="21">
        <f t="shared" si="11"/>
        <v>8.5</v>
      </c>
      <c r="L47" s="821">
        <v>8</v>
      </c>
      <c r="M47" s="486">
        <v>0.5</v>
      </c>
      <c r="N47" s="630">
        <f>IF(N$3=1,6,0)</f>
        <v>0</v>
      </c>
      <c r="O47" s="21">
        <f t="shared" si="12"/>
        <v>8.5</v>
      </c>
    </row>
    <row r="48" spans="1:15" x14ac:dyDescent="0.25">
      <c r="A48" s="1933" t="s">
        <v>16</v>
      </c>
      <c r="B48" s="1728" t="s">
        <v>32</v>
      </c>
      <c r="C48" s="1729"/>
      <c r="D48" s="1735">
        <f>1*D$3</f>
        <v>0</v>
      </c>
      <c r="E48" s="1736">
        <v>0</v>
      </c>
      <c r="F48" s="1735">
        <v>0</v>
      </c>
      <c r="G48" s="1730">
        <f t="shared" si="5"/>
        <v>0</v>
      </c>
      <c r="H48" s="1735">
        <f>1*H$3</f>
        <v>0</v>
      </c>
      <c r="I48" s="1736">
        <v>0</v>
      </c>
      <c r="J48" s="1735">
        <v>0</v>
      </c>
      <c r="K48" s="1730">
        <f t="shared" si="11"/>
        <v>0</v>
      </c>
      <c r="L48" s="1735">
        <f>1*L$3</f>
        <v>0</v>
      </c>
      <c r="M48" s="1736">
        <v>0</v>
      </c>
      <c r="N48" s="1735">
        <v>0</v>
      </c>
      <c r="O48" s="1730">
        <f t="shared" si="12"/>
        <v>0</v>
      </c>
    </row>
    <row r="49" spans="1:15" x14ac:dyDescent="0.25">
      <c r="A49" s="1933"/>
      <c r="B49" s="19" t="s">
        <v>33</v>
      </c>
      <c r="C49" s="817"/>
      <c r="D49" s="501">
        <v>0.5</v>
      </c>
      <c r="E49" s="478">
        <f>IF(E$3&gt;1,E$3*0.25,0.25)</f>
        <v>0.25</v>
      </c>
      <c r="F49" s="630">
        <f>IF(F$3=1,1,0)</f>
        <v>0</v>
      </c>
      <c r="G49" s="21">
        <f t="shared" si="5"/>
        <v>0.75</v>
      </c>
      <c r="H49" s="501">
        <v>0.5</v>
      </c>
      <c r="I49" s="478">
        <f>IF(I$3&gt;1,I$3*0.25,0.25)</f>
        <v>0.25</v>
      </c>
      <c r="J49" s="630">
        <f>IF(J$3=1,1,0)</f>
        <v>0</v>
      </c>
      <c r="K49" s="21">
        <f t="shared" si="11"/>
        <v>0.75</v>
      </c>
      <c r="L49" s="501">
        <v>0.5</v>
      </c>
      <c r="M49" s="478">
        <f>IF(M$3&gt;1,M$3*0.25,0.25)</f>
        <v>0.25</v>
      </c>
      <c r="N49" s="630">
        <f>IF(N$3=1,1,0)</f>
        <v>0</v>
      </c>
      <c r="O49" s="21">
        <f t="shared" si="12"/>
        <v>0.75</v>
      </c>
    </row>
    <row r="50" spans="1:15" x14ac:dyDescent="0.25">
      <c r="A50" s="1933"/>
      <c r="B50" s="19" t="s">
        <v>34</v>
      </c>
      <c r="C50" s="817"/>
      <c r="D50" s="501">
        <v>0.5</v>
      </c>
      <c r="E50" s="478">
        <f>IF(E$3&gt;1,E$3*0.25,0.25)</f>
        <v>0.25</v>
      </c>
      <c r="F50" s="630">
        <f>IF(F$3=1,1,0)</f>
        <v>0</v>
      </c>
      <c r="G50" s="21">
        <f t="shared" si="5"/>
        <v>0.75</v>
      </c>
      <c r="H50" s="501">
        <v>0.5</v>
      </c>
      <c r="I50" s="478">
        <f>IF(I$3&gt;1,I$3*0.25,0.25)</f>
        <v>0.25</v>
      </c>
      <c r="J50" s="630">
        <f>IF(J$3=1,1,0)</f>
        <v>0</v>
      </c>
      <c r="K50" s="21">
        <f t="shared" si="11"/>
        <v>0.75</v>
      </c>
      <c r="L50" s="501">
        <v>0.5</v>
      </c>
      <c r="M50" s="478">
        <f>IF(M$3&gt;1,M$3*0.25,0.25)</f>
        <v>0.25</v>
      </c>
      <c r="N50" s="630">
        <f>IF(N$3=1,1,0)</f>
        <v>0</v>
      </c>
      <c r="O50" s="21">
        <f t="shared" si="12"/>
        <v>0.75</v>
      </c>
    </row>
    <row r="51" spans="1:15" x14ac:dyDescent="0.25">
      <c r="A51" s="1933" t="s">
        <v>17</v>
      </c>
      <c r="B51" s="1728" t="s">
        <v>32</v>
      </c>
      <c r="C51" s="1729"/>
      <c r="D51" s="1735">
        <f>1*D$3</f>
        <v>0</v>
      </c>
      <c r="E51" s="1736">
        <v>0</v>
      </c>
      <c r="F51" s="1735">
        <v>0</v>
      </c>
      <c r="G51" s="1730">
        <f t="shared" si="5"/>
        <v>0</v>
      </c>
      <c r="H51" s="1735">
        <f>1*H$3</f>
        <v>0</v>
      </c>
      <c r="I51" s="1736">
        <v>0</v>
      </c>
      <c r="J51" s="1735">
        <v>0</v>
      </c>
      <c r="K51" s="1730">
        <f t="shared" si="11"/>
        <v>0</v>
      </c>
      <c r="L51" s="1735">
        <f>1*L$3</f>
        <v>0</v>
      </c>
      <c r="M51" s="1736">
        <v>0</v>
      </c>
      <c r="N51" s="1735">
        <v>0</v>
      </c>
      <c r="O51" s="1730">
        <f t="shared" si="12"/>
        <v>0</v>
      </c>
    </row>
    <row r="52" spans="1:15" x14ac:dyDescent="0.25">
      <c r="A52" s="1933"/>
      <c r="B52" s="19" t="s">
        <v>33</v>
      </c>
      <c r="C52" s="817"/>
      <c r="D52" s="501">
        <v>0.5</v>
      </c>
      <c r="E52" s="478">
        <f>IF(E$3&gt;1,E$3*0.25,0.25)</f>
        <v>0.25</v>
      </c>
      <c r="F52" s="630">
        <f>IF(F$3=1,1,0)</f>
        <v>0</v>
      </c>
      <c r="G52" s="21">
        <f t="shared" si="5"/>
        <v>0.75</v>
      </c>
      <c r="H52" s="501">
        <v>0.5</v>
      </c>
      <c r="I52" s="478">
        <f>IF(I$3&gt;1,I$3*0.25,0.25)</f>
        <v>0.25</v>
      </c>
      <c r="J52" s="630">
        <f>IF(J$3=1,1,0)</f>
        <v>0</v>
      </c>
      <c r="K52" s="21">
        <f t="shared" si="11"/>
        <v>0.75</v>
      </c>
      <c r="L52" s="501">
        <v>0.5</v>
      </c>
      <c r="M52" s="478">
        <f>IF(M$3&gt;1,M$3*0.25,0.25)</f>
        <v>0.25</v>
      </c>
      <c r="N52" s="630">
        <f>IF(N$3=1,1,0)</f>
        <v>0</v>
      </c>
      <c r="O52" s="21">
        <f t="shared" si="12"/>
        <v>0.75</v>
      </c>
    </row>
    <row r="53" spans="1:15" x14ac:dyDescent="0.25">
      <c r="A53" s="1933"/>
      <c r="B53" s="19" t="s">
        <v>34</v>
      </c>
      <c r="C53" s="817"/>
      <c r="D53" s="501">
        <v>0.5</v>
      </c>
      <c r="E53" s="478">
        <f>IF(E$3&gt;1,E$3*0.25,0.25)</f>
        <v>0.25</v>
      </c>
      <c r="F53" s="630">
        <f>IF(F$3=1,1,0)</f>
        <v>0</v>
      </c>
      <c r="G53" s="21">
        <f t="shared" si="5"/>
        <v>0.75</v>
      </c>
      <c r="H53" s="501">
        <v>0.5</v>
      </c>
      <c r="I53" s="478">
        <f>IF(I$3&gt;1,I$3*0.25,0.25)</f>
        <v>0.25</v>
      </c>
      <c r="J53" s="630">
        <f>IF(J$3=1,1,0)</f>
        <v>0</v>
      </c>
      <c r="K53" s="21">
        <f t="shared" si="11"/>
        <v>0.75</v>
      </c>
      <c r="L53" s="501">
        <v>0.5</v>
      </c>
      <c r="M53" s="478">
        <f>IF(M$3&gt;1,M$3*0.25,0.25)</f>
        <v>0.25</v>
      </c>
      <c r="N53" s="630">
        <f>IF(N$3=1,1,0)</f>
        <v>0</v>
      </c>
      <c r="O53" s="21">
        <f t="shared" si="12"/>
        <v>0.75</v>
      </c>
    </row>
    <row r="54" spans="1:15" x14ac:dyDescent="0.25">
      <c r="A54" s="1933" t="s">
        <v>18</v>
      </c>
      <c r="B54" s="1728" t="s">
        <v>32</v>
      </c>
      <c r="C54" s="1729"/>
      <c r="D54" s="1735">
        <f>1*D$3</f>
        <v>0</v>
      </c>
      <c r="E54" s="1736">
        <v>0</v>
      </c>
      <c r="F54" s="1736">
        <v>0</v>
      </c>
      <c r="G54" s="1730">
        <f t="shared" si="5"/>
        <v>0</v>
      </c>
      <c r="H54" s="1735">
        <f>1*H$3</f>
        <v>0</v>
      </c>
      <c r="I54" s="1736">
        <v>0</v>
      </c>
      <c r="J54" s="1736">
        <v>0</v>
      </c>
      <c r="K54" s="1730">
        <f t="shared" si="11"/>
        <v>0</v>
      </c>
      <c r="L54" s="1735">
        <f>1*L$3</f>
        <v>0</v>
      </c>
      <c r="M54" s="1736">
        <v>0</v>
      </c>
      <c r="N54" s="1736">
        <v>0</v>
      </c>
      <c r="O54" s="1730">
        <f t="shared" si="12"/>
        <v>0</v>
      </c>
    </row>
    <row r="55" spans="1:15" x14ac:dyDescent="0.25">
      <c r="A55" s="1933"/>
      <c r="B55" s="19" t="s">
        <v>33</v>
      </c>
      <c r="C55" s="817"/>
      <c r="D55" s="476">
        <f>IF(D$3&gt;0,D$3*0.25,0.25)</f>
        <v>0.25</v>
      </c>
      <c r="E55" s="478">
        <f>IF(E$3&gt;1,E$3*0.25,0.25)</f>
        <v>0.25</v>
      </c>
      <c r="F55" s="630">
        <f>IF(F$3=1,1,0)</f>
        <v>0</v>
      </c>
      <c r="G55" s="21">
        <f t="shared" si="5"/>
        <v>0.5</v>
      </c>
      <c r="H55" s="476">
        <f>IF(H$3&gt;0,H$3*0.25,0.25)</f>
        <v>0.25</v>
      </c>
      <c r="I55" s="478">
        <f>IF(I$3&gt;1,I$3*0.25,0.25)</f>
        <v>0.25</v>
      </c>
      <c r="J55" s="630">
        <f>IF(J$3=1,1,0)</f>
        <v>0</v>
      </c>
      <c r="K55" s="21">
        <f t="shared" si="11"/>
        <v>0.5</v>
      </c>
      <c r="L55" s="476">
        <f>IF(L$3&gt;0,L$3*0.25,0.25)</f>
        <v>0.25</v>
      </c>
      <c r="M55" s="478">
        <f>IF(M$3&gt;1,M$3*0.25,0.25)</f>
        <v>0.25</v>
      </c>
      <c r="N55" s="630">
        <f>IF(N$3=1,1,0)</f>
        <v>0</v>
      </c>
      <c r="O55" s="21">
        <f t="shared" si="12"/>
        <v>0.5</v>
      </c>
    </row>
    <row r="56" spans="1:15" x14ac:dyDescent="0.25">
      <c r="A56" s="1933"/>
      <c r="B56" s="19" t="s">
        <v>34</v>
      </c>
      <c r="C56" s="817"/>
      <c r="D56" s="476">
        <f>IF(D$3&gt;0,D$3*0.25,0.25)</f>
        <v>0.25</v>
      </c>
      <c r="E56" s="478">
        <f>IF(E$3&gt;1,E$3*0.25,0.25)</f>
        <v>0.25</v>
      </c>
      <c r="F56" s="630">
        <f>IF(F$3=1,1,0)</f>
        <v>0</v>
      </c>
      <c r="G56" s="21">
        <f t="shared" si="5"/>
        <v>0.5</v>
      </c>
      <c r="H56" s="476">
        <f>IF(H$3&gt;0,H$3*0.25,0.25)</f>
        <v>0.25</v>
      </c>
      <c r="I56" s="478">
        <f>IF(I$3&gt;1,I$3*0.25,0.25)</f>
        <v>0.25</v>
      </c>
      <c r="J56" s="630">
        <f>IF(J$3=1,1,0)</f>
        <v>0</v>
      </c>
      <c r="K56" s="21">
        <f t="shared" si="11"/>
        <v>0.5</v>
      </c>
      <c r="L56" s="476">
        <f>IF(L$3&gt;0,L$3*0.25,0.25)</f>
        <v>0.25</v>
      </c>
      <c r="M56" s="478">
        <f>IF(M$3&gt;1,M$3*0.25,0.25)</f>
        <v>0.25</v>
      </c>
      <c r="N56" s="630">
        <f>IF(N$3=1,1,0)</f>
        <v>0</v>
      </c>
      <c r="O56" s="21">
        <f t="shared" si="12"/>
        <v>0.5</v>
      </c>
    </row>
    <row r="57" spans="1:15" x14ac:dyDescent="0.25">
      <c r="A57" s="1933" t="s">
        <v>19</v>
      </c>
      <c r="B57" s="1728" t="s">
        <v>32</v>
      </c>
      <c r="C57" s="1729"/>
      <c r="D57" s="1735">
        <v>2</v>
      </c>
      <c r="E57" s="1736">
        <v>0</v>
      </c>
      <c r="F57" s="1736">
        <v>0</v>
      </c>
      <c r="G57" s="1730">
        <f t="shared" si="5"/>
        <v>2</v>
      </c>
      <c r="H57" s="1735">
        <v>2</v>
      </c>
      <c r="I57" s="1736">
        <v>0</v>
      </c>
      <c r="J57" s="1736">
        <v>0</v>
      </c>
      <c r="K57" s="1730">
        <f t="shared" si="11"/>
        <v>2</v>
      </c>
      <c r="L57" s="1735">
        <v>2</v>
      </c>
      <c r="M57" s="1736">
        <v>0</v>
      </c>
      <c r="N57" s="1736">
        <v>0</v>
      </c>
      <c r="O57" s="1730">
        <f t="shared" si="12"/>
        <v>2</v>
      </c>
    </row>
    <row r="58" spans="1:15" x14ac:dyDescent="0.25">
      <c r="A58" s="1933"/>
      <c r="B58" s="19" t="s">
        <v>33</v>
      </c>
      <c r="C58" s="817"/>
      <c r="D58" s="821">
        <v>4</v>
      </c>
      <c r="E58" s="486">
        <v>0.5</v>
      </c>
      <c r="F58" s="630">
        <f>IF(F$3=1,16,0)</f>
        <v>0</v>
      </c>
      <c r="G58" s="21">
        <f t="shared" si="5"/>
        <v>4.5</v>
      </c>
      <c r="H58" s="821">
        <v>4</v>
      </c>
      <c r="I58" s="486">
        <v>0.5</v>
      </c>
      <c r="J58" s="630">
        <f>IF(J$3=1,16,0)</f>
        <v>0</v>
      </c>
      <c r="K58" s="21">
        <f t="shared" si="11"/>
        <v>4.5</v>
      </c>
      <c r="L58" s="821">
        <v>4</v>
      </c>
      <c r="M58" s="486">
        <v>0.5</v>
      </c>
      <c r="N58" s="630">
        <f>IF(N$3=1,16,0)</f>
        <v>0</v>
      </c>
      <c r="O58" s="21">
        <f t="shared" si="12"/>
        <v>4.5</v>
      </c>
    </row>
    <row r="59" spans="1:15" x14ac:dyDescent="0.25">
      <c r="A59" s="1933"/>
      <c r="B59" s="19" t="s">
        <v>34</v>
      </c>
      <c r="C59" s="817"/>
      <c r="D59" s="821">
        <v>6</v>
      </c>
      <c r="E59" s="486">
        <v>0.5</v>
      </c>
      <c r="F59" s="630">
        <f>IF(F$3=1,32,0)</f>
        <v>0</v>
      </c>
      <c r="G59" s="21">
        <f t="shared" si="5"/>
        <v>6.5</v>
      </c>
      <c r="H59" s="821">
        <v>6</v>
      </c>
      <c r="I59" s="486">
        <v>0.5</v>
      </c>
      <c r="J59" s="630">
        <f>IF(J$3=1,32,0)</f>
        <v>0</v>
      </c>
      <c r="K59" s="21">
        <f t="shared" si="11"/>
        <v>6.5</v>
      </c>
      <c r="L59" s="821">
        <v>6</v>
      </c>
      <c r="M59" s="486">
        <v>0.5</v>
      </c>
      <c r="N59" s="630">
        <f>IF(N$3=1,32,0)</f>
        <v>0</v>
      </c>
      <c r="O59" s="21">
        <f t="shared" si="12"/>
        <v>6.5</v>
      </c>
    </row>
    <row r="60" spans="1:15" x14ac:dyDescent="0.25">
      <c r="A60" s="1933" t="s">
        <v>20</v>
      </c>
      <c r="B60" s="1728" t="s">
        <v>32</v>
      </c>
      <c r="C60" s="1729"/>
      <c r="D60" s="1735">
        <v>4</v>
      </c>
      <c r="E60" s="1737">
        <f>2*E$3</f>
        <v>0</v>
      </c>
      <c r="F60" s="1725">
        <f>0.5*F$3</f>
        <v>0</v>
      </c>
      <c r="G60" s="1730">
        <f t="shared" si="5"/>
        <v>4</v>
      </c>
      <c r="H60" s="1735">
        <v>4</v>
      </c>
      <c r="I60" s="1737">
        <f>2*I$3</f>
        <v>0</v>
      </c>
      <c r="J60" s="1725">
        <f>0.5*J$3</f>
        <v>0</v>
      </c>
      <c r="K60" s="1730">
        <f t="shared" si="11"/>
        <v>4</v>
      </c>
      <c r="L60" s="1735">
        <v>4</v>
      </c>
      <c r="M60" s="1737">
        <f>2*M$3</f>
        <v>0</v>
      </c>
      <c r="N60" s="1725">
        <f>0.5*N$3</f>
        <v>0</v>
      </c>
      <c r="O60" s="1730">
        <f t="shared" si="12"/>
        <v>4</v>
      </c>
    </row>
    <row r="61" spans="1:15" x14ac:dyDescent="0.25">
      <c r="A61" s="1933"/>
      <c r="B61" s="19" t="s">
        <v>33</v>
      </c>
      <c r="C61" s="817"/>
      <c r="D61" s="493">
        <f>IF(D$3&gt;0,0.25*D$3+2,2)</f>
        <v>2</v>
      </c>
      <c r="E61" s="814">
        <v>0</v>
      </c>
      <c r="F61" s="630">
        <f>IF(F$3=1,4,0)</f>
        <v>0</v>
      </c>
      <c r="G61" s="21">
        <f t="shared" si="5"/>
        <v>2</v>
      </c>
      <c r="H61" s="493">
        <f>IF(H$3&gt;0,0.25*H$3+2,2)</f>
        <v>2</v>
      </c>
      <c r="I61" s="814">
        <v>0</v>
      </c>
      <c r="J61" s="630">
        <f>IF(J$3=1,4,0)</f>
        <v>0</v>
      </c>
      <c r="K61" s="21">
        <f t="shared" si="11"/>
        <v>2</v>
      </c>
      <c r="L61" s="493">
        <f>IF(L$3&gt;0,0.25*L$3+2,2)</f>
        <v>2</v>
      </c>
      <c r="M61" s="814">
        <v>0</v>
      </c>
      <c r="N61" s="630">
        <f>IF(N$3=1,4,0)</f>
        <v>0</v>
      </c>
      <c r="O61" s="21">
        <f t="shared" si="12"/>
        <v>2</v>
      </c>
    </row>
    <row r="62" spans="1:15" x14ac:dyDescent="0.25">
      <c r="A62" s="1933"/>
      <c r="B62" s="19" t="s">
        <v>34</v>
      </c>
      <c r="C62" s="817"/>
      <c r="D62" s="493">
        <f>IF(D$3&gt;0,0.25*D$3+4,4)</f>
        <v>4</v>
      </c>
      <c r="E62" s="814">
        <v>0</v>
      </c>
      <c r="F62" s="630">
        <f>IF(F$3=1,8,0)</f>
        <v>0</v>
      </c>
      <c r="G62" s="21">
        <f t="shared" si="5"/>
        <v>4</v>
      </c>
      <c r="H62" s="493">
        <f>IF(H$3&gt;0,0.25*H$3+4,4)</f>
        <v>4</v>
      </c>
      <c r="I62" s="814">
        <v>0</v>
      </c>
      <c r="J62" s="630">
        <f>IF(J$3=1,8,0)</f>
        <v>0</v>
      </c>
      <c r="K62" s="21">
        <f t="shared" si="11"/>
        <v>4</v>
      </c>
      <c r="L62" s="493">
        <f>IF(L$3&gt;0,0.25*L$3+4,4)</f>
        <v>4</v>
      </c>
      <c r="M62" s="814">
        <v>0</v>
      </c>
      <c r="N62" s="630">
        <f>IF(N$3=1,8,0)</f>
        <v>0</v>
      </c>
      <c r="O62" s="21">
        <f t="shared" si="12"/>
        <v>4</v>
      </c>
    </row>
    <row r="63" spans="1:15" x14ac:dyDescent="0.25">
      <c r="A63" s="1933" t="s">
        <v>451</v>
      </c>
      <c r="B63" s="1728" t="s">
        <v>32</v>
      </c>
      <c r="C63" s="1729"/>
      <c r="D63" s="1739">
        <v>0.25</v>
      </c>
      <c r="E63" s="1737">
        <v>0</v>
      </c>
      <c r="F63" s="1738">
        <v>0</v>
      </c>
      <c r="G63" s="1730">
        <f t="shared" si="5"/>
        <v>0.25</v>
      </c>
      <c r="H63" s="1739">
        <v>0.25</v>
      </c>
      <c r="I63" s="1737">
        <v>0</v>
      </c>
      <c r="J63" s="1738">
        <v>0</v>
      </c>
      <c r="K63" s="1730">
        <f t="shared" si="11"/>
        <v>0.25</v>
      </c>
      <c r="L63" s="1739">
        <v>0.25</v>
      </c>
      <c r="M63" s="1737">
        <v>0</v>
      </c>
      <c r="N63" s="1738">
        <v>0</v>
      </c>
      <c r="O63" s="1730">
        <f t="shared" si="12"/>
        <v>0.25</v>
      </c>
    </row>
    <row r="64" spans="1:15" x14ac:dyDescent="0.25">
      <c r="A64" s="1933"/>
      <c r="B64" s="19" t="s">
        <v>33</v>
      </c>
      <c r="C64" s="817"/>
      <c r="D64" s="482" t="s">
        <v>1768</v>
      </c>
      <c r="E64" s="482" t="s">
        <v>1768</v>
      </c>
      <c r="F64" s="482" t="s">
        <v>1768</v>
      </c>
      <c r="G64" s="21">
        <f t="shared" si="5"/>
        <v>0</v>
      </c>
      <c r="H64" s="482" t="s">
        <v>1768</v>
      </c>
      <c r="I64" s="482" t="s">
        <v>1768</v>
      </c>
      <c r="J64" s="482" t="s">
        <v>1768</v>
      </c>
      <c r="K64" s="21">
        <f t="shared" si="11"/>
        <v>0</v>
      </c>
      <c r="L64" s="482" t="s">
        <v>1768</v>
      </c>
      <c r="M64" s="482" t="s">
        <v>1768</v>
      </c>
      <c r="N64" s="482" t="s">
        <v>1768</v>
      </c>
      <c r="O64" s="21">
        <f t="shared" si="12"/>
        <v>0</v>
      </c>
    </row>
    <row r="65" spans="1:15" x14ac:dyDescent="0.25">
      <c r="A65" s="1933"/>
      <c r="B65" s="19" t="s">
        <v>34</v>
      </c>
      <c r="C65" s="817"/>
      <c r="D65" s="482" t="s">
        <v>1768</v>
      </c>
      <c r="E65" s="482" t="s">
        <v>1768</v>
      </c>
      <c r="F65" s="482" t="s">
        <v>1768</v>
      </c>
      <c r="G65" s="21">
        <f t="shared" si="5"/>
        <v>0</v>
      </c>
      <c r="H65" s="482" t="s">
        <v>1768</v>
      </c>
      <c r="I65" s="482" t="s">
        <v>1768</v>
      </c>
      <c r="J65" s="482" t="s">
        <v>1768</v>
      </c>
      <c r="K65" s="21">
        <f t="shared" si="11"/>
        <v>0</v>
      </c>
      <c r="L65" s="482" t="s">
        <v>1768</v>
      </c>
      <c r="M65" s="482" t="s">
        <v>1768</v>
      </c>
      <c r="N65" s="482" t="s">
        <v>1768</v>
      </c>
      <c r="O65" s="21">
        <f t="shared" si="12"/>
        <v>0</v>
      </c>
    </row>
    <row r="66" spans="1:15" x14ac:dyDescent="0.25">
      <c r="A66" s="1933" t="s">
        <v>452</v>
      </c>
      <c r="B66" s="1728" t="s">
        <v>32</v>
      </c>
      <c r="C66" s="1729"/>
      <c r="D66" s="1739">
        <v>0.25</v>
      </c>
      <c r="E66" s="1737">
        <v>0</v>
      </c>
      <c r="F66" s="1738">
        <v>0</v>
      </c>
      <c r="G66" s="1730">
        <f t="shared" si="5"/>
        <v>0.25</v>
      </c>
      <c r="H66" s="1739">
        <v>0.25</v>
      </c>
      <c r="I66" s="1737">
        <v>0</v>
      </c>
      <c r="J66" s="1738">
        <v>0</v>
      </c>
      <c r="K66" s="1730">
        <f t="shared" si="11"/>
        <v>0.25</v>
      </c>
      <c r="L66" s="1739">
        <v>0.25</v>
      </c>
      <c r="M66" s="1737">
        <v>0</v>
      </c>
      <c r="N66" s="1738">
        <v>0</v>
      </c>
      <c r="O66" s="1730">
        <f t="shared" si="12"/>
        <v>0.25</v>
      </c>
    </row>
    <row r="67" spans="1:15" x14ac:dyDescent="0.25">
      <c r="A67" s="1933"/>
      <c r="B67" s="19" t="s">
        <v>33</v>
      </c>
      <c r="C67" s="817"/>
      <c r="D67" s="476">
        <f>IF(D$3&gt;0,D$3*0.25,0.25)</f>
        <v>0.25</v>
      </c>
      <c r="E67" s="478">
        <f>IF(E$3&gt;1,E$3*0.25,0.25)</f>
        <v>0.25</v>
      </c>
      <c r="F67" s="630">
        <f>IF(F$3=1,1,0)</f>
        <v>0</v>
      </c>
      <c r="G67" s="21">
        <f t="shared" si="5"/>
        <v>0.5</v>
      </c>
      <c r="H67" s="476">
        <f>IF(H$3&gt;0,H$3*0.25,0.25)</f>
        <v>0.25</v>
      </c>
      <c r="I67" s="478">
        <f>IF(I$3&gt;1,I$3*0.25,0.25)</f>
        <v>0.25</v>
      </c>
      <c r="J67" s="630">
        <f>IF(J$3=1,1,0)</f>
        <v>0</v>
      </c>
      <c r="K67" s="21">
        <f t="shared" si="11"/>
        <v>0.5</v>
      </c>
      <c r="L67" s="476">
        <f>IF(L$3&gt;0,L$3*0.25,0.25)</f>
        <v>0.25</v>
      </c>
      <c r="M67" s="478">
        <f>IF(M$3&gt;1,M$3*0.25,0.25)</f>
        <v>0.25</v>
      </c>
      <c r="N67" s="630">
        <f>IF(N$3=1,1,0)</f>
        <v>0</v>
      </c>
      <c r="O67" s="21">
        <f t="shared" si="12"/>
        <v>0.5</v>
      </c>
    </row>
    <row r="68" spans="1:15" x14ac:dyDescent="0.25">
      <c r="A68" s="1933"/>
      <c r="B68" s="19" t="s">
        <v>34</v>
      </c>
      <c r="C68" s="817"/>
      <c r="D68" s="476">
        <f>IF(D$3&gt;0,D$3*0.25,0.25)</f>
        <v>0.25</v>
      </c>
      <c r="E68" s="478">
        <f>IF(E$3&gt;1,E$3*0.25,0.25)</f>
        <v>0.25</v>
      </c>
      <c r="F68" s="630">
        <f>IF(F$3=1,1,0)</f>
        <v>0</v>
      </c>
      <c r="G68" s="21">
        <f t="shared" si="5"/>
        <v>0.5</v>
      </c>
      <c r="H68" s="476">
        <f>IF(H$3&gt;0,H$3*0.25,0.25)</f>
        <v>0.25</v>
      </c>
      <c r="I68" s="478">
        <f>IF(I$3&gt;1,I$3*0.25,0.25)</f>
        <v>0.25</v>
      </c>
      <c r="J68" s="630">
        <f>IF(J$3=1,1,0)</f>
        <v>0</v>
      </c>
      <c r="K68" s="21">
        <f t="shared" si="11"/>
        <v>0.5</v>
      </c>
      <c r="L68" s="476">
        <f>IF(L$3&gt;0,L$3*0.25,0.25)</f>
        <v>0.25</v>
      </c>
      <c r="M68" s="478">
        <f>IF(M$3&gt;1,M$3*0.25,0.25)</f>
        <v>0.25</v>
      </c>
      <c r="N68" s="630">
        <f>IF(N$3=1,1,0)</f>
        <v>0</v>
      </c>
      <c r="O68" s="21">
        <f t="shared" si="12"/>
        <v>0.5</v>
      </c>
    </row>
    <row r="69" spans="1:15" x14ac:dyDescent="0.25">
      <c r="A69" s="1936" t="s">
        <v>533</v>
      </c>
      <c r="B69" s="1728" t="s">
        <v>32</v>
      </c>
      <c r="C69" s="1729"/>
      <c r="D69" s="1735">
        <f>2+(1.5*D$3)</f>
        <v>2</v>
      </c>
      <c r="E69" s="1725">
        <f>E$3*2</f>
        <v>0</v>
      </c>
      <c r="F69" s="1725">
        <f t="shared" ref="F69:F72" si="13">0.5*F$3</f>
        <v>0</v>
      </c>
      <c r="G69" s="1730">
        <f t="shared" si="5"/>
        <v>2</v>
      </c>
      <c r="H69" s="1735">
        <f>2+(1.5*H$3)</f>
        <v>2</v>
      </c>
      <c r="I69" s="1725">
        <f>I$3*2</f>
        <v>0</v>
      </c>
      <c r="J69" s="1725">
        <f t="shared" ref="J69:J72" si="14">0.5*J$3</f>
        <v>0</v>
      </c>
      <c r="K69" s="1730">
        <f t="shared" si="11"/>
        <v>2</v>
      </c>
      <c r="L69" s="1735">
        <f>2+(1.5*L$3)</f>
        <v>2</v>
      </c>
      <c r="M69" s="1725">
        <f>M$3*2</f>
        <v>0</v>
      </c>
      <c r="N69" s="1725">
        <f t="shared" ref="N69:N72" si="15">0.5*N$3</f>
        <v>0</v>
      </c>
      <c r="O69" s="1730">
        <f t="shared" si="12"/>
        <v>2</v>
      </c>
    </row>
    <row r="70" spans="1:15" x14ac:dyDescent="0.25">
      <c r="A70" s="1936"/>
      <c r="B70" s="19" t="s">
        <v>33</v>
      </c>
      <c r="C70" s="817"/>
      <c r="D70" s="482" t="s">
        <v>1768</v>
      </c>
      <c r="E70" s="482" t="s">
        <v>1768</v>
      </c>
      <c r="F70" s="482" t="s">
        <v>1768</v>
      </c>
      <c r="G70" s="21">
        <f t="shared" si="5"/>
        <v>0</v>
      </c>
      <c r="H70" s="482" t="s">
        <v>1768</v>
      </c>
      <c r="I70" s="482" t="s">
        <v>1768</v>
      </c>
      <c r="J70" s="482" t="s">
        <v>1768</v>
      </c>
      <c r="K70" s="21">
        <f t="shared" si="11"/>
        <v>0</v>
      </c>
      <c r="L70" s="482" t="s">
        <v>1768</v>
      </c>
      <c r="M70" s="482" t="s">
        <v>1768</v>
      </c>
      <c r="N70" s="482" t="s">
        <v>1768</v>
      </c>
      <c r="O70" s="21">
        <f t="shared" si="12"/>
        <v>0</v>
      </c>
    </row>
    <row r="71" spans="1:15" x14ac:dyDescent="0.25">
      <c r="A71" s="1936"/>
      <c r="B71" s="19" t="s">
        <v>34</v>
      </c>
      <c r="C71" s="817"/>
      <c r="D71" s="482" t="s">
        <v>1768</v>
      </c>
      <c r="E71" s="482" t="s">
        <v>1768</v>
      </c>
      <c r="F71" s="482" t="s">
        <v>1768</v>
      </c>
      <c r="G71" s="21">
        <f t="shared" si="5"/>
        <v>0</v>
      </c>
      <c r="H71" s="482" t="s">
        <v>1768</v>
      </c>
      <c r="I71" s="482" t="s">
        <v>1768</v>
      </c>
      <c r="J71" s="482" t="s">
        <v>1768</v>
      </c>
      <c r="K71" s="21">
        <f t="shared" si="11"/>
        <v>0</v>
      </c>
      <c r="L71" s="482" t="s">
        <v>1768</v>
      </c>
      <c r="M71" s="482" t="s">
        <v>1768</v>
      </c>
      <c r="N71" s="482" t="s">
        <v>1768</v>
      </c>
      <c r="O71" s="21">
        <f t="shared" si="12"/>
        <v>0</v>
      </c>
    </row>
    <row r="72" spans="1:15" x14ac:dyDescent="0.25">
      <c r="A72" s="1933" t="s">
        <v>534</v>
      </c>
      <c r="B72" s="1728" t="s">
        <v>32</v>
      </c>
      <c r="C72" s="1729"/>
      <c r="D72" s="1735">
        <f>2+(1.5*D$3)</f>
        <v>2</v>
      </c>
      <c r="E72" s="1725">
        <f>E$3*2</f>
        <v>0</v>
      </c>
      <c r="F72" s="1725">
        <f t="shared" si="13"/>
        <v>0</v>
      </c>
      <c r="G72" s="1730">
        <f t="shared" si="5"/>
        <v>2</v>
      </c>
      <c r="H72" s="1735">
        <f>2+(1.5*H$3)</f>
        <v>2</v>
      </c>
      <c r="I72" s="1725">
        <f>I$3*2</f>
        <v>0</v>
      </c>
      <c r="J72" s="1725">
        <f t="shared" si="14"/>
        <v>0</v>
      </c>
      <c r="K72" s="1730">
        <f t="shared" si="11"/>
        <v>2</v>
      </c>
      <c r="L72" s="1735">
        <f>2+(1.5*L$3)</f>
        <v>2</v>
      </c>
      <c r="M72" s="1725">
        <f>M$3*2</f>
        <v>0</v>
      </c>
      <c r="N72" s="1725">
        <f t="shared" si="15"/>
        <v>0</v>
      </c>
      <c r="O72" s="1730">
        <f t="shared" si="12"/>
        <v>2</v>
      </c>
    </row>
    <row r="73" spans="1:15" x14ac:dyDescent="0.25">
      <c r="A73" s="1933"/>
      <c r="B73" s="19" t="s">
        <v>33</v>
      </c>
      <c r="C73" s="817"/>
      <c r="D73" s="482" t="s">
        <v>1768</v>
      </c>
      <c r="E73" s="482" t="s">
        <v>1768</v>
      </c>
      <c r="F73" s="482" t="s">
        <v>1768</v>
      </c>
      <c r="G73" s="21">
        <f t="shared" si="5"/>
        <v>0</v>
      </c>
      <c r="H73" s="482" t="s">
        <v>1768</v>
      </c>
      <c r="I73" s="482" t="s">
        <v>1768</v>
      </c>
      <c r="J73" s="482" t="s">
        <v>1768</v>
      </c>
      <c r="K73" s="21">
        <f t="shared" si="11"/>
        <v>0</v>
      </c>
      <c r="L73" s="482" t="s">
        <v>1768</v>
      </c>
      <c r="M73" s="482" t="s">
        <v>1768</v>
      </c>
      <c r="N73" s="482" t="s">
        <v>1768</v>
      </c>
      <c r="O73" s="21">
        <f t="shared" si="12"/>
        <v>0</v>
      </c>
    </row>
    <row r="74" spans="1:15" x14ac:dyDescent="0.25">
      <c r="A74" s="1933"/>
      <c r="B74" s="19" t="s">
        <v>34</v>
      </c>
      <c r="C74" s="817"/>
      <c r="D74" s="482" t="s">
        <v>1768</v>
      </c>
      <c r="E74" s="482" t="s">
        <v>1768</v>
      </c>
      <c r="F74" s="482" t="s">
        <v>1768</v>
      </c>
      <c r="G74" s="21">
        <f t="shared" si="5"/>
        <v>0</v>
      </c>
      <c r="H74" s="482" t="s">
        <v>1768</v>
      </c>
      <c r="I74" s="482" t="s">
        <v>1768</v>
      </c>
      <c r="J74" s="482" t="s">
        <v>1768</v>
      </c>
      <c r="K74" s="21">
        <f t="shared" si="11"/>
        <v>0</v>
      </c>
      <c r="L74" s="482" t="s">
        <v>1768</v>
      </c>
      <c r="M74" s="482" t="s">
        <v>1768</v>
      </c>
      <c r="N74" s="482" t="s">
        <v>1768</v>
      </c>
      <c r="O74" s="21">
        <f t="shared" si="12"/>
        <v>0</v>
      </c>
    </row>
    <row r="75" spans="1:15" x14ac:dyDescent="0.25">
      <c r="A75" s="1933" t="s">
        <v>21</v>
      </c>
      <c r="B75" s="1728" t="s">
        <v>32</v>
      </c>
      <c r="C75" s="1729"/>
      <c r="D75" s="1735" t="s">
        <v>90</v>
      </c>
      <c r="E75" s="1735" t="s">
        <v>90</v>
      </c>
      <c r="F75" s="1735" t="s">
        <v>90</v>
      </c>
      <c r="G75" s="1730">
        <f t="shared" si="5"/>
        <v>0</v>
      </c>
      <c r="H75" s="1735" t="s">
        <v>90</v>
      </c>
      <c r="I75" s="1735" t="s">
        <v>90</v>
      </c>
      <c r="J75" s="1735" t="s">
        <v>90</v>
      </c>
      <c r="K75" s="1730">
        <f t="shared" si="11"/>
        <v>0</v>
      </c>
      <c r="L75" s="1735" t="s">
        <v>90</v>
      </c>
      <c r="M75" s="1735" t="s">
        <v>90</v>
      </c>
      <c r="N75" s="1735" t="s">
        <v>90</v>
      </c>
      <c r="O75" s="1730">
        <f t="shared" si="12"/>
        <v>0</v>
      </c>
    </row>
    <row r="76" spans="1:15" x14ac:dyDescent="0.25">
      <c r="A76" s="1933"/>
      <c r="B76" s="19" t="s">
        <v>33</v>
      </c>
      <c r="C76" s="817"/>
      <c r="D76" s="821" t="s">
        <v>90</v>
      </c>
      <c r="E76" s="821" t="s">
        <v>90</v>
      </c>
      <c r="F76" s="821" t="s">
        <v>90</v>
      </c>
      <c r="G76" s="21">
        <f t="shared" si="5"/>
        <v>0</v>
      </c>
      <c r="H76" s="821" t="s">
        <v>90</v>
      </c>
      <c r="I76" s="821" t="s">
        <v>90</v>
      </c>
      <c r="J76" s="821" t="s">
        <v>90</v>
      </c>
      <c r="K76" s="21">
        <f t="shared" si="11"/>
        <v>0</v>
      </c>
      <c r="L76" s="821" t="s">
        <v>90</v>
      </c>
      <c r="M76" s="821" t="s">
        <v>90</v>
      </c>
      <c r="N76" s="821" t="s">
        <v>90</v>
      </c>
      <c r="O76" s="21">
        <f t="shared" si="12"/>
        <v>0</v>
      </c>
    </row>
    <row r="77" spans="1:15" x14ac:dyDescent="0.25">
      <c r="A77" s="1933"/>
      <c r="B77" s="13" t="s">
        <v>34</v>
      </c>
      <c r="C77" s="820"/>
      <c r="D77" s="821" t="s">
        <v>90</v>
      </c>
      <c r="E77" s="821" t="s">
        <v>90</v>
      </c>
      <c r="F77" s="821" t="s">
        <v>90</v>
      </c>
      <c r="G77" s="21">
        <f t="shared" si="5"/>
        <v>0</v>
      </c>
      <c r="H77" s="821" t="s">
        <v>90</v>
      </c>
      <c r="I77" s="821" t="s">
        <v>90</v>
      </c>
      <c r="J77" s="821" t="s">
        <v>90</v>
      </c>
      <c r="K77" s="21">
        <f t="shared" si="11"/>
        <v>0</v>
      </c>
      <c r="L77" s="821" t="s">
        <v>90</v>
      </c>
      <c r="M77" s="821" t="s">
        <v>90</v>
      </c>
      <c r="N77" s="821" t="s">
        <v>90</v>
      </c>
      <c r="O77" s="21">
        <f t="shared" si="12"/>
        <v>0</v>
      </c>
    </row>
    <row r="78" spans="1:15" x14ac:dyDescent="0.25">
      <c r="A78" s="1933" t="s">
        <v>181</v>
      </c>
      <c r="B78" s="1728" t="s">
        <v>32</v>
      </c>
      <c r="C78" s="1729"/>
      <c r="D78" s="1735">
        <f t="shared" ref="D78:D84" si="16">0.25*D$3</f>
        <v>0</v>
      </c>
      <c r="E78" s="1736">
        <v>0</v>
      </c>
      <c r="F78" s="1741">
        <v>0</v>
      </c>
      <c r="G78" s="1730">
        <f t="shared" si="5"/>
        <v>0</v>
      </c>
      <c r="H78" s="1735">
        <f t="shared" ref="H78:H84" si="17">0.25*H$3</f>
        <v>0</v>
      </c>
      <c r="I78" s="1736">
        <v>0</v>
      </c>
      <c r="J78" s="1741">
        <v>0</v>
      </c>
      <c r="K78" s="1730">
        <f t="shared" si="11"/>
        <v>0</v>
      </c>
      <c r="L78" s="1735">
        <f t="shared" ref="L78:L84" si="18">0.25*L$3</f>
        <v>0</v>
      </c>
      <c r="M78" s="1736">
        <v>0</v>
      </c>
      <c r="N78" s="1741">
        <v>0</v>
      </c>
      <c r="O78" s="1730">
        <f t="shared" si="12"/>
        <v>0</v>
      </c>
    </row>
    <row r="79" spans="1:15" x14ac:dyDescent="0.25">
      <c r="A79" s="1933"/>
      <c r="B79" s="19" t="s">
        <v>33</v>
      </c>
      <c r="C79" s="817"/>
      <c r="D79" s="501">
        <v>1</v>
      </c>
      <c r="E79" s="478">
        <f>IF(E$3&gt;1,E$3*0.5,0.5)</f>
        <v>0.5</v>
      </c>
      <c r="F79" s="630">
        <f>IF(F$3=1,1,0)</f>
        <v>0</v>
      </c>
      <c r="G79" s="21">
        <f t="shared" si="5"/>
        <v>1.5</v>
      </c>
      <c r="H79" s="501">
        <v>1</v>
      </c>
      <c r="I79" s="478">
        <f>IF(I$3&gt;1,I$3*0.5,0.5)</f>
        <v>0.5</v>
      </c>
      <c r="J79" s="630">
        <f>IF(J$3=1,1,0)</f>
        <v>0</v>
      </c>
      <c r="K79" s="21">
        <f t="shared" si="11"/>
        <v>1.5</v>
      </c>
      <c r="L79" s="501">
        <v>1</v>
      </c>
      <c r="M79" s="478">
        <f>IF(M$3&gt;1,M$3*0.5,0.5)</f>
        <v>0.5</v>
      </c>
      <c r="N79" s="630">
        <f>IF(N$3=1,1,0)</f>
        <v>0</v>
      </c>
      <c r="O79" s="21">
        <f t="shared" si="12"/>
        <v>1.5</v>
      </c>
    </row>
    <row r="80" spans="1:15" x14ac:dyDescent="0.25">
      <c r="A80" s="1933"/>
      <c r="B80" s="19" t="s">
        <v>34</v>
      </c>
      <c r="C80" s="817"/>
      <c r="D80" s="501">
        <v>1</v>
      </c>
      <c r="E80" s="478">
        <f>IF(E$3&gt;1,E$3*0.5,0.5)</f>
        <v>0.5</v>
      </c>
      <c r="F80" s="630">
        <f>IF(F$3=1,1,0)</f>
        <v>0</v>
      </c>
      <c r="G80" s="21">
        <f t="shared" si="5"/>
        <v>1.5</v>
      </c>
      <c r="H80" s="501">
        <v>1</v>
      </c>
      <c r="I80" s="478">
        <f>IF(I$3&gt;1,I$3*0.5,0.5)</f>
        <v>0.5</v>
      </c>
      <c r="J80" s="630">
        <f>IF(J$3=1,1,0)</f>
        <v>0</v>
      </c>
      <c r="K80" s="21">
        <f t="shared" si="11"/>
        <v>1.5</v>
      </c>
      <c r="L80" s="501">
        <v>1</v>
      </c>
      <c r="M80" s="478">
        <f>IF(M$3&gt;1,M$3*0.5,0.5)</f>
        <v>0.5</v>
      </c>
      <c r="N80" s="630">
        <f>IF(N$3=1,1,0)</f>
        <v>0</v>
      </c>
      <c r="O80" s="21">
        <f t="shared" si="12"/>
        <v>1.5</v>
      </c>
    </row>
    <row r="81" spans="1:15" x14ac:dyDescent="0.25">
      <c r="A81" s="1933" t="s">
        <v>182</v>
      </c>
      <c r="B81" s="1728" t="s">
        <v>32</v>
      </c>
      <c r="C81" s="1729"/>
      <c r="D81" s="1735">
        <f t="shared" si="16"/>
        <v>0</v>
      </c>
      <c r="E81" s="1736">
        <v>0</v>
      </c>
      <c r="F81" s="1741">
        <v>0</v>
      </c>
      <c r="G81" s="1730">
        <f t="shared" si="5"/>
        <v>0</v>
      </c>
      <c r="H81" s="1735">
        <f t="shared" si="17"/>
        <v>0</v>
      </c>
      <c r="I81" s="1736">
        <v>0</v>
      </c>
      <c r="J81" s="1741">
        <v>0</v>
      </c>
      <c r="K81" s="1730">
        <f t="shared" si="11"/>
        <v>0</v>
      </c>
      <c r="L81" s="1735">
        <f t="shared" si="18"/>
        <v>0</v>
      </c>
      <c r="M81" s="1736">
        <v>0</v>
      </c>
      <c r="N81" s="1741">
        <v>0</v>
      </c>
      <c r="O81" s="1730">
        <f t="shared" si="12"/>
        <v>0</v>
      </c>
    </row>
    <row r="82" spans="1:15" x14ac:dyDescent="0.25">
      <c r="A82" s="1933"/>
      <c r="B82" s="19" t="s">
        <v>33</v>
      </c>
      <c r="C82" s="817"/>
      <c r="D82" s="501">
        <v>0.5</v>
      </c>
      <c r="E82" s="478">
        <f>IF(E$3&gt;1,E$3*0.25,0.25)</f>
        <v>0.25</v>
      </c>
      <c r="F82" s="630">
        <f>IF(F$3=1,1,0)</f>
        <v>0</v>
      </c>
      <c r="G82" s="21">
        <f t="shared" si="5"/>
        <v>0.75</v>
      </c>
      <c r="H82" s="501">
        <v>0.5</v>
      </c>
      <c r="I82" s="478">
        <f>IF(I$3&gt;1,I$3*0.25,0.25)</f>
        <v>0.25</v>
      </c>
      <c r="J82" s="630">
        <f>IF(J$3=1,1,0)</f>
        <v>0</v>
      </c>
      <c r="K82" s="21">
        <f t="shared" si="11"/>
        <v>0.75</v>
      </c>
      <c r="L82" s="501">
        <v>0.5</v>
      </c>
      <c r="M82" s="478">
        <f>IF(M$3&gt;1,M$3*0.25,0.25)</f>
        <v>0.25</v>
      </c>
      <c r="N82" s="630">
        <f>IF(N$3=1,1,0)</f>
        <v>0</v>
      </c>
      <c r="O82" s="21">
        <f t="shared" si="12"/>
        <v>0.75</v>
      </c>
    </row>
    <row r="83" spans="1:15" x14ac:dyDescent="0.25">
      <c r="A83" s="1933"/>
      <c r="B83" s="19" t="s">
        <v>34</v>
      </c>
      <c r="C83" s="817"/>
      <c r="D83" s="501">
        <v>0.5</v>
      </c>
      <c r="E83" s="478">
        <f>IF(E$3&gt;1,E$3*0.25,0.25)</f>
        <v>0.25</v>
      </c>
      <c r="F83" s="630">
        <f>IF(F$3=1,1,0)</f>
        <v>0</v>
      </c>
      <c r="G83" s="21">
        <f t="shared" si="5"/>
        <v>0.75</v>
      </c>
      <c r="H83" s="501">
        <v>0.5</v>
      </c>
      <c r="I83" s="478">
        <f>IF(I$3&gt;1,I$3*0.25,0.25)</f>
        <v>0.25</v>
      </c>
      <c r="J83" s="630">
        <f>IF(J$3=1,1,0)</f>
        <v>0</v>
      </c>
      <c r="K83" s="21">
        <f t="shared" si="11"/>
        <v>0.75</v>
      </c>
      <c r="L83" s="501">
        <v>0.5</v>
      </c>
      <c r="M83" s="478">
        <f>IF(M$3&gt;1,M$3*0.25,0.25)</f>
        <v>0.25</v>
      </c>
      <c r="N83" s="630">
        <f>IF(N$3=1,1,0)</f>
        <v>0</v>
      </c>
      <c r="O83" s="21">
        <f t="shared" si="12"/>
        <v>0.75</v>
      </c>
    </row>
    <row r="84" spans="1:15" x14ac:dyDescent="0.25">
      <c r="A84" s="1935" t="s">
        <v>183</v>
      </c>
      <c r="B84" s="1728" t="s">
        <v>32</v>
      </c>
      <c r="C84" s="1729"/>
      <c r="D84" s="1735">
        <f t="shared" si="16"/>
        <v>0</v>
      </c>
      <c r="E84" s="1736">
        <v>0</v>
      </c>
      <c r="F84" s="1741">
        <v>0</v>
      </c>
      <c r="G84" s="1730">
        <f t="shared" si="5"/>
        <v>0</v>
      </c>
      <c r="H84" s="1735">
        <f t="shared" si="17"/>
        <v>0</v>
      </c>
      <c r="I84" s="1736">
        <v>0</v>
      </c>
      <c r="J84" s="1741">
        <v>0</v>
      </c>
      <c r="K84" s="1730">
        <f t="shared" si="11"/>
        <v>0</v>
      </c>
      <c r="L84" s="1735">
        <f t="shared" si="18"/>
        <v>0</v>
      </c>
      <c r="M84" s="1736">
        <v>0</v>
      </c>
      <c r="N84" s="1741">
        <v>0</v>
      </c>
      <c r="O84" s="1730">
        <f t="shared" si="12"/>
        <v>0</v>
      </c>
    </row>
    <row r="85" spans="1:15" x14ac:dyDescent="0.25">
      <c r="A85" s="1935"/>
      <c r="B85" s="19" t="s">
        <v>33</v>
      </c>
      <c r="C85" s="817"/>
      <c r="D85" s="476">
        <f>IF(D$3&gt;0,D$3*0.25,0.25)</f>
        <v>0.25</v>
      </c>
      <c r="E85" s="478">
        <f>IF(E$3&gt;1,E$3*0.25,0.25)</f>
        <v>0.25</v>
      </c>
      <c r="F85" s="630">
        <f>IF(F$3=1,1,0)</f>
        <v>0</v>
      </c>
      <c r="G85" s="21">
        <f t="shared" si="5"/>
        <v>0.5</v>
      </c>
      <c r="H85" s="476">
        <f>IF(H$3&gt;0,H$3*0.25,0.25)</f>
        <v>0.25</v>
      </c>
      <c r="I85" s="478">
        <f>IF(I$3&gt;1,I$3*0.25,0.25)</f>
        <v>0.25</v>
      </c>
      <c r="J85" s="630">
        <f>IF(J$3=1,1,0)</f>
        <v>0</v>
      </c>
      <c r="K85" s="21">
        <f t="shared" si="11"/>
        <v>0.5</v>
      </c>
      <c r="L85" s="476">
        <f>IF(L$3&gt;0,L$3*0.25,0.25)</f>
        <v>0.25</v>
      </c>
      <c r="M85" s="478">
        <f>IF(M$3&gt;1,M$3*0.25,0.25)</f>
        <v>0.25</v>
      </c>
      <c r="N85" s="630">
        <f>IF(N$3=1,1,0)</f>
        <v>0</v>
      </c>
      <c r="O85" s="21">
        <f t="shared" si="12"/>
        <v>0.5</v>
      </c>
    </row>
    <row r="86" spans="1:15" ht="15.75" thickBot="1" x14ac:dyDescent="0.3">
      <c r="A86" s="1935"/>
      <c r="B86" s="13" t="s">
        <v>34</v>
      </c>
      <c r="C86" s="818"/>
      <c r="D86" s="476">
        <f>IF(D$3&gt;0,D$3*0.25,0.25)</f>
        <v>0.25</v>
      </c>
      <c r="E86" s="478">
        <f>IF(E$3&gt;1,E$3*0.25,0.25)</f>
        <v>0.25</v>
      </c>
      <c r="F86" s="630">
        <f>IF(F$3=1,1,0)</f>
        <v>0</v>
      </c>
      <c r="G86" s="77">
        <f t="shared" si="5"/>
        <v>0.5</v>
      </c>
      <c r="H86" s="476">
        <f>IF(H$3&gt;0,H$3*0.25,0.25)</f>
        <v>0.25</v>
      </c>
      <c r="I86" s="478">
        <f>IF(I$3&gt;1,I$3*0.25,0.25)</f>
        <v>0.25</v>
      </c>
      <c r="J86" s="630">
        <f>IF(J$3=1,1,0)</f>
        <v>0</v>
      </c>
      <c r="K86" s="77">
        <f t="shared" si="11"/>
        <v>0.5</v>
      </c>
      <c r="L86" s="476">
        <f>IF(L$3&gt;0,L$3*0.25,0.25)</f>
        <v>0.25</v>
      </c>
      <c r="M86" s="478">
        <f>IF(M$3&gt;1,M$3*0.25,0.25)</f>
        <v>0.25</v>
      </c>
      <c r="N86" s="630">
        <f>IF(N$3=1,1,0)</f>
        <v>0</v>
      </c>
      <c r="O86" s="77">
        <f t="shared" si="12"/>
        <v>0.5</v>
      </c>
    </row>
    <row r="87" spans="1:15" ht="16.5" thickBot="1" x14ac:dyDescent="0.3">
      <c r="A87" s="330" t="s">
        <v>22</v>
      </c>
      <c r="B87" s="329"/>
      <c r="C87" s="329"/>
      <c r="D87" s="329"/>
      <c r="E87" s="329"/>
      <c r="F87" s="329"/>
      <c r="G87" s="327"/>
      <c r="H87" s="329"/>
      <c r="I87" s="329"/>
      <c r="J87" s="329"/>
      <c r="K87" s="327"/>
      <c r="L87" s="329"/>
      <c r="M87" s="329"/>
      <c r="N87" s="329"/>
      <c r="O87" s="327"/>
    </row>
    <row r="88" spans="1:15" x14ac:dyDescent="0.25">
      <c r="A88" s="1932" t="s">
        <v>23</v>
      </c>
      <c r="B88" s="1723" t="s">
        <v>32</v>
      </c>
      <c r="C88" s="1724"/>
      <c r="D88" s="1732">
        <v>0.25</v>
      </c>
      <c r="E88" s="1733">
        <v>0</v>
      </c>
      <c r="F88" s="1743">
        <v>0</v>
      </c>
      <c r="G88" s="1727">
        <f t="shared" si="5"/>
        <v>0.25</v>
      </c>
      <c r="H88" s="1732">
        <v>0.25</v>
      </c>
      <c r="I88" s="1733">
        <v>0</v>
      </c>
      <c r="J88" s="1743">
        <v>0</v>
      </c>
      <c r="K88" s="1727">
        <f t="shared" ref="K88:K93" si="19" xml:space="preserve"> SUM(H88:J88) + $C88</f>
        <v>0.25</v>
      </c>
      <c r="L88" s="1732">
        <v>0.25</v>
      </c>
      <c r="M88" s="1733">
        <v>0</v>
      </c>
      <c r="N88" s="1743">
        <v>0</v>
      </c>
      <c r="O88" s="1727">
        <f t="shared" ref="O88:O93" si="20" xml:space="preserve"> SUM(L88:N88) + $C88</f>
        <v>0.25</v>
      </c>
    </row>
    <row r="89" spans="1:15" x14ac:dyDescent="0.25">
      <c r="A89" s="1932"/>
      <c r="B89" s="19" t="s">
        <v>33</v>
      </c>
      <c r="C89" s="22"/>
      <c r="D89" s="482" t="s">
        <v>1768</v>
      </c>
      <c r="E89" s="482" t="s">
        <v>1768</v>
      </c>
      <c r="F89" s="482" t="s">
        <v>1768</v>
      </c>
      <c r="G89" s="21">
        <f t="shared" si="5"/>
        <v>0</v>
      </c>
      <c r="H89" s="482" t="s">
        <v>1768</v>
      </c>
      <c r="I89" s="482" t="s">
        <v>1768</v>
      </c>
      <c r="J89" s="482" t="s">
        <v>1768</v>
      </c>
      <c r="K89" s="21">
        <f t="shared" si="19"/>
        <v>0</v>
      </c>
      <c r="L89" s="482" t="s">
        <v>1768</v>
      </c>
      <c r="M89" s="482" t="s">
        <v>1768</v>
      </c>
      <c r="N89" s="482" t="s">
        <v>1768</v>
      </c>
      <c r="O89" s="21">
        <f t="shared" si="20"/>
        <v>0</v>
      </c>
    </row>
    <row r="90" spans="1:15" x14ac:dyDescent="0.25">
      <c r="A90" s="1932"/>
      <c r="B90" s="19" t="s">
        <v>34</v>
      </c>
      <c r="C90" s="22"/>
      <c r="D90" s="482" t="s">
        <v>1768</v>
      </c>
      <c r="E90" s="482" t="s">
        <v>1768</v>
      </c>
      <c r="F90" s="482" t="s">
        <v>1768</v>
      </c>
      <c r="G90" s="21">
        <f t="shared" si="5"/>
        <v>0</v>
      </c>
      <c r="H90" s="482" t="s">
        <v>1768</v>
      </c>
      <c r="I90" s="482" t="s">
        <v>1768</v>
      </c>
      <c r="J90" s="482" t="s">
        <v>1768</v>
      </c>
      <c r="K90" s="21">
        <f t="shared" si="19"/>
        <v>0</v>
      </c>
      <c r="L90" s="482" t="s">
        <v>1768</v>
      </c>
      <c r="M90" s="482" t="s">
        <v>1768</v>
      </c>
      <c r="N90" s="482" t="s">
        <v>1768</v>
      </c>
      <c r="O90" s="21">
        <f t="shared" si="20"/>
        <v>0</v>
      </c>
    </row>
    <row r="91" spans="1:15" x14ac:dyDescent="0.25">
      <c r="A91" s="1933" t="s">
        <v>24</v>
      </c>
      <c r="B91" s="1728" t="s">
        <v>32</v>
      </c>
      <c r="C91" s="1729"/>
      <c r="D91" s="1735">
        <v>6</v>
      </c>
      <c r="E91" s="1737">
        <f>1*E$3</f>
        <v>0</v>
      </c>
      <c r="F91" s="1744">
        <f>0.5*F$3</f>
        <v>0</v>
      </c>
      <c r="G91" s="1730">
        <f t="shared" si="5"/>
        <v>6</v>
      </c>
      <c r="H91" s="1735">
        <v>6</v>
      </c>
      <c r="I91" s="1737">
        <f>1*I$3</f>
        <v>0</v>
      </c>
      <c r="J91" s="1744">
        <f>0.5*J$3</f>
        <v>0</v>
      </c>
      <c r="K91" s="1730">
        <f t="shared" si="19"/>
        <v>6</v>
      </c>
      <c r="L91" s="1735">
        <v>6</v>
      </c>
      <c r="M91" s="1737">
        <f>1*M$3</f>
        <v>0</v>
      </c>
      <c r="N91" s="1744">
        <f>0.5*N$3</f>
        <v>0</v>
      </c>
      <c r="O91" s="1730">
        <f t="shared" si="20"/>
        <v>6</v>
      </c>
    </row>
    <row r="92" spans="1:15" x14ac:dyDescent="0.25">
      <c r="A92" s="1933"/>
      <c r="B92" s="19" t="s">
        <v>33</v>
      </c>
      <c r="C92" s="22"/>
      <c r="D92" s="821">
        <v>4</v>
      </c>
      <c r="E92" s="482">
        <v>0</v>
      </c>
      <c r="F92" s="630">
        <f>IF(F$3=1,10,0)</f>
        <v>0</v>
      </c>
      <c r="G92" s="21">
        <f t="shared" si="5"/>
        <v>4</v>
      </c>
      <c r="H92" s="821">
        <v>4</v>
      </c>
      <c r="I92" s="482">
        <v>0</v>
      </c>
      <c r="J92" s="630">
        <f>IF(J$3=1,10,0)</f>
        <v>0</v>
      </c>
      <c r="K92" s="21">
        <f t="shared" si="19"/>
        <v>4</v>
      </c>
      <c r="L92" s="821">
        <v>4</v>
      </c>
      <c r="M92" s="482">
        <v>0</v>
      </c>
      <c r="N92" s="630">
        <f>IF(N$3=1,10,0)</f>
        <v>0</v>
      </c>
      <c r="O92" s="21">
        <f t="shared" si="20"/>
        <v>4</v>
      </c>
    </row>
    <row r="93" spans="1:15" x14ac:dyDescent="0.25">
      <c r="A93" s="1933"/>
      <c r="B93" s="19" t="s">
        <v>34</v>
      </c>
      <c r="C93" s="22"/>
      <c r="D93" s="821">
        <v>6</v>
      </c>
      <c r="E93" s="482">
        <v>0</v>
      </c>
      <c r="F93" s="630">
        <f>IF(F$3=1,16,0)</f>
        <v>0</v>
      </c>
      <c r="G93" s="21">
        <f t="shared" si="5"/>
        <v>6</v>
      </c>
      <c r="H93" s="821">
        <v>6</v>
      </c>
      <c r="I93" s="482">
        <v>0</v>
      </c>
      <c r="J93" s="630">
        <f>IF(J$3=1,16,0)</f>
        <v>0</v>
      </c>
      <c r="K93" s="21">
        <f t="shared" si="19"/>
        <v>6</v>
      </c>
      <c r="L93" s="821">
        <v>6</v>
      </c>
      <c r="M93" s="482">
        <v>0</v>
      </c>
      <c r="N93" s="630">
        <f>IF(N$3=1,16,0)</f>
        <v>0</v>
      </c>
      <c r="O93" s="21">
        <f t="shared" si="20"/>
        <v>6</v>
      </c>
    </row>
    <row r="94" spans="1:15" x14ac:dyDescent="0.25">
      <c r="A94" s="1933" t="s">
        <v>25</v>
      </c>
      <c r="B94" s="1728" t="s">
        <v>32</v>
      </c>
      <c r="C94" s="1729"/>
      <c r="D94" s="1735">
        <v>2</v>
      </c>
      <c r="E94" s="1738">
        <v>0</v>
      </c>
      <c r="F94" s="1741">
        <v>0</v>
      </c>
      <c r="G94" s="1730">
        <f t="shared" ref="G94:G105" si="21" xml:space="preserve"> SUM(D94:F94) + $C94</f>
        <v>2</v>
      </c>
      <c r="H94" s="1735">
        <v>2</v>
      </c>
      <c r="I94" s="1738">
        <v>0</v>
      </c>
      <c r="J94" s="1741">
        <v>0</v>
      </c>
      <c r="K94" s="1730">
        <f t="shared" ref="K94:K105" si="22" xml:space="preserve"> SUM(H94:J94) + $C94</f>
        <v>2</v>
      </c>
      <c r="L94" s="1735">
        <v>2</v>
      </c>
      <c r="M94" s="1738">
        <v>0</v>
      </c>
      <c r="N94" s="1741">
        <v>0</v>
      </c>
      <c r="O94" s="1730">
        <f t="shared" ref="O94:O105" si="23" xml:space="preserve"> SUM(L94:N94) + $C94</f>
        <v>2</v>
      </c>
    </row>
    <row r="95" spans="1:15" x14ac:dyDescent="0.25">
      <c r="A95" s="1933"/>
      <c r="B95" s="19" t="s">
        <v>33</v>
      </c>
      <c r="C95" s="22"/>
      <c r="D95" s="821">
        <v>4</v>
      </c>
      <c r="E95" s="482">
        <v>0</v>
      </c>
      <c r="F95" s="630">
        <f>IF(F$3=1,8,0)</f>
        <v>0</v>
      </c>
      <c r="G95" s="21">
        <f t="shared" si="21"/>
        <v>4</v>
      </c>
      <c r="H95" s="821">
        <v>4</v>
      </c>
      <c r="I95" s="482">
        <v>0</v>
      </c>
      <c r="J95" s="630">
        <f>IF(J$3=1,8,0)</f>
        <v>0</v>
      </c>
      <c r="K95" s="21">
        <f t="shared" si="22"/>
        <v>4</v>
      </c>
      <c r="L95" s="821">
        <v>4</v>
      </c>
      <c r="M95" s="482">
        <v>0</v>
      </c>
      <c r="N95" s="630">
        <f>IF(N$3=1,8,0)</f>
        <v>0</v>
      </c>
      <c r="O95" s="21">
        <f t="shared" si="23"/>
        <v>4</v>
      </c>
    </row>
    <row r="96" spans="1:15" x14ac:dyDescent="0.25">
      <c r="A96" s="1933"/>
      <c r="B96" s="19" t="s">
        <v>34</v>
      </c>
      <c r="C96" s="22"/>
      <c r="D96" s="821">
        <v>6</v>
      </c>
      <c r="E96" s="482">
        <v>0</v>
      </c>
      <c r="F96" s="630">
        <f>IF(F$3=1,12,0)</f>
        <v>0</v>
      </c>
      <c r="G96" s="21">
        <f t="shared" si="21"/>
        <v>6</v>
      </c>
      <c r="H96" s="821">
        <v>6</v>
      </c>
      <c r="I96" s="482">
        <v>0</v>
      </c>
      <c r="J96" s="630">
        <f>IF(J$3=1,12,0)</f>
        <v>0</v>
      </c>
      <c r="K96" s="21">
        <f t="shared" si="22"/>
        <v>6</v>
      </c>
      <c r="L96" s="821">
        <v>6</v>
      </c>
      <c r="M96" s="482">
        <v>0</v>
      </c>
      <c r="N96" s="630">
        <f>IF(N$3=1,12,0)</f>
        <v>0</v>
      </c>
      <c r="O96" s="21">
        <f t="shared" si="23"/>
        <v>6</v>
      </c>
    </row>
    <row r="97" spans="1:15" x14ac:dyDescent="0.25">
      <c r="A97" s="1933" t="s">
        <v>26</v>
      </c>
      <c r="B97" s="1728" t="s">
        <v>32</v>
      </c>
      <c r="C97" s="1729"/>
      <c r="D97" s="1735">
        <v>12</v>
      </c>
      <c r="E97" s="1725">
        <f>E$3*2</f>
        <v>0</v>
      </c>
      <c r="F97" s="1745">
        <f>1*F$3</f>
        <v>0</v>
      </c>
      <c r="G97" s="1730">
        <f t="shared" si="21"/>
        <v>12</v>
      </c>
      <c r="H97" s="1735">
        <v>12</v>
      </c>
      <c r="I97" s="1725">
        <f>I$3*2</f>
        <v>0</v>
      </c>
      <c r="J97" s="1745">
        <f>1*J$3</f>
        <v>0</v>
      </c>
      <c r="K97" s="1730">
        <f t="shared" si="22"/>
        <v>12</v>
      </c>
      <c r="L97" s="1735">
        <v>12</v>
      </c>
      <c r="M97" s="1725">
        <f>M$3*2</f>
        <v>0</v>
      </c>
      <c r="N97" s="1745">
        <f>1*N$3</f>
        <v>0</v>
      </c>
      <c r="O97" s="1730">
        <f t="shared" si="23"/>
        <v>12</v>
      </c>
    </row>
    <row r="98" spans="1:15" x14ac:dyDescent="0.25">
      <c r="A98" s="1933"/>
      <c r="B98" s="19" t="s">
        <v>33</v>
      </c>
      <c r="C98" s="22"/>
      <c r="D98" s="501">
        <v>2</v>
      </c>
      <c r="E98" s="819">
        <v>0</v>
      </c>
      <c r="F98" s="630">
        <f>IF(F$3=1,10,0)</f>
        <v>0</v>
      </c>
      <c r="G98" s="21">
        <f t="shared" si="21"/>
        <v>2</v>
      </c>
      <c r="H98" s="501">
        <v>2</v>
      </c>
      <c r="I98" s="819">
        <v>0</v>
      </c>
      <c r="J98" s="630">
        <f>IF(J$3=1,10,0)</f>
        <v>0</v>
      </c>
      <c r="K98" s="21">
        <f t="shared" si="22"/>
        <v>2</v>
      </c>
      <c r="L98" s="501">
        <v>2</v>
      </c>
      <c r="M98" s="819">
        <v>0</v>
      </c>
      <c r="N98" s="630">
        <f>IF(N$3=1,10,0)</f>
        <v>0</v>
      </c>
      <c r="O98" s="21">
        <f t="shared" si="23"/>
        <v>2</v>
      </c>
    </row>
    <row r="99" spans="1:15" x14ac:dyDescent="0.25">
      <c r="A99" s="1933"/>
      <c r="B99" s="19" t="s">
        <v>34</v>
      </c>
      <c r="C99" s="22"/>
      <c r="D99" s="501">
        <v>4</v>
      </c>
      <c r="E99" s="819">
        <v>0</v>
      </c>
      <c r="F99" s="630">
        <f>IF(F$3=1,16,0)</f>
        <v>0</v>
      </c>
      <c r="G99" s="21">
        <f t="shared" si="21"/>
        <v>4</v>
      </c>
      <c r="H99" s="501">
        <v>4</v>
      </c>
      <c r="I99" s="819">
        <v>0</v>
      </c>
      <c r="J99" s="630">
        <f>IF(J$3=1,16,0)</f>
        <v>0</v>
      </c>
      <c r="K99" s="21">
        <f t="shared" si="22"/>
        <v>4</v>
      </c>
      <c r="L99" s="501">
        <v>4</v>
      </c>
      <c r="M99" s="819">
        <v>0</v>
      </c>
      <c r="N99" s="630">
        <f>IF(N$3=1,16,0)</f>
        <v>0</v>
      </c>
      <c r="O99" s="21">
        <f t="shared" si="23"/>
        <v>4</v>
      </c>
    </row>
    <row r="100" spans="1:15" x14ac:dyDescent="0.25">
      <c r="A100" s="1933" t="s">
        <v>27</v>
      </c>
      <c r="B100" s="1728" t="s">
        <v>32</v>
      </c>
      <c r="C100" s="1729"/>
      <c r="D100" s="1735">
        <v>6</v>
      </c>
      <c r="E100" s="1725">
        <f>E$3*2</f>
        <v>0</v>
      </c>
      <c r="F100" s="1745">
        <f>1*F$3</f>
        <v>0</v>
      </c>
      <c r="G100" s="1730">
        <f t="shared" si="21"/>
        <v>6</v>
      </c>
      <c r="H100" s="1735">
        <v>6</v>
      </c>
      <c r="I100" s="1725">
        <f>I$3*2</f>
        <v>0</v>
      </c>
      <c r="J100" s="1745">
        <f>1*J$3</f>
        <v>0</v>
      </c>
      <c r="K100" s="1730">
        <f t="shared" si="22"/>
        <v>6</v>
      </c>
      <c r="L100" s="1735">
        <v>6</v>
      </c>
      <c r="M100" s="1725">
        <f>M$3*2</f>
        <v>0</v>
      </c>
      <c r="N100" s="1745">
        <f>1*N$3</f>
        <v>0</v>
      </c>
      <c r="O100" s="1730">
        <f t="shared" si="23"/>
        <v>6</v>
      </c>
    </row>
    <row r="101" spans="1:15" x14ac:dyDescent="0.25">
      <c r="A101" s="1933"/>
      <c r="B101" s="19" t="s">
        <v>33</v>
      </c>
      <c r="C101" s="22"/>
      <c r="D101" s="501">
        <v>2</v>
      </c>
      <c r="E101" s="478">
        <f>IF(E$3&gt;1,E$3*0.25,0.25)</f>
        <v>0.25</v>
      </c>
      <c r="F101" s="630">
        <f>IF(F$3=1,10,0)</f>
        <v>0</v>
      </c>
      <c r="G101" s="21">
        <f t="shared" si="21"/>
        <v>2.25</v>
      </c>
      <c r="H101" s="501">
        <v>2</v>
      </c>
      <c r="I101" s="478">
        <f>IF(I$3&gt;1,I$3*0.25,0.25)</f>
        <v>0.25</v>
      </c>
      <c r="J101" s="630">
        <f>IF(J$3=1,10,0)</f>
        <v>0</v>
      </c>
      <c r="K101" s="21">
        <f t="shared" si="22"/>
        <v>2.25</v>
      </c>
      <c r="L101" s="501">
        <v>2</v>
      </c>
      <c r="M101" s="478">
        <f>IF(M$3&gt;1,M$3*0.25,0.25)</f>
        <v>0.25</v>
      </c>
      <c r="N101" s="630">
        <f>IF(N$3=1,10,0)</f>
        <v>0</v>
      </c>
      <c r="O101" s="21">
        <f t="shared" si="23"/>
        <v>2.25</v>
      </c>
    </row>
    <row r="102" spans="1:15" x14ac:dyDescent="0.25">
      <c r="A102" s="1933"/>
      <c r="B102" s="19" t="s">
        <v>34</v>
      </c>
      <c r="C102" s="22"/>
      <c r="D102" s="501">
        <v>4</v>
      </c>
      <c r="E102" s="478">
        <f>IF(E$3&gt;1,E$3*0.25,0.25)</f>
        <v>0.25</v>
      </c>
      <c r="F102" s="630">
        <f>IF(F$3=1,16,0)</f>
        <v>0</v>
      </c>
      <c r="G102" s="21">
        <f t="shared" si="21"/>
        <v>4.25</v>
      </c>
      <c r="H102" s="501">
        <v>4</v>
      </c>
      <c r="I102" s="478">
        <f>IF(I$3&gt;1,I$3*0.25,0.25)</f>
        <v>0.25</v>
      </c>
      <c r="J102" s="630">
        <f>IF(J$3=1,16,0)</f>
        <v>0</v>
      </c>
      <c r="K102" s="21">
        <f t="shared" si="22"/>
        <v>4.25</v>
      </c>
      <c r="L102" s="501">
        <v>4</v>
      </c>
      <c r="M102" s="478">
        <f>IF(M$3&gt;1,M$3*0.25,0.25)</f>
        <v>0.25</v>
      </c>
      <c r="N102" s="630">
        <f>IF(N$3=1,16,0)</f>
        <v>0</v>
      </c>
      <c r="O102" s="21">
        <f t="shared" si="23"/>
        <v>4.25</v>
      </c>
    </row>
    <row r="103" spans="1:15" x14ac:dyDescent="0.25">
      <c r="A103" s="1932" t="s">
        <v>28</v>
      </c>
      <c r="B103" s="1728" t="s">
        <v>32</v>
      </c>
      <c r="C103" s="1729"/>
      <c r="D103" s="1735">
        <v>2</v>
      </c>
      <c r="E103" s="1746">
        <f t="shared" ref="E103:F103" si="24">0.5*E$3</f>
        <v>0</v>
      </c>
      <c r="F103" s="1747">
        <f t="shared" si="24"/>
        <v>0</v>
      </c>
      <c r="G103" s="1730">
        <f t="shared" si="21"/>
        <v>2</v>
      </c>
      <c r="H103" s="1735">
        <v>2</v>
      </c>
      <c r="I103" s="1746">
        <f t="shared" ref="I103:J103" si="25">0.5*I$3</f>
        <v>0</v>
      </c>
      <c r="J103" s="1747">
        <f t="shared" si="25"/>
        <v>0</v>
      </c>
      <c r="K103" s="1730">
        <f t="shared" si="22"/>
        <v>2</v>
      </c>
      <c r="L103" s="1735">
        <v>2</v>
      </c>
      <c r="M103" s="1746">
        <f t="shared" ref="M103:N103" si="26">0.5*M$3</f>
        <v>0</v>
      </c>
      <c r="N103" s="1747">
        <f t="shared" si="26"/>
        <v>0</v>
      </c>
      <c r="O103" s="1730">
        <f t="shared" si="23"/>
        <v>2</v>
      </c>
    </row>
    <row r="104" spans="1:15" x14ac:dyDescent="0.25">
      <c r="A104" s="1932"/>
      <c r="B104" s="19" t="s">
        <v>33</v>
      </c>
      <c r="C104" s="22"/>
      <c r="D104" s="482">
        <v>2</v>
      </c>
      <c r="E104" s="482">
        <v>0</v>
      </c>
      <c r="F104" s="630">
        <f>IF(F$3=1,10,0)</f>
        <v>0</v>
      </c>
      <c r="G104" s="21">
        <f t="shared" si="21"/>
        <v>2</v>
      </c>
      <c r="H104" s="482">
        <v>2</v>
      </c>
      <c r="I104" s="482">
        <v>0</v>
      </c>
      <c r="J104" s="630">
        <f>IF(J$3=1,10,0)</f>
        <v>0</v>
      </c>
      <c r="K104" s="21">
        <f t="shared" si="22"/>
        <v>2</v>
      </c>
      <c r="L104" s="482">
        <v>2</v>
      </c>
      <c r="M104" s="482">
        <v>0</v>
      </c>
      <c r="N104" s="630">
        <f>IF(N$3=1,10,0)</f>
        <v>0</v>
      </c>
      <c r="O104" s="21">
        <f t="shared" si="23"/>
        <v>2</v>
      </c>
    </row>
    <row r="105" spans="1:15" ht="15.75" thickBot="1" x14ac:dyDescent="0.3">
      <c r="A105" s="1934"/>
      <c r="B105" s="20" t="s">
        <v>34</v>
      </c>
      <c r="C105" s="23"/>
      <c r="D105" s="507">
        <v>4</v>
      </c>
      <c r="E105" s="491">
        <v>0</v>
      </c>
      <c r="F105" s="1695">
        <f>IF(F$3=1,16,0)</f>
        <v>0</v>
      </c>
      <c r="G105" s="24">
        <f t="shared" si="21"/>
        <v>4</v>
      </c>
      <c r="H105" s="507">
        <v>4</v>
      </c>
      <c r="I105" s="491">
        <v>0</v>
      </c>
      <c r="J105" s="1695">
        <f>IF(J$3=1,16,0)</f>
        <v>0</v>
      </c>
      <c r="K105" s="24">
        <f t="shared" si="22"/>
        <v>4</v>
      </c>
      <c r="L105" s="507">
        <v>4</v>
      </c>
      <c r="M105" s="491">
        <v>0</v>
      </c>
      <c r="N105" s="1695">
        <f>IF(N$3=1,16,0)</f>
        <v>0</v>
      </c>
      <c r="O105" s="24">
        <f t="shared" si="23"/>
        <v>4</v>
      </c>
    </row>
    <row r="107" spans="1:15" ht="15.75" x14ac:dyDescent="0.25">
      <c r="A107" s="1691" t="s">
        <v>1702</v>
      </c>
      <c r="B107" s="1691" t="s">
        <v>1703</v>
      </c>
      <c r="C107" s="1748"/>
      <c r="D107" s="1696"/>
      <c r="E107" s="1748" t="s">
        <v>1704</v>
      </c>
      <c r="F107" s="1748"/>
    </row>
    <row r="108" spans="1:15" ht="120" x14ac:dyDescent="0.25">
      <c r="A108" s="1784" t="s">
        <v>1836</v>
      </c>
      <c r="B108" s="1784" t="s">
        <v>1837</v>
      </c>
      <c r="C108" s="1748"/>
      <c r="D108" s="1748"/>
      <c r="E108" s="1748"/>
      <c r="F108" s="1748"/>
    </row>
    <row r="109" spans="1:15" ht="90" x14ac:dyDescent="0.25">
      <c r="A109" s="1784" t="s">
        <v>1838</v>
      </c>
      <c r="B109" s="1784" t="s">
        <v>1839</v>
      </c>
      <c r="C109" s="1748"/>
      <c r="D109" s="1748"/>
      <c r="E109" s="1748"/>
      <c r="F109" s="1748"/>
    </row>
    <row r="110" spans="1:15" ht="60" x14ac:dyDescent="0.25">
      <c r="A110" s="1692" t="s">
        <v>1835</v>
      </c>
      <c r="B110" s="1692" t="s">
        <v>1816</v>
      </c>
      <c r="C110" s="1748"/>
      <c r="D110" s="1748"/>
      <c r="E110" s="1748"/>
      <c r="F110" s="1748"/>
    </row>
    <row r="111" spans="1:15" x14ac:dyDescent="0.25">
      <c r="A111" s="1748"/>
      <c r="B111" s="1748"/>
      <c r="C111" s="1748"/>
      <c r="D111" s="1748"/>
      <c r="E111" s="1748"/>
      <c r="F111" s="1748"/>
    </row>
    <row r="112" spans="1:15" x14ac:dyDescent="0.25">
      <c r="A112" s="1693" t="s">
        <v>89</v>
      </c>
      <c r="B112" s="1748"/>
      <c r="C112" s="1748"/>
      <c r="D112" s="1748"/>
      <c r="E112" s="1748"/>
      <c r="F112" s="1748"/>
    </row>
    <row r="113" spans="1:6" ht="15.75" x14ac:dyDescent="0.25">
      <c r="A113" s="1930" t="str">
        <f>A5</f>
        <v>ТЗ</v>
      </c>
      <c r="B113" s="1931"/>
      <c r="C113" s="1748"/>
      <c r="D113" s="1694" t="s">
        <v>66</v>
      </c>
      <c r="E113" s="1694" t="s">
        <v>65</v>
      </c>
      <c r="F113" s="1694" t="s">
        <v>64</v>
      </c>
    </row>
    <row r="114" spans="1:6" x14ac:dyDescent="0.25">
      <c r="A114" s="132" t="s">
        <v>1707</v>
      </c>
      <c r="B114" s="905" t="s">
        <v>33</v>
      </c>
      <c r="C114" s="1748"/>
      <c r="D114" s="658"/>
      <c r="E114" s="658"/>
      <c r="F114" s="658" t="s">
        <v>1774</v>
      </c>
    </row>
    <row r="115" spans="1:6" x14ac:dyDescent="0.25">
      <c r="A115" s="132" t="s">
        <v>1708</v>
      </c>
      <c r="B115" s="905" t="s">
        <v>34</v>
      </c>
      <c r="C115" s="1748"/>
      <c r="D115" s="658"/>
      <c r="E115" s="658"/>
      <c r="F115" s="658" t="s">
        <v>1840</v>
      </c>
    </row>
    <row r="116" spans="1:6" ht="15.75" x14ac:dyDescent="0.25">
      <c r="A116" s="1930" t="str">
        <f>A8</f>
        <v>ФТТ</v>
      </c>
      <c r="B116" s="1931"/>
      <c r="C116" s="1748"/>
      <c r="D116" s="1694" t="s">
        <v>66</v>
      </c>
      <c r="E116" s="1694" t="s">
        <v>65</v>
      </c>
      <c r="F116" s="1694" t="s">
        <v>64</v>
      </c>
    </row>
    <row r="117" spans="1:6" x14ac:dyDescent="0.25">
      <c r="A117" s="132" t="s">
        <v>1709</v>
      </c>
      <c r="B117" s="905" t="s">
        <v>33</v>
      </c>
      <c r="C117" s="1748"/>
      <c r="D117" s="658"/>
      <c r="E117" s="658"/>
      <c r="F117" s="658" t="s">
        <v>1774</v>
      </c>
    </row>
    <row r="118" spans="1:6" x14ac:dyDescent="0.25">
      <c r="A118" s="132" t="s">
        <v>1710</v>
      </c>
      <c r="B118" s="905" t="s">
        <v>34</v>
      </c>
      <c r="C118" s="1748"/>
      <c r="D118" s="658"/>
      <c r="E118" s="658"/>
      <c r="F118" s="658" t="s">
        <v>1840</v>
      </c>
    </row>
    <row r="119" spans="1:6" ht="15.75" x14ac:dyDescent="0.25">
      <c r="A119" s="1930" t="str">
        <f>A12</f>
        <v>Пояснительная записка к эскизному проекту</v>
      </c>
      <c r="B119" s="1931"/>
      <c r="C119" s="1748"/>
      <c r="D119" s="1694" t="s">
        <v>66</v>
      </c>
      <c r="E119" s="1694" t="s">
        <v>65</v>
      </c>
      <c r="F119" s="1694" t="s">
        <v>64</v>
      </c>
    </row>
    <row r="120" spans="1:6" x14ac:dyDescent="0.25">
      <c r="A120" s="132" t="s">
        <v>1711</v>
      </c>
      <c r="B120" s="905" t="s">
        <v>33</v>
      </c>
      <c r="C120" s="1748"/>
      <c r="D120" s="658" t="s">
        <v>1842</v>
      </c>
      <c r="E120" s="658"/>
      <c r="F120" s="658" t="s">
        <v>1810</v>
      </c>
    </row>
    <row r="121" spans="1:6" x14ac:dyDescent="0.25">
      <c r="A121" s="132" t="s">
        <v>1712</v>
      </c>
      <c r="B121" s="905" t="s">
        <v>34</v>
      </c>
      <c r="C121" s="1748"/>
      <c r="D121" s="658" t="s">
        <v>1843</v>
      </c>
      <c r="E121" s="658"/>
      <c r="F121" s="658" t="s">
        <v>1841</v>
      </c>
    </row>
    <row r="122" spans="1:6" ht="15.75" x14ac:dyDescent="0.25">
      <c r="A122" s="1930" t="str">
        <f>A19</f>
        <v xml:space="preserve">Ведомость покупных изделий </v>
      </c>
      <c r="B122" s="1931"/>
      <c r="C122" s="1748"/>
      <c r="D122" s="1694" t="s">
        <v>66</v>
      </c>
      <c r="E122" s="1694" t="s">
        <v>65</v>
      </c>
      <c r="F122" s="1694" t="s">
        <v>64</v>
      </c>
    </row>
    <row r="123" spans="1:6" x14ac:dyDescent="0.25">
      <c r="A123" s="132" t="s">
        <v>1713</v>
      </c>
      <c r="B123" s="905" t="s">
        <v>33</v>
      </c>
      <c r="C123" s="1748"/>
      <c r="D123" s="658" t="s">
        <v>1844</v>
      </c>
      <c r="E123" s="658"/>
      <c r="F123" s="658"/>
    </row>
    <row r="124" spans="1:6" x14ac:dyDescent="0.25">
      <c r="A124" s="132" t="s">
        <v>1714</v>
      </c>
      <c r="B124" s="905" t="s">
        <v>34</v>
      </c>
      <c r="C124" s="1748"/>
      <c r="D124" s="658" t="s">
        <v>1844</v>
      </c>
      <c r="E124" s="658"/>
      <c r="F124" s="658"/>
    </row>
    <row r="125" spans="1:6" ht="15.75" x14ac:dyDescent="0.25">
      <c r="A125" s="1930" t="str">
        <f>A22</f>
        <v xml:space="preserve">Пояснительная записка к техническому проекту </v>
      </c>
      <c r="B125" s="1931"/>
      <c r="C125" s="1748"/>
      <c r="D125" s="1694" t="s">
        <v>66</v>
      </c>
      <c r="E125" s="1694" t="s">
        <v>65</v>
      </c>
      <c r="F125" s="1694" t="s">
        <v>64</v>
      </c>
    </row>
    <row r="126" spans="1:6" x14ac:dyDescent="0.25">
      <c r="A126" s="132" t="s">
        <v>1715</v>
      </c>
      <c r="B126" s="905" t="s">
        <v>33</v>
      </c>
      <c r="C126" s="1748"/>
      <c r="D126" s="658" t="s">
        <v>1842</v>
      </c>
      <c r="E126" s="658"/>
      <c r="F126" s="658" t="s">
        <v>1810</v>
      </c>
    </row>
    <row r="127" spans="1:6" x14ac:dyDescent="0.25">
      <c r="A127" s="132" t="s">
        <v>1716</v>
      </c>
      <c r="B127" s="905" t="s">
        <v>34</v>
      </c>
      <c r="C127" s="1748"/>
      <c r="D127" s="658" t="s">
        <v>1843</v>
      </c>
      <c r="E127" s="658"/>
      <c r="F127" s="658" t="s">
        <v>1841</v>
      </c>
    </row>
    <row r="128" spans="1:6" ht="15.75" x14ac:dyDescent="0.25">
      <c r="A128" s="1930" t="str">
        <f>A25</f>
        <v xml:space="preserve">Описание комплекса технических средств </v>
      </c>
      <c r="B128" s="1931"/>
      <c r="C128" s="1748"/>
      <c r="D128" s="1694" t="s">
        <v>66</v>
      </c>
      <c r="E128" s="1694" t="s">
        <v>65</v>
      </c>
      <c r="F128" s="1694" t="s">
        <v>64</v>
      </c>
    </row>
    <row r="129" spans="1:6" x14ac:dyDescent="0.25">
      <c r="A129" s="132" t="s">
        <v>1717</v>
      </c>
      <c r="B129" s="905" t="s">
        <v>33</v>
      </c>
      <c r="C129" s="1748"/>
      <c r="D129" s="658"/>
      <c r="E129" s="658"/>
      <c r="F129" s="658" t="s">
        <v>1785</v>
      </c>
    </row>
    <row r="130" spans="1:6" x14ac:dyDescent="0.25">
      <c r="A130" s="132" t="s">
        <v>1718</v>
      </c>
      <c r="B130" s="905" t="s">
        <v>34</v>
      </c>
      <c r="C130" s="1748"/>
      <c r="D130" s="658"/>
      <c r="E130" s="658"/>
      <c r="F130" s="658" t="s">
        <v>1786</v>
      </c>
    </row>
    <row r="131" spans="1:6" ht="15.75" x14ac:dyDescent="0.25">
      <c r="A131" s="1930" t="str">
        <f>A28</f>
        <v xml:space="preserve">Описание программного обеспечения </v>
      </c>
      <c r="B131" s="1931"/>
      <c r="C131" s="1748"/>
      <c r="D131" s="1694" t="s">
        <v>66</v>
      </c>
      <c r="E131" s="1694" t="s">
        <v>65</v>
      </c>
      <c r="F131" s="1694" t="s">
        <v>64</v>
      </c>
    </row>
    <row r="132" spans="1:6" x14ac:dyDescent="0.25">
      <c r="A132" s="132" t="s">
        <v>1719</v>
      </c>
      <c r="B132" s="905" t="s">
        <v>33</v>
      </c>
      <c r="C132" s="1748"/>
      <c r="D132" s="658"/>
      <c r="E132" s="658"/>
      <c r="F132" s="658" t="s">
        <v>1787</v>
      </c>
    </row>
    <row r="133" spans="1:6" x14ac:dyDescent="0.25">
      <c r="A133" s="132" t="s">
        <v>1720</v>
      </c>
      <c r="B133" s="905" t="s">
        <v>34</v>
      </c>
      <c r="C133" s="1748"/>
      <c r="D133" s="658"/>
      <c r="E133" s="658"/>
      <c r="F133" s="658" t="s">
        <v>1788</v>
      </c>
    </row>
    <row r="134" spans="1:6" ht="15.75" x14ac:dyDescent="0.25">
      <c r="A134" s="1930" t="str">
        <f>A31</f>
        <v>Схема структурная</v>
      </c>
      <c r="B134" s="1931"/>
      <c r="C134" s="1748"/>
      <c r="D134" s="1694" t="s">
        <v>66</v>
      </c>
      <c r="E134" s="1694" t="s">
        <v>65</v>
      </c>
      <c r="F134" s="1694" t="s">
        <v>64</v>
      </c>
    </row>
    <row r="135" spans="1:6" x14ac:dyDescent="0.25">
      <c r="A135" s="132" t="s">
        <v>1721</v>
      </c>
      <c r="B135" s="905" t="s">
        <v>33</v>
      </c>
      <c r="C135" s="1748"/>
      <c r="D135" s="658"/>
      <c r="E135" s="658" t="s">
        <v>1845</v>
      </c>
      <c r="F135" s="658" t="s">
        <v>1804</v>
      </c>
    </row>
    <row r="136" spans="1:6" x14ac:dyDescent="0.25">
      <c r="A136" s="132" t="s">
        <v>1722</v>
      </c>
      <c r="B136" s="905" t="s">
        <v>34</v>
      </c>
      <c r="C136" s="1748"/>
      <c r="D136" s="658"/>
      <c r="E136" s="658" t="s">
        <v>1845</v>
      </c>
      <c r="F136" s="658" t="s">
        <v>1807</v>
      </c>
    </row>
    <row r="137" spans="1:6" ht="15.75" x14ac:dyDescent="0.25">
      <c r="A137" s="1930" t="str">
        <f>A34</f>
        <v>Схема функциональная</v>
      </c>
      <c r="B137" s="1931"/>
      <c r="C137" s="1748"/>
      <c r="D137" s="1694" t="s">
        <v>66</v>
      </c>
      <c r="E137" s="1694" t="s">
        <v>65</v>
      </c>
      <c r="F137" s="1694" t="s">
        <v>64</v>
      </c>
    </row>
    <row r="138" spans="1:6" x14ac:dyDescent="0.25">
      <c r="A138" s="132" t="s">
        <v>1723</v>
      </c>
      <c r="B138" s="905" t="s">
        <v>33</v>
      </c>
      <c r="C138" s="1748"/>
      <c r="D138" s="658" t="s">
        <v>1845</v>
      </c>
      <c r="E138" s="658"/>
      <c r="F138" s="658" t="s">
        <v>1804</v>
      </c>
    </row>
    <row r="139" spans="1:6" x14ac:dyDescent="0.25">
      <c r="A139" s="132" t="s">
        <v>1724</v>
      </c>
      <c r="B139" s="905" t="s">
        <v>34</v>
      </c>
      <c r="C139" s="1748"/>
      <c r="D139" s="658" t="s">
        <v>1845</v>
      </c>
      <c r="E139" s="658"/>
      <c r="F139" s="658" t="s">
        <v>1807</v>
      </c>
    </row>
    <row r="140" spans="1:6" ht="15.75" x14ac:dyDescent="0.25">
      <c r="A140" s="1930" t="str">
        <f>A38</f>
        <v xml:space="preserve">Пояснительная записка к технорабочему проекту </v>
      </c>
      <c r="B140" s="1931"/>
      <c r="C140" s="1748"/>
      <c r="D140" s="1694" t="s">
        <v>66</v>
      </c>
      <c r="E140" s="1694" t="s">
        <v>65</v>
      </c>
      <c r="F140" s="1694" t="s">
        <v>64</v>
      </c>
    </row>
    <row r="141" spans="1:6" x14ac:dyDescent="0.25">
      <c r="A141" s="132" t="s">
        <v>1725</v>
      </c>
      <c r="B141" s="905" t="s">
        <v>33</v>
      </c>
      <c r="C141" s="1748"/>
      <c r="D141" s="658"/>
      <c r="E141" s="658"/>
      <c r="F141" s="658" t="s">
        <v>1810</v>
      </c>
    </row>
    <row r="142" spans="1:6" x14ac:dyDescent="0.25">
      <c r="A142" s="132" t="s">
        <v>1726</v>
      </c>
      <c r="B142" s="905" t="s">
        <v>34</v>
      </c>
      <c r="C142" s="1748"/>
      <c r="D142" s="658"/>
      <c r="E142" s="658"/>
      <c r="F142" s="658" t="s">
        <v>1820</v>
      </c>
    </row>
    <row r="143" spans="1:6" ht="15.75" x14ac:dyDescent="0.25">
      <c r="A143" s="1930" t="str">
        <f>A42</f>
        <v xml:space="preserve">Спецификация оборудования </v>
      </c>
      <c r="B143" s="1931"/>
      <c r="C143" s="1748"/>
      <c r="D143" s="1694" t="s">
        <v>66</v>
      </c>
      <c r="E143" s="1694" t="s">
        <v>65</v>
      </c>
      <c r="F143" s="1694" t="s">
        <v>64</v>
      </c>
    </row>
    <row r="144" spans="1:6" x14ac:dyDescent="0.25">
      <c r="A144" s="132" t="s">
        <v>1727</v>
      </c>
      <c r="B144" s="905" t="s">
        <v>33</v>
      </c>
      <c r="C144" s="1748"/>
      <c r="D144" s="658" t="s">
        <v>1844</v>
      </c>
      <c r="E144" s="658"/>
      <c r="F144" s="658"/>
    </row>
    <row r="145" spans="1:6" x14ac:dyDescent="0.25">
      <c r="A145" s="132" t="s">
        <v>1728</v>
      </c>
      <c r="B145" s="905" t="s">
        <v>34</v>
      </c>
      <c r="C145" s="1748"/>
      <c r="D145" s="658" t="s">
        <v>1844</v>
      </c>
      <c r="E145" s="658"/>
      <c r="F145" s="658"/>
    </row>
    <row r="146" spans="1:6" ht="15.75" x14ac:dyDescent="0.25">
      <c r="A146" s="1930" t="str">
        <f>A45</f>
        <v>Инструкция по установке и настройке</v>
      </c>
      <c r="B146" s="1931"/>
      <c r="C146" s="1748"/>
      <c r="D146" s="1694" t="s">
        <v>66</v>
      </c>
      <c r="E146" s="1694" t="s">
        <v>65</v>
      </c>
      <c r="F146" s="1694" t="s">
        <v>64</v>
      </c>
    </row>
    <row r="147" spans="1:6" x14ac:dyDescent="0.25">
      <c r="A147" s="132" t="s">
        <v>1729</v>
      </c>
      <c r="B147" s="905" t="s">
        <v>33</v>
      </c>
      <c r="C147" s="1748"/>
      <c r="D147" s="658"/>
      <c r="E147" s="658" t="s">
        <v>1794</v>
      </c>
      <c r="F147" s="658" t="s">
        <v>1807</v>
      </c>
    </row>
    <row r="148" spans="1:6" x14ac:dyDescent="0.25">
      <c r="A148" s="132" t="s">
        <v>1730</v>
      </c>
      <c r="B148" s="905" t="s">
        <v>34</v>
      </c>
      <c r="C148" s="1748"/>
      <c r="D148" s="658"/>
      <c r="E148" s="658" t="s">
        <v>1794</v>
      </c>
      <c r="F148" s="658" t="s">
        <v>1807</v>
      </c>
    </row>
    <row r="149" spans="1:6" ht="15.75" x14ac:dyDescent="0.25">
      <c r="A149" s="1930" t="str">
        <f>A48</f>
        <v xml:space="preserve">Схема соединений внешних проводок </v>
      </c>
      <c r="B149" s="1931"/>
      <c r="C149" s="1748"/>
      <c r="D149" s="1694" t="s">
        <v>66</v>
      </c>
      <c r="E149" s="1694" t="s">
        <v>65</v>
      </c>
      <c r="F149" s="1694" t="s">
        <v>64</v>
      </c>
    </row>
    <row r="150" spans="1:6" x14ac:dyDescent="0.25">
      <c r="A150" s="132" t="s">
        <v>1731</v>
      </c>
      <c r="B150" s="905" t="s">
        <v>33</v>
      </c>
      <c r="C150" s="1748"/>
      <c r="D150" s="658"/>
      <c r="E150" s="658" t="s">
        <v>1845</v>
      </c>
      <c r="F150" s="658" t="s">
        <v>1799</v>
      </c>
    </row>
    <row r="151" spans="1:6" x14ac:dyDescent="0.25">
      <c r="A151" s="132" t="s">
        <v>1732</v>
      </c>
      <c r="B151" s="905" t="s">
        <v>34</v>
      </c>
      <c r="C151" s="1748"/>
      <c r="D151" s="658"/>
      <c r="E151" s="658" t="s">
        <v>1845</v>
      </c>
      <c r="F151" s="658" t="s">
        <v>1799</v>
      </c>
    </row>
    <row r="152" spans="1:6" ht="15.75" x14ac:dyDescent="0.25">
      <c r="A152" s="1930" t="str">
        <f>A51</f>
        <v xml:space="preserve">Таблица соединений и подключений </v>
      </c>
      <c r="B152" s="1931"/>
      <c r="C152" s="1748"/>
      <c r="D152" s="1694" t="s">
        <v>66</v>
      </c>
      <c r="E152" s="1694" t="s">
        <v>65</v>
      </c>
      <c r="F152" s="1694" t="s">
        <v>64</v>
      </c>
    </row>
    <row r="153" spans="1:6" x14ac:dyDescent="0.25">
      <c r="A153" s="132" t="s">
        <v>1733</v>
      </c>
      <c r="B153" s="905" t="s">
        <v>33</v>
      </c>
      <c r="C153" s="1748"/>
      <c r="D153" s="658"/>
      <c r="E153" s="658" t="s">
        <v>1845</v>
      </c>
      <c r="F153" s="658" t="s">
        <v>1799</v>
      </c>
    </row>
    <row r="154" spans="1:6" x14ac:dyDescent="0.25">
      <c r="A154" s="132" t="s">
        <v>1734</v>
      </c>
      <c r="B154" s="905" t="s">
        <v>34</v>
      </c>
      <c r="C154" s="1748"/>
      <c r="D154" s="658"/>
      <c r="E154" s="658" t="s">
        <v>1845</v>
      </c>
      <c r="F154" s="658" t="s">
        <v>1799</v>
      </c>
    </row>
    <row r="155" spans="1:6" ht="15.75" x14ac:dyDescent="0.25">
      <c r="A155" s="1930" t="str">
        <f>A54</f>
        <v xml:space="preserve">План расположения </v>
      </c>
      <c r="B155" s="1931"/>
      <c r="C155" s="1748"/>
      <c r="D155" s="1694" t="s">
        <v>66</v>
      </c>
      <c r="E155" s="1694" t="s">
        <v>65</v>
      </c>
      <c r="F155" s="1694" t="s">
        <v>64</v>
      </c>
    </row>
    <row r="156" spans="1:6" x14ac:dyDescent="0.25">
      <c r="A156" s="132" t="s">
        <v>1735</v>
      </c>
      <c r="B156" s="905" t="s">
        <v>33</v>
      </c>
      <c r="C156" s="1748"/>
      <c r="D156" s="658" t="s">
        <v>1845</v>
      </c>
      <c r="E156" s="658" t="s">
        <v>1845</v>
      </c>
      <c r="F156" s="658" t="s">
        <v>1799</v>
      </c>
    </row>
    <row r="157" spans="1:6" x14ac:dyDescent="0.25">
      <c r="A157" s="132" t="s">
        <v>1736</v>
      </c>
      <c r="B157" s="905" t="s">
        <v>34</v>
      </c>
      <c r="C157" s="1748"/>
      <c r="D157" s="658" t="s">
        <v>1845</v>
      </c>
      <c r="E157" s="658" t="s">
        <v>1845</v>
      </c>
      <c r="F157" s="658" t="s">
        <v>1799</v>
      </c>
    </row>
    <row r="158" spans="1:6" ht="15.75" x14ac:dyDescent="0.25">
      <c r="A158" s="1930" t="str">
        <f>A57</f>
        <v>Паспорт</v>
      </c>
      <c r="B158" s="1931"/>
      <c r="C158" s="1748"/>
      <c r="D158" s="1694" t="s">
        <v>66</v>
      </c>
      <c r="E158" s="1694" t="s">
        <v>65</v>
      </c>
      <c r="F158" s="1694" t="s">
        <v>64</v>
      </c>
    </row>
    <row r="159" spans="1:6" x14ac:dyDescent="0.25">
      <c r="A159" s="132" t="s">
        <v>1744</v>
      </c>
      <c r="B159" s="905" t="s">
        <v>33</v>
      </c>
      <c r="C159" s="1748"/>
      <c r="D159" s="658"/>
      <c r="E159" s="658"/>
      <c r="F159" s="658" t="s">
        <v>1810</v>
      </c>
    </row>
    <row r="160" spans="1:6" x14ac:dyDescent="0.25">
      <c r="A160" s="132" t="s">
        <v>1743</v>
      </c>
      <c r="B160" s="905" t="s">
        <v>34</v>
      </c>
      <c r="C160" s="1748"/>
      <c r="D160" s="658"/>
      <c r="E160" s="658"/>
      <c r="F160" s="658" t="s">
        <v>1841</v>
      </c>
    </row>
    <row r="161" spans="1:6" ht="15.75" x14ac:dyDescent="0.25">
      <c r="A161" s="1930" t="str">
        <f>A60</f>
        <v>ПиМИ</v>
      </c>
      <c r="B161" s="1931"/>
      <c r="C161" s="1748"/>
      <c r="D161" s="1694" t="s">
        <v>66</v>
      </c>
      <c r="E161" s="1694" t="s">
        <v>65</v>
      </c>
      <c r="F161" s="1694" t="s">
        <v>64</v>
      </c>
    </row>
    <row r="162" spans="1:6" x14ac:dyDescent="0.25">
      <c r="A162" s="132" t="s">
        <v>1742</v>
      </c>
      <c r="B162" s="905" t="s">
        <v>33</v>
      </c>
      <c r="C162" s="1748"/>
      <c r="D162" s="658" t="s">
        <v>1847</v>
      </c>
      <c r="E162" s="658"/>
      <c r="F162" s="658" t="s">
        <v>1804</v>
      </c>
    </row>
    <row r="163" spans="1:6" x14ac:dyDescent="0.25">
      <c r="A163" s="132" t="s">
        <v>1741</v>
      </c>
      <c r="B163" s="905" t="s">
        <v>34</v>
      </c>
      <c r="C163" s="1748"/>
      <c r="D163" s="658" t="s">
        <v>1848</v>
      </c>
      <c r="E163" s="658"/>
      <c r="F163" s="658" t="s">
        <v>1805</v>
      </c>
    </row>
    <row r="164" spans="1:6" ht="15.75" x14ac:dyDescent="0.25">
      <c r="A164" s="1930" t="str">
        <f>A63</f>
        <v>Технические условия для монтажа оборудования</v>
      </c>
      <c r="B164" s="1931"/>
      <c r="C164" s="1748"/>
      <c r="D164" s="1694" t="s">
        <v>66</v>
      </c>
      <c r="E164" s="1694" t="s">
        <v>65</v>
      </c>
      <c r="F164" s="1694" t="s">
        <v>64</v>
      </c>
    </row>
    <row r="165" spans="1:6" x14ac:dyDescent="0.25">
      <c r="A165" s="132" t="s">
        <v>1740</v>
      </c>
      <c r="B165" s="905" t="s">
        <v>33</v>
      </c>
      <c r="C165" s="1748"/>
      <c r="D165" s="658"/>
      <c r="E165" s="1381"/>
      <c r="F165" s="1381"/>
    </row>
    <row r="166" spans="1:6" x14ac:dyDescent="0.25">
      <c r="A166" s="132" t="s">
        <v>1739</v>
      </c>
      <c r="B166" s="905" t="s">
        <v>34</v>
      </c>
      <c r="C166" s="1748"/>
      <c r="D166" s="658"/>
      <c r="E166" s="1381"/>
      <c r="F166" s="1381"/>
    </row>
    <row r="167" spans="1:6" ht="15.75" x14ac:dyDescent="0.25">
      <c r="A167" s="1930" t="str">
        <f>A66</f>
        <v>Эскизная схема расположения оборудования</v>
      </c>
      <c r="B167" s="1931"/>
      <c r="C167" s="1748"/>
      <c r="D167" s="1694" t="s">
        <v>66</v>
      </c>
      <c r="E167" s="1694" t="s">
        <v>65</v>
      </c>
      <c r="F167" s="1694" t="s">
        <v>64</v>
      </c>
    </row>
    <row r="168" spans="1:6" x14ac:dyDescent="0.25">
      <c r="A168" s="132" t="s">
        <v>1737</v>
      </c>
      <c r="B168" s="905" t="s">
        <v>33</v>
      </c>
      <c r="C168" s="1748"/>
      <c r="D168" s="658" t="s">
        <v>1845</v>
      </c>
      <c r="E168" s="658" t="s">
        <v>1845</v>
      </c>
      <c r="F168" s="658" t="s">
        <v>1799</v>
      </c>
    </row>
    <row r="169" spans="1:6" x14ac:dyDescent="0.25">
      <c r="A169" s="132" t="s">
        <v>1738</v>
      </c>
      <c r="B169" s="905" t="s">
        <v>34</v>
      </c>
      <c r="C169" s="1748"/>
      <c r="D169" s="658" t="s">
        <v>1845</v>
      </c>
      <c r="E169" s="658" t="s">
        <v>1845</v>
      </c>
      <c r="F169" s="658" t="s">
        <v>1799</v>
      </c>
    </row>
    <row r="170" spans="1:6" ht="15.75" x14ac:dyDescent="0.25">
      <c r="A170" s="1930" t="str">
        <f>A69</f>
        <v>Сетевая схема L2</v>
      </c>
      <c r="B170" s="1931"/>
      <c r="C170" s="1748"/>
      <c r="D170" s="1694" t="s">
        <v>66</v>
      </c>
      <c r="E170" s="1694" t="s">
        <v>65</v>
      </c>
      <c r="F170" s="1694" t="s">
        <v>64</v>
      </c>
    </row>
    <row r="171" spans="1:6" x14ac:dyDescent="0.25">
      <c r="A171" s="132" t="s">
        <v>1745</v>
      </c>
      <c r="B171" s="905" t="s">
        <v>33</v>
      </c>
      <c r="C171" s="1748"/>
      <c r="D171" s="658"/>
      <c r="E171" s="1381"/>
      <c r="F171" s="1381"/>
    </row>
    <row r="172" spans="1:6" x14ac:dyDescent="0.25">
      <c r="A172" s="132" t="s">
        <v>1746</v>
      </c>
      <c r="B172" s="905" t="s">
        <v>34</v>
      </c>
      <c r="C172" s="1748"/>
      <c r="D172" s="658"/>
      <c r="E172" s="1381"/>
      <c r="F172" s="1381"/>
    </row>
    <row r="173" spans="1:6" ht="15.75" x14ac:dyDescent="0.25">
      <c r="A173" s="1930" t="str">
        <f>A72</f>
        <v>Сетевая схема L3</v>
      </c>
      <c r="B173" s="1931"/>
      <c r="C173" s="1748"/>
      <c r="D173" s="1694" t="s">
        <v>66</v>
      </c>
      <c r="E173" s="1694" t="s">
        <v>65</v>
      </c>
      <c r="F173" s="1694" t="s">
        <v>64</v>
      </c>
    </row>
    <row r="174" spans="1:6" x14ac:dyDescent="0.25">
      <c r="A174" s="132" t="s">
        <v>1747</v>
      </c>
      <c r="B174" s="905" t="s">
        <v>33</v>
      </c>
      <c r="C174" s="1748"/>
      <c r="D174" s="658"/>
      <c r="E174" s="1381"/>
      <c r="F174" s="1381"/>
    </row>
    <row r="175" spans="1:6" x14ac:dyDescent="0.25">
      <c r="A175" s="132" t="s">
        <v>1748</v>
      </c>
      <c r="B175" s="905" t="s">
        <v>34</v>
      </c>
      <c r="C175" s="1748"/>
      <c r="D175" s="658"/>
      <c r="E175" s="1381"/>
      <c r="F175" s="1381"/>
    </row>
    <row r="176" spans="1:6" ht="15.75" x14ac:dyDescent="0.25">
      <c r="A176" s="1930" t="str">
        <f>A78</f>
        <v>Принципиальная схема электропитания оборудования (СБ)</v>
      </c>
      <c r="B176" s="1931"/>
      <c r="C176" s="1748"/>
      <c r="D176" s="1694" t="s">
        <v>66</v>
      </c>
      <c r="E176" s="1694" t="s">
        <v>65</v>
      </c>
      <c r="F176" s="1694" t="s">
        <v>64</v>
      </c>
    </row>
    <row r="177" spans="1:6" x14ac:dyDescent="0.25">
      <c r="A177" s="132" t="s">
        <v>1749</v>
      </c>
      <c r="B177" s="905" t="s">
        <v>33</v>
      </c>
      <c r="C177" s="1748"/>
      <c r="D177" s="658"/>
      <c r="E177" s="658" t="s">
        <v>1849</v>
      </c>
      <c r="F177" s="658" t="s">
        <v>1799</v>
      </c>
    </row>
    <row r="178" spans="1:6" x14ac:dyDescent="0.25">
      <c r="A178" s="132" t="s">
        <v>1750</v>
      </c>
      <c r="B178" s="905" t="s">
        <v>34</v>
      </c>
      <c r="C178" s="1748"/>
      <c r="D178" s="658"/>
      <c r="E178" s="658" t="s">
        <v>1849</v>
      </c>
      <c r="F178" s="658" t="s">
        <v>1799</v>
      </c>
    </row>
    <row r="179" spans="1:6" ht="15.75" x14ac:dyDescent="0.25">
      <c r="A179" s="1930" t="str">
        <f>A81</f>
        <v>Схема подключения внешних проводок (С5)</v>
      </c>
      <c r="B179" s="1931"/>
      <c r="C179" s="1748"/>
      <c r="D179" s="1694" t="s">
        <v>66</v>
      </c>
      <c r="E179" s="1694" t="s">
        <v>65</v>
      </c>
      <c r="F179" s="1694" t="s">
        <v>64</v>
      </c>
    </row>
    <row r="180" spans="1:6" x14ac:dyDescent="0.25">
      <c r="A180" s="132" t="s">
        <v>1751</v>
      </c>
      <c r="B180" s="905" t="s">
        <v>33</v>
      </c>
      <c r="C180" s="1748"/>
      <c r="D180" s="658"/>
      <c r="E180" s="658" t="s">
        <v>1845</v>
      </c>
      <c r="F180" s="658" t="s">
        <v>1799</v>
      </c>
    </row>
    <row r="181" spans="1:6" x14ac:dyDescent="0.25">
      <c r="A181" s="132" t="s">
        <v>1752</v>
      </c>
      <c r="B181" s="905" t="s">
        <v>34</v>
      </c>
      <c r="C181" s="1748"/>
      <c r="D181" s="658"/>
      <c r="E181" s="658" t="s">
        <v>1845</v>
      </c>
      <c r="F181" s="658" t="s">
        <v>1799</v>
      </c>
    </row>
    <row r="182" spans="1:6" ht="15.75" x14ac:dyDescent="0.25">
      <c r="A182" s="1930" t="str">
        <f>A84</f>
        <v>Чертеж установки технических средств (СА)</v>
      </c>
      <c r="B182" s="1931"/>
      <c r="C182" s="1748"/>
      <c r="D182" s="1694" t="s">
        <v>66</v>
      </c>
      <c r="E182" s="1694" t="s">
        <v>65</v>
      </c>
      <c r="F182" s="1694" t="s">
        <v>64</v>
      </c>
    </row>
    <row r="183" spans="1:6" x14ac:dyDescent="0.25">
      <c r="A183" s="132" t="s">
        <v>1753</v>
      </c>
      <c r="B183" s="905" t="s">
        <v>33</v>
      </c>
      <c r="C183" s="1748"/>
      <c r="D183" s="658" t="s">
        <v>1845</v>
      </c>
      <c r="E183" s="658" t="s">
        <v>1845</v>
      </c>
      <c r="F183" s="658" t="s">
        <v>1799</v>
      </c>
    </row>
    <row r="184" spans="1:6" x14ac:dyDescent="0.25">
      <c r="A184" s="132" t="s">
        <v>1754</v>
      </c>
      <c r="B184" s="905" t="s">
        <v>34</v>
      </c>
      <c r="C184" s="1748"/>
      <c r="D184" s="658" t="s">
        <v>1845</v>
      </c>
      <c r="E184" s="658" t="s">
        <v>1845</v>
      </c>
      <c r="F184" s="658" t="s">
        <v>1799</v>
      </c>
    </row>
    <row r="185" spans="1:6" ht="15.75" x14ac:dyDescent="0.25">
      <c r="A185" s="1930" t="str">
        <f>A88</f>
        <v xml:space="preserve">Ведомость эксплуатационных документов </v>
      </c>
      <c r="B185" s="1931"/>
      <c r="C185" s="1748"/>
      <c r="D185" s="1694" t="s">
        <v>66</v>
      </c>
      <c r="E185" s="1694" t="s">
        <v>65</v>
      </c>
      <c r="F185" s="1694" t="s">
        <v>64</v>
      </c>
    </row>
    <row r="186" spans="1:6" x14ac:dyDescent="0.25">
      <c r="A186" s="132" t="s">
        <v>1755</v>
      </c>
      <c r="B186" s="905" t="s">
        <v>33</v>
      </c>
      <c r="C186" s="1748"/>
      <c r="D186" s="658"/>
      <c r="E186" s="1381"/>
      <c r="F186" s="1381"/>
    </row>
    <row r="187" spans="1:6" x14ac:dyDescent="0.25">
      <c r="A187" s="132" t="s">
        <v>1756</v>
      </c>
      <c r="B187" s="905" t="s">
        <v>34</v>
      </c>
      <c r="C187" s="1748"/>
      <c r="D187" s="658"/>
      <c r="E187" s="1381"/>
      <c r="F187" s="1381"/>
    </row>
    <row r="188" spans="1:6" ht="15.75" x14ac:dyDescent="0.25">
      <c r="A188" s="1930" t="str">
        <f>A91</f>
        <v>Руководство администратора</v>
      </c>
      <c r="B188" s="1931"/>
      <c r="C188" s="1748"/>
      <c r="D188" s="1694" t="s">
        <v>66</v>
      </c>
      <c r="E188" s="1694" t="s">
        <v>65</v>
      </c>
      <c r="F188" s="1694" t="s">
        <v>64</v>
      </c>
    </row>
    <row r="189" spans="1:6" x14ac:dyDescent="0.25">
      <c r="A189" s="132" t="s">
        <v>1757</v>
      </c>
      <c r="B189" s="905" t="s">
        <v>33</v>
      </c>
      <c r="C189" s="1748"/>
      <c r="D189" s="658"/>
      <c r="E189" s="658"/>
      <c r="F189" s="658" t="s">
        <v>1809</v>
      </c>
    </row>
    <row r="190" spans="1:6" x14ac:dyDescent="0.25">
      <c r="A190" s="132" t="s">
        <v>1758</v>
      </c>
      <c r="B190" s="905" t="s">
        <v>34</v>
      </c>
      <c r="C190" s="1748"/>
      <c r="D190" s="658"/>
      <c r="E190" s="658"/>
      <c r="F190" s="658" t="s">
        <v>1810</v>
      </c>
    </row>
    <row r="191" spans="1:6" ht="15.75" x14ac:dyDescent="0.25">
      <c r="A191" s="1930" t="str">
        <f>A94</f>
        <v xml:space="preserve">Руководство пользователя </v>
      </c>
      <c r="B191" s="1931"/>
      <c r="C191" s="1748"/>
      <c r="D191" s="1694" t="s">
        <v>66</v>
      </c>
      <c r="E191" s="1694" t="s">
        <v>65</v>
      </c>
      <c r="F191" s="1694" t="s">
        <v>64</v>
      </c>
    </row>
    <row r="192" spans="1:6" x14ac:dyDescent="0.25">
      <c r="A192" s="132" t="s">
        <v>1759</v>
      </c>
      <c r="B192" s="905" t="s">
        <v>33</v>
      </c>
      <c r="C192" s="1748"/>
      <c r="D192" s="658"/>
      <c r="E192" s="658"/>
      <c r="F192" s="658" t="s">
        <v>1805</v>
      </c>
    </row>
    <row r="193" spans="1:6" x14ac:dyDescent="0.25">
      <c r="A193" s="132" t="s">
        <v>1760</v>
      </c>
      <c r="B193" s="905" t="s">
        <v>34</v>
      </c>
      <c r="C193" s="1748"/>
      <c r="D193" s="658"/>
      <c r="E193" s="658"/>
      <c r="F193" s="658" t="s">
        <v>1811</v>
      </c>
    </row>
    <row r="194" spans="1:6" ht="15.75" x14ac:dyDescent="0.25">
      <c r="A194" s="1930" t="str">
        <f>A97</f>
        <v>Руководство по мониторингу</v>
      </c>
      <c r="B194" s="1931"/>
      <c r="C194" s="1748"/>
      <c r="D194" s="1694" t="s">
        <v>66</v>
      </c>
      <c r="E194" s="1694" t="s">
        <v>65</v>
      </c>
      <c r="F194" s="1694" t="s">
        <v>64</v>
      </c>
    </row>
    <row r="195" spans="1:6" x14ac:dyDescent="0.25">
      <c r="A195" s="132" t="s">
        <v>1761</v>
      </c>
      <c r="B195" s="905" t="s">
        <v>33</v>
      </c>
      <c r="C195" s="1748"/>
      <c r="D195" s="658"/>
      <c r="E195" s="658"/>
      <c r="F195" s="658" t="s">
        <v>1809</v>
      </c>
    </row>
    <row r="196" spans="1:6" x14ac:dyDescent="0.25">
      <c r="A196" s="132" t="s">
        <v>1762</v>
      </c>
      <c r="B196" s="905" t="s">
        <v>34</v>
      </c>
      <c r="C196" s="1748"/>
      <c r="D196" s="658"/>
      <c r="E196" s="658"/>
      <c r="F196" s="658" t="s">
        <v>1810</v>
      </c>
    </row>
    <row r="197" spans="1:6" ht="15.75" x14ac:dyDescent="0.25">
      <c r="A197" s="1930" t="str">
        <f>A100</f>
        <v>План резервного копирования</v>
      </c>
      <c r="B197" s="1931"/>
      <c r="C197" s="1748"/>
      <c r="D197" s="1694" t="s">
        <v>66</v>
      </c>
      <c r="E197" s="1694" t="s">
        <v>65</v>
      </c>
      <c r="F197" s="1694" t="s">
        <v>64</v>
      </c>
    </row>
    <row r="198" spans="1:6" x14ac:dyDescent="0.25">
      <c r="A198" s="132" t="s">
        <v>1763</v>
      </c>
      <c r="B198" s="905" t="s">
        <v>33</v>
      </c>
      <c r="C198" s="1748"/>
      <c r="D198" s="658"/>
      <c r="E198" s="658" t="s">
        <v>1845</v>
      </c>
      <c r="F198" s="658" t="s">
        <v>1809</v>
      </c>
    </row>
    <row r="199" spans="1:6" x14ac:dyDescent="0.25">
      <c r="A199" s="132" t="s">
        <v>1764</v>
      </c>
      <c r="B199" s="905" t="s">
        <v>34</v>
      </c>
      <c r="C199" s="1748"/>
      <c r="D199" s="658"/>
      <c r="E199" s="658" t="s">
        <v>1845</v>
      </c>
      <c r="F199" s="658" t="s">
        <v>1810</v>
      </c>
    </row>
    <row r="200" spans="1:6" ht="15.75" x14ac:dyDescent="0.25">
      <c r="A200" s="1930" t="str">
        <f>A103</f>
        <v>План опытной эксплуатации</v>
      </c>
      <c r="B200" s="1931"/>
      <c r="C200" s="1748"/>
      <c r="D200" s="1694" t="s">
        <v>66</v>
      </c>
      <c r="E200" s="1694" t="s">
        <v>65</v>
      </c>
      <c r="F200" s="1694" t="s">
        <v>64</v>
      </c>
    </row>
    <row r="201" spans="1:6" x14ac:dyDescent="0.25">
      <c r="A201" s="132" t="s">
        <v>1765</v>
      </c>
      <c r="B201" s="905" t="s">
        <v>33</v>
      </c>
      <c r="C201" s="1748"/>
      <c r="D201" s="658"/>
      <c r="E201" s="658"/>
      <c r="F201" s="658" t="s">
        <v>1809</v>
      </c>
    </row>
    <row r="202" spans="1:6" x14ac:dyDescent="0.25">
      <c r="A202" s="132" t="s">
        <v>1766</v>
      </c>
      <c r="B202" s="905" t="s">
        <v>34</v>
      </c>
      <c r="C202" s="1748"/>
      <c r="D202" s="658"/>
      <c r="E202" s="658"/>
      <c r="F202" s="658" t="s">
        <v>1810</v>
      </c>
    </row>
  </sheetData>
  <autoFilter ref="A2:O105" xr:uid="{00000000-0001-0000-6000-000000000000}"/>
  <mergeCells count="69">
    <mergeCell ref="A97:A99"/>
    <mergeCell ref="A100:A102"/>
    <mergeCell ref="A103:A105"/>
    <mergeCell ref="A78:A80"/>
    <mergeCell ref="A81:A83"/>
    <mergeCell ref="A84:A86"/>
    <mergeCell ref="A88:A90"/>
    <mergeCell ref="A91:A93"/>
    <mergeCell ref="A94:A96"/>
    <mergeCell ref="A75:A77"/>
    <mergeCell ref="A28:A30"/>
    <mergeCell ref="A31:A33"/>
    <mergeCell ref="A34:A36"/>
    <mergeCell ref="A38:A40"/>
    <mergeCell ref="A42:A44"/>
    <mergeCell ref="A45:A47"/>
    <mergeCell ref="A48:A50"/>
    <mergeCell ref="A51:A53"/>
    <mergeCell ref="A54:A56"/>
    <mergeCell ref="A57:A59"/>
    <mergeCell ref="A60:A62"/>
    <mergeCell ref="A63:A65"/>
    <mergeCell ref="A66:A68"/>
    <mergeCell ref="A69:A71"/>
    <mergeCell ref="A72:A74"/>
    <mergeCell ref="A25:A27"/>
    <mergeCell ref="D1:G1"/>
    <mergeCell ref="H1:K1"/>
    <mergeCell ref="L1:O1"/>
    <mergeCell ref="C2:C3"/>
    <mergeCell ref="G2:G3"/>
    <mergeCell ref="K2:K3"/>
    <mergeCell ref="O2:O3"/>
    <mergeCell ref="A8:A10"/>
    <mergeCell ref="A12:A14"/>
    <mergeCell ref="A16:A18"/>
    <mergeCell ref="A19:A21"/>
    <mergeCell ref="A22:A24"/>
    <mergeCell ref="A5:A7"/>
    <mergeCell ref="A113:B113"/>
    <mergeCell ref="A116:B116"/>
    <mergeCell ref="A119:B119"/>
    <mergeCell ref="A122:B122"/>
    <mergeCell ref="A125:B125"/>
    <mergeCell ref="A128:B128"/>
    <mergeCell ref="A131:B131"/>
    <mergeCell ref="A134:B134"/>
    <mergeCell ref="A137:B137"/>
    <mergeCell ref="A140:B140"/>
    <mergeCell ref="A143:B143"/>
    <mergeCell ref="A146:B146"/>
    <mergeCell ref="A149:B149"/>
    <mergeCell ref="A152:B152"/>
    <mergeCell ref="A155:B155"/>
    <mergeCell ref="A158:B158"/>
    <mergeCell ref="A161:B161"/>
    <mergeCell ref="A164:B164"/>
    <mergeCell ref="A167:B167"/>
    <mergeCell ref="A170:B170"/>
    <mergeCell ref="A173:B173"/>
    <mergeCell ref="A176:B176"/>
    <mergeCell ref="A179:B179"/>
    <mergeCell ref="A182:B182"/>
    <mergeCell ref="A185:B185"/>
    <mergeCell ref="A188:B188"/>
    <mergeCell ref="A191:B191"/>
    <mergeCell ref="A194:B194"/>
    <mergeCell ref="A197:B197"/>
    <mergeCell ref="A200:B200"/>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Лист3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20896F5ACB8329429C5F9CA9C2E051F8" ma:contentTypeVersion="1" ma:contentTypeDescription="Создание документа." ma:contentTypeScope="" ma:versionID="3ea3db71a854cc66b82a81cc04691801">
  <xsd:schema xmlns:xsd="http://www.w3.org/2001/XMLSchema" xmlns:xs="http://www.w3.org/2001/XMLSchema" xmlns:p="http://schemas.microsoft.com/office/2006/metadata/properties" xmlns:ns2="40f8b040-1c16-4de8-89c1-09cb92ad0790" targetNamespace="http://schemas.microsoft.com/office/2006/metadata/properties" ma:root="true" ma:fieldsID="00f4f69a8cb710eb87cf9a192fa2228f" ns2:_="">
    <xsd:import namespace="40f8b040-1c16-4de8-89c1-09cb92ad0790"/>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8b040-1c16-4de8-89c1-09cb92ad0790"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DCC001-79B3-4F56-A946-E27A57198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8b040-1c16-4de8-89c1-09cb92ad07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19385-3C0D-46B0-ADF8-DCBBFF0A9700}">
  <ds:schemaRefs>
    <ds:schemaRef ds:uri="http://schemas.microsoft.com/sharepoint/v3/contenttype/forms"/>
  </ds:schemaRefs>
</ds:datastoreItem>
</file>

<file path=customXml/itemProps3.xml><?xml version="1.0" encoding="utf-8"?>
<ds:datastoreItem xmlns:ds="http://schemas.openxmlformats.org/officeDocument/2006/customXml" ds:itemID="{32E93C35-D5EB-48CF-8D77-55697F5EC720}">
  <ds:schemaRefs>
    <ds:schemaRef ds:uri="http://schemas.microsoft.com/office/2006/documentManagement/types"/>
    <ds:schemaRef ds:uri="http://purl.org/dc/terms/"/>
    <ds:schemaRef ds:uri="http://purl.org/dc/dcmitype/"/>
    <ds:schemaRef ds:uri="40f8b040-1c16-4de8-89c1-09cb92ad0790"/>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99</vt:i4>
      </vt:variant>
      <vt:variant>
        <vt:lpstr>Именованные диапазоны</vt:lpstr>
      </vt:variant>
      <vt:variant>
        <vt:i4>73</vt:i4>
      </vt:variant>
    </vt:vector>
  </HeadingPairs>
  <TitlesOfParts>
    <vt:vector size="172" baseType="lpstr">
      <vt:lpstr>Информация</vt:lpstr>
      <vt:lpstr>Файл оценки</vt:lpstr>
      <vt:lpstr>ТрЗ_ОП</vt:lpstr>
      <vt:lpstr>Итоговый расчет АСУТП</vt:lpstr>
      <vt:lpstr>Классы защит</vt:lpstr>
      <vt:lpstr>Уровень зрелости</vt:lpstr>
      <vt:lpstr>ГИС</vt:lpstr>
      <vt:lpstr>ИСПДн</vt:lpstr>
      <vt:lpstr>КИИ</vt:lpstr>
      <vt:lpstr>Тип разраб-ой док-ции</vt:lpstr>
      <vt:lpstr>Документы АСУТП</vt:lpstr>
      <vt:lpstr>АВЗ АСУТП</vt:lpstr>
      <vt:lpstr>Спецификация</vt:lpstr>
      <vt:lpstr>Трудозатраты ПК</vt:lpstr>
      <vt:lpstr>Глоссарий документации</vt:lpstr>
      <vt:lpstr>Работы_Спецы</vt:lpstr>
      <vt:lpstr>PAM АСУТП</vt:lpstr>
      <vt:lpstr>МСЭ АСУТП</vt:lpstr>
      <vt:lpstr>РК АСУТП</vt:lpstr>
      <vt:lpstr>IDS АСУТП</vt:lpstr>
      <vt:lpstr>АПМДЗ АСУТП</vt:lpstr>
      <vt:lpstr>НСД АСУТП</vt:lpstr>
      <vt:lpstr>Служебный АСУТП</vt:lpstr>
      <vt:lpstr>ТрЗ_ОВ</vt:lpstr>
      <vt:lpstr>ТрЗ_ОКиА</vt:lpstr>
      <vt:lpstr>Категорирование</vt:lpstr>
      <vt:lpstr>Обследование и аудит ГИС</vt:lpstr>
      <vt:lpstr>Командировки_ОП</vt:lpstr>
      <vt:lpstr>Служебный ОК</vt:lpstr>
      <vt:lpstr>ОРД КИИ</vt:lpstr>
      <vt:lpstr>ОРД ПДн</vt:lpstr>
      <vt:lpstr>ОРД ГИС</vt:lpstr>
      <vt:lpstr>ОРД КТ</vt:lpstr>
      <vt:lpstr>Обследование и аудит КИИ</vt:lpstr>
      <vt:lpstr>Обследование и аудит ИСПДн</vt:lpstr>
      <vt:lpstr>Обследование и аудит КТ</vt:lpstr>
      <vt:lpstr>Классификация</vt:lpstr>
      <vt:lpstr>МУиН КИИ (АСУТП)</vt:lpstr>
      <vt:lpstr>МУиН ИСПДн</vt:lpstr>
      <vt:lpstr>МУиН ГИС</vt:lpstr>
      <vt:lpstr>МУиН ЦОД</vt:lpstr>
      <vt:lpstr>МУиН КТ</vt:lpstr>
      <vt:lpstr>Анализ уязвимостей</vt:lpstr>
      <vt:lpstr>Аттестация</vt:lpstr>
      <vt:lpstr>Служебный ОВ</vt:lpstr>
      <vt:lpstr>BM ОВ</vt:lpstr>
      <vt:lpstr>ВМ АСО ОВ</vt:lpstr>
      <vt:lpstr>СКЗИ ОВ</vt:lpstr>
      <vt:lpstr>АЗ ОВ</vt:lpstr>
      <vt:lpstr>СРК ОВ</vt:lpstr>
      <vt:lpstr>NTA ОВ </vt:lpstr>
      <vt:lpstr>SEG ОВ</vt:lpstr>
      <vt:lpstr>ВМ СПО ОВ</vt:lpstr>
      <vt:lpstr>ДИОД ОВ</vt:lpstr>
      <vt:lpstr>IDS ОВ </vt:lpstr>
      <vt:lpstr>XDR_EDR ОВ</vt:lpstr>
      <vt:lpstr>ГосСОПКА ОВ</vt:lpstr>
      <vt:lpstr>SOAR ОВ</vt:lpstr>
      <vt:lpstr>TLS ОВ</vt:lpstr>
      <vt:lpstr>NAC ОВ</vt:lpstr>
      <vt:lpstr>VDI ОВ</vt:lpstr>
      <vt:lpstr>APT ОВ</vt:lpstr>
      <vt:lpstr>MFA ОВ</vt:lpstr>
      <vt:lpstr>РАМ ОВ</vt:lpstr>
      <vt:lpstr>Sandbox ОВ</vt:lpstr>
      <vt:lpstr>SIEM OВ</vt:lpstr>
      <vt:lpstr>WAF ОВ</vt:lpstr>
      <vt:lpstr>Контроль конфигураций ОВ</vt:lpstr>
      <vt:lpstr>DCAP ОВ</vt:lpstr>
      <vt:lpstr>АВЗ ОВ</vt:lpstr>
      <vt:lpstr>НСД ОВ</vt:lpstr>
      <vt:lpstr>СЗВ ОВ</vt:lpstr>
      <vt:lpstr>ВМ ЗСВ ОВ</vt:lpstr>
      <vt:lpstr>СХД ОВ</vt:lpstr>
      <vt:lpstr>МСЭ ОВ</vt:lpstr>
      <vt:lpstr>АЗ АСУТП</vt:lpstr>
      <vt:lpstr>SIEM АСУТП</vt:lpstr>
      <vt:lpstr>MFA АСУТП</vt:lpstr>
      <vt:lpstr>ДИОД АСУТП</vt:lpstr>
      <vt:lpstr>СЗВ АСУТП</vt:lpstr>
      <vt:lpstr>ВМ ЗСВ</vt:lpstr>
      <vt:lpstr>СКЗИ АСУТП</vt:lpstr>
      <vt:lpstr>VDI АСУТП</vt:lpstr>
      <vt:lpstr>СУБД АСУТП</vt:lpstr>
      <vt:lpstr>ВМ СПО</vt:lpstr>
      <vt:lpstr>ВМ АСО</vt:lpstr>
      <vt:lpstr>ГОССОПКА АСУТП</vt:lpstr>
      <vt:lpstr>TLS АСУТП</vt:lpstr>
      <vt:lpstr>DCAP АСУТП</vt:lpstr>
      <vt:lpstr>NTA АСУТП</vt:lpstr>
      <vt:lpstr>SEG АСУТП</vt:lpstr>
      <vt:lpstr>WAF АСУТП</vt:lpstr>
      <vt:lpstr>APT АСУТП</vt:lpstr>
      <vt:lpstr>NAC АСУТП</vt:lpstr>
      <vt:lpstr>SANDBOX АСУТП</vt:lpstr>
      <vt:lpstr>EDR АСУТП</vt:lpstr>
      <vt:lpstr>DO АСУТП</vt:lpstr>
      <vt:lpstr>SOAR АСУТП</vt:lpstr>
      <vt:lpstr>АСУТП 1</vt:lpstr>
      <vt:lpstr>ASUTP_APMDZ</vt:lpstr>
      <vt:lpstr>ASUTP_APT</vt:lpstr>
      <vt:lpstr>ASUTP_AVZ</vt:lpstr>
      <vt:lpstr>ASUTP_AZ</vt:lpstr>
      <vt:lpstr>ASUTP_CONFIG</vt:lpstr>
      <vt:lpstr>ASUTP_DAM</vt:lpstr>
      <vt:lpstr>ASUTP_DCAP</vt:lpstr>
      <vt:lpstr>ASUTP_EDR</vt:lpstr>
      <vt:lpstr>ASUTP_GOSSOPKA</vt:lpstr>
      <vt:lpstr>ASUTP_IDS</vt:lpstr>
      <vt:lpstr>ASUTP_MFA</vt:lpstr>
      <vt:lpstr>ASUTP_MSE</vt:lpstr>
      <vt:lpstr>ASUTP_NAC</vt:lpstr>
      <vt:lpstr>ASUTP_NSD</vt:lpstr>
      <vt:lpstr>ASUTP_NTA</vt:lpstr>
      <vt:lpstr>ASUTP_PAM</vt:lpstr>
      <vt:lpstr>ASUTP_RK</vt:lpstr>
      <vt:lpstr>ASUTP_SANDBOX</vt:lpstr>
      <vt:lpstr>ASUTP_SEG</vt:lpstr>
      <vt:lpstr>ASUTP_SIEM</vt:lpstr>
      <vt:lpstr>ASUTP_SKZI</vt:lpstr>
      <vt:lpstr>ASUTP_SOAR</vt:lpstr>
      <vt:lpstr>ASUTP_SUBD</vt:lpstr>
      <vt:lpstr>ASUTP_SZV</vt:lpstr>
      <vt:lpstr>ASUTP_TLS</vt:lpstr>
      <vt:lpstr>ASUTP_VDI</vt:lpstr>
      <vt:lpstr>ASUTP_WAF</vt:lpstr>
      <vt:lpstr>DF</vt:lpstr>
      <vt:lpstr>DOCS_list_ASUTP</vt:lpstr>
      <vt:lpstr>EMPTY</vt:lpstr>
      <vt:lpstr>EMPTY_list</vt:lpstr>
      <vt:lpstr>Kasperesky_Industrial_Cybersecurity_for_Nodes</vt:lpstr>
      <vt:lpstr>OV_APT</vt:lpstr>
      <vt:lpstr>OV_AVZ</vt:lpstr>
      <vt:lpstr>OV_AZ</vt:lpstr>
      <vt:lpstr>OV_Config</vt:lpstr>
      <vt:lpstr>OV_DCAP</vt:lpstr>
      <vt:lpstr>OV_DIODE</vt:lpstr>
      <vt:lpstr>OV_EDR</vt:lpstr>
      <vt:lpstr>OV_Firewall</vt:lpstr>
      <vt:lpstr>OV_IDS\IPS</vt:lpstr>
      <vt:lpstr>OV_MFA</vt:lpstr>
      <vt:lpstr>OV_NAC</vt:lpstr>
      <vt:lpstr>OV_NSD</vt:lpstr>
      <vt:lpstr>OV_NTA</vt:lpstr>
      <vt:lpstr>OV_PUM</vt:lpstr>
      <vt:lpstr>OV_RK</vt:lpstr>
      <vt:lpstr>OV_Sandbox</vt:lpstr>
      <vt:lpstr>OV_SEG</vt:lpstr>
      <vt:lpstr>OV_SHD</vt:lpstr>
      <vt:lpstr>OV_SIEM</vt:lpstr>
      <vt:lpstr>OV_SKZI</vt:lpstr>
      <vt:lpstr>OV_SOAR</vt:lpstr>
      <vt:lpstr>OV_SOPKA</vt:lpstr>
      <vt:lpstr>OV_SZV</vt:lpstr>
      <vt:lpstr>OV_TLSH</vt:lpstr>
      <vt:lpstr>OV_Var</vt:lpstr>
      <vt:lpstr>OV_VDI</vt:lpstr>
      <vt:lpstr>OV_VM</vt:lpstr>
      <vt:lpstr>OV_WAF</vt:lpstr>
      <vt:lpstr>OV_Worker</vt:lpstr>
      <vt:lpstr>PRTYPE_list_ASUTP</vt:lpstr>
      <vt:lpstr>'APT ОВ'!Speci</vt:lpstr>
      <vt:lpstr>Speci</vt:lpstr>
      <vt:lpstr>VM_ASO</vt:lpstr>
      <vt:lpstr>VM_SPO</vt:lpstr>
      <vt:lpstr>VM_ZSV</vt:lpstr>
      <vt:lpstr>ВА</vt:lpstr>
      <vt:lpstr>Варианты</vt:lpstr>
      <vt:lpstr>Командировки_ОП</vt:lpstr>
      <vt:lpstr>л</vt:lpstr>
      <vt:lpstr>Отделы</vt:lpstr>
      <vt:lpstr>Сложность</vt:lpstr>
    </vt:vector>
  </TitlesOfParts>
  <Company>Solar Security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Postoev Evgeniy</dc:creator>
  <cp:lastModifiedBy>Postoev Evgeniy</cp:lastModifiedBy>
  <cp:lastPrinted>2021-01-21T08:08:57Z</cp:lastPrinted>
  <dcterms:created xsi:type="dcterms:W3CDTF">2020-12-01T11:01:00Z</dcterms:created>
  <dcterms:modified xsi:type="dcterms:W3CDTF">2024-10-31T09:25:31Z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0x01010020896F5ACB8329429C5F9CA9C2E051F8</vt:lpwstr>
  </property>
</Properties>
</file>